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sults_Summary" sheetId="2" state="visible" r:id="rId4"/>
    <sheet name="Results_Country" sheetId="3" state="visible" r:id="rId5"/>
    <sheet name="Sensitivity" sheetId="4" state="visible" r:id="rId6"/>
    <sheet name="Inputs" sheetId="5" state="visible" r:id="rId7"/>
    <sheet name="Sector_Params" sheetId="6" state="visible" r:id="rId8"/>
    <sheet name="Country_Data" sheetId="7" state="visible" r:id="rId9"/>
    <sheet name="Damodaran" sheetId="8" state="visible" r:id="rId10"/>
    <sheet name="Calc" sheetId="9" state="visible" r:id="rId11"/>
    <sheet name="Checks" sheetId="10" state="visible" r:id="rId12"/>
    <sheet name="Sources" sheetId="11" state="visible" r:id="rId13"/>
    <sheet name="Lists" sheetId="12" state="visible" r:id="rId14"/>
  </sheets>
  <definedNames>
    <definedName function="false" hidden="true" localSheetId="2" name="_xlnm._FilterDatabase" vbProcedure="false">Results_Country!$A$4:$AG$199</definedName>
    <definedName function="false" hidden="false" name="p_a" vbProcedure="false">Inputs!$C$57</definedName>
    <definedName function="false" hidden="false" name="p_b" vbProcedure="false">Inputs!$C$50</definedName>
    <definedName function="false" hidden="false" name="p_basis" vbProcedure="false">Inputs!$C$36</definedName>
    <definedName function="false" hidden="false" name="p_beta" vbProcedure="false">Inputs!$C$42</definedName>
    <definedName function="false" hidden="false" name="p_beta_alloc" vbProcedure="false">Inputs!$C$86</definedName>
    <definedName function="false" hidden="false" name="p_c" vbProcedure="false">Inputs!$C$52</definedName>
    <definedName function="false" hidden="false" name="p_calib" vbProcedure="false">Inputs!$C$35</definedName>
    <definedName function="false" hidden="false" name="p_capex_pv" vbProcedure="false">Inputs!$C$63</definedName>
    <definedName function="false" hidden="false" name="p_capex_wind" vbProcedure="false">Inputs!$C$64</definedName>
    <definedName function="false" hidden="false" name="p_cb_world" vbProcedure="false">Inputs!$C$104</definedName>
    <definedName function="false" hidden="false" name="p_ce_ae" vbProcedure="false">Inputs!$C$9</definedName>
    <definedName function="false" hidden="false" name="p_ce_chn" vbProcedure="false">Inputs!$C$8</definedName>
    <definedName function="false" hidden="false" name="p_ce_emdc" vbProcedure="false">Inputs!$C$7</definedName>
    <definedName function="false" hidden="false" name="p_ce_world" vbProcedure="false">Inputs!$C$6</definedName>
    <definedName function="false" hidden="false" name="p_cf_pv" vbProcedure="false">Inputs!$C$66</definedName>
    <definedName function="false" hidden="false" name="p_cf_wind" vbProcedure="false">Inputs!$C$67</definedName>
    <definedName function="false" hidden="false" name="p_cpt_afolu" vbProcedure="false">Inputs!$C$84</definedName>
    <definedName function="false" hidden="false" name="p_cpt_fuel" vbProcedure="false">Inputs!$C$83</definedName>
    <definedName function="false" hidden="false" name="p_dv" vbProcedure="false">Inputs!$C$41</definedName>
    <definedName function="false" hidden="false" name="p_ef_coal" vbProcedure="false">Inputs!$C$72</definedName>
    <definedName function="false" hidden="false" name="p_ef_gas" vbProcedure="false">Inputs!$C$73</definedName>
    <definedName function="false" hidden="false" name="p_ef_gso" vbProcedure="false">Inputs!$C$75</definedName>
    <definedName function="false" hidden="false" name="p_ef_oil" vbProcedure="false">Inputs!$C$74</definedName>
    <definedName function="false" hidden="false" name="p_eng" vbProcedure="false">Inputs!$C$61</definedName>
    <definedName function="false" hidden="false" name="p_erp" vbProcedure="false">Inputs!$C$40</definedName>
    <definedName function="false" hidden="false" name="p_ev_km" vbProcedure="false">Inputs!$C$79</definedName>
    <definedName function="false" hidden="false" name="p_ev_kwh" vbProcedure="false">Inputs!$C$81</definedName>
    <definedName function="false" hidden="false" name="p_ev_maint" vbProcedure="false">Inputs!$C$82</definedName>
    <definedName function="false" hidden="false" name="p_ev_prem" vbProcedure="false">Inputs!$C$78</definedName>
    <definedName function="false" hidden="false" name="p_fc_world" vbProcedure="false">Inputs!$C$103</definedName>
    <definedName function="false" hidden="false" name="p_gap_ae" vbProcedure="false">Inputs!$C$92</definedName>
    <definedName function="false" hidden="false" name="p_gap_em" vbProcedure="false">Inputs!$C$93</definedName>
    <definedName function="false" hidden="false" name="p_gap_lic" vbProcedure="false">Inputs!$C$94</definedName>
    <definedName function="false" hidden="false" name="p_gj_l_gso" vbProcedure="false">Inputs!$C$77</definedName>
    <definedName function="false" hidden="false" name="p_gj_l_oil" vbProcedure="false">Inputs!$C$76</definedName>
    <definedName function="false" hidden="false" name="p_grid_credit" vbProcedure="false">Inputs!$C$62</definedName>
    <definedName function="false" hidden="false" name="p_hr_coal" vbProcedure="false">Inputs!$C$69</definedName>
    <definedName function="false" hidden="false" name="p_hr_gas" vbProcedure="false">Inputs!$C$70</definedName>
    <definedName function="false" hidden="false" name="p_hr_oil" vbProcedure="false">Inputs!$C$71</definedName>
    <definedName function="false" hidden="false" name="p_ice_l" vbProcedure="false">Inputs!$C$80</definedName>
    <definedName function="false" hidden="false" name="p_idx_max" vbProcedure="false">Inputs!$C$56</definedName>
    <definedName function="false" hidden="false" name="p_idx_min" vbProcedure="false">Inputs!$C$55</definedName>
    <definedName function="false" hidden="false" name="p_inc_ae" vbProcedure="false">Inputs!$C$23</definedName>
    <definedName function="false" hidden="false" name="p_inc_chn" vbProcedure="false">Inputs!$C$24</definedName>
    <definedName function="false" hidden="false" name="p_inc_emdc" vbProcedure="false">Inputs!$C$25</definedName>
    <definedName function="false" hidden="false" name="p_infl" vbProcedure="false">Inputs!$C$37</definedName>
    <definedName function="false" hidden="false" name="p_lambda" vbProcedure="false">Inputs!$C$43</definedName>
    <definedName function="false" hidden="false" name="p_nat_ae" vbProcedure="false">Inputs!$C$12</definedName>
    <definedName function="false" hidden="false" name="p_nat_chn" vbProcedure="false">Inputs!$C$13</definedName>
    <definedName function="false" hidden="false" name="p_nat_emdc" vbProcedure="false">Inputs!$C$10</definedName>
    <definedName function="false" hidden="false" name="p_nbs_world" vbProcedure="false">Inputs!$C$11</definedName>
    <definedName function="false" hidden="false" name="p_n_overlap" vbProcedure="false">Inputs!$C$105</definedName>
    <definedName function="false" hidden="false" name="p_om_re" vbProcedure="false">Inputs!$C$68</definedName>
    <definedName function="false" hidden="false" name="p_phi" vbProcedure="false">Inputs!$C$87</definedName>
    <definedName function="false" hidden="false" name="p_ps_ae" vbProcedure="false">Inputs!$C$89</definedName>
    <definedName function="false" hidden="false" name="p_ps_chn" vbProcedure="false">Inputs!$C$90</definedName>
    <definedName function="false" hidden="false" name="p_ps_emdc" vbProcedure="false">Inputs!$C$91</definedName>
    <definedName function="false" hidden="false" name="p_reform" vbProcedure="false">Inputs!$C$96</definedName>
    <definedName function="false" hidden="false" name="p_reform_close" vbProcedure="false">Inputs!$C$97</definedName>
    <definedName function="false" hidden="false" name="p_rf" vbProcedure="false">Inputs!$C$39</definedName>
    <definedName function="false" hidden="false" name="p_rh_ae" vbProcedure="false">Inputs!$C$30</definedName>
    <definedName function="false" hidden="false" name="p_rh_chn" vbProcedure="false">Inputs!$C$31</definedName>
    <definedName function="false" hidden="false" name="p_rh_emdc" vbProcedure="false">Inputs!$C$32</definedName>
    <definedName function="false" hidden="false" name="p_road" vbProcedure="false">Inputs!$C$54</definedName>
    <definedName function="false" hidden="false" name="p_r_ae" vbProcedure="false">Inputs!$C$27</definedName>
    <definedName function="false" hidden="false" name="p_r_chn" vbProcedure="false">Inputs!$C$28</definedName>
    <definedName function="false" hidden="false" name="p_r_emdc" vbProcedure="false">Inputs!$C$29</definedName>
    <definedName function="false" hidden="false" name="p_r_ibrd" vbProcedure="false">Inputs!$C$48</definedName>
    <definedName function="false" hidden="false" name="p_r_wb" vbProcedure="false">Inputs!$C$47</definedName>
    <definedName function="false" hidden="false" name="p_shift" vbProcedure="false">Inputs!$C$45</definedName>
    <definedName function="false" hidden="false" name="p_sh_end" vbProcedure="false">Inputs!$C$17</definedName>
    <definedName function="false" hidden="false" name="p_sh_fuel" vbProcedure="false">Inputs!$C$18</definedName>
    <definedName function="false" hidden="false" name="p_sh_gen" vbProcedure="false">Inputs!$C$15</definedName>
    <definedName function="false" hidden="false" name="p_sh_grid" vbProcedure="false">Inputs!$C$16</definedName>
    <definedName function="false" hidden="false" name="p_sh_pv" vbProcedure="false">Inputs!$C$65</definedName>
    <definedName function="false" hidden="false" name="p_spc_hi" vbProcedure="false">Inputs!$C$59</definedName>
    <definedName function="false" hidden="false" name="p_spc_lo" vbProcedure="false">Inputs!$C$58</definedName>
    <definedName function="false" hidden="false" name="p_spl_bld" vbProcedure="false">Inputs!$C$20</definedName>
    <definedName function="false" hidden="false" name="p_spl_ind" vbProcedure="false">Inputs!$C$21</definedName>
    <definedName function="false" hidden="false" name="p_spl_trn" vbProcedure="false">Inputs!$C$19</definedName>
    <definedName function="false" hidden="false" name="p_tax_def" vbProcedure="false">Inputs!$C$44</definedName>
    <definedName function="false" hidden="false" name="p_use_dam" vbProcedure="false">Inputs!$C$34</definedName>
    <definedName function="false" hidden="false" name="p_use_ibrd" vbProcedure="false">Inputs!$C$49</definedName>
    <definedName function="false" hidden="false" name="p_use_obs" vbProcedure="false">Inputs!$C$33</definedName>
    <definedName function="false" hidden="false" name="p_use_pefa" vbProcedure="false">Inputs!$C$95</definedName>
    <definedName function="false" hidden="false" name="p_wb_idx" vbProcedure="false">Inputs!$C$51</definedName>
    <definedName function="false" hidden="false" name="p_wc_idx" vbProcedure="false">Inputs!$C$53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<sst xmlns="http://schemas.openxmlformats.org/spreadsheetml/2006/main" count="4124" uniqueCount="1381">
  <si>
    <t xml:space="preserve">Mitigation (Net Zero) Investment Needs Model v1.1</t>
  </si>
  <si>
    <t xml:space="preserve">What it does</t>
  </si>
  <si>
    <t xml:space="preserve">Estimates, for every economy with IMF WEO GDP (195 economies) and seven mitigation sectors, the 2030 total and incremental investment need and its incremental cost under three lenses: (a) market cost of capital, (b) the World Bank rate (6%), and (c) the World Bank rate with local co-benefits. All cells recalculate from the Inputs sheet.</t>
  </si>
  <si>
    <t xml:space="preserve">Method (equation numbers follow the SISEPUEDE method note)</t>
  </si>
  <si>
    <t xml:space="preserve">1. Totals. Group pools for 2030 (advanced economies, China, other EMDCs) come from IHLEG (2024) and IEA-IFC (2023); clean energy is split into sectors with the IEA-IFC shares; AFOLU uses IHLEG and UNEP (Inputs, Sector_Params).</t>
  </si>
  <si>
    <t xml:space="preserve">2. Allocation (eq. 1/3, Tier 3 of the note). Each group-sector pool is shared across its countries in proportion to w = [beta x physical-driver share + (1 - beta) x PPP GDP share] x price level^phi. Drivers come from IMF CPAT 2024: electricity demand (power, grids), road fuel (transport), building and industrial energy use, fossil supply (fuels), non-CO2 GHG plus net LULUCF source (AFOLU). Countries without CPAT data use GDP only.</t>
  </si>
  <si>
    <t xml:space="preserve">3. Incremental investment (eq. 2): dI = I x incremental share (AE/China 0.38 from McKinsey 2022; EMDC 0.24 from CCDR vs IHLEG).</t>
  </si>
  <si>
    <t xml:space="preserve">4. Capital charge (eq. 4): A = dI x CRF(r, n), CRF = r / (1 - (1 + r)^-n), asset life n by sector.</t>
  </si>
  <si>
    <t xml:space="preserve">5. Cost of capital (eq. 5). Lens (a) uses a country WACC: the average of observed RE WACC (IRENA 2021, converted to nominal; Steffen et al. 2025) where available; else a Damodaran-based WACC, D/V(rf + default spread)(1 - tax) + E/V(rf + beta x ERP + lambda x CRP), shifted to the observed level; else the IHLEG group rate (AE 5.5%, China 6%, EMDC 10.5%). The high case adds the group gap to 7% / 8% / 15%. Lens (b)/(c) use 6% (or IBRD ~5.2% by switch).</t>
  </si>
  <si>
    <t xml:space="preserve">6. Savings, co-benefits and abatement (eq. 6-7), v1.1. Power generation and transport use engineering parameters: renewable output per dollar displaces the country's fossil generation mix (Ember) at CPAT 2024 fuel supply costs and air-pollution costs, with heat rates and IPCC 2006 CO2 factors; EVs replace gasoline cars (fuel, power and maintenance per vehicle over the purchase premium). Grids carry no benefits of their own (switch p_grid_credit). Low-emission fuels and AFOLU are costed per tonne (USD 100/t and 50/t). Buildings and industry keep the calibrated b = 0.133 and c = 0.129 (SISEPUEDE LAC) scaled by CPAT country indices relative to the investment-weighted world average.</t>
  </si>
  <si>
    <t xml:space="preserve">7. Incremental cost: (a) = CRF(WACC) x dI - savings; (b) = CRF(6%) x dI - savings; (c) = (b) - local co-benefits. Memo lines add avoided emissions (a x dI) at the World Bank shadow price of carbon. Positive = net cost.</t>
  </si>
  <si>
    <t xml:space="preserve">8. PIMA. PIMA-adjusted investment = I x [(1 - public share) + public share / (1 - efficiency gap)]. The gap is mapped from the PEFA PI-11 score where available, otherwise the IMF (2015) income-group gap; the reform switch closes two-thirds of it.</t>
  </si>
  <si>
    <t xml:space="preserve">9. Total-investment lens. Results_Summary also applies b and c to total I, which is the framing of the method note's Tables 6-7; Checks reproduces Table 7.</t>
  </si>
  <si>
    <t xml:space="preserve">Sheets</t>
  </si>
  <si>
    <t xml:space="preserve">Results_Summary - group and world totals, lens comparison, sector split, charts.  Results_Country - one row per economy, filterable.  Inputs - every scenario lever.  Sector_Params - sector shares, asset lives, technology premia, incremental shares, pools.  Country_Data - data (blue) and country parameters (formulas): WACC, indices, PIMA.  Damodaran - country risk inputs (paste or auto-load).  Calc - country x sector engine.  Checks - replication and benchmarks.  Lists - name aliases.  Sources.</t>
  </si>
  <si>
    <t xml:space="preserve">Colour code</t>
  </si>
  <si>
    <t xml:space="preserve">Blue text = hard-coded input or loaded data. Black = formula. Green = link to another sheet. Yellow fill = key assumption to review. † in a source note = not verified against the primary source, or an author's assumption.</t>
  </si>
  <si>
    <t xml:space="preserve">Data notes and caveats</t>
  </si>
  <si>
    <t xml:space="preserve">- Damodaran data: No ctryprem.xlsx found in InvestmentNeeds/raw_data/ - paste the data here (see note). Until it is supplied, countries without an observed WACC use the IHLEG group rate.</t>
  </si>
  <si>
    <t xml:space="preserve">- Rates are compared as published (nominal market WACC vs the 6% real World Bank rate), as in the method note. Set p_basis = 1 to deflate market rates to real terms.</t>
  </si>
  <si>
    <t xml:space="preserve">- The allocation is a Tier 3 estimate. It reproduces the group totals exactly, but country values depend on the drivers and on beta and phi. Replace with SISEPUEDE or CCDR country runs where they exist.</t>
  </si>
  <si>
    <t xml:space="preserve">- In buildings and industry, b, c and a are still calibrated on one region (SISEPUEDE LAC) and IEA NZE. Power is conservative: fossil plants avoided in growing systems are not credited, and 2024 fuel prices are used.</t>
  </si>
  <si>
    <t xml:space="preserve">- The Sensitivity sheet holds static results from build/run_sensitivity.py; re-run it after changing inputs.</t>
  </si>
  <si>
    <t xml:space="preserve">- The AE/China AFOLU pools, the end-use split, the China WACC, the public shares and the PEFA mapping are author's assumptions (yellow).</t>
  </si>
  <si>
    <t xml:space="preserve">- CPAT local air pollution cost is the uncharged (implicit-subsidy) air-pollution cost of fossil fuel use, 2024.</t>
  </si>
  <si>
    <t xml:space="preserve">- Build: python InvestmentNeeds/build/build_investment_model.py (reads only repo files).</t>
  </si>
  <si>
    <t xml:space="preserve">Mitigation (net zero) investment needs and incremental cost, 2030</t>
  </si>
  <si>
    <t xml:space="preserve">USD bn a year, 2023 prices. Flows are annual over the asset life of one year's 2030 investment (as in the method note, Tables 6-7). Incremental cost &gt; 0 is a net cost; &lt; 0 a net saving.</t>
  </si>
  <si>
    <t xml:space="preserve">Item</t>
  </si>
  <si>
    <t xml:space="preserve">AE</t>
  </si>
  <si>
    <t xml:space="preserve">China</t>
  </si>
  <si>
    <t xml:space="preserve">EMDC</t>
  </si>
  <si>
    <t xml:space="preserve">World</t>
  </si>
  <si>
    <t xml:space="preserve">Total investment need, I</t>
  </si>
  <si>
    <t xml:space="preserve">Incremental investment need, dI</t>
  </si>
  <si>
    <t xml:space="preserve">Savings on dI (fuel and operating)</t>
  </si>
  <si>
    <t xml:space="preserve">Local co-benefits on dI</t>
  </si>
  <si>
    <t xml:space="preserve">Capital charge on dI, lens (a) market</t>
  </si>
  <si>
    <t xml:space="preserve">Capital charge on dI, lens (b) WB rate</t>
  </si>
  <si>
    <t xml:space="preserve">INCREMENTAL COST (a) market cost of capital</t>
  </si>
  <si>
    <t xml:space="preserve">INCREMENTAL COST (a) market, high case</t>
  </si>
  <si>
    <t xml:space="preserve">INCREMENTAL COST (b) World Bank rate</t>
  </si>
  <si>
    <t xml:space="preserve">INCREMENTAL COST (c) WB rate + local co-benefits</t>
  </si>
  <si>
    <t xml:space="preserve">memo: (c) + avoided carbon at SPC low</t>
  </si>
  <si>
    <t xml:space="preserve">memo: (c) + avoided carbon at SPC high</t>
  </si>
  <si>
    <t xml:space="preserve">Abatement from dI (MtCO2e/yr)</t>
  </si>
  <si>
    <t xml:space="preserve">Cost-of-capital penalty on I, (a) less (b)</t>
  </si>
  <si>
    <t xml:space="preserve">PIMA-adjusted total investment</t>
  </si>
  <si>
    <t xml:space="preserve">PIMA-adjusted incremental investment</t>
  </si>
  <si>
    <t xml:space="preserve">GDP 2030 (USD bn, 2024 prices)</t>
  </si>
  <si>
    <t xml:space="preserve">I, % of GDP</t>
  </si>
  <si>
    <t xml:space="preserve">dI, % of GDP</t>
  </si>
  <si>
    <t xml:space="preserve">Incremental cost (a), % of GDP</t>
  </si>
  <si>
    <t xml:space="preserve">Incremental cost (b), % of GDP</t>
  </si>
  <si>
    <t xml:space="preserve">Incremental cost (c), % of GDP</t>
  </si>
  <si>
    <t xml:space="preserve">Financial benefit-cost ratio on dI, lens (a)</t>
  </si>
  <si>
    <t xml:space="preserve">Financial benefit-cost ratio on dI, lens (b)</t>
  </si>
  <si>
    <t xml:space="preserve">Economic benefit-cost ratio on dI, lens (c)</t>
  </si>
  <si>
    <t xml:space="preserve">Countries in group</t>
  </si>
  <si>
    <t xml:space="preserve">Total-investment lens (method note Tables 6-7 framing: b and c applied to total I)</t>
  </si>
  <si>
    <t xml:space="preserve">Capital charge on I, (a)</t>
  </si>
  <si>
    <t xml:space="preserve">Capital charge on I, (b)</t>
  </si>
  <si>
    <t xml:space="preserve">Financial savings on I</t>
  </si>
  <si>
    <t xml:space="preserve">Co-benefits on I</t>
  </si>
  <si>
    <t xml:space="preserve">Net financial benefit, (a)</t>
  </si>
  <si>
    <t xml:space="preserve">Net financial benefit, (b)</t>
  </si>
  <si>
    <t xml:space="preserve">Net benefit with co-benefits, (c)</t>
  </si>
  <si>
    <t xml:space="preserve">Investment by sector and group (USD bn/yr)</t>
  </si>
  <si>
    <t xml:space="preserve">Sector</t>
  </si>
  <si>
    <t xml:space="preserve">I: AE</t>
  </si>
  <si>
    <t xml:space="preserve">I: China</t>
  </si>
  <si>
    <t xml:space="preserve">I: EMDC</t>
  </si>
  <si>
    <t xml:space="preserve">I: World</t>
  </si>
  <si>
    <t xml:space="preserve">dI: World</t>
  </si>
  <si>
    <t xml:space="preserve">Incr. cost (a)</t>
  </si>
  <si>
    <t xml:space="preserve">Incr. cost (b)</t>
  </si>
  <si>
    <t xml:space="preserve">Incr. cost (c)</t>
  </si>
  <si>
    <t xml:space="preserve">Power generation (low-emission)</t>
  </si>
  <si>
    <t xml:space="preserve">Grids and storage</t>
  </si>
  <si>
    <t xml:space="preserve">Transport (EVs, charging, transit)</t>
  </si>
  <si>
    <t xml:space="preserve">Buildings (efficiency, heat pumps)</t>
  </si>
  <si>
    <t xml:space="preserve">Industry (efficiency, electrification, CCS)</t>
  </si>
  <si>
    <t xml:space="preserve">Low-emission fuels and fuel supply</t>
  </si>
  <si>
    <t xml:space="preserve">AFOLU and nature</t>
  </si>
  <si>
    <t xml:space="preserve">Total</t>
  </si>
  <si>
    <t xml:space="preserve">Results by country: mitigation investment needs and incremental cost, 2030 (USD bn/yr, 2023 prices)</t>
  </si>
  <si>
    <t xml:space="preserve">Incremental cost = annual capital charge on incremental investment less fuel and operating savings (less local co-benefits in lens c), over the asset life of one year's investment. Positive = net cost. Sorted by 2024 GDP.</t>
  </si>
  <si>
    <t xml:space="preserve">ISO3</t>
  </si>
  <si>
    <t xml:space="preserve">Country</t>
  </si>
  <si>
    <t xml:space="preserve">Group</t>
  </si>
  <si>
    <t xml:space="preserve">WB income</t>
  </si>
  <si>
    <t xml:space="preserve">GDP 2030 (USD bn)</t>
  </si>
  <si>
    <t xml:space="preserve">Total investment I</t>
  </si>
  <si>
    <t xml:space="preserve">I, % GDP</t>
  </si>
  <si>
    <t xml:space="preserve">Incremental investment dI</t>
  </si>
  <si>
    <t xml:space="preserve">dI, % GDP</t>
  </si>
  <si>
    <t xml:space="preserve">Market WACC (a)</t>
  </si>
  <si>
    <t xml:space="preserve">WACC source</t>
  </si>
  <si>
    <t xml:space="preserve">Savings on dI</t>
  </si>
  <si>
    <t xml:space="preserve">Incr. cost (a) market</t>
  </si>
  <si>
    <t xml:space="preserve">Incr. cost (a) market high</t>
  </si>
  <si>
    <t xml:space="preserve">Incr. cost (b) WB rate</t>
  </si>
  <si>
    <t xml:space="preserve">Incr. cost (c) WB + local co-ben.</t>
  </si>
  <si>
    <t xml:space="preserve">(a) % GDP</t>
  </si>
  <si>
    <t xml:space="preserve">(b) % GDP</t>
  </si>
  <si>
    <t xml:space="preserve">(c) % GDP</t>
  </si>
  <si>
    <t xml:space="preserve">memo: (c) + carbon, SPC low</t>
  </si>
  <si>
    <t xml:space="preserve">memo: (c) + carbon, SPC high</t>
  </si>
  <si>
    <t xml:space="preserve">Abatement (MtCO2e/yr)</t>
  </si>
  <si>
    <t xml:space="preserve">Incr. cost per t (a) USD/t</t>
  </si>
  <si>
    <t xml:space="preserve">Incr. cost per t (b) USD/t</t>
  </si>
  <si>
    <t xml:space="preserve">Incr. cost per t (c) USD/t</t>
  </si>
  <si>
    <t xml:space="preserve">CoC penalty on I (a-b)</t>
  </si>
  <si>
    <t xml:space="preserve">PIMA-adjusted I</t>
  </si>
  <si>
    <t xml:space="preserve">PIM efficiency gap</t>
  </si>
  <si>
    <t xml:space="preserve">PEFA PI-11 (1-4)</t>
  </si>
  <si>
    <t xml:space="preserve">Capex execution (%)</t>
  </si>
  <si>
    <t xml:space="preserve">Official-private spread (pp)</t>
  </si>
  <si>
    <t xml:space="preserve">Gross debt (% GDP)</t>
  </si>
  <si>
    <t xml:space="preserve">Sensitivity: incremental cost, 2030 (USD bn a year), one input changed at a time</t>
  </si>
  <si>
    <t xml:space="preserve">STATIC VALUES written by build/run_sensitivity.py from the inputs as they stood when it ran. Re-run the script after changing inputs. Positive = net cost; negative = net saving.</t>
  </si>
  <si>
    <t xml:space="preserve">Case</t>
  </si>
  <si>
    <t xml:space="preserve">Inputs changed</t>
  </si>
  <si>
    <t xml:space="preserve">World (a) market</t>
  </si>
  <si>
    <t xml:space="preserve">World (b) WB 6%</t>
  </si>
  <si>
    <t xml:space="preserve">World (c) WB + co-ben.</t>
  </si>
  <si>
    <t xml:space="preserve">EMDC (a)</t>
  </si>
  <si>
    <t xml:space="preserve">EMDC (b)</t>
  </si>
  <si>
    <t xml:space="preserve">EMDC (c)</t>
  </si>
  <si>
    <t xml:space="preserve">World dI</t>
  </si>
  <si>
    <t xml:space="preserve">Abatement (Mt/yr)</t>
  </si>
  <si>
    <t xml:space="preserve">World (b) USD/t</t>
  </si>
  <si>
    <t xml:space="preserve">Base case (v1.1 defaults)</t>
  </si>
  <si>
    <t xml:space="preserve">-</t>
  </si>
  <si>
    <t xml:space="preserve">v1.0 calibrated benefits for power and transport</t>
  </si>
  <si>
    <t xml:space="preserve">p_eng=0</t>
  </si>
  <si>
    <t xml:space="preserve">Grids credited with generation benefits</t>
  </si>
  <si>
    <t xml:space="preserve">p_grid_credit=1</t>
  </si>
  <si>
    <t xml:space="preserve">EV premium USD 2,500</t>
  </si>
  <si>
    <t xml:space="preserve">p_ev_prem=2500</t>
  </si>
  <si>
    <t xml:space="preserve">EV premium USD 10,000</t>
  </si>
  <si>
    <t xml:space="preserve">p_ev_prem=10000</t>
  </si>
  <si>
    <t xml:space="preserve">Renewable capex -25%</t>
  </si>
  <si>
    <t xml:space="preserve">p_capex_pv=570, p_capex_wind=870</t>
  </si>
  <si>
    <t xml:space="preserve">Renewable capex +25%</t>
  </si>
  <si>
    <t xml:space="preserve">p_capex_pv=950, p_capex_wind=1450</t>
  </si>
  <si>
    <t xml:space="preserve">Calibrated savings b -50% (buildings, industry)</t>
  </si>
  <si>
    <t xml:space="preserve">p_b=0.0665</t>
  </si>
  <si>
    <t xml:space="preserve">Calibrated savings b +50% (buildings, industry)</t>
  </si>
  <si>
    <t xml:space="preserve">p_b=0.1995</t>
  </si>
  <si>
    <t xml:space="preserve">Co-benefits c -50% (buildings, industry, AFOLU)</t>
  </si>
  <si>
    <t xml:space="preserve">p_c=0.0645</t>
  </si>
  <si>
    <t xml:space="preserve">EMDC default WACC 15%</t>
  </si>
  <si>
    <t xml:space="preserve">p_r_emdc=0.15</t>
  </si>
  <si>
    <t xml:space="preserve">Rates compared in real terms</t>
  </si>
  <si>
    <t xml:space="preserve">p_basis=1</t>
  </si>
  <si>
    <t xml:space="preserve">Fuels/CCS abatement cost USD 50/t</t>
  </si>
  <si>
    <t xml:space="preserve">p_cpt_fuel=50</t>
  </si>
  <si>
    <t xml:space="preserve">Fuels/CCS abatement cost USD 200/t</t>
  </si>
  <si>
    <t xml:space="preserve">p_cpt_fuel=200</t>
  </si>
  <si>
    <t xml:space="preserve">Incremental shares halved</t>
  </si>
  <si>
    <t xml:space="preserve">p_inc_ae=0.19, p_inc_chn=0.19, p_inc_emdc=0.12</t>
  </si>
  <si>
    <t xml:space="preserve">Inputs and scenario levers</t>
  </si>
  <si>
    <t xml:space="preserve">Blue = hard-coded input. Yellow fill = key assumption to review. † = not verified against the primary source, or an author's assumption. All money in USD billion, 2023 prices (IHLEG basis), unless stated.</t>
  </si>
  <si>
    <t xml:space="preserve">Key (named cell)</t>
  </si>
  <si>
    <t xml:space="preserve">Parameter</t>
  </si>
  <si>
    <t xml:space="preserve">Value</t>
  </si>
  <si>
    <t xml:space="preserve">Unit</t>
  </si>
  <si>
    <t xml:space="preserve">Source / note</t>
  </si>
  <si>
    <t xml:space="preserve">Fit</t>
  </si>
  <si>
    <t xml:space="preserve">Investment pools, 2030 (mitigation only)</t>
  </si>
  <si>
    <t xml:space="preserve">p_ce_world</t>
  </si>
  <si>
    <t xml:space="preserve">Clean energy investment need, world, 2030</t>
  </si>
  <si>
    <t xml:space="preserve">USD bn/yr</t>
  </si>
  <si>
    <t xml:space="preserve">IHLEG 3 (Bhattacharya et al. 2024), clean energy from IEA; method note Table 4</t>
  </si>
  <si>
    <t xml:space="preserve">G</t>
  </si>
  <si>
    <t xml:space="preserve">p_ce_emdc</t>
  </si>
  <si>
    <t xml:space="preserve">Clean energy, EMDCs other than China</t>
  </si>
  <si>
    <t xml:space="preserve">IHLEG 3 (2024): EMDCs ex-China clean energy USD 1.6 tn; method note Table 4</t>
  </si>
  <si>
    <t xml:space="preserve">p_ce_chn</t>
  </si>
  <si>
    <t xml:space="preserve">Clean energy, China</t>
  </si>
  <si>
    <t xml:space="preserve">Derived: IEA-IFC (2023) EMDE 2.2-2.8 tn less EMDE ex-China 1.4-1.9 tn (midpoints 2.5 - 1.65). †</t>
  </si>
  <si>
    <t xml:space="preserve">M</t>
  </si>
  <si>
    <t xml:space="preserve">p_ce_ae</t>
  </si>
  <si>
    <t xml:space="preserve">Clean energy, advanced economies (residual)</t>
  </si>
  <si>
    <t xml:space="preserve">Residual of the three lines above</t>
  </si>
  <si>
    <t xml:space="preserve">p_nat_emdc</t>
  </si>
  <si>
    <t xml:space="preserve">Nature and agriculture (AFOLU), EMDCs ex-China</t>
  </si>
  <si>
    <t xml:space="preserve">IHLEG 3 (2024): nature and agriculture USD 0.3-0.4 tn, midpoint. Includes some non-mitigation nature spending. †</t>
  </si>
  <si>
    <t xml:space="preserve">p_nbs_world</t>
  </si>
  <si>
    <t xml:space="preserve">Nature-based solutions, world, 2030</t>
  </si>
  <si>
    <t xml:space="preserve">UNEP State of Finance for Nature (2021): NbS flows USD 133 bn/yr must triple by 2030 (133 x 3)</t>
  </si>
  <si>
    <t xml:space="preserve">p_nat_ae</t>
  </si>
  <si>
    <t xml:space="preserve">AFOLU, advanced economies</t>
  </si>
  <si>
    <t xml:space="preserve">World NbS less EMDC, split AE/China pro rata to clean energy. †</t>
  </si>
  <si>
    <t xml:space="preserve">P</t>
  </si>
  <si>
    <t xml:space="preserve">p_nat_chn</t>
  </si>
  <si>
    <t xml:space="preserve">AFOLU, China</t>
  </si>
  <si>
    <t xml:space="preserve">As above. †</t>
  </si>
  <si>
    <t xml:space="preserve">Sector split of clean energy (applied to every group; edit per group on Sector_Params)</t>
  </si>
  <si>
    <t xml:space="preserve">p_sh_gen</t>
  </si>
  <si>
    <t xml:space="preserve">Low-emission power generation</t>
  </si>
  <si>
    <t xml:space="preserve">share</t>
  </si>
  <si>
    <t xml:space="preserve">IEA-IFC (2023), EMDEs early 2030s: 'just over a third' to low-emission generation</t>
  </si>
  <si>
    <t xml:space="preserve">p_sh_grid</t>
  </si>
  <si>
    <t xml:space="preserve">IEA-IFC (2023): 'just under a quarter'</t>
  </si>
  <si>
    <t xml:space="preserve">p_sh_end</t>
  </si>
  <si>
    <t xml:space="preserve">Efficiency and end use</t>
  </si>
  <si>
    <t xml:space="preserve">IEA-IFC (2023): 'another third'</t>
  </si>
  <si>
    <t xml:space="preserve">p_sh_fuel</t>
  </si>
  <si>
    <t xml:space="preserve">IEA-IFC (2023): 'around 8%'</t>
  </si>
  <si>
    <t xml:space="preserve">p_spl_trn</t>
  </si>
  <si>
    <t xml:space="preserve">  of end use: transport</t>
  </si>
  <si>
    <t xml:space="preserve">share of end use</t>
  </si>
  <si>
    <t xml:space="preserve">Author's assumption: EVs and charging are the largest end-use item. †</t>
  </si>
  <si>
    <t xml:space="preserve">p_spl_bld</t>
  </si>
  <si>
    <t xml:space="preserve">  of end use: buildings</t>
  </si>
  <si>
    <t xml:space="preserve">Author's assumption. †</t>
  </si>
  <si>
    <t xml:space="preserve">p_spl_ind</t>
  </si>
  <si>
    <t xml:space="preserve">  of end use: industry</t>
  </si>
  <si>
    <t xml:space="preserve">Residual</t>
  </si>
  <si>
    <t xml:space="preserve">Total vs incremental</t>
  </si>
  <si>
    <t xml:space="preserve">p_inc_ae</t>
  </si>
  <si>
    <t xml:space="preserve">Incremental share of total, advanced economies</t>
  </si>
  <si>
    <t xml:space="preserve">McKinsey (2022): +USD 3.5 tn over today on USD 9.2 tn gross (3.5/9.2). Method note Table 5</t>
  </si>
  <si>
    <t xml:space="preserve">p_inc_chn</t>
  </si>
  <si>
    <t xml:space="preserve">Incremental share of total, China</t>
  </si>
  <si>
    <t xml:space="preserve">As AE (McKinsey global ratio). †</t>
  </si>
  <si>
    <t xml:space="preserve">p_inc_emdc</t>
  </si>
  <si>
    <t xml:space="preserve">Incremental share of total, EMDCs</t>
  </si>
  <si>
    <t xml:space="preserve">CCDR synthesis USD 574 bn/yr incremental vs IHLEG USD 2.4 tn total (about a quarter). Method note Table 5</t>
  </si>
  <si>
    <t xml:space="preserve">Cost of capital (lens a: market)</t>
  </si>
  <si>
    <t xml:space="preserve">p_r_ae</t>
  </si>
  <si>
    <t xml:space="preserve">Market WACC, advanced economies (default)</t>
  </si>
  <si>
    <t xml:space="preserve">rate</t>
  </si>
  <si>
    <t xml:space="preserve">IEA via IHLEG (2024): solar WACC 5-6% in AEs. Used where no country estimate exists</t>
  </si>
  <si>
    <t xml:space="preserve">p_r_chn</t>
  </si>
  <si>
    <t xml:space="preserve">Market WACC, China (default)</t>
  </si>
  <si>
    <t xml:space="preserve">Method note: assumed close to AEs. †</t>
  </si>
  <si>
    <t xml:space="preserve">p_r_emdc</t>
  </si>
  <si>
    <t xml:space="preserve">Market WACC, EMDCs (default)</t>
  </si>
  <si>
    <t xml:space="preserve">IEA via IHLEG (2024): 9-12% in EMDCs, midpoint</t>
  </si>
  <si>
    <t xml:space="preserve">p_rh_ae</t>
  </si>
  <si>
    <t xml:space="preserve">High case WACC, advanced economies</t>
  </si>
  <si>
    <t xml:space="preserve">Method note lens (a) high case</t>
  </si>
  <si>
    <t xml:space="preserve">p_rh_chn</t>
  </si>
  <si>
    <t xml:space="preserve">High case WACC, China</t>
  </si>
  <si>
    <t xml:space="preserve">p_rh_emdc</t>
  </si>
  <si>
    <t xml:space="preserve">High case WACC, EMDCs</t>
  </si>
  <si>
    <t xml:space="preserve">p_use_obs</t>
  </si>
  <si>
    <t xml:space="preserve">Use observed country WACC (IRENA / Steffen)? 1=yes</t>
  </si>
  <si>
    <t xml:space="preserve">switch</t>
  </si>
  <si>
    <t xml:space="preserve">Dashboard Finance 1 block. Average of the available observations</t>
  </si>
  <si>
    <t xml:space="preserve">p_use_dam</t>
  </si>
  <si>
    <t xml:space="preserve">Use Damodaran-based WACC where no observation? 1=yes</t>
  </si>
  <si>
    <t xml:space="preserve">Fills coverage gaps from the Damodaran sheet (equation 5)</t>
  </si>
  <si>
    <t xml:space="preserve">p_calib</t>
  </si>
  <si>
    <t xml:space="preserve">Calibrate Damodaran WACC to observed level? 1=yes</t>
  </si>
  <si>
    <t xml:space="preserve">Shifts the structural estimate by the mean gap to observed WACC over countries with both</t>
  </si>
  <si>
    <t xml:space="preserve">p_basis</t>
  </si>
  <si>
    <t xml:space="preserve">Rate basis: 0 = nominal (as published), 1 = real</t>
  </si>
  <si>
    <t xml:space="preserve">IHLEG, IEA, Steffen and the 6% WB rate are compared as published in the method note (0). Set 1 to deflate market rates to real terms with the inflation input</t>
  </si>
  <si>
    <t xml:space="preserve">p_infl</t>
  </si>
  <si>
    <t xml:space="preserve">Inflation for real/nominal conversion (USD)</t>
  </si>
  <si>
    <t xml:space="preserve">Assumption: long-run USD inflation. Also converts IRENA real WACC to nominal. †</t>
  </si>
  <si>
    <t xml:space="preserve">Damodaran WACC build (equation 5) - used only where Damodaran data are present</t>
  </si>
  <si>
    <t xml:space="preserve">p_rf</t>
  </si>
  <si>
    <t xml:space="preserve">Risk-free rate (US 10-year Treasury)</t>
  </si>
  <si>
    <t xml:space="preserve">Placeholder: approximate 2025-26 level. Update to the date of the Damodaran file. †</t>
  </si>
  <si>
    <t xml:space="preserve">p_erp</t>
  </si>
  <si>
    <t xml:space="preserve">Mature-market equity risk premium</t>
  </si>
  <si>
    <t xml:space="preserve">Damodaran, July 2026 update (4.20%), as reported by BVWire 22 Jul 2026. Check against ctryprem.xlsx</t>
  </si>
  <si>
    <t xml:space="preserve">p_dv</t>
  </si>
  <si>
    <t xml:space="preserve">Debt share D/V, renewable projects</t>
  </si>
  <si>
    <t xml:space="preserve">Steffen et al. (2025) database, median 'Leverage (debt share)', all observations</t>
  </si>
  <si>
    <t xml:space="preserve">p_beta</t>
  </si>
  <si>
    <t xml:space="preserve">Equity beta on mature ERP</t>
  </si>
  <si>
    <t xml:space="preserve">x</t>
  </si>
  <si>
    <t xml:space="preserve">Assumption: average-risk project equity</t>
  </si>
  <si>
    <t xml:space="preserve">p_lambda</t>
  </si>
  <si>
    <t xml:space="preserve">Exposure to country risk premium (lambda)</t>
  </si>
  <si>
    <t xml:space="preserve">Damodaran default: full exposure to CRP</t>
  </si>
  <si>
    <t xml:space="preserve">p_tax_def</t>
  </si>
  <si>
    <t xml:space="preserve">Corporate tax rate where Damodaran gives none</t>
  </si>
  <si>
    <t xml:space="preserve">Assumption. †</t>
  </si>
  <si>
    <t xml:space="preserve">p_shift</t>
  </si>
  <si>
    <t xml:space="preserve">Calibration shift applied to Damodaran WACC (computed)</t>
  </si>
  <si>
    <t xml:space="preserve">Mean(observed) less mean(Damodaran) over countries with both; 0 if switch off or no overlap</t>
  </si>
  <si>
    <t xml:space="preserve">Lens (b) and (c): World Bank rate, savings and co-benefits</t>
  </si>
  <si>
    <t xml:space="preserve">p_r_wb</t>
  </si>
  <si>
    <t xml:space="preserve">World Bank social discount rate</t>
  </si>
  <si>
    <t xml:space="preserve">Fay et al. (2016), World Bank guidance note; Beyond the Gap and IMF GFSR use 6%</t>
  </si>
  <si>
    <t xml:space="preserve">p_r_ibrd</t>
  </si>
  <si>
    <t xml:space="preserve">IBRD lending rate (memo)</t>
  </si>
  <si>
    <t xml:space="preserve">Kharas &amp; Rivard (2022): effective IBRD 10-year flexible loan ~5.2%</t>
  </si>
  <si>
    <t xml:space="preserve">p_use_ibrd</t>
  </si>
  <si>
    <t xml:space="preserve">Use IBRD lending rate instead of 6% in lens (b)/(c)? 1=yes</t>
  </si>
  <si>
    <t xml:space="preserve">Alternative reading of 'World Bank cost of capital'</t>
  </si>
  <si>
    <t xml:space="preserve">p_b</t>
  </si>
  <si>
    <t xml:space="preserve">Financial savings per USD of capital (b)</t>
  </si>
  <si>
    <t xml:space="preserve">per yr</t>
  </si>
  <si>
    <t xml:space="preserve">Calibrated on SISEPUEDE LAC: BCR 1.70 at 6% x CRF 0.078. Method note Table 3</t>
  </si>
  <si>
    <t xml:space="preserve">p_wb_idx</t>
  </si>
  <si>
    <t xml:space="preserve">Weight on country fuel-cost index for b (0-1)</t>
  </si>
  <si>
    <t xml:space="preserve">weight</t>
  </si>
  <si>
    <t xml:space="preserve">1 = scale b by country fossil supply cost per tCO2 (CPAT) relative to world; 0 = uniform b</t>
  </si>
  <si>
    <t xml:space="preserve">p_c</t>
  </si>
  <si>
    <t xml:space="preserve">Local co-benefits per USD of capital (c)</t>
  </si>
  <si>
    <t xml:space="preserve">Calibrated on SISEPUEDE LAC: co-benefits 1.65 x cost at 6%. Method note Table 3</t>
  </si>
  <si>
    <t xml:space="preserve">p_wc_idx</t>
  </si>
  <si>
    <t xml:space="preserve">Weight on country co-benefit index for c (0-1)</t>
  </si>
  <si>
    <t xml:space="preserve">1 = scale c by country local externality cost per tCO2 (CPAT) relative to world; 0 = uniform c</t>
  </si>
  <si>
    <t xml:space="preserve">p_road</t>
  </si>
  <si>
    <t xml:space="preserve">Include road externalities in co-benefit index? 1=yes</t>
  </si>
  <si>
    <t xml:space="preserve">0 = local air pollution only. 1 adds congestion, accidents and road damage (SISEPUEDE counts them; EVs alone do not cut them)</t>
  </si>
  <si>
    <t xml:space="preserve">p_idx_min</t>
  </si>
  <si>
    <t xml:space="preserve">Index floor</t>
  </si>
  <si>
    <t xml:space="preserve">Guards small economies with tiny CO2 denominators</t>
  </si>
  <si>
    <t xml:space="preserve">p_idx_max</t>
  </si>
  <si>
    <t xml:space="preserve">Index cap</t>
  </si>
  <si>
    <t xml:space="preserve">As above</t>
  </si>
  <si>
    <t xml:space="preserve">p_a</t>
  </si>
  <si>
    <t xml:space="preserve">Abatement per USD 1,000 of capital (a)</t>
  </si>
  <si>
    <t xml:space="preserve">tCO2e/yr</t>
  </si>
  <si>
    <t xml:space="preserve">Author's calculation, ~37 Gt over ~USD 110 tn (IEA NZE). Method note Table 3. †</t>
  </si>
  <si>
    <t xml:space="preserve">p_spc_lo</t>
  </si>
  <si>
    <t xml:space="preserve">Shadow price of carbon 2030, low</t>
  </si>
  <si>
    <t xml:space="preserve">USD/tCO2e</t>
  </si>
  <si>
    <t xml:space="preserve">World Bank (2017, 2024)</t>
  </si>
  <si>
    <t xml:space="preserve">p_spc_hi</t>
  </si>
  <si>
    <t xml:space="preserve">Shadow price of carbon 2030, high</t>
  </si>
  <si>
    <t xml:space="preserve">Sector benefit methods (v1.1): engineering for power and transport, cost per tonne for fuels and AFOLU</t>
  </si>
  <si>
    <t xml:space="preserve">p_eng</t>
  </si>
  <si>
    <t xml:space="preserve">Use engineering savings for power and transport? 1=yes</t>
  </si>
  <si>
    <t xml:space="preserve">1 = derive b, c, a from country fuel mix, prices and externalities (CPAT, Ember). 0 = v1.0 calibrated ratios</t>
  </si>
  <si>
    <t xml:space="preserve">p_grid_credit</t>
  </si>
  <si>
    <t xml:space="preserve">Share of power-generation benefits credited to grids</t>
  </si>
  <si>
    <t xml:space="preserve">0 = grids are enabling capital with no savings of their own (conservative). 1 = same per-$ benefits as generation</t>
  </si>
  <si>
    <t xml:space="preserve">p_capex_pv</t>
  </si>
  <si>
    <t xml:space="preserve">Utility solar PV capital cost</t>
  </si>
  <si>
    <t xml:space="preserve">USD/kW</t>
  </si>
  <si>
    <t xml:space="preserve">IRENA (2024) Renewable Power Generation Costs in 2023, global weighted average (method note Table C). †</t>
  </si>
  <si>
    <t xml:space="preserve">p_capex_wind</t>
  </si>
  <si>
    <t xml:space="preserve">Onshore wind capital cost</t>
  </si>
  <si>
    <t xml:space="preserve">IRENA (2024), as above. †</t>
  </si>
  <si>
    <t xml:space="preserve">p_sh_pv</t>
  </si>
  <si>
    <t xml:space="preserve">Solar share of new generation investment</t>
  </si>
  <si>
    <t xml:space="preserve">p_cf_pv</t>
  </si>
  <si>
    <t xml:space="preserve">Solar PV capacity factor</t>
  </si>
  <si>
    <t xml:space="preserve">Engineering norm, global average (IRENA range 0.15-0.18). †</t>
  </si>
  <si>
    <t xml:space="preserve">p_cf_wind</t>
  </si>
  <si>
    <t xml:space="preserve">Onshore wind capacity factor</t>
  </si>
  <si>
    <t xml:space="preserve">Engineering norm, global average (IRENA range 0.3-0.4). †</t>
  </si>
  <si>
    <t xml:space="preserve">p_om_re</t>
  </si>
  <si>
    <t xml:space="preserve">Renewable O&amp;M, share of capital a year</t>
  </si>
  <si>
    <t xml:space="preserve">Engineering norm (~USD 10-20/kW-yr). †</t>
  </si>
  <si>
    <t xml:space="preserve">p_hr_coal</t>
  </si>
  <si>
    <t xml:space="preserve">Heat rate, coal power</t>
  </si>
  <si>
    <t xml:space="preserve">GJ/MWh</t>
  </si>
  <si>
    <t xml:space="preserve">Engineering norm, ~36% efficiency. †</t>
  </si>
  <si>
    <t xml:space="preserve">p_hr_gas</t>
  </si>
  <si>
    <t xml:space="preserve">Heat rate, gas power</t>
  </si>
  <si>
    <t xml:space="preserve">Engineering norm, fleet ~48% efficiency. †</t>
  </si>
  <si>
    <t xml:space="preserve">p_hr_oil</t>
  </si>
  <si>
    <t xml:space="preserve">Heat rate, oil power</t>
  </si>
  <si>
    <t xml:space="preserve">Engineering norm, ~34% efficiency. †</t>
  </si>
  <si>
    <t xml:space="preserve">p_ef_coal</t>
  </si>
  <si>
    <t xml:space="preserve">CO2 factor, coal</t>
  </si>
  <si>
    <t xml:space="preserve">tCO2/GJ</t>
  </si>
  <si>
    <t xml:space="preserve">IPCC 2006 Guidelines Vol. 2 Table 2.2, other bituminous coal</t>
  </si>
  <si>
    <t xml:space="preserve">p_ef_gas</t>
  </si>
  <si>
    <t xml:space="preserve">CO2 factor, natural gas</t>
  </si>
  <si>
    <t xml:space="preserve">IPCC 2006, Table 2.2</t>
  </si>
  <si>
    <t xml:space="preserve">p_ef_oil</t>
  </si>
  <si>
    <t xml:space="preserve">CO2 factor, residual fuel oil</t>
  </si>
  <si>
    <t xml:space="preserve">p_ef_gso</t>
  </si>
  <si>
    <t xml:space="preserve">CO2 factor, motor gasoline</t>
  </si>
  <si>
    <t xml:space="preserve">p_gj_l_oil</t>
  </si>
  <si>
    <t xml:space="preserve">Energy content, fuel oil</t>
  </si>
  <si>
    <t xml:space="preserve">GJ/litre</t>
  </si>
  <si>
    <t xml:space="preserve">Physical constant (approx.)</t>
  </si>
  <si>
    <t xml:space="preserve">p_gj_l_gso</t>
  </si>
  <si>
    <t xml:space="preserve">Energy content, gasoline</t>
  </si>
  <si>
    <t xml:space="preserve">p_ev_prem</t>
  </si>
  <si>
    <t xml:space="preserve">EV purchase premium incl. charging, 2030</t>
  </si>
  <si>
    <t xml:space="preserve">USD/vehicle</t>
  </si>
  <si>
    <t xml:space="preserve">Author's assumption: SISEPUEDE 2019 value USD 13,000 falling; IEA reports near parity in China by 2024. †</t>
  </si>
  <si>
    <t xml:space="preserve">p_ev_km</t>
  </si>
  <si>
    <t xml:space="preserve">Vehicle-km a year</t>
  </si>
  <si>
    <t xml:space="preserve">km</t>
  </si>
  <si>
    <t xml:space="preserve">SISEPUEDE (Baik et al. 2019)</t>
  </si>
  <si>
    <t xml:space="preserve">p_ice_l</t>
  </si>
  <si>
    <t xml:space="preserve">Gasoline car fuel use</t>
  </si>
  <si>
    <t xml:space="preserve">l/100 km</t>
  </si>
  <si>
    <t xml:space="preserve">Engineering norm, on-road fleet average. †</t>
  </si>
  <si>
    <t xml:space="preserve">p_ev_kwh</t>
  </si>
  <si>
    <t xml:space="preserve">EV electricity use</t>
  </si>
  <si>
    <t xml:space="preserve">kWh/km</t>
  </si>
  <si>
    <t xml:space="preserve">Engineering norm incl. charging losses. †</t>
  </si>
  <si>
    <t xml:space="preserve">p_ev_maint</t>
  </si>
  <si>
    <t xml:space="preserve">EV maintenance saving</t>
  </si>
  <si>
    <t xml:space="preserve">USD/km</t>
  </si>
  <si>
    <t xml:space="preserve">SISEPUEDE (AAA 2019)</t>
  </si>
  <si>
    <t xml:space="preserve">p_cpt_fuel</t>
  </si>
  <si>
    <t xml:space="preserve">Abatement cost, low-emission fuels and CCS</t>
  </si>
  <si>
    <t xml:space="preserve">IPCC AR6 WGIII SPM C.12: options at USD 100/t or less could halve 2019 emissions by 2030. Used as levelised cost. †</t>
  </si>
  <si>
    <t xml:space="preserve">p_cpt_afolu</t>
  </si>
  <si>
    <t xml:space="preserve">Abatement cost, AFOLU</t>
  </si>
  <si>
    <t xml:space="preserve">IPCC AR6 WGIII SPM C.9.1: AFOLU potential 8-14 Gt/yr below USD 100/t, 30-50% of it below USD 20/t. 50 is an assumed average. †</t>
  </si>
  <si>
    <t xml:space="preserve">Allocation of group totals to countries (equation 1 / 3)</t>
  </si>
  <si>
    <t xml:space="preserve">p_beta_alloc</t>
  </si>
  <si>
    <t xml:space="preserve">Weight on physical driver vs GDP (PPP)</t>
  </si>
  <si>
    <t xml:space="preserve">Author's assumption: half current physical activity (replacement), half economic size (growth). †</t>
  </si>
  <si>
    <t xml:space="preserve">p_phi</t>
  </si>
  <si>
    <t xml:space="preserve">Pass-through of local price level to capital cost</t>
  </si>
  <si>
    <t xml:space="preserve">elasticity</t>
  </si>
  <si>
    <t xml:space="preserve">Author's assumption: about half of clean-energy capex is traded equipment. 0 = none, 1 = full. †</t>
  </si>
  <si>
    <t xml:space="preserve">PIMA: public investment efficiency</t>
  </si>
  <si>
    <t xml:space="preserve">p_ps_ae</t>
  </si>
  <si>
    <t xml:space="preserve">Public share of investment, AEs</t>
  </si>
  <si>
    <t xml:space="preserve">p_ps_chn</t>
  </si>
  <si>
    <t xml:space="preserve">Public share of investment, China</t>
  </si>
  <si>
    <t xml:space="preserve">Author's assumption (SOE-led). †</t>
  </si>
  <si>
    <t xml:space="preserve">p_ps_emdc</t>
  </si>
  <si>
    <t xml:space="preserve">Public share of investment, EMDCs</t>
  </si>
  <si>
    <t xml:space="preserve">IEA-IFC (2023): about 60% of EMDE clean energy investment must be private</t>
  </si>
  <si>
    <t xml:space="preserve">p_gap_ae</t>
  </si>
  <si>
    <t xml:space="preserve">Efficiency gap, advanced economies</t>
  </si>
  <si>
    <t xml:space="preserve">IMF (2015) Making Public Investment More Efficient</t>
  </si>
  <si>
    <t xml:space="preserve">p_gap_em</t>
  </si>
  <si>
    <t xml:space="preserve">Efficiency gap, emerging markets</t>
  </si>
  <si>
    <t xml:space="preserve">IMF (2015)</t>
  </si>
  <si>
    <t xml:space="preserve">p_gap_lic</t>
  </si>
  <si>
    <t xml:space="preserve">Efficiency gap, low-income developing</t>
  </si>
  <si>
    <t xml:space="preserve">p_use_pefa</t>
  </si>
  <si>
    <t xml:space="preserve">Use PEFA PI-11 score where available? 1=yes</t>
  </si>
  <si>
    <t xml:space="preserve">Linear map: score 1 -&gt; LIC gap, score 4 -&gt; AE gap (author's mapping †)</t>
  </si>
  <si>
    <t xml:space="preserve">p_reform</t>
  </si>
  <si>
    <t xml:space="preserve">PIMA reform scenario? 1=yes</t>
  </si>
  <si>
    <t xml:space="preserve">IMF (2015): stronger PIM institutions can close up to two-thirds of the gap</t>
  </si>
  <si>
    <t xml:space="preserve">p_reform_close</t>
  </si>
  <si>
    <t xml:space="preserve">Share of gap closed by reform</t>
  </si>
  <si>
    <t xml:space="preserve">Switch cells take 0 or 1. Rates and shares are stored as fractions (0.06 = 6%).</t>
  </si>
  <si>
    <t xml:space="preserve">Computed world benchmarks</t>
  </si>
  <si>
    <t xml:space="preserve">p_fc_world</t>
  </si>
  <si>
    <t xml:space="preserve">World fuel bill per tCO2 (investment-weighted)</t>
  </si>
  <si>
    <t xml:space="preserve">USD/t</t>
  </si>
  <si>
    <t xml:space="preserve">p_cb_world</t>
  </si>
  <si>
    <t xml:space="preserve">World local co-benefit per tCO2 (investment-weighted)</t>
  </si>
  <si>
    <t xml:space="preserve">p_n_overlap</t>
  </si>
  <si>
    <t xml:space="preserve">Countries with both observed and Damodaran WACC</t>
  </si>
  <si>
    <t xml:space="preserve">count</t>
  </si>
  <si>
    <t xml:space="preserve">Sector parameters and 2030 investment pools by group (USD bn/yr)</t>
  </si>
  <si>
    <t xml:space="preserve">Blue cells are editable. Incremental shares default to the group values on Inputs; overwrite a cell to set a sector-specific share. Technology premium is added to the country market WACC in lens (a) only.</t>
  </si>
  <si>
    <t xml:space="preserve">Code</t>
  </si>
  <si>
    <t xml:space="preserve">Share of clean energy</t>
  </si>
  <si>
    <t xml:space="preserve">Asset life (yrs)</t>
  </si>
  <si>
    <t xml:space="preserve">Tech premium (lens a)</t>
  </si>
  <si>
    <t xml:space="preserve">Incr. share AE</t>
  </si>
  <si>
    <t xml:space="preserve">Incr. share China</t>
  </si>
  <si>
    <t xml:space="preserve">Incr. share EMDC</t>
  </si>
  <si>
    <t xml:space="preserve">Savings multiplier (b)</t>
  </si>
  <si>
    <t xml:space="preserve">Co-benefit multiplier (c)</t>
  </si>
  <si>
    <t xml:space="preserve">Benefit method (v1.1)</t>
  </si>
  <si>
    <t xml:space="preserve">Allocation driver</t>
  </si>
  <si>
    <t xml:space="preserve">Life source</t>
  </si>
  <si>
    <t xml:space="preserve">GEN</t>
  </si>
  <si>
    <t xml:space="preserve">Engineering: displaced fossil power (Ember mix x heat rates x CPAT fuel cost, air pollution; IPCC CO2 factors)</t>
  </si>
  <si>
    <t xml:space="preserve">Electricity demand (TWh)</t>
  </si>
  <si>
    <t xml:space="preserve">Method note: 25 yrs (solar 25-30, wind 25)</t>
  </si>
  <si>
    <t xml:space="preserve">GRID</t>
  </si>
  <si>
    <t xml:space="preserve">Enabling: no own benefits; p_grid_credit x generation benefits</t>
  </si>
  <si>
    <t xml:space="preserve">Method note: grids 40 yrs (storage 15 - blended up)</t>
  </si>
  <si>
    <t xml:space="preserve">TRN</t>
  </si>
  <si>
    <t xml:space="preserve">Engineering: EV vs gasoline car per vehicle (CPAT fuel and power prices, gasoline air pollution)</t>
  </si>
  <si>
    <t xml:space="preserve">Road fuel energy (EJ)</t>
  </si>
  <si>
    <t xml:space="preserve">Method note: vehicles 12 yrs</t>
  </si>
  <si>
    <t xml:space="preserve">BLD</t>
  </si>
  <si>
    <t xml:space="preserve">Calibrated: SISEPUEDE b and c x CPAT country index; a = p_a</t>
  </si>
  <si>
    <t xml:space="preserve">Building energy use (EJ)</t>
  </si>
  <si>
    <t xml:space="preserve">Method note: 20-30 yrs</t>
  </si>
  <si>
    <t xml:space="preserve">IND</t>
  </si>
  <si>
    <t xml:space="preserve">Industrial energy use (EJ)</t>
  </si>
  <si>
    <t xml:space="preserve">Method note: CCS 25 yrs</t>
  </si>
  <si>
    <t xml:space="preserve">FUEL</t>
  </si>
  <si>
    <t xml:space="preserve">Cost per tonne: no savings or co-benefits; a = 1000 x CRF(6%) / p_cpt_fuel</t>
  </si>
  <si>
    <t xml:space="preserve">Fossil energy supply (EJ)</t>
  </si>
  <si>
    <t xml:space="preserve">Assumption †</t>
  </si>
  <si>
    <t xml:space="preserve">AFOLU</t>
  </si>
  <si>
    <t xml:space="preserve">n.a.</t>
  </si>
  <si>
    <t xml:space="preserve">Cost per tonne: no savings; c = p_c (ecosystem co-benefits); a = 1000 x CRF(6%) / p_cpt_afolu</t>
  </si>
  <si>
    <t xml:space="preserve">Non-CO2 GHG + net LULUCF source (MtCO2e)</t>
  </si>
  <si>
    <t xml:space="preserve">Total (energy sectors)</t>
  </si>
  <si>
    <t xml:space="preserve">Investment pools, 2030 (USD bn/yr, total investment)</t>
  </si>
  <si>
    <t xml:space="preserve">Country data (inputs from the dashboard panel, CPAT and WEO) and country parameters (formulas)</t>
  </si>
  <si>
    <t xml:space="preserve">Blue = data loaded by the build script; black = formulas. Blank = not available (nothing imputed). Rates as fractions.</t>
  </si>
  <si>
    <t xml:space="preserve">iso</t>
  </si>
  <si>
    <t xml:space="preserve">name</t>
  </si>
  <si>
    <t xml:space="preserve">region</t>
  </si>
  <si>
    <t xml:space="preserve">income</t>
  </si>
  <si>
    <t xml:space="preserve">group</t>
  </si>
  <si>
    <t xml:space="preserve">gdp24</t>
  </si>
  <si>
    <t xml:space="preserve">ppp24</t>
  </si>
  <si>
    <t xml:space="preserve">g25</t>
  </si>
  <si>
    <t xml:space="preserve">g26</t>
  </si>
  <si>
    <t xml:space="preserve">mit.pop.mn</t>
  </si>
  <si>
    <t xml:space="preserve">mit.co2.tot.1</t>
  </si>
  <si>
    <t xml:space="preserve">mit.ghg.tot.exc.1</t>
  </si>
  <si>
    <t xml:space="preserve">mit.ghg.tot.inc.1</t>
  </si>
  <si>
    <t xml:space="preserve">mit.con.ecy.ind.1</t>
  </si>
  <si>
    <t xml:space="preserve">mit.con.ecy.res.1</t>
  </si>
  <si>
    <t xml:space="preserve">mit.con.ecy.other.1</t>
  </si>
  <si>
    <t xml:space="preserve">mit.con.nga.ind.1</t>
  </si>
  <si>
    <t xml:space="preserve">mit.con.nga.res.1</t>
  </si>
  <si>
    <t xml:space="preserve">mit.con.nga.pow.1</t>
  </si>
  <si>
    <t xml:space="preserve">mit.con.nga.other.1</t>
  </si>
  <si>
    <t xml:space="preserve">mit.con.coa.ind.1</t>
  </si>
  <si>
    <t xml:space="preserve">mit.con.coa.res.1</t>
  </si>
  <si>
    <t xml:space="preserve">mit.con.coa.pow.1</t>
  </si>
  <si>
    <t xml:space="preserve">mit.con.coa.other.1</t>
  </si>
  <si>
    <t xml:space="preserve">mit.con.gso.all.1</t>
  </si>
  <si>
    <t xml:space="preserve">mit.con.die.all.1</t>
  </si>
  <si>
    <t xml:space="preserve">mit.con.lpg.all.1</t>
  </si>
  <si>
    <t xml:space="preserve">mit.con.ker.all.1</t>
  </si>
  <si>
    <t xml:space="preserve">mit.con.oop.all.1</t>
  </si>
  <si>
    <t xml:space="preserve">mit.sup.cost.gso.all.1</t>
  </si>
  <si>
    <t xml:space="preserve">mit.sup.cost.die.all.1</t>
  </si>
  <si>
    <t xml:space="preserve">mit.sup.cost.lpg.all.1</t>
  </si>
  <si>
    <t xml:space="preserve">mit.sup.cost.ker.all.1</t>
  </si>
  <si>
    <t xml:space="preserve">mit.sup.cost.oop.all.1</t>
  </si>
  <si>
    <t xml:space="preserve">mit.sup.cost.coa.ind.1</t>
  </si>
  <si>
    <t xml:space="preserve">mit.sup.cost.coa.res.1</t>
  </si>
  <si>
    <t xml:space="preserve">mit.sup.cost.coa.pow.1</t>
  </si>
  <si>
    <t xml:space="preserve">mit.sup.cost.coa.other.1</t>
  </si>
  <si>
    <t xml:space="preserve">mit.sup.cost.nga.ind.1</t>
  </si>
  <si>
    <t xml:space="preserve">mit.sup.cost.nga.res.1</t>
  </si>
  <si>
    <t xml:space="preserve">mit.sup.cost.nga.pow.1</t>
  </si>
  <si>
    <t xml:space="preserve">mit.sup.cost.nga.other.1</t>
  </si>
  <si>
    <t xml:space="preserve">mit.airpol.con.all.all.1</t>
  </si>
  <si>
    <t xml:space="preserve">mit.con.con.all.all.1</t>
  </si>
  <si>
    <t xml:space="preserve">mit.roda.con.all.all.1</t>
  </si>
  <si>
    <t xml:space="preserve">mit.rodd.con.all.all.1</t>
  </si>
  <si>
    <t xml:space="preserve">mit.ecy.renshare.1</t>
  </si>
  <si>
    <t xml:space="preserve">mit.sup.cost.ecy.res.1</t>
  </si>
  <si>
    <t xml:space="preserve">mit.airpol.cost.coa.pow.1</t>
  </si>
  <si>
    <t xml:space="preserve">mit.airpol.cost.nga.pow.1</t>
  </si>
  <si>
    <t xml:space="preserve">mit.airpol.cost.oop.1</t>
  </si>
  <si>
    <t xml:space="preserve">mit.airpol.cost.gso.all.1</t>
  </si>
  <si>
    <t xml:space="preserve">gross_debt_pct_gdp</t>
  </si>
  <si>
    <t xml:space="preserve">interest_to_revenue_pct</t>
  </si>
  <si>
    <t xml:space="preserve">capex_execution_rate_pct</t>
  </si>
  <si>
    <t xml:space="preserve">pefa_pi11_pim_score</t>
  </si>
  <si>
    <t xml:space="preserve">pefa_pi122_asset_monitoring</t>
  </si>
  <si>
    <t xml:space="preserve">climate_pfm_diagnostic_on_record</t>
  </si>
  <si>
    <t xml:space="preserve">wacc_solar_real_aftertax_pct</t>
  </si>
  <si>
    <t xml:space="preserve">wacc_steffen_nominal_aftertax_pct</t>
  </si>
  <si>
    <t xml:space="preserve">wacc_steffen_nominal_aftertax_pct__year</t>
  </si>
  <si>
    <t xml:space="preserve">wacc_n_sources</t>
  </si>
  <si>
    <t xml:space="preserve">wacc_iea_observatory_available</t>
  </si>
  <si>
    <t xml:space="preserve">ids_official_private_rate_spread_pp</t>
  </si>
  <si>
    <t xml:space="preserve">ids_private_creditor_rate_pct</t>
  </si>
  <si>
    <t xml:space="preserve">ids_avg_maturity_years</t>
  </si>
  <si>
    <t xml:space="preserve">mitigation_finance_received_pct_gdp</t>
  </si>
  <si>
    <t xml:space="preserve">ppi_commitments_pct_gdp</t>
  </si>
  <si>
    <t xml:space="preserve">em_year</t>
  </si>
  <si>
    <t xml:space="preserve">em_Total generation</t>
  </si>
  <si>
    <t xml:space="preserve">em_Coal</t>
  </si>
  <si>
    <t xml:space="preserve">em_Gas</t>
  </si>
  <si>
    <t xml:space="preserve">em_Other fossil</t>
  </si>
  <si>
    <t xml:space="preserve">gdp30</t>
  </si>
  <si>
    <t xml:space="preserve">ppp_use</t>
  </si>
  <si>
    <t xml:space="preserve">plevel</t>
  </si>
  <si>
    <t xml:space="preserve">has_cpat</t>
  </si>
  <si>
    <t xml:space="preserve">elec</t>
  </si>
  <si>
    <t xml:space="preserve">d_trn</t>
  </si>
  <si>
    <t xml:space="preserve">d_bld</t>
  </si>
  <si>
    <t xml:space="preserve">d_ind</t>
  </si>
  <si>
    <t xml:space="preserve">d_fuel</t>
  </si>
  <si>
    <t xml:space="preserve">d_afolu</t>
  </si>
  <si>
    <t xml:space="preserve">fuelexp</t>
  </si>
  <si>
    <t xml:space="preserve">co2_pos</t>
  </si>
  <si>
    <t xml:space="preserve">fc_t</t>
  </si>
  <si>
    <t xml:space="preserve">lext</t>
  </si>
  <si>
    <t xml:space="preserve">cb_t</t>
  </si>
  <si>
    <t xml:space="preserve">idx_b</t>
  </si>
  <si>
    <t xml:space="preserve">idx_c</t>
  </si>
  <si>
    <t xml:space="preserve">b_c</t>
  </si>
  <si>
    <t xml:space="preserve">c_c</t>
  </si>
  <si>
    <t xml:space="preserve">fos_sh</t>
  </si>
  <si>
    <t xml:space="preserve">fos_tot</t>
  </si>
  <si>
    <t xml:space="preserve">sh_coal</t>
  </si>
  <si>
    <t xml:space="preserve">sh_gas</t>
  </si>
  <si>
    <t xml:space="preserve">sh_oil</t>
  </si>
  <si>
    <t xml:space="preserve">re_kwh</t>
  </si>
  <si>
    <t xml:space="preserve">gen_ok</t>
  </si>
  <si>
    <t xml:space="preserve">fuel_mwh</t>
  </si>
  <si>
    <t xml:space="preserve">co2_mwh</t>
  </si>
  <si>
    <t xml:space="preserve">ap_mwh</t>
  </si>
  <si>
    <t xml:space="preserve">grid_ef</t>
  </si>
  <si>
    <t xml:space="preserve">b_gen</t>
  </si>
  <si>
    <t xml:space="preserve">c_gen</t>
  </si>
  <si>
    <t xml:space="preserve">a_gen</t>
  </si>
  <si>
    <t xml:space="preserve">trn_ok</t>
  </si>
  <si>
    <t xml:space="preserve">ev_sav</t>
  </si>
  <si>
    <t xml:space="preserve">b_trn</t>
  </si>
  <si>
    <t xml:space="preserve">c_trn</t>
  </si>
  <si>
    <t xml:space="preserve">a_trn</t>
  </si>
  <si>
    <t xml:space="preserve">dam_ds</t>
  </si>
  <si>
    <t xml:space="preserve">dam_crp</t>
  </si>
  <si>
    <t xml:space="preserve">dam_tax</t>
  </si>
  <si>
    <t xml:space="preserve">w_irena</t>
  </si>
  <si>
    <t xml:space="preserve">w_stef</t>
  </si>
  <si>
    <t xml:space="preserve">w_obs</t>
  </si>
  <si>
    <t xml:space="preserve">w_dam</t>
  </si>
  <si>
    <t xml:space="preserve">ovl</t>
  </si>
  <si>
    <t xml:space="preserve">ovl_obs</t>
  </si>
  <si>
    <t xml:space="preserve">ovl_dam</t>
  </si>
  <si>
    <t xml:space="preserve">w_damc</t>
  </si>
  <si>
    <t xml:space="preserve">w_grp</t>
  </si>
  <si>
    <t xml:space="preserve">w_grph</t>
  </si>
  <si>
    <t xml:space="preserve">w_sel_n</t>
  </si>
  <si>
    <t xml:space="preserve">w_src</t>
  </si>
  <si>
    <t xml:space="preserve">r_a</t>
  </si>
  <si>
    <t xml:space="preserve">r_ah</t>
  </si>
  <si>
    <t xml:space="preserve">pim_gap</t>
  </si>
  <si>
    <t xml:space="preserve">pim_src</t>
  </si>
  <si>
    <t xml:space="preserve">pub_sh</t>
  </si>
  <si>
    <t xml:space="preserve">pim_mult</t>
  </si>
  <si>
    <t xml:space="preserve">inv_tot</t>
  </si>
  <si>
    <t xml:space="preserve">fc_wI</t>
  </si>
  <si>
    <t xml:space="preserve">cb_wI</t>
  </si>
  <si>
    <t xml:space="preserve">w_I</t>
  </si>
  <si>
    <t xml:space="preserve">WB region</t>
  </si>
  <si>
    <t xml:space="preserve">WB income group</t>
  </si>
  <si>
    <t xml:space="preserve">IHLEG group (AE / China / EMDC)</t>
  </si>
  <si>
    <t xml:space="preserve">GDP 2024 (USD bn), WEO</t>
  </si>
  <si>
    <t xml:space="preserve">GDP 2024 (PPP int$ bn), WEO</t>
  </si>
  <si>
    <t xml:space="preserve">Real growth 2025 (%), WEO</t>
  </si>
  <si>
    <t xml:space="preserve">Real growth 2026 (%), WEO</t>
  </si>
  <si>
    <t xml:space="preserve">Population (mn), CPAT 2024</t>
  </si>
  <si>
    <t xml:space="preserve">CO2, energy (Mt), CPAT 2024</t>
  </si>
  <si>
    <t xml:space="preserve">GHG excl. LULUCF (MtCO2e), CPAT 2024</t>
  </si>
  <si>
    <t xml:space="preserve">GHG incl. LULUCF (MtCO2e), CPAT 2024</t>
  </si>
  <si>
    <t xml:space="preserve">Electricity, industry (TWh), CPAT 2024</t>
  </si>
  <si>
    <t xml:space="preserve">Electricity, residential (TWh), CPAT 2024</t>
  </si>
  <si>
    <t xml:space="preserve">Electricity, other (TWh), CPAT 2024</t>
  </si>
  <si>
    <t xml:space="preserve">Gas, industry (EJ), CPAT 2024</t>
  </si>
  <si>
    <t xml:space="preserve">Gas, residential (EJ), CPAT 2024</t>
  </si>
  <si>
    <t xml:space="preserve">Gas, power (EJ), CPAT 2024</t>
  </si>
  <si>
    <t xml:space="preserve">Gas, other (EJ), CPAT 2024</t>
  </si>
  <si>
    <t xml:space="preserve">Coal, industry (EJ), CPAT 2024</t>
  </si>
  <si>
    <t xml:space="preserve">Coal, residential (EJ), CPAT 2024</t>
  </si>
  <si>
    <t xml:space="preserve">Coal, power (EJ), CPAT 2024</t>
  </si>
  <si>
    <t xml:space="preserve">Coal, other (EJ), CPAT 2024</t>
  </si>
  <si>
    <t xml:space="preserve">Gasoline (bn litres), CPAT 2024</t>
  </si>
  <si>
    <t xml:space="preserve">Diesel (bn litres), CPAT 2024</t>
  </si>
  <si>
    <t xml:space="preserve">LPG (bn litres), CPAT 2024</t>
  </si>
  <si>
    <t xml:space="preserve">Kerosene (bn litres), CPAT 2024</t>
  </si>
  <si>
    <t xml:space="preserve">Other oil products (bn litres), CPAT 2024</t>
  </si>
  <si>
    <t xml:space="preserve">Supply cost gasoline ($/l), CPAT 2024</t>
  </si>
  <si>
    <t xml:space="preserve">Supply cost diesel ($/l), CPAT 2024</t>
  </si>
  <si>
    <t xml:space="preserve">Supply cost LPG ($/l), CPAT 2024</t>
  </si>
  <si>
    <t xml:space="preserve">Supply cost kerosene ($/l), CPAT 2024</t>
  </si>
  <si>
    <t xml:space="preserve">Supply cost other oil ($/l), CPAT 2024</t>
  </si>
  <si>
    <t xml:space="preserve">Supply cost coal, industry ($/GJ), CPAT 2024</t>
  </si>
  <si>
    <t xml:space="preserve">Supply cost coal, residential ($/GJ), CPAT 2024</t>
  </si>
  <si>
    <t xml:space="preserve">Supply cost coal, power ($/GJ), CPAT 2024</t>
  </si>
  <si>
    <t xml:space="preserve">Supply cost coal, other ($/GJ), CPAT 2024</t>
  </si>
  <si>
    <t xml:space="preserve">Supply cost gas, industry ($/GJ), CPAT 2024</t>
  </si>
  <si>
    <t xml:space="preserve">Supply cost gas, residential ($/GJ), CPAT 2024</t>
  </si>
  <si>
    <t xml:space="preserve">Supply cost gas, power ($/GJ), CPAT 2024</t>
  </si>
  <si>
    <t xml:space="preserve">Supply cost gas, other ($/GJ), CPAT 2024</t>
  </si>
  <si>
    <t xml:space="preserve">Local air pollution cost (US$ bn), CPAT 2024</t>
  </si>
  <si>
    <t xml:space="preserve">Congestion cost (US$ bn), CPAT 2024</t>
  </si>
  <si>
    <t xml:space="preserve">Road accident cost (US$ bn), CPAT 2024</t>
  </si>
  <si>
    <t xml:space="preserve">Road damage cost (US$ bn), CPAT 2024</t>
  </si>
  <si>
    <t xml:space="preserve">Renewable share of electricity (CPAT), CPAT 2024</t>
  </si>
  <si>
    <t xml:space="preserve">Supply cost electricity, residential ($/kWh), CPAT 2024</t>
  </si>
  <si>
    <t xml:space="preserve">Air pollution cost coal, power ($/GJ), CPAT 2024</t>
  </si>
  <si>
    <t xml:space="preserve">Air pollution cost gas, power ($/GJ), CPAT 2024</t>
  </si>
  <si>
    <t xml:space="preserve">Air pollution cost other oil ($/l), CPAT 2024</t>
  </si>
  <si>
    <t xml:space="preserve">Air pollution cost gasoline ($/l), CPAT 2024</t>
  </si>
  <si>
    <t xml:space="preserve">Gross debt, gen. govt (% GDP) [dashboard: Fiscal]</t>
  </si>
  <si>
    <t xml:space="preserve">Interest-to-revenue (%) [dashboard: Fiscal]</t>
  </si>
  <si>
    <t xml:space="preserve">Capex execution rate (%) [dashboard: PIMA]</t>
  </si>
  <si>
    <t xml:space="preserve">PEFA PI-11 PIM score (1-4) [dashboard: PIMA]</t>
  </si>
  <si>
    <t xml:space="preserve">PEFA PI-12.2 asset monitoring (1-4) [dashboard: PIMA]</t>
  </si>
  <si>
    <t xml:space="preserve">Climate-PFM diagnostic on record (0/1) [dashboard: PIMA]</t>
  </si>
  <si>
    <t xml:space="preserve">WACC solar, real after-tax (%), IRENA 2021 [dashboard: CoC]</t>
  </si>
  <si>
    <t xml:space="preserve">WACC nominal after-tax (%), Steffen et al. [dashboard: CoC]</t>
  </si>
  <si>
    <t xml:space="preserve">Steffen observation year [dashboard: CoC]</t>
  </si>
  <si>
    <t xml:space="preserve">WACC evidence strength (0-3) [dashboard: CoC]</t>
  </si>
  <si>
    <t xml:space="preserve">IEA CoC Observatory (0/1) [dashboard: CoC]</t>
  </si>
  <si>
    <t xml:space="preserve">Official-private rate spread (pp), IDS [dashboard: CoC]</t>
  </si>
  <si>
    <t xml:space="preserve">Private creditor rate (%), IDS [dashboard: CoC]</t>
  </si>
  <si>
    <t xml:space="preserve">Avg maturity new commitments (yrs), IDS [dashboard: CoC]</t>
  </si>
  <si>
    <t xml:space="preserve">Mitigation finance received (% GDP), OECD [dashboard: Finance]</t>
  </si>
  <si>
    <t xml:space="preserve">PPI commitments (% GDP) [dashboard: Finance]</t>
  </si>
  <si>
    <t xml:space="preserve">Ember year</t>
  </si>
  <si>
    <t xml:space="preserve">Generation, total (TWh), Ember</t>
  </si>
  <si>
    <t xml:space="preserve">Coal (TWh), Ember</t>
  </si>
  <si>
    <t xml:space="preserve">Gas (TWh), Ember</t>
  </si>
  <si>
    <t xml:space="preserve">Other fossil (TWh), Ember</t>
  </si>
  <si>
    <t xml:space="preserve">GDP PPP used for weights</t>
  </si>
  <si>
    <t xml:space="preserve">Price level (GDP USD / GDP PPP)</t>
  </si>
  <si>
    <t xml:space="preserve">CPAT data? (1/0)</t>
  </si>
  <si>
    <t xml:space="preserve">Fossil fuel bill at supply cost (USD bn)</t>
  </si>
  <si>
    <t xml:space="preserve">CO2 used in index (Mt)</t>
  </si>
  <si>
    <t xml:space="preserve">Fuel bill per tCO2 (USD/t)</t>
  </si>
  <si>
    <t xml:space="preserve">Local externality cost (USD bn)</t>
  </si>
  <si>
    <t xml:space="preserve">Local co-benefit per tCO2 (USD/t)</t>
  </si>
  <si>
    <t xml:space="preserve">Fuel-cost index (world = 1)</t>
  </si>
  <si>
    <t xml:space="preserve">Co-benefit index (world = 1)</t>
  </si>
  <si>
    <t xml:space="preserve">Savings ratio b (per yr)</t>
  </si>
  <si>
    <t xml:space="preserve">Co-benefit ratio c (per yr)</t>
  </si>
  <si>
    <t xml:space="preserve">Fossil share of generation, Ember</t>
  </si>
  <si>
    <t xml:space="preserve">helper: fossil generation (TWh)</t>
  </si>
  <si>
    <t xml:space="preserve">Coal share of fossil generation</t>
  </si>
  <si>
    <t xml:space="preserve">Gas share of fossil generation</t>
  </si>
  <si>
    <t xml:space="preserve">Oil/other share of fossil generation</t>
  </si>
  <si>
    <t xml:space="preserve">RE output per USD 1,000 (kWh/yr)</t>
  </si>
  <si>
    <t xml:space="preserve">Engineering power data complete? (1/0)</t>
  </si>
  <si>
    <t xml:space="preserve">Fuel cost of displaced fossil power (USD/MWh)</t>
  </si>
  <si>
    <t xml:space="preserve">CO2 of displaced fossil power (t/MWh)</t>
  </si>
  <si>
    <t xml:space="preserve">Air pollution of displaced fossil power (USD/MWh)</t>
  </si>
  <si>
    <t xml:space="preserve">Average grid CO2 (t/MWh)</t>
  </si>
  <si>
    <t xml:space="preserve">b power: fuel saved per $ less RE O&amp;M</t>
  </si>
  <si>
    <t xml:space="preserve">c power: air pollution avoided per $</t>
  </si>
  <si>
    <t xml:space="preserve">a power: tCO2/yr per $1,000</t>
  </si>
  <si>
    <t xml:space="preserve">Engineering transport data complete? (1/0)</t>
  </si>
  <si>
    <t xml:space="preserve">EV saving per vehicle (USD/yr)</t>
  </si>
  <si>
    <t xml:space="preserve">b transport: saving per $ of premium</t>
  </si>
  <si>
    <t xml:space="preserve">c transport: air pollution avoided per $</t>
  </si>
  <si>
    <t xml:space="preserve">a transport: tCO2/yr per $1,000</t>
  </si>
  <si>
    <t xml:space="preserve">Damodaran default spread</t>
  </si>
  <si>
    <t xml:space="preserve">Damodaran country risk premium</t>
  </si>
  <si>
    <t xml:space="preserve">Damodaran corporate tax</t>
  </si>
  <si>
    <t xml:space="preserve">IRENA WACC, nominal</t>
  </si>
  <si>
    <t xml:space="preserve">Steffen WACC, nominal</t>
  </si>
  <si>
    <t xml:space="preserve">Observed WACC (avg of available), nominal</t>
  </si>
  <si>
    <t xml:space="preserve">Damodaran WACC (eq. 5), nominal</t>
  </si>
  <si>
    <t xml:space="preserve">Overlap obs &amp; Damodaran (1/0)</t>
  </si>
  <si>
    <t xml:space="preserve">helper: obs if overlap</t>
  </si>
  <si>
    <t xml:space="preserve">helper: Damodaran if overlap</t>
  </si>
  <si>
    <t xml:space="preserve">Damodaran WACC, calibrated</t>
  </si>
  <si>
    <t xml:space="preserve">Group default WACC</t>
  </si>
  <si>
    <t xml:space="preserve">Group high-case WACC</t>
  </si>
  <si>
    <t xml:space="preserve">Market WACC selected, nominal</t>
  </si>
  <si>
    <t xml:space="preserve">Lens (a) rate, central</t>
  </si>
  <si>
    <t xml:space="preserve">Lens (a) rate, high</t>
  </si>
  <si>
    <t xml:space="preserve">PIM gap source</t>
  </si>
  <si>
    <t xml:space="preserve">Public share of investment</t>
  </si>
  <si>
    <t xml:space="preserve">PIMA multiplier on investment</t>
  </si>
  <si>
    <t xml:space="preserve">Total investment I (from Results_Country)</t>
  </si>
  <si>
    <t xml:space="preserve">helper: fuel bill per t x I</t>
  </si>
  <si>
    <t xml:space="preserve">helper: co-benefit per t x I</t>
  </si>
  <si>
    <t xml:space="preserve">helper: I where CPAT data</t>
  </si>
  <si>
    <t xml:space="preserve">USA</t>
  </si>
  <si>
    <t xml:space="preserve">United States</t>
  </si>
  <si>
    <t xml:space="preserve">North America</t>
  </si>
  <si>
    <t xml:space="preserve">High income</t>
  </si>
  <si>
    <t xml:space="preserve">CHN</t>
  </si>
  <si>
    <t xml:space="preserve">East Asia &amp; Pacific</t>
  </si>
  <si>
    <t xml:space="preserve">Upper middle income</t>
  </si>
  <si>
    <t xml:space="preserve">DEU</t>
  </si>
  <si>
    <t xml:space="preserve">Germany</t>
  </si>
  <si>
    <t xml:space="preserve">Europe &amp; Central Asia</t>
  </si>
  <si>
    <t xml:space="preserve">JPN</t>
  </si>
  <si>
    <t xml:space="preserve">Japan</t>
  </si>
  <si>
    <t xml:space="preserve">India</t>
  </si>
  <si>
    <t xml:space="preserve">South Asia</t>
  </si>
  <si>
    <t xml:space="preserve">Lower middle income</t>
  </si>
  <si>
    <t xml:space="preserve">GBR</t>
  </si>
  <si>
    <t xml:space="preserve">United Kingdom</t>
  </si>
  <si>
    <t xml:space="preserve">FRA</t>
  </si>
  <si>
    <t xml:space="preserve">France</t>
  </si>
  <si>
    <t xml:space="preserve">ITA</t>
  </si>
  <si>
    <t xml:space="preserve">Italy</t>
  </si>
  <si>
    <t xml:space="preserve">CAN</t>
  </si>
  <si>
    <t xml:space="preserve">Canada</t>
  </si>
  <si>
    <t xml:space="preserve">RUS</t>
  </si>
  <si>
    <t xml:space="preserve">Russian Federation</t>
  </si>
  <si>
    <t xml:space="preserve">BRA</t>
  </si>
  <si>
    <t xml:space="preserve">Brazil</t>
  </si>
  <si>
    <t xml:space="preserve">Latin America &amp; Caribbean</t>
  </si>
  <si>
    <t xml:space="preserve">KOR</t>
  </si>
  <si>
    <t xml:space="preserve">Korea, Rep.</t>
  </si>
  <si>
    <t xml:space="preserve">MEX</t>
  </si>
  <si>
    <t xml:space="preserve">Mexico</t>
  </si>
  <si>
    <t xml:space="preserve">AUS</t>
  </si>
  <si>
    <t xml:space="preserve">Australia</t>
  </si>
  <si>
    <t xml:space="preserve">ESP</t>
  </si>
  <si>
    <t xml:space="preserve">Spain</t>
  </si>
  <si>
    <t xml:space="preserve">IDN</t>
  </si>
  <si>
    <t xml:space="preserve">Indonesia</t>
  </si>
  <si>
    <t xml:space="preserve">TUR</t>
  </si>
  <si>
    <t xml:space="preserve">Türkiye</t>
  </si>
  <si>
    <t xml:space="preserve">SAU</t>
  </si>
  <si>
    <t xml:space="preserve">Saudi Arabia</t>
  </si>
  <si>
    <t xml:space="preserve">Middle East &amp; North Africa</t>
  </si>
  <si>
    <t xml:space="preserve">NLD</t>
  </si>
  <si>
    <t xml:space="preserve">Netherlands</t>
  </si>
  <si>
    <t xml:space="preserve">CHE</t>
  </si>
  <si>
    <t xml:space="preserve">Switzerland</t>
  </si>
  <si>
    <t xml:space="preserve">POL</t>
  </si>
  <si>
    <t xml:space="preserve">Poland</t>
  </si>
  <si>
    <t xml:space="preserve">TWN</t>
  </si>
  <si>
    <t xml:space="preserve">Taiwan Province of China</t>
  </si>
  <si>
    <t xml:space="preserve">BEL</t>
  </si>
  <si>
    <t xml:space="preserve">Belgium</t>
  </si>
  <si>
    <t xml:space="preserve">ARG</t>
  </si>
  <si>
    <t xml:space="preserve">Argentina</t>
  </si>
  <si>
    <t xml:space="preserve">IRL</t>
  </si>
  <si>
    <t xml:space="preserve">Ireland</t>
  </si>
  <si>
    <t xml:space="preserve">SWE</t>
  </si>
  <si>
    <t xml:space="preserve">Sweden</t>
  </si>
  <si>
    <t xml:space="preserve">SGP</t>
  </si>
  <si>
    <t xml:space="preserve">Singapore</t>
  </si>
  <si>
    <t xml:space="preserve">ARE</t>
  </si>
  <si>
    <t xml:space="preserve">United Arab Emirates</t>
  </si>
  <si>
    <t xml:space="preserve">ISR</t>
  </si>
  <si>
    <t xml:space="preserve">Israel</t>
  </si>
  <si>
    <t xml:space="preserve">AUT</t>
  </si>
  <si>
    <t xml:space="preserve">Austria</t>
  </si>
  <si>
    <t xml:space="preserve">THA</t>
  </si>
  <si>
    <t xml:space="preserve">Thailand</t>
  </si>
  <si>
    <t xml:space="preserve">NOR</t>
  </si>
  <si>
    <t xml:space="preserve">Norway</t>
  </si>
  <si>
    <t xml:space="preserve">PHL</t>
  </si>
  <si>
    <t xml:space="preserve">Philippines</t>
  </si>
  <si>
    <t xml:space="preserve">VNM</t>
  </si>
  <si>
    <t xml:space="preserve">Viet Nam</t>
  </si>
  <si>
    <t xml:space="preserve">BGD</t>
  </si>
  <si>
    <t xml:space="preserve">Bangladesh</t>
  </si>
  <si>
    <t xml:space="preserve">DNK</t>
  </si>
  <si>
    <t xml:space="preserve">Denmark</t>
  </si>
  <si>
    <t xml:space="preserve">MYS</t>
  </si>
  <si>
    <t xml:space="preserve">Malaysia</t>
  </si>
  <si>
    <t xml:space="preserve">COL</t>
  </si>
  <si>
    <t xml:space="preserve">Colombia</t>
  </si>
  <si>
    <t xml:space="preserve">IRN</t>
  </si>
  <si>
    <t xml:space="preserve">Iran, Islamic Rep.</t>
  </si>
  <si>
    <t xml:space="preserve">HKG</t>
  </si>
  <si>
    <t xml:space="preserve">Hong Kong SAR, China</t>
  </si>
  <si>
    <t xml:space="preserve">0x2a</t>
  </si>
  <si>
    <t xml:space="preserve">ZAF</t>
  </si>
  <si>
    <t xml:space="preserve">South Africa</t>
  </si>
  <si>
    <t xml:space="preserve">Sub-Saharan Africa</t>
  </si>
  <si>
    <t xml:space="preserve">EGY</t>
  </si>
  <si>
    <t xml:space="preserve">Egypt, Arab Rep.</t>
  </si>
  <si>
    <t xml:space="preserve">ROU</t>
  </si>
  <si>
    <t xml:space="preserve">Romania</t>
  </si>
  <si>
    <t xml:space="preserve">PAK</t>
  </si>
  <si>
    <t xml:space="preserve">Pakistan</t>
  </si>
  <si>
    <t xml:space="preserve">CZE</t>
  </si>
  <si>
    <t xml:space="preserve">Czechia</t>
  </si>
  <si>
    <t xml:space="preserve">CHL</t>
  </si>
  <si>
    <t xml:space="preserve">Chile</t>
  </si>
  <si>
    <t xml:space="preserve">PRT</t>
  </si>
  <si>
    <t xml:space="preserve">Portugal</t>
  </si>
  <si>
    <t xml:space="preserve">FIN</t>
  </si>
  <si>
    <t xml:space="preserve">Finland</t>
  </si>
  <si>
    <t xml:space="preserve">PER</t>
  </si>
  <si>
    <t xml:space="preserve">Peru</t>
  </si>
  <si>
    <t xml:space="preserve">KAZ</t>
  </si>
  <si>
    <t xml:space="preserve">Kazakhstan</t>
  </si>
  <si>
    <t xml:space="preserve">IRQ</t>
  </si>
  <si>
    <t xml:space="preserve">Iraq</t>
  </si>
  <si>
    <t xml:space="preserve">DZA</t>
  </si>
  <si>
    <t xml:space="preserve">Algeria</t>
  </si>
  <si>
    <t xml:space="preserve">NZL</t>
  </si>
  <si>
    <t xml:space="preserve">New Zealand</t>
  </si>
  <si>
    <t xml:space="preserve">GRC</t>
  </si>
  <si>
    <t xml:space="preserve">Greece</t>
  </si>
  <si>
    <t xml:space="preserve">NGA</t>
  </si>
  <si>
    <t xml:space="preserve">Nigeria</t>
  </si>
  <si>
    <t xml:space="preserve">HUN</t>
  </si>
  <si>
    <t xml:space="preserve">Hungary</t>
  </si>
  <si>
    <t xml:space="preserve">QAT</t>
  </si>
  <si>
    <t xml:space="preserve">Qatar</t>
  </si>
  <si>
    <t xml:space="preserve">UKR</t>
  </si>
  <si>
    <t xml:space="preserve">Ukraine</t>
  </si>
  <si>
    <t xml:space="preserve">KWT</t>
  </si>
  <si>
    <t xml:space="preserve">Kuwait</t>
  </si>
  <si>
    <t xml:space="preserve">MAR</t>
  </si>
  <si>
    <t xml:space="preserve">Morocco</t>
  </si>
  <si>
    <t xml:space="preserve">ETH</t>
  </si>
  <si>
    <t xml:space="preserve">Ethiopia</t>
  </si>
  <si>
    <t xml:space="preserve">Low income</t>
  </si>
  <si>
    <t xml:space="preserve">SVK</t>
  </si>
  <si>
    <t xml:space="preserve">Slovak Republic</t>
  </si>
  <si>
    <t xml:space="preserve">PRI</t>
  </si>
  <si>
    <t xml:space="preserve">Puerto Rico (US)</t>
  </si>
  <si>
    <t xml:space="preserve">DOM</t>
  </si>
  <si>
    <t xml:space="preserve">Dominican Republic</t>
  </si>
  <si>
    <t xml:space="preserve">ECU</t>
  </si>
  <si>
    <t xml:space="preserve">Ecuador</t>
  </si>
  <si>
    <t xml:space="preserve">UZB</t>
  </si>
  <si>
    <t xml:space="preserve">Uzbekistan</t>
  </si>
  <si>
    <t xml:space="preserve">VEN</t>
  </si>
  <si>
    <t xml:space="preserve">Venezuela, RB</t>
  </si>
  <si>
    <t xml:space="preserve">AGO</t>
  </si>
  <si>
    <t xml:space="preserve">Angola</t>
  </si>
  <si>
    <t xml:space="preserve">KEN</t>
  </si>
  <si>
    <t xml:space="preserve">Kenya</t>
  </si>
  <si>
    <t xml:space="preserve">BGR</t>
  </si>
  <si>
    <t xml:space="preserve">Bulgaria</t>
  </si>
  <si>
    <t xml:space="preserve">GTM</t>
  </si>
  <si>
    <t xml:space="preserve">Guatemala</t>
  </si>
  <si>
    <t xml:space="preserve">OMN</t>
  </si>
  <si>
    <t xml:space="preserve">Oman</t>
  </si>
  <si>
    <t xml:space="preserve">LKA</t>
  </si>
  <si>
    <t xml:space="preserve">Sri Lanka</t>
  </si>
  <si>
    <t xml:space="preserve">CRI</t>
  </si>
  <si>
    <t xml:space="preserve">Costa Rica</t>
  </si>
  <si>
    <t xml:space="preserve">LUX</t>
  </si>
  <si>
    <t xml:space="preserve">Luxembourg</t>
  </si>
  <si>
    <t xml:space="preserve">HRV</t>
  </si>
  <si>
    <t xml:space="preserve">Croatia</t>
  </si>
  <si>
    <t xml:space="preserve">SRB</t>
  </si>
  <si>
    <t xml:space="preserve">Serbia</t>
  </si>
  <si>
    <t xml:space="preserve">CIV</t>
  </si>
  <si>
    <t xml:space="preserve">Côte d'Ivoire</t>
  </si>
  <si>
    <t xml:space="preserve">PAN</t>
  </si>
  <si>
    <t xml:space="preserve">Panama</t>
  </si>
  <si>
    <t xml:space="preserve">LTU</t>
  </si>
  <si>
    <t xml:space="preserve">Lithuania</t>
  </si>
  <si>
    <t xml:space="preserve">GHA</t>
  </si>
  <si>
    <t xml:space="preserve">Ghana</t>
  </si>
  <si>
    <t xml:space="preserve">URY</t>
  </si>
  <si>
    <t xml:space="preserve">Uruguay</t>
  </si>
  <si>
    <t xml:space="preserve">TZA</t>
  </si>
  <si>
    <t xml:space="preserve">Tanzania</t>
  </si>
  <si>
    <t xml:space="preserve">BLR</t>
  </si>
  <si>
    <t xml:space="preserve">Belarus</t>
  </si>
  <si>
    <t xml:space="preserve">MMR</t>
  </si>
  <si>
    <t xml:space="preserve">Myanmar</t>
  </si>
  <si>
    <t xml:space="preserve">COD</t>
  </si>
  <si>
    <t xml:space="preserve">Congo, Dem. Rep.</t>
  </si>
  <si>
    <t xml:space="preserve">AZE</t>
  </si>
  <si>
    <t xml:space="preserve">Azerbaijan</t>
  </si>
  <si>
    <t xml:space="preserve">SVN</t>
  </si>
  <si>
    <t xml:space="preserve">Slovenia</t>
  </si>
  <si>
    <t xml:space="preserve">TKM</t>
  </si>
  <si>
    <t xml:space="preserve">Turkmenistan</t>
  </si>
  <si>
    <t xml:space="preserve">JOR</t>
  </si>
  <si>
    <t xml:space="preserve">Jordan</t>
  </si>
  <si>
    <t xml:space="preserve">UGA</t>
  </si>
  <si>
    <t xml:space="preserve">Uganda</t>
  </si>
  <si>
    <t xml:space="preserve">BOL</t>
  </si>
  <si>
    <t xml:space="preserve">Bolivia</t>
  </si>
  <si>
    <t xml:space="preserve">CMR</t>
  </si>
  <si>
    <t xml:space="preserve">Cameroon</t>
  </si>
  <si>
    <t xml:space="preserve">TUN</t>
  </si>
  <si>
    <t xml:space="preserve">Tunisia</t>
  </si>
  <si>
    <t xml:space="preserve">MAC</t>
  </si>
  <si>
    <t xml:space="preserve">Macao SAR, China</t>
  </si>
  <si>
    <t xml:space="preserve">LBY</t>
  </si>
  <si>
    <t xml:space="preserve">Libya</t>
  </si>
  <si>
    <t xml:space="preserve">ZWE</t>
  </si>
  <si>
    <t xml:space="preserve">Zimbabwe</t>
  </si>
  <si>
    <t xml:space="preserve">BHR</t>
  </si>
  <si>
    <t xml:space="preserve">Bahrain</t>
  </si>
  <si>
    <t xml:space="preserve">KHM</t>
  </si>
  <si>
    <t xml:space="preserve">Cambodia</t>
  </si>
  <si>
    <t xml:space="preserve">PRY</t>
  </si>
  <si>
    <t xml:space="preserve">Paraguay</t>
  </si>
  <si>
    <t xml:space="preserve">LVA</t>
  </si>
  <si>
    <t xml:space="preserve">Latvia</t>
  </si>
  <si>
    <t xml:space="preserve">EST</t>
  </si>
  <si>
    <t xml:space="preserve">Estonia</t>
  </si>
  <si>
    <t xml:space="preserve">NPL</t>
  </si>
  <si>
    <t xml:space="preserve">Nepal</t>
  </si>
  <si>
    <t xml:space="preserve">CYP</t>
  </si>
  <si>
    <t xml:space="preserve">Cyprus</t>
  </si>
  <si>
    <t xml:space="preserve">HND</t>
  </si>
  <si>
    <t xml:space="preserve">Honduras</t>
  </si>
  <si>
    <t xml:space="preserve">SLV</t>
  </si>
  <si>
    <t xml:space="preserve">El Salvador</t>
  </si>
  <si>
    <t xml:space="preserve">GEO</t>
  </si>
  <si>
    <t xml:space="preserve">Georgia</t>
  </si>
  <si>
    <t xml:space="preserve">ISL</t>
  </si>
  <si>
    <t xml:space="preserve">Iceland</t>
  </si>
  <si>
    <t xml:space="preserve">SEN</t>
  </si>
  <si>
    <t xml:space="preserve">Senegal</t>
  </si>
  <si>
    <t xml:space="preserve">PNG</t>
  </si>
  <si>
    <t xml:space="preserve">Papua New Guinea</t>
  </si>
  <si>
    <t xml:space="preserve">BIH</t>
  </si>
  <si>
    <t xml:space="preserve">Bosnia and Herzegovina</t>
  </si>
  <si>
    <t xml:space="preserve">LBN</t>
  </si>
  <si>
    <t xml:space="preserve">Lebanon</t>
  </si>
  <si>
    <t xml:space="preserve">SDN</t>
  </si>
  <si>
    <t xml:space="preserve">Sudan</t>
  </si>
  <si>
    <t xml:space="preserve">ALB</t>
  </si>
  <si>
    <t xml:space="preserve">Albania</t>
  </si>
  <si>
    <t xml:space="preserve">MLI</t>
  </si>
  <si>
    <t xml:space="preserve">Mali</t>
  </si>
  <si>
    <t xml:space="preserve">ARM</t>
  </si>
  <si>
    <t xml:space="preserve">Armenia</t>
  </si>
  <si>
    <t xml:space="preserve">TTO</t>
  </si>
  <si>
    <t xml:space="preserve">Trinidad and Tobago</t>
  </si>
  <si>
    <t xml:space="preserve">ZMB</t>
  </si>
  <si>
    <t xml:space="preserve">Zambia</t>
  </si>
  <si>
    <t xml:space="preserve">HTI</t>
  </si>
  <si>
    <t xml:space="preserve">Haiti</t>
  </si>
  <si>
    <t xml:space="preserve">MLT</t>
  </si>
  <si>
    <t xml:space="preserve">Malta</t>
  </si>
  <si>
    <t xml:space="preserve">GUY</t>
  </si>
  <si>
    <t xml:space="preserve">Guyana</t>
  </si>
  <si>
    <t xml:space="preserve">GIN</t>
  </si>
  <si>
    <t xml:space="preserve">Guinea</t>
  </si>
  <si>
    <t xml:space="preserve">MNG</t>
  </si>
  <si>
    <t xml:space="preserve">Mongolia</t>
  </si>
  <si>
    <t xml:space="preserve">BFA</t>
  </si>
  <si>
    <t xml:space="preserve">Burkina Faso</t>
  </si>
  <si>
    <t xml:space="preserve">MOZ</t>
  </si>
  <si>
    <t xml:space="preserve">Mozambique</t>
  </si>
  <si>
    <t xml:space="preserve">JAM</t>
  </si>
  <si>
    <t xml:space="preserve">Jamaica</t>
  </si>
  <si>
    <t xml:space="preserve">BEN</t>
  </si>
  <si>
    <t xml:space="preserve">Benin</t>
  </si>
  <si>
    <t xml:space="preserve">GAB</t>
  </si>
  <si>
    <t xml:space="preserve">Gabon</t>
  </si>
  <si>
    <t xml:space="preserve">TCD</t>
  </si>
  <si>
    <t xml:space="preserve">Chad</t>
  </si>
  <si>
    <t xml:space="preserve">NER</t>
  </si>
  <si>
    <t xml:space="preserve">Niger</t>
  </si>
  <si>
    <t xml:space="preserve">NIC</t>
  </si>
  <si>
    <t xml:space="preserve">Nicaragua</t>
  </si>
  <si>
    <t xml:space="preserve">BWA</t>
  </si>
  <si>
    <t xml:space="preserve">Botswana</t>
  </si>
  <si>
    <t xml:space="preserve">MDA</t>
  </si>
  <si>
    <t xml:space="preserve">Moldova</t>
  </si>
  <si>
    <t xml:space="preserve">KGZ</t>
  </si>
  <si>
    <t xml:space="preserve">Kyrgyz Republic</t>
  </si>
  <si>
    <t xml:space="preserve">AFG</t>
  </si>
  <si>
    <t xml:space="preserve">Afghanistan</t>
  </si>
  <si>
    <t xml:space="preserve">MDG</t>
  </si>
  <si>
    <t xml:space="preserve">Madagascar</t>
  </si>
  <si>
    <t xml:space="preserve">MKD</t>
  </si>
  <si>
    <t xml:space="preserve">North Macedonia</t>
  </si>
  <si>
    <t xml:space="preserve">PSE</t>
  </si>
  <si>
    <t xml:space="preserve">West Bank and Gaza</t>
  </si>
  <si>
    <t xml:space="preserve">BHS</t>
  </si>
  <si>
    <t xml:space="preserve">Bahamas, The</t>
  </si>
  <si>
    <t xml:space="preserve">LAO</t>
  </si>
  <si>
    <t xml:space="preserve">Lao PDR</t>
  </si>
  <si>
    <t xml:space="preserve">BRN</t>
  </si>
  <si>
    <t xml:space="preserve">Brunei Darussalam</t>
  </si>
  <si>
    <t xml:space="preserve">RWA</t>
  </si>
  <si>
    <t xml:space="preserve">Rwanda</t>
  </si>
  <si>
    <t xml:space="preserve">MUS</t>
  </si>
  <si>
    <t xml:space="preserve">Mauritius</t>
  </si>
  <si>
    <t xml:space="preserve">COG</t>
  </si>
  <si>
    <t xml:space="preserve">Congo, Rep.</t>
  </si>
  <si>
    <t xml:space="preserve">TJK</t>
  </si>
  <si>
    <t xml:space="preserve">Tajikistan</t>
  </si>
  <si>
    <t xml:space="preserve">NAM</t>
  </si>
  <si>
    <t xml:space="preserve">Namibia</t>
  </si>
  <si>
    <t xml:space="preserve">GNQ</t>
  </si>
  <si>
    <t xml:space="preserve">Equatorial Guinea</t>
  </si>
  <si>
    <t xml:space="preserve">SOM</t>
  </si>
  <si>
    <t xml:space="preserve">Somalia, Fed. Rep.</t>
  </si>
  <si>
    <t xml:space="preserve">MWI</t>
  </si>
  <si>
    <t xml:space="preserve">Malawi</t>
  </si>
  <si>
    <t xml:space="preserve">XKX</t>
  </si>
  <si>
    <t xml:space="preserve">Kosovo</t>
  </si>
  <si>
    <t xml:space="preserve">MRT</t>
  </si>
  <si>
    <t xml:space="preserve">Mauritania</t>
  </si>
  <si>
    <t xml:space="preserve">TGO</t>
  </si>
  <si>
    <t xml:space="preserve">Togo</t>
  </si>
  <si>
    <t xml:space="preserve">LIE</t>
  </si>
  <si>
    <t xml:space="preserve">Liechtenstein</t>
  </si>
  <si>
    <t xml:space="preserve">MNE</t>
  </si>
  <si>
    <t xml:space="preserve">Montenegro</t>
  </si>
  <si>
    <t xml:space="preserve">YEM</t>
  </si>
  <si>
    <t xml:space="preserve">Yemen, Rep.</t>
  </si>
  <si>
    <t xml:space="preserve">BRB</t>
  </si>
  <si>
    <t xml:space="preserve">Barbados</t>
  </si>
  <si>
    <t xml:space="preserve">MDV</t>
  </si>
  <si>
    <t xml:space="preserve">Maldives</t>
  </si>
  <si>
    <t xml:space="preserve">SLE</t>
  </si>
  <si>
    <t xml:space="preserve">Sierra Leone</t>
  </si>
  <si>
    <t xml:space="preserve">FJI</t>
  </si>
  <si>
    <t xml:space="preserve">Fiji</t>
  </si>
  <si>
    <t xml:space="preserve">SWZ</t>
  </si>
  <si>
    <t xml:space="preserve">Eswatini</t>
  </si>
  <si>
    <t xml:space="preserve">BDI</t>
  </si>
  <si>
    <t xml:space="preserve">Burundi</t>
  </si>
  <si>
    <t xml:space="preserve">LBR</t>
  </si>
  <si>
    <t xml:space="preserve">Liberia</t>
  </si>
  <si>
    <t xml:space="preserve">SSD</t>
  </si>
  <si>
    <t xml:space="preserve">South Sudan</t>
  </si>
  <si>
    <t xml:space="preserve">SUR</t>
  </si>
  <si>
    <t xml:space="preserve">Suriname</t>
  </si>
  <si>
    <t xml:space="preserve">ABW</t>
  </si>
  <si>
    <t xml:space="preserve">Aruba</t>
  </si>
  <si>
    <t xml:space="preserve">DJI</t>
  </si>
  <si>
    <t xml:space="preserve">Djibouti</t>
  </si>
  <si>
    <t xml:space="preserve">AND</t>
  </si>
  <si>
    <t xml:space="preserve">Andorra</t>
  </si>
  <si>
    <t xml:space="preserve">BLZ</t>
  </si>
  <si>
    <t xml:space="preserve">Belize</t>
  </si>
  <si>
    <t xml:space="preserve">BTN</t>
  </si>
  <si>
    <t xml:space="preserve">Bhutan</t>
  </si>
  <si>
    <t xml:space="preserve">CAF</t>
  </si>
  <si>
    <t xml:space="preserve">Central African Republic</t>
  </si>
  <si>
    <t xml:space="preserve">CPV</t>
  </si>
  <si>
    <t xml:space="preserve">Cabo Verde</t>
  </si>
  <si>
    <t xml:space="preserve">LCA</t>
  </si>
  <si>
    <t xml:space="preserve">St. Lucia</t>
  </si>
  <si>
    <t xml:space="preserve">LSO</t>
  </si>
  <si>
    <t xml:space="preserve">Lesotho</t>
  </si>
  <si>
    <t xml:space="preserve">GMB</t>
  </si>
  <si>
    <t xml:space="preserve">Gambia, The</t>
  </si>
  <si>
    <t xml:space="preserve">SYC</t>
  </si>
  <si>
    <t xml:space="preserve">Seychelles</t>
  </si>
  <si>
    <t xml:space="preserve">GNB</t>
  </si>
  <si>
    <t xml:space="preserve">Guinea-Bissau</t>
  </si>
  <si>
    <t xml:space="preserve">ATG</t>
  </si>
  <si>
    <t xml:space="preserve">Antigua and Barbuda</t>
  </si>
  <si>
    <t xml:space="preserve">SMR</t>
  </si>
  <si>
    <t xml:space="preserve">San Marino</t>
  </si>
  <si>
    <t xml:space="preserve">TLS</t>
  </si>
  <si>
    <t xml:space="preserve">Timor-Leste</t>
  </si>
  <si>
    <t xml:space="preserve">SLB</t>
  </si>
  <si>
    <t xml:space="preserve">Solomon Islands</t>
  </si>
  <si>
    <t xml:space="preserve">COM</t>
  </si>
  <si>
    <t xml:space="preserve">Comoros</t>
  </si>
  <si>
    <t xml:space="preserve">GRD</t>
  </si>
  <si>
    <t xml:space="preserve">Grenada</t>
  </si>
  <si>
    <t xml:space="preserve">VUT</t>
  </si>
  <si>
    <t xml:space="preserve">Vanuatu</t>
  </si>
  <si>
    <t xml:space="preserve">WSM</t>
  </si>
  <si>
    <t xml:space="preserve">Samoa</t>
  </si>
  <si>
    <t xml:space="preserve">VCT</t>
  </si>
  <si>
    <t xml:space="preserve">St. Vincent and the Grenadines</t>
  </si>
  <si>
    <t xml:space="preserve">KNA</t>
  </si>
  <si>
    <t xml:space="preserve">St. Kitts and Nevis</t>
  </si>
  <si>
    <t xml:space="preserve">STP</t>
  </si>
  <si>
    <t xml:space="preserve">São Tomé and Principe</t>
  </si>
  <si>
    <t xml:space="preserve">DMA</t>
  </si>
  <si>
    <t xml:space="preserve">Dominica</t>
  </si>
  <si>
    <t xml:space="preserve">TON</t>
  </si>
  <si>
    <t xml:space="preserve">Tonga</t>
  </si>
  <si>
    <t xml:space="preserve">FSM</t>
  </si>
  <si>
    <t xml:space="preserve">Micronesia, Fed. Sts.</t>
  </si>
  <si>
    <t xml:space="preserve">KIR</t>
  </si>
  <si>
    <t xml:space="preserve">Kiribati</t>
  </si>
  <si>
    <t xml:space="preserve">PLW</t>
  </si>
  <si>
    <t xml:space="preserve">Palau</t>
  </si>
  <si>
    <t xml:space="preserve">MHL</t>
  </si>
  <si>
    <t xml:space="preserve">Marshall Islands</t>
  </si>
  <si>
    <t xml:space="preserve">NRU</t>
  </si>
  <si>
    <t xml:space="preserve">Naoero</t>
  </si>
  <si>
    <t xml:space="preserve">TUV</t>
  </si>
  <si>
    <t xml:space="preserve">Tuvalu</t>
  </si>
  <si>
    <t xml:space="preserve">Damodaran: Country Default Spreads and Risk Premiums (input)</t>
  </si>
  <si>
    <t xml:space="preserve">No ctryprem.xlsx found in InvestmentNeeds/raw_data/ - paste the data here (see note).</t>
  </si>
  <si>
    <t xml:space="preserve">To update by hand: download ctryprem.xlsx from pages.stern.nyu.edu/~adamodar (Data &gt; Current data &gt; Risk/Discount rate &gt; Country risk), sheet 'ERPs by country'. Paste the country name into column B and the rating, rating-based default spread, country risk premium, total equity risk premium and corporate tax rate into C:G as fractions. Column A finds the ISO3 code from the alias list (Lists sheet); fill it by hand where it shows blank. Or drop the file into InvestmentNeeds/raw_data/ and re-run the build script.</t>
  </si>
  <si>
    <t xml:space="preserve">ISO3 (lookup)</t>
  </si>
  <si>
    <t xml:space="preserve">Country (as in Damodaran)</t>
  </si>
  <si>
    <t xml:space="preserve">Moody's rating</t>
  </si>
  <si>
    <t xml:space="preserve">Rating-based default spread</t>
  </si>
  <si>
    <t xml:space="preserve">Country risk premium</t>
  </si>
  <si>
    <t xml:space="preserve">Total equity risk premium</t>
  </si>
  <si>
    <t xml:space="preserve">Corporate tax rate</t>
  </si>
  <si>
    <t xml:space="preserve">Matched?</t>
  </si>
  <si>
    <t xml:space="preserve">Calculation: country x sector (USD bn/yr; flows are annual over the asset life of one year's 2030 investment)</t>
  </si>
  <si>
    <t xml:space="preserve">Equations follow the method note: (1)/(3) allocation, (2) incremental, (4) capital recovery factor, (6) financial and (7) economic net cost. Incremental cost &gt; 0 = net cost; &lt; 0 = net saving.</t>
  </si>
  <si>
    <t xml:space="preserve">Physical driver</t>
  </si>
  <si>
    <t xml:space="preserve">GDP PPP (int$ bn)</t>
  </si>
  <si>
    <t xml:space="preserve">Price level</t>
  </si>
  <si>
    <t xml:space="preserve">Driver share in group</t>
  </si>
  <si>
    <t xml:space="preserve">GDP share in group</t>
  </si>
  <si>
    <t xml:space="preserve">Allocation weight</t>
  </si>
  <si>
    <t xml:space="preserve">Total investment I (USD bn)</t>
  </si>
  <si>
    <t xml:space="preserve">Incremental share</t>
  </si>
  <si>
    <t xml:space="preserve">Incremental investment dI (USD bn)</t>
  </si>
  <si>
    <t xml:space="preserve">Rate lens (a)</t>
  </si>
  <si>
    <t xml:space="preserve">Rate lens (a) high</t>
  </si>
  <si>
    <t xml:space="preserve">Rate lens (b)/(c)</t>
  </si>
  <si>
    <t xml:space="preserve">Asset life</t>
  </si>
  <si>
    <t xml:space="preserve">CRF (a)</t>
  </si>
  <si>
    <t xml:space="preserve">CRF (a) high</t>
  </si>
  <si>
    <t xml:space="preserve">CRF (b)</t>
  </si>
  <si>
    <t xml:space="preserve">Savings ratio b</t>
  </si>
  <si>
    <t xml:space="preserve">Co-benefit ratio c</t>
  </si>
  <si>
    <t xml:space="preserve">Abatement a (t/yr per $1,000)</t>
  </si>
  <si>
    <t xml:space="preserve">Capital charge on dI (a)</t>
  </si>
  <si>
    <t xml:space="preserve">Capital charge on dI (a high)</t>
  </si>
  <si>
    <t xml:space="preserve">Capital charge on dI (b)</t>
  </si>
  <si>
    <t xml:space="preserve">Incremental cost (a) market</t>
  </si>
  <si>
    <t xml:space="preserve">Incremental cost (a) market high</t>
  </si>
  <si>
    <t xml:space="preserve">Incremental cost (b) WB rate</t>
  </si>
  <si>
    <t xml:space="preserve">Incremental cost (c) WB + local co-benefits</t>
  </si>
  <si>
    <t xml:space="preserve">memo: (c) + carbon at SPC low</t>
  </si>
  <si>
    <t xml:space="preserve">memo: (c) + carbon at SPC high</t>
  </si>
  <si>
    <t xml:space="preserve">Total-lens capital charge (a)</t>
  </si>
  <si>
    <t xml:space="preserve">Total-lens capital charge (b)</t>
  </si>
  <si>
    <t xml:space="preserve">Total-lens savings</t>
  </si>
  <si>
    <t xml:space="preserve">Total-lens co-benefits</t>
  </si>
  <si>
    <t xml:space="preserve">Cost-of-capital penalty on I (a - b)</t>
  </si>
  <si>
    <t xml:space="preserve">Checks: replication of the method note (Table 7) and benchmarks</t>
  </si>
  <si>
    <t xml:space="preserve">Part 1 recomputes Table 7 of the method note from its own inputs with this workbook's equations. Differences should be rounding only.</t>
  </si>
  <si>
    <t xml:space="preserve">Investment 2030</t>
  </si>
  <si>
    <t xml:space="preserve">WACC (a)</t>
  </si>
  <si>
    <t xml:space="preserve">(a) charge</t>
  </si>
  <si>
    <t xml:space="preserve">(a) net financial</t>
  </si>
  <si>
    <t xml:space="preserve">(b) charge</t>
  </si>
  <si>
    <t xml:space="preserve">(b) net financial</t>
  </si>
  <si>
    <t xml:space="preserve">(c) net with co-benefits</t>
  </si>
  <si>
    <t xml:space="preserve">Note: (a) charge / (c) net</t>
  </si>
  <si>
    <t xml:space="preserve">Status</t>
  </si>
  <si>
    <t xml:space="preserve">Advanced economies</t>
  </si>
  <si>
    <t xml:space="preserve">205 / 506</t>
  </si>
  <si>
    <t xml:space="preserve">106 / 248</t>
  </si>
  <si>
    <t xml:space="preserve">EMDCs other than China</t>
  </si>
  <si>
    <t xml:space="preserve">275 / 441</t>
  </si>
  <si>
    <t xml:space="preserve">Part 2: benchmarks for incremental investment (share of GDP a year)</t>
  </si>
  <si>
    <t xml:space="preserve">Country / group</t>
  </si>
  <si>
    <t xml:space="preserve">Model dI % GDP</t>
  </si>
  <si>
    <t xml:space="preserve">Benchmark</t>
  </si>
  <si>
    <t xml:space="preserve">Source</t>
  </si>
  <si>
    <t xml:space="preserve">Note</t>
  </si>
  <si>
    <t xml:space="preserve">SISEPUEDE LAC (Kalra et al. 2023), Table A3</t>
  </si>
  <si>
    <t xml:space="preserve">SISEPUEDE covers all sectors incl. some non-capital costs; scope differs</t>
  </si>
  <si>
    <t xml:space="preserve">SISEPUEDE LAC (Kalra et al. 2023): 'about 1%'</t>
  </si>
  <si>
    <t xml:space="preserve">SISEPUEDE LAC (Kalra et al. 2023)</t>
  </si>
  <si>
    <t xml:space="preserve">EMDCs (model, mitigation only)</t>
  </si>
  <si>
    <t xml:space="preserve">CCDR synthesis (World Bank 2023): +1.4% of GDP a year (incl. adaptation)</t>
  </si>
  <si>
    <t xml:space="preserve">World total investment I (model)</t>
  </si>
  <si>
    <t xml:space="preserve">Pools on Inputs (must match exactly)</t>
  </si>
  <si>
    <t xml:space="preserve">Countries with observed WACC / Damodaran / default</t>
  </si>
  <si>
    <t xml:space="preserve">Countries with CPAT data / PEFA PI-11 score</t>
  </si>
  <si>
    <t xml:space="preserve">Sources</t>
  </si>
  <si>
    <t xml:space="preserve">Method</t>
  </si>
  <si>
    <t xml:space="preserve">Global Investment Needs for Climate Action: A Method Based on SISEPUEDE (Oct 2026), equations 1-7, Tables 3-7 and Appendix C</t>
  </si>
  <si>
    <t xml:space="preserve">IHLEG 3 (2024)</t>
  </si>
  <si>
    <t xml:space="preserve">Bhattacharya, Songwe, Soubeyran &amp; Stern, Raising Ambition and Accelerating Delivery of Climate Finance. LSE Grantham. https://www.lse.ac.uk/granthaminstitute/wp-content/uploads/2024/11/Raising-ambition-and-accelerating-delivery-of-climate-finance_Third-IHLEG-report.pdf</t>
  </si>
  <si>
    <t xml:space="preserve">IEA-IFC (2023)</t>
  </si>
  <si>
    <t xml:space="preserve">Scaling Up Private Finance for Clean Energy in Emerging and Developing Economies. https://www.iea.org/reports/scaling-up-private-finance-for-clean-energy-in-emerging-and-developing-economies (sector split of EMDE clean energy; 60% private; EMDE totals)</t>
  </si>
  <si>
    <t xml:space="preserve">McKinsey (2022)</t>
  </si>
  <si>
    <t xml:space="preserve">The Net-Zero Transition: What It Would Cost, What It Could Bring (USD 9.2 tn gross, +3.5 tn)</t>
  </si>
  <si>
    <t xml:space="preserve">CCDR synthesis (2023)</t>
  </si>
  <si>
    <t xml:space="preserve">World Bank, The Development, Climate, and Nature Crisis. https://openknowledge.worldbank.org/handle/10986/40652</t>
  </si>
  <si>
    <t xml:space="preserve">UNEP SFN (2021)</t>
  </si>
  <si>
    <t xml:space="preserve">State of Finance for Nature: Tripling Investments in Nature-based Solutions by 2030 (USD 133 bn/yr)</t>
  </si>
  <si>
    <t xml:space="preserve">Fay et al. (2016)</t>
  </si>
  <si>
    <t xml:space="preserve">Discounting Costs and Benefits in Economic Analysis of World Bank Projects (6% social rate)</t>
  </si>
  <si>
    <t xml:space="preserve">Shadow Price of Carbon in Economic Analysis (USD 50-100/tCO2e in 2030)</t>
  </si>
  <si>
    <t xml:space="preserve">Kharas &amp; Rivard (2022)</t>
  </si>
  <si>
    <t xml:space="preserve">Debt, creditworthiness, and climate. Brookings GWP 180 (IBRD ~5.2%)</t>
  </si>
  <si>
    <t xml:space="preserve">Making Public Investment More Efficient (efficiency gaps 13% AE, 27% EM, 40% LIDC; PIM can close up to two-thirds). https://infrastructuregovern.imf.org/content/dam/PIMA/Forum/IGEUR/Resources/Making%20Public%20Investment%20More%20Efficient%202015.pdf</t>
  </si>
  <si>
    <t xml:space="preserve">Damodaran</t>
  </si>
  <si>
    <t xml:space="preserve">Country Default Spreads and Risk Premiums, ctryprem.xlsx, https://pages.stern.nyu.edu/~adamodar/ (mature ERP 4.20% Jul 2026 per BVWire, https://www.bvresources.com/articles/bvwire/global-damodaran-revises-country-risk-framework-after-us-rating-downgrade)</t>
  </si>
  <si>
    <t xml:space="preserve">IMF WEO</t>
  </si>
  <si>
    <t xml:space="preserve">World Economic Outlook database (GDP USD and PPP, real growth 2025-26). File in TaxMacroFiscalDashboard/build/raw_data</t>
  </si>
  <si>
    <t xml:space="preserve">IMF CPAT / FFS</t>
  </si>
  <si>
    <t xml:space="preserve">IMF Fossil Fuel Subsidies data (CPAT engine), 2024: emissions, energy use, supply costs, externalities. https://www.imf.org/en/topics/climate-change/energy-subsidies</t>
  </si>
  <si>
    <t xml:space="preserve">Dashboard: cost of capital</t>
  </si>
  <si>
    <t xml:space="preserve">IRENA (2022) WACC appendix (real after-tax, ref. year 2021); Steffen et al. (2025) Sci. Data WACC database (nominal after-tax); IEA Cost of Capital Observatory; World Bank IDS</t>
  </si>
  <si>
    <t xml:space="preserve">Dashboard: PIMA</t>
  </si>
  <si>
    <t xml:space="preserve">World Bank BOOST (capex execution); PEFA 2016 framework (PI-11, PI-12.2); UNDP Global Climate Public Finance Review 2022 (climate-PFM diagnostic flag)</t>
  </si>
  <si>
    <t xml:space="preserve">IMF advanced economies</t>
  </si>
  <si>
    <t xml:space="preserve">WEO country classification (41 economies) used for the IHLEG AE group</t>
  </si>
  <si>
    <t xml:space="preserve">Country name</t>
  </si>
  <si>
    <t xml:space="preserve">Abu Dhabi</t>
  </si>
  <si>
    <t xml:space="preserve">Afghanistan, Islamic Republic of</t>
  </si>
  <si>
    <t xml:space="preserve">Andorra, Principality of</t>
  </si>
  <si>
    <t xml:space="preserve">Antigua &amp; Barbuda</t>
  </si>
  <si>
    <t xml:space="preserve">Armenia, Republic of</t>
  </si>
  <si>
    <t xml:space="preserve">Aruba, Kingdom of the Netherlands</t>
  </si>
  <si>
    <t xml:space="preserve">Azerbaijan, Republic of</t>
  </si>
  <si>
    <t xml:space="preserve">Bahamas</t>
  </si>
  <si>
    <t xml:space="preserve">Bahrain, Kingdom of</t>
  </si>
  <si>
    <t xml:space="preserve">Belarus, Republic of</t>
  </si>
  <si>
    <t xml:space="preserve">Bosnia &amp; Herzegovina</t>
  </si>
  <si>
    <t xml:space="preserve">Brunei</t>
  </si>
  <si>
    <t xml:space="preserve">Burma</t>
  </si>
  <si>
    <t xml:space="preserve">Cape Verde</t>
  </si>
  <si>
    <t xml:space="preserve">China, People's Republic of</t>
  </si>
  <si>
    <t xml:space="preserve">Comoros, Union of the</t>
  </si>
  <si>
    <t xml:space="preserve">Congo</t>
  </si>
  <si>
    <t xml:space="preserve">Congo (Democratic Republic of)</t>
  </si>
  <si>
    <t xml:space="preserve">Congo (Republic of)</t>
  </si>
  <si>
    <t xml:space="preserve">Congo, DR</t>
  </si>
  <si>
    <t xml:space="preserve">Congo, Democratic Republic of the</t>
  </si>
  <si>
    <t xml:space="preserve">Congo, Republic of</t>
  </si>
  <si>
    <t xml:space="preserve">Cote d'Ivoire</t>
  </si>
  <si>
    <t xml:space="preserve">Croatia, Republic of</t>
  </si>
  <si>
    <t xml:space="preserve">Curacao</t>
  </si>
  <si>
    <t xml:space="preserve">CUW</t>
  </si>
  <si>
    <t xml:space="preserve">Czech Republic</t>
  </si>
  <si>
    <t xml:space="preserve">Democratic Republic of Congo</t>
  </si>
  <si>
    <t xml:space="preserve">East Timor</t>
  </si>
  <si>
    <t xml:space="preserve">Egypt</t>
  </si>
  <si>
    <t xml:space="preserve">Egypt, Arab Republic of</t>
  </si>
  <si>
    <t xml:space="preserve">Equatorial Guinea, Republic of</t>
  </si>
  <si>
    <t xml:space="preserve">Estonia, Republic of</t>
  </si>
  <si>
    <t xml:space="preserve">Eswatini, Kingdom of</t>
  </si>
  <si>
    <t xml:space="preserve">Ethiopia, The Federal Democratic Republic of</t>
  </si>
  <si>
    <t xml:space="preserve">Fiji, Republic of</t>
  </si>
  <si>
    <t xml:space="preserve">Gambia</t>
  </si>
  <si>
    <t xml:space="preserve">Hong Kong</t>
  </si>
  <si>
    <t xml:space="preserve">Hong Kong SAR</t>
  </si>
  <si>
    <t xml:space="preserve">Hong Kong Special Administrative Region, People's Republic of China</t>
  </si>
  <si>
    <t xml:space="preserve">Iran</t>
  </si>
  <si>
    <t xml:space="preserve">Iran, Islamic Republic of</t>
  </si>
  <si>
    <t xml:space="preserve">Ivory Coast</t>
  </si>
  <si>
    <t xml:space="preserve">Kazakhstan, Republic of</t>
  </si>
  <si>
    <t xml:space="preserve">Korea</t>
  </si>
  <si>
    <t xml:space="preserve">Korea, Republic of</t>
  </si>
  <si>
    <t xml:space="preserve">Kosovo, Republic of</t>
  </si>
  <si>
    <t xml:space="preserve">Kyrgyzstan</t>
  </si>
  <si>
    <t xml:space="preserve">Lao P.D.R.</t>
  </si>
  <si>
    <t xml:space="preserve">Lao People's Democratic Republic</t>
  </si>
  <si>
    <t xml:space="preserve">Laos</t>
  </si>
  <si>
    <t xml:space="preserve">Latvia, Republic of</t>
  </si>
  <si>
    <t xml:space="preserve">Lesotho, Kingdom of</t>
  </si>
  <si>
    <t xml:space="preserve">Liechtenstein, Principality of</t>
  </si>
  <si>
    <t xml:space="preserve">Lithuania, Republic of</t>
  </si>
  <si>
    <t xml:space="preserve">Macao</t>
  </si>
  <si>
    <t xml:space="preserve">Macao SAR</t>
  </si>
  <si>
    <t xml:space="preserve">Macao Special Administrative Region, People's Republic of China</t>
  </si>
  <si>
    <t xml:space="preserve">Macau</t>
  </si>
  <si>
    <t xml:space="preserve">Macedonia</t>
  </si>
  <si>
    <t xml:space="preserve">Madagascar, Republic of</t>
  </si>
  <si>
    <t xml:space="preserve">Marshall Islands, Republic of the</t>
  </si>
  <si>
    <t xml:space="preserve">Mauritania, Islamic Republic of</t>
  </si>
  <si>
    <t xml:space="preserve">Micronesia</t>
  </si>
  <si>
    <t xml:space="preserve">Micronesia, Federated States of</t>
  </si>
  <si>
    <t xml:space="preserve">Moldova, Republic of</t>
  </si>
  <si>
    <t xml:space="preserve">Montenegro, Rep. of</t>
  </si>
  <si>
    <t xml:space="preserve">Mozambique, Republic of</t>
  </si>
  <si>
    <t xml:space="preserve">Naoero, Republic of</t>
  </si>
  <si>
    <t xml:space="preserve">Nauru</t>
  </si>
  <si>
    <t xml:space="preserve">Netherlands, The</t>
  </si>
  <si>
    <t xml:space="preserve">North Macedonia, Republic of</t>
  </si>
  <si>
    <t xml:space="preserve">Palau, Republic of</t>
  </si>
  <si>
    <t xml:space="preserve">Palestine</t>
  </si>
  <si>
    <t xml:space="preserve">Poland, Republic of</t>
  </si>
  <si>
    <t xml:space="preserve">Puerto Rico</t>
  </si>
  <si>
    <t xml:space="preserve">Republic of Congo</t>
  </si>
  <si>
    <t xml:space="preserve">Russia</t>
  </si>
  <si>
    <t xml:space="preserve">Saint Kitts and Nevis</t>
  </si>
  <si>
    <t xml:space="preserve">Saint Lucia</t>
  </si>
  <si>
    <t xml:space="preserve">Saint Vincent and the Grenadines</t>
  </si>
  <si>
    <t xml:space="preserve">San Marino, Republic of</t>
  </si>
  <si>
    <t xml:space="preserve">Sao Tome and Principe</t>
  </si>
  <si>
    <t xml:space="preserve">Serbia, Republic of</t>
  </si>
  <si>
    <t xml:space="preserve">Slovakia</t>
  </si>
  <si>
    <t xml:space="preserve">Slovenia, Republic of</t>
  </si>
  <si>
    <t xml:space="preserve">Somalia</t>
  </si>
  <si>
    <t xml:space="preserve">South Korea</t>
  </si>
  <si>
    <t xml:space="preserve">South Sudan, Republic of</t>
  </si>
  <si>
    <t xml:space="preserve">St. Kitts &amp; Nevis</t>
  </si>
  <si>
    <t xml:space="preserve">St. Vincent &amp; the Grenadines</t>
  </si>
  <si>
    <t xml:space="preserve">Swaziland</t>
  </si>
  <si>
    <t xml:space="preserve">Syria</t>
  </si>
  <si>
    <t xml:space="preserve">SYR</t>
  </si>
  <si>
    <t xml:space="preserve">São Tomé and Príncipe</t>
  </si>
  <si>
    <t xml:space="preserve">São Tomé and Príncipe, Democratic Republic of</t>
  </si>
  <si>
    <t xml:space="preserve">Taiwan</t>
  </si>
  <si>
    <t xml:space="preserve">Tajikistan, Republic of</t>
  </si>
  <si>
    <t xml:space="preserve">Tanzania, United Republic of</t>
  </si>
  <si>
    <t xml:space="preserve">The Bahamas</t>
  </si>
  <si>
    <t xml:space="preserve">The Gambia</t>
  </si>
  <si>
    <t xml:space="preserve">Timor-Leste, Democratic Republic of</t>
  </si>
  <si>
    <t xml:space="preserve">Trinidad &amp; Tobago</t>
  </si>
  <si>
    <t xml:space="preserve">Turkey</t>
  </si>
  <si>
    <t xml:space="preserve">Turkiye</t>
  </si>
  <si>
    <t xml:space="preserve">Türkiye, Republic of</t>
  </si>
  <si>
    <t xml:space="preserve">UK</t>
  </si>
  <si>
    <t xml:space="preserve">United States of America</t>
  </si>
  <si>
    <t xml:space="preserve">Uzbekistan, Republic of</t>
  </si>
  <si>
    <t xml:space="preserve">Venezuela</t>
  </si>
  <si>
    <t xml:space="preserve">Venezuela, República Bolivariana de</t>
  </si>
  <si>
    <t xml:space="preserve">Vietnam</t>
  </si>
  <si>
    <t xml:space="preserve">Yemen</t>
  </si>
  <si>
    <t xml:space="preserve">Yemen, Republic of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</si>
</sst>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0%;\(0.00%\);\-"/>
    <numFmt numFmtId="167" formatCode="0.00;\(0.00\);\-"/>
    <numFmt numFmtId="168" formatCode="0"/>
    <numFmt numFmtId="169" formatCode="#,##0.0;\(#,##0.0\);\-"/>
    <numFmt numFmtId="170" formatCode="0.0%;\(0.0%\);\-"/>
    <numFmt numFmtId="171" formatCode="0.000;\(0.000\);\-"/>
    <numFmt numFmtId="172" formatCode="0.0000%"/>
    <numFmt numFmtId="173" formatCode="0.000000"/>
    <numFmt numFmtId="174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Incremental cost by lens and group (USD bn/yr)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"AE"</c:f>
              <c:strCache>
                <c:ptCount val="1"/>
                <c:pt idx="0">
                  <c:v>AE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Results_Summary!$A$11:$A$14</c:f>
              <c:strCache>
                <c:ptCount val="4"/>
                <c:pt idx="0">
                  <c:v>INCREMENTAL COST (a) market cost of capital</c:v>
                </c:pt>
                <c:pt idx="1">
                  <c:v>INCREMENTAL COST (a) market, high case</c:v>
                </c:pt>
                <c:pt idx="2">
                  <c:v>INCREMENTAL COST (b) World Bank rate</c:v>
                </c:pt>
                <c:pt idx="3">
                  <c:v>INCREMENTAL COST (c) WB rate + local co-benefits</c:v>
                </c:pt>
              </c:strCache>
            </c:strRef>
          </c:cat>
          <c:val>
            <c:numRef>
              <c:f>Results_Summary!$B$11:$B$14</c:f>
              <c:numCache>
                <c:formatCode>#,##0;\(#,##0\);\-</c:formatCode>
                <c:ptCount val="4"/>
                <c:pt idx="0">
                  <c:v>9.35828088931394</c:v>
                </c:pt>
                <c:pt idx="1">
                  <c:v>19.4548220168248</c:v>
                </c:pt>
                <c:pt idx="2">
                  <c:v>15.3838788218975</c:v>
                </c:pt>
                <c:pt idx="3">
                  <c:v>-1.98093139805928</c:v>
                </c:pt>
              </c:numCache>
            </c:numRef>
          </c:val>
        </c:ser>
        <c:ser>
          <c:idx val="1"/>
          <c:order val="1"/>
          <c:tx>
            <c:strRef>
              <c:f>"China"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Results_Summary!$A$11:$A$14</c:f>
              <c:strCache>
                <c:ptCount val="4"/>
                <c:pt idx="0">
                  <c:v>INCREMENTAL COST (a) market cost of capital</c:v>
                </c:pt>
                <c:pt idx="1">
                  <c:v>INCREMENTAL COST (a) market, high case</c:v>
                </c:pt>
                <c:pt idx="2">
                  <c:v>INCREMENTAL COST (b) World Bank rate</c:v>
                </c:pt>
                <c:pt idx="3">
                  <c:v>INCREMENTAL COST (c) WB rate + local co-benefits</c:v>
                </c:pt>
              </c:strCache>
            </c:strRef>
          </c:cat>
          <c:val>
            <c:numRef>
              <c:f>Results_Summary!$C$11:$C$14</c:f>
              <c:numCache>
                <c:formatCode>#,##0;\(#,##0\);\-</c:formatCode>
                <c:ptCount val="4"/>
                <c:pt idx="0">
                  <c:v>4.36791225171431</c:v>
                </c:pt>
                <c:pt idx="1">
                  <c:v>9.05496346056703</c:v>
                </c:pt>
                <c:pt idx="2">
                  <c:v>9.32500893017865</c:v>
                </c:pt>
                <c:pt idx="3">
                  <c:v>-27.1340726596484</c:v>
                </c:pt>
              </c:numCache>
            </c:numRef>
          </c:val>
        </c:ser>
        <c:ser>
          <c:idx val="2"/>
          <c:order val="2"/>
          <c:tx>
            <c:strRef>
              <c:f>"EMDC"</c:f>
              <c:strCache>
                <c:ptCount val="1"/>
                <c:pt idx="0">
                  <c:v>EMDC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Results_Summary!$A$11:$A$14</c:f>
              <c:strCache>
                <c:ptCount val="4"/>
                <c:pt idx="0">
                  <c:v>INCREMENTAL COST (a) market cost of capital</c:v>
                </c:pt>
                <c:pt idx="1">
                  <c:v>INCREMENTAL COST (a) market, high case</c:v>
                </c:pt>
                <c:pt idx="2">
                  <c:v>INCREMENTAL COST (b) World Bank rate</c:v>
                </c:pt>
                <c:pt idx="3">
                  <c:v>INCREMENTAL COST (c) WB rate + local co-benefits</c:v>
                </c:pt>
              </c:strCache>
            </c:strRef>
          </c:cat>
          <c:val>
            <c:numRef>
              <c:f>Results_Summary!$D$11:$D$14</c:f>
              <c:numCache>
                <c:formatCode>#,##0;\(#,##0\);\-</c:formatCode>
                <c:ptCount val="4"/>
                <c:pt idx="0">
                  <c:v>25.9479194071525</c:v>
                </c:pt>
                <c:pt idx="1">
                  <c:v>44.3664422310671</c:v>
                </c:pt>
                <c:pt idx="2">
                  <c:v>13.1638864080555</c:v>
                </c:pt>
                <c:pt idx="3">
                  <c:v>-13.4098455939161</c:v>
                </c:pt>
              </c:numCache>
            </c:numRef>
          </c:val>
        </c:ser>
        <c:gapWidth val="150"/>
        <c:overlap val="0"/>
        <c:axId val="23458685"/>
        <c:axId val="78702949"/>
      </c:barChart>
      <c:catAx>
        <c:axId val="23458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02949"/>
        <c:crosses val="autoZero"/>
        <c:auto val="1"/>
        <c:lblAlgn val="ctr"/>
        <c:lblOffset val="100"/>
        <c:noMultiLvlLbl val="0"/>
      </c:catAx>
      <c:valAx>
        <c:axId val="78702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586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investment by sector and group (USD bn/yr)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"AE"</c:f>
              <c:strCache>
                <c:ptCount val="1"/>
                <c:pt idx="0">
                  <c:v>AE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Results_Summary!$A$44:$A$50</c:f>
              <c:strCache>
                <c:ptCount val="7"/>
                <c:pt idx="0">
                  <c:v>Power generation (low-emission)</c:v>
                </c:pt>
                <c:pt idx="1">
                  <c:v>Grids and storage</c:v>
                </c:pt>
                <c:pt idx="2">
                  <c:v>Transport (EVs, charging, transit)</c:v>
                </c:pt>
                <c:pt idx="3">
                  <c:v>Buildings (efficiency, heat pumps)</c:v>
                </c:pt>
                <c:pt idx="4">
                  <c:v>Industry (efficiency, electrification, CCS)</c:v>
                </c:pt>
                <c:pt idx="5">
                  <c:v>Low-emission fuels and fuel supply</c:v>
                </c:pt>
                <c:pt idx="6">
                  <c:v>AFOLU and nature</c:v>
                </c:pt>
              </c:strCache>
            </c:strRef>
          </c:cat>
          <c:val>
            <c:numRef>
              <c:f>Results_Summary!$B$44:$B$50</c:f>
              <c:numCache>
                <c:formatCode>#,##0;\(#,##0\);\-</c:formatCode>
                <c:ptCount val="7"/>
                <c:pt idx="0">
                  <c:v>822.5</c:v>
                </c:pt>
                <c:pt idx="1">
                  <c:v>564</c:v>
                </c:pt>
                <c:pt idx="2">
                  <c:v>348.975</c:v>
                </c:pt>
                <c:pt idx="3">
                  <c:v>271.425</c:v>
                </c:pt>
                <c:pt idx="4">
                  <c:v>155.1</c:v>
                </c:pt>
                <c:pt idx="5">
                  <c:v>188</c:v>
                </c:pt>
                <c:pt idx="6">
                  <c:v>35.984375</c:v>
                </c:pt>
              </c:numCache>
            </c:numRef>
          </c:val>
        </c:ser>
        <c:ser>
          <c:idx val="1"/>
          <c:order val="1"/>
          <c:tx>
            <c:strRef>
              <c:f>"China"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Results_Summary!$A$44:$A$50</c:f>
              <c:strCache>
                <c:ptCount val="7"/>
                <c:pt idx="0">
                  <c:v>Power generation (low-emission)</c:v>
                </c:pt>
                <c:pt idx="1">
                  <c:v>Grids and storage</c:v>
                </c:pt>
                <c:pt idx="2">
                  <c:v>Transport (EVs, charging, transit)</c:v>
                </c:pt>
                <c:pt idx="3">
                  <c:v>Buildings (efficiency, heat pumps)</c:v>
                </c:pt>
                <c:pt idx="4">
                  <c:v>Industry (efficiency, electrification, CCS)</c:v>
                </c:pt>
                <c:pt idx="5">
                  <c:v>Low-emission fuels and fuel supply</c:v>
                </c:pt>
                <c:pt idx="6">
                  <c:v>AFOLU and nature</c:v>
                </c:pt>
              </c:strCache>
            </c:strRef>
          </c:cat>
          <c:val>
            <c:numRef>
              <c:f>Results_Summary!$C$44:$C$50</c:f>
              <c:numCache>
                <c:formatCode>#,##0;\(#,##0\);\-</c:formatCode>
                <c:ptCount val="7"/>
                <c:pt idx="0">
                  <c:v>297.5</c:v>
                </c:pt>
                <c:pt idx="1">
                  <c:v>204</c:v>
                </c:pt>
                <c:pt idx="2">
                  <c:v>126.225</c:v>
                </c:pt>
                <c:pt idx="3">
                  <c:v>98.175</c:v>
                </c:pt>
                <c:pt idx="4">
                  <c:v>56.1</c:v>
                </c:pt>
                <c:pt idx="5">
                  <c:v>68</c:v>
                </c:pt>
                <c:pt idx="6">
                  <c:v>13.015625</c:v>
                </c:pt>
              </c:numCache>
            </c:numRef>
          </c:val>
        </c:ser>
        <c:ser>
          <c:idx val="2"/>
          <c:order val="2"/>
          <c:tx>
            <c:strRef>
              <c:f>"EMDC"</c:f>
              <c:strCache>
                <c:ptCount val="1"/>
                <c:pt idx="0">
                  <c:v>EMDC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Results_Summary!$A$44:$A$50</c:f>
              <c:strCache>
                <c:ptCount val="7"/>
                <c:pt idx="0">
                  <c:v>Power generation (low-emission)</c:v>
                </c:pt>
                <c:pt idx="1">
                  <c:v>Grids and storage</c:v>
                </c:pt>
                <c:pt idx="2">
                  <c:v>Transport (EVs, charging, transit)</c:v>
                </c:pt>
                <c:pt idx="3">
                  <c:v>Buildings (efficiency, heat pumps)</c:v>
                </c:pt>
                <c:pt idx="4">
                  <c:v>Industry (efficiency, electrification, CCS)</c:v>
                </c:pt>
                <c:pt idx="5">
                  <c:v>Low-emission fuels and fuel supply</c:v>
                </c:pt>
                <c:pt idx="6">
                  <c:v>AFOLU and nature</c:v>
                </c:pt>
              </c:strCache>
            </c:strRef>
          </c:cat>
          <c:val>
            <c:numRef>
              <c:f>Results_Summary!$D$44:$D$50</c:f>
              <c:numCache>
                <c:formatCode>#,##0;\(#,##0\);\-</c:formatCode>
                <c:ptCount val="7"/>
                <c:pt idx="0">
                  <c:v>560</c:v>
                </c:pt>
                <c:pt idx="1">
                  <c:v>384</c:v>
                </c:pt>
                <c:pt idx="2">
                  <c:v>237.6</c:v>
                </c:pt>
                <c:pt idx="3">
                  <c:v>184.8</c:v>
                </c:pt>
                <c:pt idx="4">
                  <c:v>105.6</c:v>
                </c:pt>
                <c:pt idx="5">
                  <c:v>128</c:v>
                </c:pt>
                <c:pt idx="6">
                  <c:v>350</c:v>
                </c:pt>
              </c:numCache>
            </c:numRef>
          </c:val>
        </c:ser>
        <c:gapWidth val="150"/>
        <c:overlap val="100"/>
        <c:axId val="87216302"/>
        <c:axId val="84784900"/>
      </c:barChart>
      <c:catAx>
        <c:axId val="87216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84900"/>
        <c:crosses val="autoZero"/>
        <c:auto val="1"/>
        <c:lblAlgn val="ctr"/>
        <c:lblOffset val="100"/>
        <c:noMultiLvlLbl val="0"/>
      </c:catAx>
      <c:valAx>
        <c:axId val="84784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163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176040</xdr:rowOff>
    </xdr:from>
    <xdr:to>
      <xdr:col>15</xdr:col>
      <xdr:colOff>38880</xdr:colOff>
      <xdr:row>16</xdr:row>
      <xdr:rowOff>122040</xdr:rowOff>
    </xdr:to>
    <xdr:graphicFrame>
      <xdr:nvGraphicFramePr>
        <xdr:cNvPr id="0" name="Chart 1"/>
        <xdr:cNvGraphicFramePr/>
      </xdr:nvGraphicFramePr>
      <xdr:xfrm>
        <a:off x="704844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51</xdr:row>
      <xdr:rowOff>175680</xdr:rowOff>
    </xdr:from>
    <xdr:to>
      <xdr:col>5</xdr:col>
      <xdr:colOff>276840</xdr:colOff>
      <xdr:row>67</xdr:row>
      <xdr:rowOff>7560</xdr:rowOff>
    </xdr:to>
    <xdr:graphicFrame>
      <xdr:nvGraphicFramePr>
        <xdr:cNvPr id="1" name="Chart 2"/>
        <xdr:cNvGraphicFramePr/>
      </xdr:nvGraphicFramePr>
      <xdr:xfrm>
        <a:off x="0" y="10706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6.1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5" customFormat="false" ht="39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25.5" hidden="false" customHeight="true" outlineLevel="0" collapsed="false">
      <c r="B8" s="3" t="s">
        <v>4</v>
      </c>
    </row>
    <row r="9" customFormat="false" ht="51.75" hidden="false" customHeight="true" outlineLevel="0" collapsed="false">
      <c r="B9" s="3" t="s">
        <v>5</v>
      </c>
    </row>
    <row r="10" customFormat="false" ht="13.5" hidden="false" customHeight="true" outlineLevel="0" collapsed="false">
      <c r="B10" s="3" t="s">
        <v>6</v>
      </c>
    </row>
    <row r="11" customFormat="false" ht="13.5" hidden="false" customHeight="true" outlineLevel="0" collapsed="false">
      <c r="B11" s="3" t="s">
        <v>7</v>
      </c>
    </row>
    <row r="12" customFormat="false" ht="51.75" hidden="false" customHeight="true" outlineLevel="0" collapsed="false">
      <c r="B12" s="3" t="s">
        <v>8</v>
      </c>
    </row>
    <row r="13" customFormat="false" ht="64.5" hidden="false" customHeight="true" outlineLevel="0" collapsed="false">
      <c r="B13" s="3" t="s">
        <v>9</v>
      </c>
    </row>
    <row r="14" customFormat="false" ht="25.5" hidden="false" customHeight="true" outlineLevel="0" collapsed="false">
      <c r="B14" s="3" t="s">
        <v>10</v>
      </c>
    </row>
    <row r="15" customFormat="false" ht="25.5" hidden="false" customHeight="true" outlineLevel="0" collapsed="false">
      <c r="B15" s="3" t="s">
        <v>11</v>
      </c>
    </row>
    <row r="16" customFormat="false" ht="25.5" hidden="false" customHeight="true" outlineLevel="0" collapsed="false">
      <c r="B16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51.75" hidden="false" customHeight="true" outlineLevel="0" collapsed="false">
      <c r="B19" s="3" t="s">
        <v>14</v>
      </c>
    </row>
    <row r="21" customFormat="false" ht="15" hidden="false" customHeight="false" outlineLevel="0" collapsed="false">
      <c r="B21" s="2" t="s">
        <v>15</v>
      </c>
    </row>
    <row r="22" customFormat="false" ht="25.5" hidden="false" customHeight="true" outlineLevel="0" collapsed="false">
      <c r="B22" s="3" t="s">
        <v>16</v>
      </c>
    </row>
    <row r="24" customFormat="false" ht="15" hidden="false" customHeight="false" outlineLevel="0" collapsed="false">
      <c r="B24" s="2" t="s">
        <v>17</v>
      </c>
    </row>
    <row r="25" customFormat="false" ht="25.5" hidden="false" customHeight="true" outlineLevel="0" collapsed="false">
      <c r="B25" s="3" t="s">
        <v>18</v>
      </c>
    </row>
    <row r="26" customFormat="false" ht="25.5" hidden="false" customHeight="true" outlineLevel="0" collapsed="false">
      <c r="B26" s="3" t="s">
        <v>19</v>
      </c>
    </row>
    <row r="27" customFormat="false" ht="25.5" hidden="false" customHeight="true" outlineLevel="0" collapsed="false">
      <c r="B27" s="3" t="s">
        <v>20</v>
      </c>
    </row>
    <row r="28" customFormat="false" ht="25.5" hidden="false" customHeight="true" outlineLevel="0" collapsed="false">
      <c r="B28" s="3" t="s">
        <v>21</v>
      </c>
    </row>
    <row r="29" customFormat="false" ht="13.5" hidden="false" customHeight="true" outlineLevel="0" collapsed="false">
      <c r="B29" s="3" t="s">
        <v>22</v>
      </c>
    </row>
    <row r="30" customFormat="false" ht="13.5" hidden="false" customHeight="true" outlineLevel="0" collapsed="false">
      <c r="B30" s="3" t="s">
        <v>23</v>
      </c>
    </row>
    <row r="31" customFormat="false" ht="13.5" hidden="false" customHeight="true" outlineLevel="0" collapsed="false">
      <c r="B31" s="3" t="s">
        <v>24</v>
      </c>
    </row>
    <row r="32" customFormat="false" ht="13.5" hidden="false" customHeight="true" outlineLevel="0" collapsed="false">
      <c r="B32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2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4" t="s">
        <v>27</v>
      </c>
    </row>
    <row r="4" customFormat="false" ht="36" hidden="false" customHeight="true" outlineLevel="0" collapsed="false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</row>
    <row r="5" customFormat="false" ht="15" hidden="false" customHeight="false" outlineLevel="0" collapsed="false">
      <c r="A5" s="6" t="s">
        <v>33</v>
      </c>
      <c r="B5" s="7" t="n">
        <f aca="false">SUMIFS(Calc!$J$5:$J$1369,Calc!$B$5:$B$1369,"AE")</f>
        <v>2385.984375</v>
      </c>
      <c r="C5" s="7" t="n">
        <f aca="false">SUMIFS(Calc!$J$5:$J$1369,Calc!$B$5:$B$1369,"China")</f>
        <v>863.015625</v>
      </c>
      <c r="D5" s="7" t="n">
        <f aca="false">SUMIFS(Calc!$J$5:$J$1369,Calc!$B$5:$B$1369,"EMDC")</f>
        <v>1950</v>
      </c>
      <c r="E5" s="8" t="n">
        <f aca="false">SUM(B5:D5)</f>
        <v>5199</v>
      </c>
    </row>
    <row r="6" customFormat="false" ht="15" hidden="false" customHeight="false" outlineLevel="0" collapsed="false">
      <c r="A6" s="6" t="s">
        <v>34</v>
      </c>
      <c r="B6" s="7" t="n">
        <f aca="false">SUMIFS(Calc!$L$5:$L$1369,Calc!$B$5:$B$1369,"AE")</f>
        <v>906.6740625</v>
      </c>
      <c r="C6" s="7" t="n">
        <f aca="false">SUMIFS(Calc!$L$5:$L$1369,Calc!$B$5:$B$1369,"China")</f>
        <v>327.9459375</v>
      </c>
      <c r="D6" s="7" t="n">
        <f aca="false">SUMIFS(Calc!$L$5:$L$1369,Calc!$B$5:$B$1369,"EMDC")</f>
        <v>468</v>
      </c>
      <c r="E6" s="8" t="n">
        <f aca="false">SUM(B6:D6)</f>
        <v>1702.62</v>
      </c>
    </row>
    <row r="7" customFormat="false" ht="15" hidden="false" customHeight="false" outlineLevel="0" collapsed="false">
      <c r="A7" s="6" t="s">
        <v>35</v>
      </c>
      <c r="B7" s="7" t="n">
        <f aca="false">SUMIFS(Calc!$W$5:$W$1369,Calc!$B$5:$B$1369,"AE")</f>
        <v>59.0281227197368</v>
      </c>
      <c r="C7" s="7" t="n">
        <f aca="false">SUMIFS(Calc!$W$5:$W$1369,Calc!$B$5:$B$1369,"China")</f>
        <v>17.589970350838</v>
      </c>
      <c r="D7" s="7" t="n">
        <f aca="false">SUMIFS(Calc!$W$5:$W$1369,Calc!$B$5:$B$1369,"EMDC")</f>
        <v>24.509440501542</v>
      </c>
      <c r="E7" s="8" t="n">
        <f aca="false">SUM(B7:D7)</f>
        <v>101.127533572117</v>
      </c>
    </row>
    <row r="8" customFormat="false" ht="15" hidden="false" customHeight="false" outlineLevel="0" collapsed="false">
      <c r="A8" s="6" t="s">
        <v>36</v>
      </c>
      <c r="B8" s="7" t="n">
        <f aca="false">SUMIFS(Calc!$X$5:$X$1369,Calc!$B$5:$B$1369,"AE")</f>
        <v>17.3648102199567</v>
      </c>
      <c r="C8" s="7" t="n">
        <f aca="false">SUMIFS(Calc!$X$5:$X$1369,Calc!$B$5:$B$1369,"China")</f>
        <v>36.459081589827</v>
      </c>
      <c r="D8" s="7" t="n">
        <f aca="false">SUMIFS(Calc!$X$5:$X$1369,Calc!$B$5:$B$1369,"EMDC")</f>
        <v>26.5737320019715</v>
      </c>
      <c r="E8" s="8" t="n">
        <f aca="false">SUM(B8:D8)</f>
        <v>80.3976238117553</v>
      </c>
    </row>
    <row r="9" customFormat="false" ht="15" hidden="false" customHeight="false" outlineLevel="0" collapsed="false">
      <c r="A9" s="6" t="s">
        <v>37</v>
      </c>
      <c r="B9" s="7" t="n">
        <f aca="false">SUMIFS(Calc!$Z$5:$Z$1369,Calc!$B$5:$B$1369,"AE")</f>
        <v>68.3864036090508</v>
      </c>
      <c r="C9" s="7" t="n">
        <f aca="false">SUMIFS(Calc!$Z$5:$Z$1369,Calc!$B$5:$B$1369,"China")</f>
        <v>21.9578826025523</v>
      </c>
      <c r="D9" s="7" t="n">
        <f aca="false">SUMIFS(Calc!$Z$5:$Z$1369,Calc!$B$5:$B$1369,"EMDC")</f>
        <v>50.4573599086945</v>
      </c>
      <c r="E9" s="8" t="n">
        <f aca="false">SUM(B9:D9)</f>
        <v>140.801646120298</v>
      </c>
    </row>
    <row r="10" customFormat="false" ht="15" hidden="false" customHeight="false" outlineLevel="0" collapsed="false">
      <c r="A10" s="6" t="s">
        <v>38</v>
      </c>
      <c r="B10" s="7" t="n">
        <f aca="false">SUMIFS(Calc!$AB$5:$AB$1369,Calc!$B$5:$B$1369,"AE")</f>
        <v>74.4120015416343</v>
      </c>
      <c r="C10" s="7" t="n">
        <f aca="false">SUMIFS(Calc!$AB$5:$AB$1369,Calc!$B$5:$B$1369,"China")</f>
        <v>26.9149792810167</v>
      </c>
      <c r="D10" s="7" t="n">
        <f aca="false">SUMIFS(Calc!$AB$5:$AB$1369,Calc!$B$5:$B$1369,"EMDC")</f>
        <v>37.6733269095975</v>
      </c>
      <c r="E10" s="8" t="n">
        <f aca="false">SUM(B10:D10)</f>
        <v>139.000307732248</v>
      </c>
    </row>
    <row r="11" customFormat="false" ht="15" hidden="false" customHeight="false" outlineLevel="0" collapsed="false">
      <c r="A11" s="9" t="s">
        <v>39</v>
      </c>
      <c r="B11" s="10" t="n">
        <f aca="false">SUMIFS(Calc!$AC$5:$AC$1369,Calc!$B$5:$B$1369,"AE")</f>
        <v>9.35828088931394</v>
      </c>
      <c r="C11" s="10" t="n">
        <f aca="false">SUMIFS(Calc!$AC$5:$AC$1369,Calc!$B$5:$B$1369,"China")</f>
        <v>4.36791225171431</v>
      </c>
      <c r="D11" s="10" t="n">
        <f aca="false">SUMIFS(Calc!$AC$5:$AC$1369,Calc!$B$5:$B$1369,"EMDC")</f>
        <v>25.9479194071525</v>
      </c>
      <c r="E11" s="10" t="n">
        <f aca="false">SUM(B11:D11)</f>
        <v>39.6741125481807</v>
      </c>
    </row>
    <row r="12" customFormat="false" ht="15" hidden="false" customHeight="false" outlineLevel="0" collapsed="false">
      <c r="A12" s="9" t="s">
        <v>40</v>
      </c>
      <c r="B12" s="10" t="n">
        <f aca="false">SUMIFS(Calc!$AD$5:$AD$1369,Calc!$B$5:$B$1369,"AE")</f>
        <v>19.4548220168248</v>
      </c>
      <c r="C12" s="10" t="n">
        <f aca="false">SUMIFS(Calc!$AD$5:$AD$1369,Calc!$B$5:$B$1369,"China")</f>
        <v>9.05496346056703</v>
      </c>
      <c r="D12" s="10" t="n">
        <f aca="false">SUMIFS(Calc!$AD$5:$AD$1369,Calc!$B$5:$B$1369,"EMDC")</f>
        <v>44.3664422310671</v>
      </c>
      <c r="E12" s="10" t="n">
        <f aca="false">SUM(B12:D12)</f>
        <v>72.8762277084589</v>
      </c>
    </row>
    <row r="13" customFormat="false" ht="15" hidden="false" customHeight="false" outlineLevel="0" collapsed="false">
      <c r="A13" s="9" t="s">
        <v>41</v>
      </c>
      <c r="B13" s="10" t="n">
        <f aca="false">SUMIFS(Calc!$AE$5:$AE$1369,Calc!$B$5:$B$1369,"AE")</f>
        <v>15.3838788218975</v>
      </c>
      <c r="C13" s="10" t="n">
        <f aca="false">SUMIFS(Calc!$AE$5:$AE$1369,Calc!$B$5:$B$1369,"China")</f>
        <v>9.32500893017865</v>
      </c>
      <c r="D13" s="10" t="n">
        <f aca="false">SUMIFS(Calc!$AE$5:$AE$1369,Calc!$B$5:$B$1369,"EMDC")</f>
        <v>13.1638864080555</v>
      </c>
      <c r="E13" s="10" t="n">
        <f aca="false">SUM(B13:D13)</f>
        <v>37.8727741601316</v>
      </c>
    </row>
    <row r="14" customFormat="false" ht="15" hidden="false" customHeight="false" outlineLevel="0" collapsed="false">
      <c r="A14" s="9" t="s">
        <v>42</v>
      </c>
      <c r="B14" s="10" t="n">
        <f aca="false">SUMIFS(Calc!$AF$5:$AF$1369,Calc!$B$5:$B$1369,"AE")</f>
        <v>-1.98093139805928</v>
      </c>
      <c r="C14" s="10" t="n">
        <f aca="false">SUMIFS(Calc!$AF$5:$AF$1369,Calc!$B$5:$B$1369,"China")</f>
        <v>-27.1340726596484</v>
      </c>
      <c r="D14" s="10" t="n">
        <f aca="false">SUMIFS(Calc!$AF$5:$AF$1369,Calc!$B$5:$B$1369,"EMDC")</f>
        <v>-13.4098455939161</v>
      </c>
      <c r="E14" s="10" t="n">
        <f aca="false">SUM(B14:D14)</f>
        <v>-42.5248496516237</v>
      </c>
    </row>
    <row r="15" customFormat="false" ht="15" hidden="false" customHeight="false" outlineLevel="0" collapsed="false">
      <c r="A15" s="6" t="s">
        <v>43</v>
      </c>
      <c r="B15" s="7" t="n">
        <f aca="false">SUMIFS(Calc!$AG$5:$AG$1369,Calc!$B$5:$B$1369,"AE")</f>
        <v>-21.6725042432418</v>
      </c>
      <c r="C15" s="7" t="n">
        <f aca="false">SUMIFS(Calc!$AG$5:$AG$1369,Calc!$B$5:$B$1369,"China")</f>
        <v>-37.1991219016364</v>
      </c>
      <c r="D15" s="7" t="n">
        <f aca="false">SUMIFS(Calc!$AG$5:$AG$1369,Calc!$B$5:$B$1369,"EMDC")</f>
        <v>-29.7075347996411</v>
      </c>
      <c r="E15" s="8" t="n">
        <f aca="false">SUM(B15:D15)</f>
        <v>-88.5791609445192</v>
      </c>
    </row>
    <row r="16" customFormat="false" ht="15" hidden="false" customHeight="false" outlineLevel="0" collapsed="false">
      <c r="A16" s="6" t="s">
        <v>44</v>
      </c>
      <c r="B16" s="7" t="n">
        <f aca="false">SUMIFS(Calc!$AH$5:$AH$1369,Calc!$B$5:$B$1369,"AE")</f>
        <v>-41.3640770884242</v>
      </c>
      <c r="C16" s="7" t="n">
        <f aca="false">SUMIFS(Calc!$AH$5:$AH$1369,Calc!$B$5:$B$1369,"China")</f>
        <v>-47.2641711436245</v>
      </c>
      <c r="D16" s="7" t="n">
        <f aca="false">SUMIFS(Calc!$AH$5:$AH$1369,Calc!$B$5:$B$1369,"EMDC")</f>
        <v>-46.0052240053661</v>
      </c>
      <c r="E16" s="8" t="n">
        <f aca="false">SUM(B16:D16)</f>
        <v>-134.633472237415</v>
      </c>
    </row>
    <row r="17" customFormat="false" ht="15" hidden="false" customHeight="false" outlineLevel="0" collapsed="false">
      <c r="A17" s="6" t="s">
        <v>45</v>
      </c>
      <c r="B17" s="7" t="n">
        <f aca="false">SUMIFS(Calc!$Y$5:$Y$1369,Calc!$B$5:$B$1369,"AE")</f>
        <v>393.83145690365</v>
      </c>
      <c r="C17" s="7" t="n">
        <f aca="false">SUMIFS(Calc!$Y$5:$Y$1369,Calc!$B$5:$B$1369,"China")</f>
        <v>201.300984839761</v>
      </c>
      <c r="D17" s="7" t="n">
        <f aca="false">SUMIFS(Calc!$Y$5:$Y$1369,Calc!$B$5:$B$1369,"EMDC")</f>
        <v>325.9537841145</v>
      </c>
      <c r="E17" s="8" t="n">
        <f aca="false">SUM(B17:D17)</f>
        <v>921.08622585791</v>
      </c>
    </row>
    <row r="18" customFormat="false" ht="15" hidden="false" customHeight="false" outlineLevel="0" collapsed="false">
      <c r="A18" s="6" t="s">
        <v>46</v>
      </c>
      <c r="B18" s="7" t="n">
        <f aca="false">SUMIFS(Calc!$AM$5:$AM$1369,Calc!$B$5:$B$1369,"AE")</f>
        <v>-15.8568366646934</v>
      </c>
      <c r="C18" s="7" t="n">
        <f aca="false">SUMIFS(Calc!$AM$5:$AM$1369,Calc!$B$5:$B$1369,"China")</f>
        <v>-13.0449912591167</v>
      </c>
      <c r="D18" s="7" t="n">
        <f aca="false">SUMIFS(Calc!$AM$5:$AM$1369,Calc!$B$5:$B$1369,"EMDC")</f>
        <v>53.2668041629041</v>
      </c>
      <c r="E18" s="8" t="n">
        <f aca="false">SUM(B18:D18)</f>
        <v>24.364976239094</v>
      </c>
    </row>
    <row r="19" customFormat="false" ht="15" hidden="false" customHeight="false" outlineLevel="0" collapsed="false">
      <c r="A19" s="6" t="s">
        <v>47</v>
      </c>
      <c r="B19" s="7" t="n">
        <f aca="false">SUMIFS(Calc!$AN$5:$AN$1369,Calc!$B$5:$B$1369,"AE")</f>
        <v>2492.94229525862</v>
      </c>
      <c r="C19" s="7" t="n">
        <f aca="false">SUMIFS(Calc!$AN$5:$AN$1369,Calc!$B$5:$B$1369,"China")</f>
        <v>1022.61440496575</v>
      </c>
      <c r="D19" s="7" t="n">
        <f aca="false">SUMIFS(Calc!$AN$5:$AN$1369,Calc!$B$5:$B$1369,"EMDC")</f>
        <v>2261.73391476124</v>
      </c>
      <c r="E19" s="8" t="n">
        <f aca="false">SUM(B19:D19)</f>
        <v>5777.29061498561</v>
      </c>
    </row>
    <row r="20" customFormat="false" ht="15" hidden="false" customHeight="false" outlineLevel="0" collapsed="false">
      <c r="A20" s="6" t="s">
        <v>48</v>
      </c>
      <c r="B20" s="7" t="n">
        <f aca="false">SUMIFS(Calc!$AO$5:$AO$1369,Calc!$B$5:$B$1369,"AE")</f>
        <v>947.318072198276</v>
      </c>
      <c r="C20" s="7" t="n">
        <f aca="false">SUMIFS(Calc!$AO$5:$AO$1369,Calc!$B$5:$B$1369,"China")</f>
        <v>388.593473886986</v>
      </c>
      <c r="D20" s="7" t="n">
        <f aca="false">SUMIFS(Calc!$AO$5:$AO$1369,Calc!$B$5:$B$1369,"EMDC")</f>
        <v>542.816139542697</v>
      </c>
      <c r="E20" s="8" t="n">
        <f aca="false">SUM(B20:D20)</f>
        <v>1878.72768562796</v>
      </c>
    </row>
    <row r="21" customFormat="false" ht="15" hidden="false" customHeight="false" outlineLevel="0" collapsed="false">
      <c r="A21" s="6" t="s">
        <v>49</v>
      </c>
      <c r="B21" s="7" t="n">
        <f aca="false">SUMIFS(Country_Data!$BV$5:$BV$199,Country_Data!$E$5:$E$199,"AE")</f>
        <v>72737.6639605078</v>
      </c>
      <c r="C21" s="7" t="n">
        <f aca="false">SUMIFS(Country_Data!$BV$5:$BV$199,Country_Data!$E$5:$E$199,"China")</f>
        <v>24676.85061081</v>
      </c>
      <c r="D21" s="7" t="n">
        <f aca="false">SUMIFS(Country_Data!$BV$5:$BV$199,Country_Data!$E$5:$E$199,"EMDC")</f>
        <v>33458.578455049</v>
      </c>
      <c r="E21" s="8" t="n">
        <f aca="false">SUM(B21:D21)</f>
        <v>130873.093026367</v>
      </c>
    </row>
    <row r="22" customFormat="false" ht="15" hidden="false" customHeight="false" outlineLevel="0" collapsed="false">
      <c r="A22" s="6" t="s">
        <v>50</v>
      </c>
      <c r="B22" s="11" t="n">
        <f aca="false">B5/B21</f>
        <v>0.0328025983388118</v>
      </c>
      <c r="C22" s="11" t="n">
        <f aca="false">C5/C21</f>
        <v>0.0349726810204033</v>
      </c>
      <c r="D22" s="11" t="n">
        <f aca="false">D5/D21</f>
        <v>0.0582810176056878</v>
      </c>
      <c r="E22" s="11" t="n">
        <f aca="false">E5/E21</f>
        <v>0.0397255072053089</v>
      </c>
    </row>
    <row r="23" customFormat="false" ht="15" hidden="false" customHeight="false" outlineLevel="0" collapsed="false">
      <c r="A23" s="6" t="s">
        <v>51</v>
      </c>
      <c r="B23" s="11" t="n">
        <f aca="false">B6/B21</f>
        <v>0.0124649873687485</v>
      </c>
      <c r="C23" s="11" t="n">
        <f aca="false">C6/C21</f>
        <v>0.0132896187877532</v>
      </c>
      <c r="D23" s="11" t="n">
        <f aca="false">D6/D21</f>
        <v>0.0139874442253651</v>
      </c>
      <c r="E23" s="11" t="n">
        <f aca="false">E6/E21</f>
        <v>0.0130097024577617</v>
      </c>
    </row>
    <row r="24" customFormat="false" ht="15" hidden="false" customHeight="false" outlineLevel="0" collapsed="false">
      <c r="A24" s="6" t="s">
        <v>52</v>
      </c>
      <c r="B24" s="11" t="n">
        <f aca="false">B11/B21</f>
        <v>0.000128657979645799</v>
      </c>
      <c r="C24" s="11" t="n">
        <f aca="false">C11/C21</f>
        <v>0.000177004445202618</v>
      </c>
      <c r="D24" s="11" t="n">
        <f aca="false">D11/D21</f>
        <v>0.000775523665538063</v>
      </c>
      <c r="E24" s="11" t="n">
        <f aca="false">E11/E21</f>
        <v>0.000303149498729946</v>
      </c>
    </row>
    <row r="25" customFormat="false" ht="15" hidden="false" customHeight="false" outlineLevel="0" collapsed="false">
      <c r="A25" s="6" t="s">
        <v>53</v>
      </c>
      <c r="B25" s="11" t="n">
        <f aca="false">B13/B21</f>
        <v>0.000211498115065257</v>
      </c>
      <c r="C25" s="11" t="n">
        <f aca="false">C13/C21</f>
        <v>0.000377884888037281</v>
      </c>
      <c r="D25" s="11" t="n">
        <f aca="false">D13/D21</f>
        <v>0.000393438305388285</v>
      </c>
      <c r="E25" s="11" t="n">
        <f aca="false">E13/E21</f>
        <v>0.000289385490052576</v>
      </c>
    </row>
    <row r="26" customFormat="false" ht="15" hidden="false" customHeight="false" outlineLevel="0" collapsed="false">
      <c r="A26" s="6" t="s">
        <v>54</v>
      </c>
      <c r="B26" s="11" t="n">
        <f aca="false">B14/B21</f>
        <v>-2.72339155562489E-005</v>
      </c>
      <c r="C26" s="11" t="n">
        <f aca="false">C14/C21</f>
        <v>-0.00109957599888221</v>
      </c>
      <c r="D26" s="11" t="n">
        <f aca="false">D14/D21</f>
        <v>-0.000400789460076194</v>
      </c>
      <c r="E26" s="11" t="n">
        <f aca="false">E14/E21</f>
        <v>-0.000324931952537076</v>
      </c>
    </row>
    <row r="27" customFormat="false" ht="15" hidden="false" customHeight="false" outlineLevel="0" collapsed="false">
      <c r="A27" s="6" t="s">
        <v>55</v>
      </c>
      <c r="B27" s="12" t="n">
        <f aca="false">B7/B9</f>
        <v>0.863155826371378</v>
      </c>
      <c r="C27" s="12" t="n">
        <f aca="false">C7/C9</f>
        <v>0.801077711782346</v>
      </c>
      <c r="D27" s="12" t="n">
        <f aca="false">D7/D9</f>
        <v>0.485745598776735</v>
      </c>
      <c r="E27" s="12" t="n">
        <f aca="false">E7/E9</f>
        <v>0.718226926734336</v>
      </c>
    </row>
    <row r="28" customFormat="false" ht="15" hidden="false" customHeight="false" outlineLevel="0" collapsed="false">
      <c r="A28" s="6" t="s">
        <v>56</v>
      </c>
      <c r="B28" s="12" t="n">
        <f aca="false">B7/B10</f>
        <v>0.793260784508128</v>
      </c>
      <c r="C28" s="12" t="n">
        <f aca="false">C7/C10</f>
        <v>0.653538320322778</v>
      </c>
      <c r="D28" s="12" t="n">
        <f aca="false">D7/D10</f>
        <v>0.650578075049117</v>
      </c>
      <c r="E28" s="12" t="n">
        <f aca="false">E7/E10</f>
        <v>0.72753460205941</v>
      </c>
    </row>
    <row r="29" customFormat="false" ht="15" hidden="false" customHeight="false" outlineLevel="0" collapsed="false">
      <c r="A29" s="6" t="s">
        <v>57</v>
      </c>
      <c r="B29" s="12" t="n">
        <f aca="false">(B7+B8)/B10</f>
        <v>1.02662112773503</v>
      </c>
      <c r="C29" s="12" t="n">
        <f aca="false">(C7+C8)/C10</f>
        <v>2.00814020238857</v>
      </c>
      <c r="D29" s="12" t="n">
        <f aca="false">(D7+D8)/D10</f>
        <v>1.35595066042601</v>
      </c>
      <c r="E29" s="12" t="n">
        <f aca="false">(E7+E8)/E10</f>
        <v>1.30593349284908</v>
      </c>
    </row>
    <row r="30" customFormat="false" ht="15" hidden="false" customHeight="false" outlineLevel="0" collapsed="false">
      <c r="A30" s="6" t="s">
        <v>58</v>
      </c>
      <c r="B30" s="13" t="n">
        <f aca="false">COUNTIF(Country_Data!$E$5:$E$199,"AE")</f>
        <v>41</v>
      </c>
      <c r="C30" s="13" t="n">
        <f aca="false">COUNTIF(Country_Data!$E$5:$E$199,"China")</f>
        <v>1</v>
      </c>
      <c r="D30" s="13" t="n">
        <f aca="false">COUNTIF(Country_Data!$E$5:$E$199,"EMDC")</f>
        <v>153</v>
      </c>
      <c r="E30" s="13" t="n">
        <f aca="false">SUM(B30:D30)</f>
        <v>195</v>
      </c>
    </row>
    <row r="32" customFormat="false" ht="15" hidden="false" customHeight="false" outlineLevel="0" collapsed="false">
      <c r="A32" s="2" t="s">
        <v>59</v>
      </c>
    </row>
    <row r="33" customFormat="false" ht="36" hidden="false" customHeight="true" outlineLevel="0" collapsed="false">
      <c r="A33" s="5" t="s">
        <v>28</v>
      </c>
      <c r="B33" s="5" t="s">
        <v>29</v>
      </c>
      <c r="C33" s="5" t="s">
        <v>30</v>
      </c>
      <c r="D33" s="5" t="s">
        <v>31</v>
      </c>
      <c r="E33" s="5" t="s">
        <v>32</v>
      </c>
    </row>
    <row r="34" customFormat="false" ht="15" hidden="false" customHeight="false" outlineLevel="0" collapsed="false">
      <c r="A34" s="6" t="s">
        <v>60</v>
      </c>
      <c r="B34" s="7" t="n">
        <f aca="false">SUMIFS(Calc!$AI$5:$AI$1369,Calc!$B$5:$B$1369,"AE")</f>
        <v>179.964220023818</v>
      </c>
      <c r="C34" s="7" t="n">
        <f aca="false">SUMIFS(Calc!$AI$5:$AI$1369,Calc!$B$5:$B$1369,"China")</f>
        <v>57.783901585664</v>
      </c>
      <c r="D34" s="7" t="n">
        <f aca="false">SUMIFS(Calc!$AI$5:$AI$1369,Calc!$B$5:$B$1369,"EMDC")</f>
        <v>210.23899961956</v>
      </c>
      <c r="E34" s="8" t="n">
        <f aca="false">SUM(B34:D34)</f>
        <v>447.987121229042</v>
      </c>
    </row>
    <row r="35" customFormat="false" ht="15" hidden="false" customHeight="false" outlineLevel="0" collapsed="false">
      <c r="A35" s="6" t="s">
        <v>61</v>
      </c>
      <c r="B35" s="7" t="n">
        <f aca="false">SUMIFS(Calc!$AJ$5:$AJ$1369,Calc!$B$5:$B$1369,"AE")</f>
        <v>195.821056688511</v>
      </c>
      <c r="C35" s="7" t="n">
        <f aca="false">SUMIFS(Calc!$AJ$5:$AJ$1369,Calc!$B$5:$B$1369,"China")</f>
        <v>70.8288928447807</v>
      </c>
      <c r="D35" s="7" t="n">
        <f aca="false">SUMIFS(Calc!$AJ$5:$AJ$1369,Calc!$B$5:$B$1369,"EMDC")</f>
        <v>156.972195456656</v>
      </c>
      <c r="E35" s="8" t="n">
        <f aca="false">SUM(B35:D35)</f>
        <v>423.622144989948</v>
      </c>
    </row>
    <row r="36" customFormat="false" ht="15" hidden="false" customHeight="false" outlineLevel="0" collapsed="false">
      <c r="A36" s="6" t="s">
        <v>62</v>
      </c>
      <c r="B36" s="7" t="n">
        <f aca="false">SUMIFS(Calc!$AK$5:$AK$1369,Calc!$B$5:$B$1369,"AE")</f>
        <v>155.337165051939</v>
      </c>
      <c r="C36" s="7" t="n">
        <f aca="false">SUMIFS(Calc!$AK$5:$AK$1369,Calc!$B$5:$B$1369,"China")</f>
        <v>46.2893956601</v>
      </c>
      <c r="D36" s="7" t="n">
        <f aca="false">SUMIFS(Calc!$AK$5:$AK$1369,Calc!$B$5:$B$1369,"EMDC")</f>
        <v>102.122668756425</v>
      </c>
      <c r="E36" s="8" t="n">
        <f aca="false">SUM(B36:D36)</f>
        <v>303.749229468464</v>
      </c>
    </row>
    <row r="37" customFormat="false" ht="15" hidden="false" customHeight="false" outlineLevel="0" collapsed="false">
      <c r="A37" s="6" t="s">
        <v>63</v>
      </c>
      <c r="B37" s="7" t="n">
        <f aca="false">SUMIFS(Calc!$AL$5:$AL$1369,Calc!$B$5:$B$1369,"AE")</f>
        <v>45.6968689998861</v>
      </c>
      <c r="C37" s="7" t="n">
        <f aca="false">SUMIFS(Calc!$AL$5:$AL$1369,Calc!$B$5:$B$1369,"China")</f>
        <v>95.9449515521764</v>
      </c>
      <c r="D37" s="7" t="n">
        <f aca="false">SUMIFS(Calc!$AL$5:$AL$1369,Calc!$B$5:$B$1369,"EMDC")</f>
        <v>110.723883341548</v>
      </c>
      <c r="E37" s="8" t="n">
        <f aca="false">SUM(B37:D37)</f>
        <v>252.365703893611</v>
      </c>
    </row>
    <row r="38" customFormat="false" ht="15" hidden="false" customHeight="false" outlineLevel="0" collapsed="false">
      <c r="A38" s="9" t="s">
        <v>64</v>
      </c>
      <c r="B38" s="8" t="n">
        <f aca="false">B36-B34</f>
        <v>-24.6270549718788</v>
      </c>
      <c r="C38" s="8" t="n">
        <f aca="false">C36-C34</f>
        <v>-11.494505925564</v>
      </c>
      <c r="D38" s="8" t="n">
        <f aca="false">D36-D34</f>
        <v>-108.116330863135</v>
      </c>
      <c r="E38" s="8" t="n">
        <f aca="false">E36-E34</f>
        <v>-144.237891760578</v>
      </c>
    </row>
    <row r="39" customFormat="false" ht="15" hidden="false" customHeight="false" outlineLevel="0" collapsed="false">
      <c r="A39" s="9" t="s">
        <v>65</v>
      </c>
      <c r="B39" s="8" t="n">
        <f aca="false">B36-B35</f>
        <v>-40.4838916365723</v>
      </c>
      <c r="C39" s="8" t="n">
        <f aca="false">C36-C35</f>
        <v>-24.5394971846807</v>
      </c>
      <c r="D39" s="8" t="n">
        <f aca="false">D36-D35</f>
        <v>-54.8495267002312</v>
      </c>
      <c r="E39" s="8" t="n">
        <f aca="false">E36-E35</f>
        <v>-119.872915521484</v>
      </c>
    </row>
    <row r="40" customFormat="false" ht="15" hidden="false" customHeight="false" outlineLevel="0" collapsed="false">
      <c r="A40" s="9" t="s">
        <v>66</v>
      </c>
      <c r="B40" s="8" t="n">
        <f aca="false">B36-B35+B37</f>
        <v>5.21297736331387</v>
      </c>
      <c r="C40" s="8" t="n">
        <f aca="false">C36-C35+C37</f>
        <v>71.4054543674957</v>
      </c>
      <c r="D40" s="8" t="n">
        <f aca="false">D36-D35+D37</f>
        <v>55.874356641317</v>
      </c>
      <c r="E40" s="8" t="n">
        <f aca="false">E36-E35+E37</f>
        <v>132.492788372127</v>
      </c>
    </row>
    <row r="42" customFormat="false" ht="15" hidden="false" customHeight="false" outlineLevel="0" collapsed="false">
      <c r="A42" s="2" t="s">
        <v>67</v>
      </c>
    </row>
    <row r="43" customFormat="false" ht="36" hidden="false" customHeight="true" outlineLevel="0" collapsed="false">
      <c r="A43" s="5" t="s">
        <v>68</v>
      </c>
      <c r="B43" s="5" t="s">
        <v>69</v>
      </c>
      <c r="C43" s="5" t="s">
        <v>70</v>
      </c>
      <c r="D43" s="5" t="s">
        <v>71</v>
      </c>
      <c r="E43" s="5" t="s">
        <v>72</v>
      </c>
      <c r="F43" s="5" t="s">
        <v>73</v>
      </c>
      <c r="G43" s="5" t="s">
        <v>74</v>
      </c>
      <c r="H43" s="5" t="s">
        <v>75</v>
      </c>
      <c r="I43" s="5" t="s">
        <v>76</v>
      </c>
    </row>
    <row r="44" customFormat="false" ht="15" hidden="false" customHeight="false" outlineLevel="0" collapsed="false">
      <c r="A44" s="6" t="s">
        <v>77</v>
      </c>
      <c r="B44" s="7" t="n">
        <f aca="false">SUMIFS(Calc!$J$5:$J$1369,Calc!$B$5:$B$1369,"AE",Calc!$C$5:$C$1369,"GEN")</f>
        <v>822.5</v>
      </c>
      <c r="C44" s="7" t="n">
        <f aca="false">SUMIFS(Calc!$J$5:$J$1369,Calc!$B$5:$B$1369,"China",Calc!$C$5:$C$1369,"GEN")</f>
        <v>297.5</v>
      </c>
      <c r="D44" s="7" t="n">
        <f aca="false">SUMIFS(Calc!$J$5:$J$1369,Calc!$B$5:$B$1369,"EMDC",Calc!$C$5:$C$1369,"GEN")</f>
        <v>560</v>
      </c>
      <c r="E44" s="8" t="n">
        <f aca="false">SUM(B44:D44)</f>
        <v>1680</v>
      </c>
      <c r="F44" s="7" t="n">
        <f aca="false">SUMIFS(Calc!$L$5:$L$1369,Calc!$C$5:$C$1369,"GEN")</f>
        <v>560</v>
      </c>
      <c r="G44" s="7" t="n">
        <f aca="false">SUMIFS(Calc!$AC$5:$AC$1369,Calc!$C$5:$C$1369,"GEN")</f>
        <v>12.6906458664883</v>
      </c>
      <c r="H44" s="7" t="n">
        <f aca="false">SUMIFS(Calc!$AE$5:$AE$1369,Calc!$C$5:$C$1369,"GEN")</f>
        <v>12.883419263839</v>
      </c>
      <c r="I44" s="7" t="n">
        <f aca="false">SUMIFS(Calc!$AF$5:$AF$1369,Calc!$C$5:$C$1369,"GEN")</f>
        <v>-9.92538316954139</v>
      </c>
    </row>
    <row r="45" customFormat="false" ht="15" hidden="false" customHeight="false" outlineLevel="0" collapsed="false">
      <c r="A45" s="6" t="s">
        <v>78</v>
      </c>
      <c r="B45" s="7" t="n">
        <f aca="false">SUMIFS(Calc!$J$5:$J$1369,Calc!$B$5:$B$1369,"AE",Calc!$C$5:$C$1369,"GRID")</f>
        <v>564</v>
      </c>
      <c r="C45" s="7" t="n">
        <f aca="false">SUMIFS(Calc!$J$5:$J$1369,Calc!$B$5:$B$1369,"China",Calc!$C$5:$C$1369,"GRID")</f>
        <v>204</v>
      </c>
      <c r="D45" s="7" t="n">
        <f aca="false">SUMIFS(Calc!$J$5:$J$1369,Calc!$B$5:$B$1369,"EMDC",Calc!$C$5:$C$1369,"GRID")</f>
        <v>384</v>
      </c>
      <c r="E45" s="8" t="n">
        <f aca="false">SUM(B45:D45)</f>
        <v>1152</v>
      </c>
      <c r="F45" s="7" t="n">
        <f aca="false">SUMIFS(Calc!$L$5:$L$1369,Calc!$C$5:$C$1369,"GRID")</f>
        <v>384</v>
      </c>
      <c r="G45" s="7" t="n">
        <f aca="false">SUMIFS(Calc!$AC$5:$AC$1369,Calc!$C$5:$C$1369,"GRID")</f>
        <v>25.3689871155047</v>
      </c>
      <c r="H45" s="7" t="n">
        <f aca="false">SUMIFS(Calc!$AE$5:$AE$1369,Calc!$C$5:$C$1369,"GRID")</f>
        <v>25.5212297935394</v>
      </c>
      <c r="I45" s="7" t="n">
        <f aca="false">SUMIFS(Calc!$AF$5:$AF$1369,Calc!$C$5:$C$1369,"GRID")</f>
        <v>25.5212297935394</v>
      </c>
    </row>
    <row r="46" customFormat="false" ht="15" hidden="false" customHeight="false" outlineLevel="0" collapsed="false">
      <c r="A46" s="6" t="s">
        <v>79</v>
      </c>
      <c r="B46" s="7" t="n">
        <f aca="false">SUMIFS(Calc!$J$5:$J$1369,Calc!$B$5:$B$1369,"AE",Calc!$C$5:$C$1369,"TRN")</f>
        <v>348.975</v>
      </c>
      <c r="C46" s="7" t="n">
        <f aca="false">SUMIFS(Calc!$J$5:$J$1369,Calc!$B$5:$B$1369,"China",Calc!$C$5:$C$1369,"TRN")</f>
        <v>126.225</v>
      </c>
      <c r="D46" s="7" t="n">
        <f aca="false">SUMIFS(Calc!$J$5:$J$1369,Calc!$B$5:$B$1369,"EMDC",Calc!$C$5:$C$1369,"TRN")</f>
        <v>237.6</v>
      </c>
      <c r="E46" s="8" t="n">
        <f aca="false">SUM(B46:D46)</f>
        <v>712.8</v>
      </c>
      <c r="F46" s="7" t="n">
        <f aca="false">SUMIFS(Calc!$L$5:$L$1369,Calc!$C$5:$C$1369,"TRN")</f>
        <v>237.6</v>
      </c>
      <c r="G46" s="7" t="n">
        <f aca="false">SUMIFS(Calc!$AC$5:$AC$1369,Calc!$C$5:$C$1369,"TRN")</f>
        <v>-2.43925581666868</v>
      </c>
      <c r="H46" s="7" t="n">
        <f aca="false">SUMIFS(Calc!$AE$5:$AE$1369,Calc!$C$5:$C$1369,"TRN")</f>
        <v>-2.32974306315868</v>
      </c>
      <c r="I46" s="7" t="n">
        <f aca="false">SUMIFS(Calc!$AF$5:$AF$1369,Calc!$C$5:$C$1369,"TRN")</f>
        <v>-7.9000777049833</v>
      </c>
    </row>
    <row r="47" customFormat="false" ht="15" hidden="false" customHeight="false" outlineLevel="0" collapsed="false">
      <c r="A47" s="6" t="s">
        <v>80</v>
      </c>
      <c r="B47" s="7" t="n">
        <f aca="false">SUMIFS(Calc!$J$5:$J$1369,Calc!$B$5:$B$1369,"AE",Calc!$C$5:$C$1369,"BLD")</f>
        <v>271.425</v>
      </c>
      <c r="C47" s="7" t="n">
        <f aca="false">SUMIFS(Calc!$J$5:$J$1369,Calc!$B$5:$B$1369,"China",Calc!$C$5:$C$1369,"BLD")</f>
        <v>98.175</v>
      </c>
      <c r="D47" s="7" t="n">
        <f aca="false">SUMIFS(Calc!$J$5:$J$1369,Calc!$B$5:$B$1369,"EMDC",Calc!$C$5:$C$1369,"BLD")</f>
        <v>184.8</v>
      </c>
      <c r="E47" s="8" t="n">
        <f aca="false">SUM(B47:D47)</f>
        <v>554.4</v>
      </c>
      <c r="F47" s="7" t="n">
        <f aca="false">SUMIFS(Calc!$L$5:$L$1369,Calc!$C$5:$C$1369,"BLD")</f>
        <v>184.8</v>
      </c>
      <c r="G47" s="7" t="n">
        <f aca="false">SUMIFS(Calc!$AC$5:$AC$1369,Calc!$C$5:$C$1369,"BLD")</f>
        <v>-10.8321088934981</v>
      </c>
      <c r="H47" s="7" t="n">
        <f aca="false">SUMIFS(Calc!$AE$5:$AE$1369,Calc!$C$5:$C$1369,"BLD")</f>
        <v>-10.8251140977609</v>
      </c>
      <c r="I47" s="7" t="n">
        <f aca="false">SUMIFS(Calc!$AF$5:$AF$1369,Calc!$C$5:$C$1369,"BLD")</f>
        <v>-35.5291312231137</v>
      </c>
    </row>
    <row r="48" customFormat="false" ht="15" hidden="false" customHeight="false" outlineLevel="0" collapsed="false">
      <c r="A48" s="6" t="s">
        <v>81</v>
      </c>
      <c r="B48" s="7" t="n">
        <f aca="false">SUMIFS(Calc!$J$5:$J$1369,Calc!$B$5:$B$1369,"AE",Calc!$C$5:$C$1369,"IND")</f>
        <v>155.1</v>
      </c>
      <c r="C48" s="7" t="n">
        <f aca="false">SUMIFS(Calc!$J$5:$J$1369,Calc!$B$5:$B$1369,"China",Calc!$C$5:$C$1369,"IND")</f>
        <v>56.1</v>
      </c>
      <c r="D48" s="7" t="n">
        <f aca="false">SUMIFS(Calc!$J$5:$J$1369,Calc!$B$5:$B$1369,"EMDC",Calc!$C$5:$C$1369,"IND")</f>
        <v>105.6</v>
      </c>
      <c r="E48" s="8" t="n">
        <f aca="false">SUM(B48:D48)</f>
        <v>316.8</v>
      </c>
      <c r="F48" s="7" t="n">
        <f aca="false">SUMIFS(Calc!$L$5:$L$1369,Calc!$C$5:$C$1369,"IND")</f>
        <v>105.6</v>
      </c>
      <c r="G48" s="7" t="n">
        <f aca="false">SUMIFS(Calc!$AC$5:$AC$1369,Calc!$C$5:$C$1369,"IND")</f>
        <v>-6.01991904232039</v>
      </c>
      <c r="H48" s="7" t="n">
        <f aca="false">SUMIFS(Calc!$AE$5:$AE$1369,Calc!$C$5:$C$1369,"IND")</f>
        <v>-5.99187232647286</v>
      </c>
      <c r="I48" s="7" t="n">
        <f aca="false">SUMIFS(Calc!$AF$5:$AF$1369,Calc!$C$5:$C$1369,"IND")</f>
        <v>-20.0683619376703</v>
      </c>
    </row>
    <row r="49" customFormat="false" ht="15" hidden="false" customHeight="false" outlineLevel="0" collapsed="false">
      <c r="A49" s="6" t="s">
        <v>82</v>
      </c>
      <c r="B49" s="7" t="n">
        <f aca="false">SUMIFS(Calc!$J$5:$J$1369,Calc!$B$5:$B$1369,"AE",Calc!$C$5:$C$1369,"FUEL")</f>
        <v>188</v>
      </c>
      <c r="C49" s="7" t="n">
        <f aca="false">SUMIFS(Calc!$J$5:$J$1369,Calc!$B$5:$B$1369,"China",Calc!$C$5:$C$1369,"FUEL")</f>
        <v>68</v>
      </c>
      <c r="D49" s="7" t="n">
        <f aca="false">SUMIFS(Calc!$J$5:$J$1369,Calc!$B$5:$B$1369,"EMDC",Calc!$C$5:$C$1369,"FUEL")</f>
        <v>128</v>
      </c>
      <c r="E49" s="8" t="n">
        <f aca="false">SUM(B49:D49)</f>
        <v>384</v>
      </c>
      <c r="F49" s="7" t="n">
        <f aca="false">SUMIFS(Calc!$L$5:$L$1369,Calc!$C$5:$C$1369,"FUEL")</f>
        <v>128</v>
      </c>
      <c r="G49" s="7" t="n">
        <f aca="false">SUMIFS(Calc!$AC$5:$AC$1369,Calc!$C$5:$C$1369,"FUEL")</f>
        <v>11.1359477651417</v>
      </c>
      <c r="H49" s="7" t="n">
        <f aca="false">SUMIFS(Calc!$AE$5:$AE$1369,Calc!$C$5:$C$1369,"FUEL")</f>
        <v>11.159623293037</v>
      </c>
      <c r="I49" s="7" t="n">
        <f aca="false">SUMIFS(Calc!$AF$5:$AF$1369,Calc!$C$5:$C$1369,"FUEL")</f>
        <v>11.159623293037</v>
      </c>
    </row>
    <row r="50" customFormat="false" ht="15" hidden="false" customHeight="false" outlineLevel="0" collapsed="false">
      <c r="A50" s="6" t="s">
        <v>83</v>
      </c>
      <c r="B50" s="7" t="n">
        <f aca="false">SUMIFS(Calc!$J$5:$J$1369,Calc!$B$5:$B$1369,"AE",Calc!$C$5:$C$1369,"AFOLU")</f>
        <v>35.984375</v>
      </c>
      <c r="C50" s="7" t="n">
        <f aca="false">SUMIFS(Calc!$J$5:$J$1369,Calc!$B$5:$B$1369,"China",Calc!$C$5:$C$1369,"AFOLU")</f>
        <v>13.015625</v>
      </c>
      <c r="D50" s="7" t="n">
        <f aca="false">SUMIFS(Calc!$J$5:$J$1369,Calc!$B$5:$B$1369,"EMDC",Calc!$C$5:$C$1369,"AFOLU")</f>
        <v>350</v>
      </c>
      <c r="E50" s="8" t="n">
        <f aca="false">SUM(B50:D50)</f>
        <v>399</v>
      </c>
      <c r="F50" s="7" t="n">
        <f aca="false">SUMIFS(Calc!$L$5:$L$1369,Calc!$C$5:$C$1369,"AFOLU")</f>
        <v>102.62</v>
      </c>
      <c r="G50" s="7" t="n">
        <f aca="false">SUMIFS(Calc!$AC$5:$AC$1369,Calc!$C$5:$C$1369,"AFOLU")</f>
        <v>9.76981555353316</v>
      </c>
      <c r="H50" s="7" t="n">
        <f aca="false">SUMIFS(Calc!$AE$5:$AE$1369,Calc!$C$5:$C$1369,"AFOLU")</f>
        <v>7.45523129710864</v>
      </c>
      <c r="I50" s="7" t="n">
        <f aca="false">SUMIFS(Calc!$AF$5:$AF$1369,Calc!$C$5:$C$1369,"AFOLU")</f>
        <v>-5.78274870289136</v>
      </c>
    </row>
    <row r="51" customFormat="false" ht="15" hidden="false" customHeight="false" outlineLevel="0" collapsed="false">
      <c r="A51" s="9" t="s">
        <v>84</v>
      </c>
      <c r="B51" s="8" t="n">
        <f aca="false">SUM(B44:B50)</f>
        <v>2385.984375</v>
      </c>
      <c r="C51" s="8" t="n">
        <f aca="false">SUM(C44:C50)</f>
        <v>863.015625</v>
      </c>
      <c r="D51" s="8" t="n">
        <f aca="false">SUM(D44:D50)</f>
        <v>1950</v>
      </c>
      <c r="E51" s="8" t="n">
        <f aca="false">SUM(E44:E50)</f>
        <v>5199</v>
      </c>
      <c r="F51" s="8" t="n">
        <f aca="false">SUM(F44:F50)</f>
        <v>1702.62</v>
      </c>
      <c r="G51" s="8" t="n">
        <f aca="false">SUM(G44:G50)</f>
        <v>39.6741125481807</v>
      </c>
      <c r="H51" s="8" t="n">
        <f aca="false">SUM(H44:H50)</f>
        <v>37.8727741601316</v>
      </c>
      <c r="I51" s="8" t="n">
        <f aca="false">SUM(I44:I50)</f>
        <v>-42.5248496516237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8"/>
    <col collapsed="false" customWidth="true" hidden="false" outlineLevel="0" max="11" min="11" style="0" width="17"/>
    <col collapsed="false" customWidth="true" hidden="false" outlineLevel="0" max="17" min="12" style="0" width="9"/>
    <col collapsed="false" customWidth="true" hidden="false" outlineLevel="0" max="20" min="18" style="0" width="8"/>
    <col collapsed="false" customWidth="true" hidden="false" outlineLevel="0" max="23" min="21" style="0" width="9"/>
    <col collapsed="false" customWidth="true" hidden="false" outlineLevel="0" max="26" min="24" style="0" width="8"/>
    <col collapsed="false" customWidth="true" hidden="false" outlineLevel="0" max="28" min="27" style="0" width="9"/>
    <col collapsed="false" customWidth="true" hidden="false" outlineLevel="0" max="29" min="29" style="0" width="8"/>
    <col collapsed="false" customWidth="true" hidden="false" outlineLevel="0" max="30" min="30" style="0" width="7"/>
    <col collapsed="false" customWidth="true" hidden="false" outlineLevel="0" max="33" min="31" style="0" width="8"/>
  </cols>
  <sheetData>
    <row r="1" customFormat="false" ht="16.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4" t="s">
        <v>86</v>
      </c>
    </row>
    <row r="4" customFormat="false" ht="48" hidden="false" customHeight="true" outlineLevel="0" collapsed="false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  <c r="I4" s="5" t="s">
        <v>95</v>
      </c>
      <c r="J4" s="5" t="s">
        <v>96</v>
      </c>
      <c r="K4" s="5" t="s">
        <v>97</v>
      </c>
      <c r="L4" s="5" t="s">
        <v>98</v>
      </c>
      <c r="M4" s="5" t="s">
        <v>36</v>
      </c>
      <c r="N4" s="5" t="s">
        <v>99</v>
      </c>
      <c r="O4" s="5" t="s">
        <v>100</v>
      </c>
      <c r="P4" s="5" t="s">
        <v>101</v>
      </c>
      <c r="Q4" s="5" t="s">
        <v>102</v>
      </c>
      <c r="R4" s="5" t="s">
        <v>103</v>
      </c>
      <c r="S4" s="5" t="s">
        <v>104</v>
      </c>
      <c r="T4" s="5" t="s">
        <v>105</v>
      </c>
      <c r="U4" s="5" t="s">
        <v>106</v>
      </c>
      <c r="V4" s="5" t="s">
        <v>107</v>
      </c>
      <c r="W4" s="5" t="s">
        <v>108</v>
      </c>
      <c r="X4" s="5" t="s">
        <v>109</v>
      </c>
      <c r="Y4" s="5" t="s">
        <v>110</v>
      </c>
      <c r="Z4" s="5" t="s">
        <v>111</v>
      </c>
      <c r="AA4" s="5" t="s">
        <v>112</v>
      </c>
      <c r="AB4" s="5" t="s">
        <v>113</v>
      </c>
      <c r="AC4" s="5" t="s">
        <v>114</v>
      </c>
      <c r="AD4" s="5" t="s">
        <v>115</v>
      </c>
      <c r="AE4" s="5" t="s">
        <v>116</v>
      </c>
      <c r="AF4" s="5" t="s">
        <v>117</v>
      </c>
      <c r="AG4" s="5" t="s">
        <v>118</v>
      </c>
    </row>
    <row r="5" customFormat="false" ht="15" hidden="false" customHeight="false" outlineLevel="0" collapsed="false">
      <c r="A5" s="14" t="str">
        <f aca="false">Country_Data!A5</f>
        <v>USA</v>
      </c>
      <c r="B5" s="14" t="str">
        <f aca="false">Country_Data!B5</f>
        <v>United States</v>
      </c>
      <c r="C5" s="14" t="str">
        <f aca="false">Country_Data!E5</f>
        <v>AE</v>
      </c>
      <c r="D5" s="14" t="str">
        <f aca="false">Country_Data!D5</f>
        <v>High income</v>
      </c>
      <c r="E5" s="15" t="n">
        <f aca="false">Country_Data!BV5</f>
        <v>33560.1534554062</v>
      </c>
      <c r="F5" s="16" t="n">
        <f aca="false">SUMIFS(Calc!$J$5:$J$1369,Calc!$A$5:$A$1369,A5)</f>
        <v>1069.09363391628</v>
      </c>
      <c r="G5" s="11" t="n">
        <f aca="false">IFERROR(F5/E5,"")</f>
        <v>0.0318560412823159</v>
      </c>
      <c r="H5" s="16" t="n">
        <f aca="false">SUMIFS(Calc!$L$5:$L$1369,Calc!$A$5:$A$1369,A5)</f>
        <v>406.255580888186</v>
      </c>
      <c r="I5" s="11" t="n">
        <f aca="false">IFERROR(H5/E5,"")</f>
        <v>0.01210529568728</v>
      </c>
      <c r="J5" s="17" t="n">
        <f aca="false">Country_Data!DW5</f>
        <v>0.05705</v>
      </c>
      <c r="K5" s="14" t="str">
        <f aca="false">Country_Data!DV5</f>
        <v>Observed (IRENA/Steffen)</v>
      </c>
      <c r="L5" s="16" t="n">
        <f aca="false">SUMIFS(Calc!$W$5:$W$1369,Calc!$A$5:$A$1369,A5)</f>
        <v>18.3075993605111</v>
      </c>
      <c r="M5" s="16" t="n">
        <f aca="false">SUMIFS(Calc!$X$5:$X$1369,Calc!$A$5:$A$1369,A5)</f>
        <v>7.1875017573755</v>
      </c>
      <c r="N5" s="18" t="n">
        <f aca="false">SUMIFS(Calc!$AC$5:$AC$1369,Calc!$A$5:$A$1369,A5)</f>
        <v>14.3254794404242</v>
      </c>
      <c r="O5" s="18" t="n">
        <f aca="false">SUMIFS(Calc!$AD$5:$AD$1369,Calc!$A$5:$A$1369,A5)</f>
        <v>18.9679043006057</v>
      </c>
      <c r="P5" s="18" t="n">
        <f aca="false">SUMIFS(Calc!$AE$5:$AE$1369,Calc!$A$5:$A$1369,A5)</f>
        <v>15.2176292980308</v>
      </c>
      <c r="Q5" s="18" t="n">
        <f aca="false">SUMIFS(Calc!$AF$5:$AF$1369,Calc!$A$5:$A$1369,A5)</f>
        <v>8.03012754065534</v>
      </c>
      <c r="R5" s="11" t="n">
        <f aca="false">IFERROR(N5/E5,"")</f>
        <v>0.000426859771647333</v>
      </c>
      <c r="S5" s="11" t="n">
        <f aca="false">IFERROR(P5/E5,"")</f>
        <v>0.00045344337648073</v>
      </c>
      <c r="T5" s="11" t="n">
        <f aca="false">IFERROR(Q5/E5,"")</f>
        <v>0.000239275650253672</v>
      </c>
      <c r="U5" s="16" t="n">
        <f aca="false">SUMIFS(Calc!$AG$5:$AG$1369,Calc!$A$5:$A$1369,A5)</f>
        <v>-1.46838758755852</v>
      </c>
      <c r="V5" s="16" t="n">
        <f aca="false">SUMIFS(Calc!$AH$5:$AH$1369,Calc!$A$5:$A$1369,A5)</f>
        <v>-10.9669027157724</v>
      </c>
      <c r="W5" s="16" t="n">
        <f aca="false">SUMIFS(Calc!$Y$5:$Y$1369,Calc!$A$5:$A$1369,A5)</f>
        <v>189.970302564277</v>
      </c>
      <c r="X5" s="7" t="n">
        <f aca="false">IFERROR(N5/W5*1000,"")</f>
        <v>75.4090468197106</v>
      </c>
      <c r="Y5" s="7" t="n">
        <f aca="false">IFERROR(P5/W5*1000,"")</f>
        <v>80.1053064222072</v>
      </c>
      <c r="Z5" s="7" t="n">
        <f aca="false">IFERROR(Q5/W5*1000,"")</f>
        <v>42.2704361274485</v>
      </c>
      <c r="AA5" s="16" t="n">
        <f aca="false">SUMIFS(Calc!$AM$5:$AM$1369,Calc!$A$5:$A$1369,A5)</f>
        <v>-2.34776278317546</v>
      </c>
      <c r="AB5" s="16" t="n">
        <f aca="false">SUMIFS(Calc!$AN$5:$AN$1369,Calc!$A$5:$A$1369,A5)</f>
        <v>1117.0185209539</v>
      </c>
      <c r="AC5" s="17" t="n">
        <f aca="false">Country_Data!DY5</f>
        <v>0.13</v>
      </c>
      <c r="AD5" s="12" t="str">
        <f aca="false">IF(Country_Data!BD5="","",Country_Data!BD5)</f>
        <v/>
      </c>
      <c r="AE5" s="7" t="str">
        <f aca="false">IF(Country_Data!BC5="","",Country_Data!BC5)</f>
        <v/>
      </c>
      <c r="AF5" s="12" t="str">
        <f aca="false">IF(Country_Data!BL5="","",Country_Data!BL5)</f>
        <v/>
      </c>
      <c r="AG5" s="7" t="n">
        <f aca="false">IF(Country_Data!BA5="","",Country_Data!BA5)</f>
        <v>122.27</v>
      </c>
    </row>
    <row r="6" customFormat="false" ht="15" hidden="false" customHeight="false" outlineLevel="0" collapsed="false">
      <c r="A6" s="14" t="str">
        <f aca="false">Country_Data!A6</f>
        <v>CHN</v>
      </c>
      <c r="B6" s="14" t="str">
        <f aca="false">Country_Data!B6</f>
        <v>China</v>
      </c>
      <c r="C6" s="14" t="str">
        <f aca="false">Country_Data!E6</f>
        <v>China</v>
      </c>
      <c r="D6" s="14" t="str">
        <f aca="false">Country_Data!D6</f>
        <v>Upper middle income</v>
      </c>
      <c r="E6" s="15" t="n">
        <f aca="false">Country_Data!BV6</f>
        <v>24676.85061081</v>
      </c>
      <c r="F6" s="16" t="n">
        <f aca="false">SUMIFS(Calc!$J$5:$J$1369,Calc!$A$5:$A$1369,A6)</f>
        <v>863.015625</v>
      </c>
      <c r="G6" s="11" t="n">
        <f aca="false">IFERROR(F6/E6,"")</f>
        <v>0.0349726810204033</v>
      </c>
      <c r="H6" s="16" t="n">
        <f aca="false">SUMIFS(Calc!$L$5:$L$1369,Calc!$A$5:$A$1369,A6)</f>
        <v>327.9459375</v>
      </c>
      <c r="I6" s="11" t="n">
        <f aca="false">IFERROR(H6/E6,"")</f>
        <v>0.0132896187877532</v>
      </c>
      <c r="J6" s="17" t="n">
        <f aca="false">Country_Data!DW6</f>
        <v>0.0388999999999999</v>
      </c>
      <c r="K6" s="14" t="str">
        <f aca="false">Country_Data!DV6</f>
        <v>Observed (IRENA/Steffen)</v>
      </c>
      <c r="L6" s="16" t="n">
        <f aca="false">SUMIFS(Calc!$W$5:$W$1369,Calc!$A$5:$A$1369,A6)</f>
        <v>17.589970350838</v>
      </c>
      <c r="M6" s="16" t="n">
        <f aca="false">SUMIFS(Calc!$X$5:$X$1369,Calc!$A$5:$A$1369,A6)</f>
        <v>36.459081589827</v>
      </c>
      <c r="N6" s="18" t="n">
        <f aca="false">SUMIFS(Calc!$AC$5:$AC$1369,Calc!$A$5:$A$1369,A6)</f>
        <v>4.36791225171431</v>
      </c>
      <c r="O6" s="18" t="n">
        <f aca="false">SUMIFS(Calc!$AD$5:$AD$1369,Calc!$A$5:$A$1369,A6)</f>
        <v>9.05496346056703</v>
      </c>
      <c r="P6" s="18" t="n">
        <f aca="false">SUMIFS(Calc!$AE$5:$AE$1369,Calc!$A$5:$A$1369,A6)</f>
        <v>9.32500893017865</v>
      </c>
      <c r="Q6" s="18" t="n">
        <f aca="false">SUMIFS(Calc!$AF$5:$AF$1369,Calc!$A$5:$A$1369,A6)</f>
        <v>-27.1340726596484</v>
      </c>
      <c r="R6" s="11" t="n">
        <f aca="false">IFERROR(N6/E6,"")</f>
        <v>0.000177004445202618</v>
      </c>
      <c r="S6" s="11" t="n">
        <f aca="false">IFERROR(P6/E6,"")</f>
        <v>0.000377884888037281</v>
      </c>
      <c r="T6" s="11" t="n">
        <f aca="false">IFERROR(Q6/E6,"")</f>
        <v>-0.00109957599888221</v>
      </c>
      <c r="U6" s="16" t="n">
        <f aca="false">SUMIFS(Calc!$AG$5:$AG$1369,Calc!$A$5:$A$1369,A6)</f>
        <v>-37.1991219016364</v>
      </c>
      <c r="V6" s="16" t="n">
        <f aca="false">SUMIFS(Calc!$AH$5:$AH$1369,Calc!$A$5:$A$1369,A6)</f>
        <v>-47.2641711436245</v>
      </c>
      <c r="W6" s="16" t="n">
        <f aca="false">SUMIFS(Calc!$Y$5:$Y$1369,Calc!$A$5:$A$1369,A6)</f>
        <v>201.300984839761</v>
      </c>
      <c r="X6" s="7" t="n">
        <f aca="false">IFERROR(N6/W6*1000,"")</f>
        <v>21.6984147156123</v>
      </c>
      <c r="Y6" s="7" t="n">
        <f aca="false">IFERROR(P6/W6*1000,"")</f>
        <v>46.3237124130392</v>
      </c>
      <c r="Z6" s="7" t="n">
        <f aca="false">IFERROR(Q6/W6*1000,"")</f>
        <v>-134.793541528113</v>
      </c>
      <c r="AA6" s="16" t="n">
        <f aca="false">SUMIFS(Calc!$AM$5:$AM$1369,Calc!$A$5:$A$1369,A6)</f>
        <v>-13.0449912591167</v>
      </c>
      <c r="AB6" s="16" t="n">
        <f aca="false">SUMIFS(Calc!$AN$5:$AN$1369,Calc!$A$5:$A$1369,A6)</f>
        <v>1022.61440496575</v>
      </c>
      <c r="AC6" s="17" t="n">
        <f aca="false">Country_Data!DY6</f>
        <v>0.27</v>
      </c>
      <c r="AD6" s="12" t="str">
        <f aca="false">IF(Country_Data!BD6="","",Country_Data!BD6)</f>
        <v/>
      </c>
      <c r="AE6" s="7" t="str">
        <f aca="false">IF(Country_Data!BC6="","",Country_Data!BC6)</f>
        <v/>
      </c>
      <c r="AF6" s="12" t="n">
        <f aca="false">IF(Country_Data!BL6="","",Country_Data!BL6)</f>
        <v>0.656</v>
      </c>
      <c r="AG6" s="7" t="n">
        <f aca="false">IF(Country_Data!BA6="","",Country_Data!BA6)</f>
        <v>90.421</v>
      </c>
    </row>
    <row r="7" customFormat="false" ht="15" hidden="false" customHeight="false" outlineLevel="0" collapsed="false">
      <c r="A7" s="14" t="str">
        <f aca="false">Country_Data!A7</f>
        <v>DEU</v>
      </c>
      <c r="B7" s="14" t="str">
        <f aca="false">Country_Data!B7</f>
        <v>Germany</v>
      </c>
      <c r="C7" s="14" t="str">
        <f aca="false">Country_Data!E7</f>
        <v>AE</v>
      </c>
      <c r="D7" s="14" t="str">
        <f aca="false">Country_Data!D7</f>
        <v>High income</v>
      </c>
      <c r="E7" s="15" t="n">
        <f aca="false">Country_Data!BV7</f>
        <v>4884.08922541054</v>
      </c>
      <c r="F7" s="16" t="n">
        <f aca="false">SUMIFS(Calc!$J$5:$J$1369,Calc!$A$5:$A$1369,A7)</f>
        <v>152.274704467105</v>
      </c>
      <c r="G7" s="11" t="n">
        <f aca="false">IFERROR(F7/E7,"")</f>
        <v>0.0311777073348421</v>
      </c>
      <c r="H7" s="16" t="n">
        <f aca="false">SUMIFS(Calc!$L$5:$L$1369,Calc!$A$5:$A$1369,A7)</f>
        <v>57.8643876974999</v>
      </c>
      <c r="I7" s="11" t="n">
        <f aca="false">IFERROR(H7/E7,"")</f>
        <v>0.01184752878724</v>
      </c>
      <c r="J7" s="17" t="n">
        <f aca="false">Country_Data!DW7</f>
        <v>0.0232</v>
      </c>
      <c r="K7" s="14" t="str">
        <f aca="false">Country_Data!DV7</f>
        <v>Observed (IRENA/Steffen)</v>
      </c>
      <c r="L7" s="16" t="n">
        <f aca="false">SUMIFS(Calc!$W$5:$W$1369,Calc!$A$5:$A$1369,A7)</f>
        <v>4.30588786045838</v>
      </c>
      <c r="M7" s="16" t="n">
        <f aca="false">SUMIFS(Calc!$X$5:$X$1369,Calc!$A$5:$A$1369,A7)</f>
        <v>1.43378635012794</v>
      </c>
      <c r="N7" s="18" t="n">
        <f aca="false">SUMIFS(Calc!$AC$5:$AC$1369,Calc!$A$5:$A$1369,A7)</f>
        <v>-1.01477412791855</v>
      </c>
      <c r="O7" s="18" t="n">
        <f aca="false">SUMIFS(Calc!$AD$5:$AD$1369,Calc!$A$5:$A$1369,A7)</f>
        <v>-0.451424513850598</v>
      </c>
      <c r="P7" s="18" t="n">
        <f aca="false">SUMIFS(Calc!$AE$5:$AE$1369,Calc!$A$5:$A$1369,A7)</f>
        <v>0.450124014839348</v>
      </c>
      <c r="Q7" s="18" t="n">
        <f aca="false">SUMIFS(Calc!$AF$5:$AF$1369,Calc!$A$5:$A$1369,A7)</f>
        <v>-0.983662335288596</v>
      </c>
      <c r="R7" s="11" t="n">
        <f aca="false">IFERROR(N7/E7,"")</f>
        <v>-0.000207771414706957</v>
      </c>
      <c r="S7" s="11" t="n">
        <f aca="false">IFERROR(P7/E7,"")</f>
        <v>9.21613005138153E-005</v>
      </c>
      <c r="T7" s="11" t="n">
        <f aca="false">IFERROR(Q7/E7,"")</f>
        <v>-0.000201401385169394</v>
      </c>
      <c r="U7" s="16" t="n">
        <f aca="false">SUMIFS(Calc!$AG$5:$AG$1369,Calc!$A$5:$A$1369,A7)</f>
        <v>-2.25217719124166</v>
      </c>
      <c r="V7" s="16" t="n">
        <f aca="false">SUMIFS(Calc!$AH$5:$AH$1369,Calc!$A$5:$A$1369,A7)</f>
        <v>-3.52069204719472</v>
      </c>
      <c r="W7" s="16" t="n">
        <f aca="false">SUMIFS(Calc!$Y$5:$Y$1369,Calc!$A$5:$A$1369,A7)</f>
        <v>25.3702971190612</v>
      </c>
      <c r="X7" s="7" t="n">
        <f aca="false">IFERROR(N7/W7*1000,"")</f>
        <v>-39.9985117697392</v>
      </c>
      <c r="Y7" s="7" t="n">
        <f aca="false">IFERROR(P7/W7*1000,"")</f>
        <v>17.7421656800842</v>
      </c>
      <c r="Z7" s="7" t="n">
        <f aca="false">IFERROR(Q7/W7*1000,"")</f>
        <v>-38.7722039939985</v>
      </c>
      <c r="AA7" s="16" t="n">
        <f aca="false">SUMIFS(Calc!$AM$5:$AM$1369,Calc!$A$5:$A$1369,A7)</f>
        <v>-3.85499511252079</v>
      </c>
      <c r="AB7" s="16" t="n">
        <f aca="false">SUMIFS(Calc!$AN$5:$AN$1369,Calc!$A$5:$A$1369,A7)</f>
        <v>159.100811908734</v>
      </c>
      <c r="AC7" s="17" t="n">
        <f aca="false">Country_Data!DY7</f>
        <v>0.13</v>
      </c>
      <c r="AD7" s="12" t="str">
        <f aca="false">IF(Country_Data!BD7="","",Country_Data!BD7)</f>
        <v/>
      </c>
      <c r="AE7" s="7" t="str">
        <f aca="false">IF(Country_Data!BC7="","",Country_Data!BC7)</f>
        <v/>
      </c>
      <c r="AF7" s="12" t="str">
        <f aca="false">IF(Country_Data!BL7="","",Country_Data!BL7)</f>
        <v/>
      </c>
      <c r="AG7" s="7" t="n">
        <f aca="false">IF(Country_Data!BA7="","",Country_Data!BA7)</f>
        <v>62.227</v>
      </c>
    </row>
    <row r="8" customFormat="false" ht="15" hidden="false" customHeight="false" outlineLevel="0" collapsed="false">
      <c r="A8" s="14" t="str">
        <f aca="false">Country_Data!A8</f>
        <v>JPN</v>
      </c>
      <c r="B8" s="14" t="str">
        <f aca="false">Country_Data!B8</f>
        <v>Japan</v>
      </c>
      <c r="C8" s="14" t="str">
        <f aca="false">Country_Data!E8</f>
        <v>AE</v>
      </c>
      <c r="D8" s="14" t="str">
        <f aca="false">Country_Data!D8</f>
        <v>High income</v>
      </c>
      <c r="E8" s="15" t="n">
        <f aca="false">Country_Data!BV8</f>
        <v>4394.63033687055</v>
      </c>
      <c r="F8" s="16" t="n">
        <f aca="false">SUMIFS(Calc!$J$5:$J$1369,Calc!$A$5:$A$1369,A8)</f>
        <v>190.590344404394</v>
      </c>
      <c r="G8" s="11" t="n">
        <f aca="false">IFERROR(F8/E8,"")</f>
        <v>0.0433689138322645</v>
      </c>
      <c r="H8" s="16" t="n">
        <f aca="false">SUMIFS(Calc!$L$5:$L$1369,Calc!$A$5:$A$1369,A8)</f>
        <v>72.4243308736699</v>
      </c>
      <c r="I8" s="11" t="n">
        <f aca="false">IFERROR(H8/E8,"")</f>
        <v>0.0164801872562605</v>
      </c>
      <c r="J8" s="17" t="n">
        <f aca="false">Country_Data!DW8</f>
        <v>0.055</v>
      </c>
      <c r="K8" s="14" t="str">
        <f aca="false">Country_Data!DV8</f>
        <v>Group default (IHLEG)</v>
      </c>
      <c r="L8" s="16" t="n">
        <f aca="false">SUMIFS(Calc!$W$5:$W$1369,Calc!$A$5:$A$1369,A8)</f>
        <v>7.1954829225558</v>
      </c>
      <c r="M8" s="16" t="n">
        <f aca="false">SUMIFS(Calc!$X$5:$X$1369,Calc!$A$5:$A$1369,A8)</f>
        <v>2.26741508772161</v>
      </c>
      <c r="N8" s="18" t="n">
        <f aca="false">SUMIFS(Calc!$AC$5:$AC$1369,Calc!$A$5:$A$1369,A8)</f>
        <v>-1.62936276483711</v>
      </c>
      <c r="O8" s="18" t="n">
        <f aca="false">SUMIFS(Calc!$AD$5:$AD$1369,Calc!$A$5:$A$1369,A8)</f>
        <v>-0.801658502998607</v>
      </c>
      <c r="P8" s="18" t="n">
        <f aca="false">SUMIFS(Calc!$AE$5:$AE$1369,Calc!$A$5:$A$1369,A8)</f>
        <v>-1.35888440724199</v>
      </c>
      <c r="Q8" s="18" t="n">
        <f aca="false">SUMIFS(Calc!$AF$5:$AF$1369,Calc!$A$5:$A$1369,A8)</f>
        <v>-3.6262994949636</v>
      </c>
      <c r="R8" s="11" t="n">
        <f aca="false">IFERROR(N8/E8,"")</f>
        <v>-0.000370762189294262</v>
      </c>
      <c r="S8" s="11" t="n">
        <f aca="false">IFERROR(P8/E8,"")</f>
        <v>-0.000309214724123909</v>
      </c>
      <c r="T8" s="11" t="n">
        <f aca="false">IFERROR(Q8/E8,"")</f>
        <v>-0.000825165990536059</v>
      </c>
      <c r="U8" s="16" t="n">
        <f aca="false">SUMIFS(Calc!$AG$5:$AG$1369,Calc!$A$5:$A$1369,A8)</f>
        <v>-5.68197363946051</v>
      </c>
      <c r="V8" s="16" t="n">
        <f aca="false">SUMIFS(Calc!$AH$5:$AH$1369,Calc!$A$5:$A$1369,A8)</f>
        <v>-7.73764778395741</v>
      </c>
      <c r="W8" s="16" t="n">
        <f aca="false">SUMIFS(Calc!$Y$5:$Y$1369,Calc!$A$5:$A$1369,A8)</f>
        <v>41.1134828899381</v>
      </c>
      <c r="X8" s="7" t="n">
        <f aca="false">IFERROR(N8/W8*1000,"")</f>
        <v>-39.6308619534607</v>
      </c>
      <c r="Y8" s="7" t="n">
        <f aca="false">IFERROR(P8/W8*1000,"")</f>
        <v>-33.0520382055628</v>
      </c>
      <c r="Z8" s="7" t="n">
        <f aca="false">IFERROR(Q8/W8*1000,"")</f>
        <v>-88.2021964587943</v>
      </c>
      <c r="AA8" s="16" t="n">
        <f aca="false">SUMIFS(Calc!$AM$5:$AM$1369,Calc!$A$5:$A$1369,A8)</f>
        <v>-0.711785151566108</v>
      </c>
      <c r="AB8" s="16" t="n">
        <f aca="false">SUMIFS(Calc!$AN$5:$AN$1369,Calc!$A$5:$A$1369,A8)</f>
        <v>199.134049498384</v>
      </c>
      <c r="AC8" s="17" t="n">
        <f aca="false">Country_Data!DY8</f>
        <v>0.13</v>
      </c>
      <c r="AD8" s="12" t="str">
        <f aca="false">IF(Country_Data!BD8="","",Country_Data!BD8)</f>
        <v/>
      </c>
      <c r="AE8" s="7" t="str">
        <f aca="false">IF(Country_Data!BC8="","",Country_Data!BC8)</f>
        <v/>
      </c>
      <c r="AF8" s="12" t="str">
        <f aca="false">IF(Country_Data!BL8="","",Country_Data!BL8)</f>
        <v/>
      </c>
      <c r="AG8" s="7" t="n">
        <f aca="false">IF(Country_Data!BA8="","",Country_Data!BA8)</f>
        <v>214.487</v>
      </c>
    </row>
    <row r="9" customFormat="false" ht="15" hidden="false" customHeight="false" outlineLevel="0" collapsed="false">
      <c r="A9" s="14" t="str">
        <f aca="false">Country_Data!A9</f>
        <v>IND</v>
      </c>
      <c r="B9" s="14" t="str">
        <f aca="false">Country_Data!B9</f>
        <v>India</v>
      </c>
      <c r="C9" s="14" t="str">
        <f aca="false">Country_Data!E9</f>
        <v>EMDC</v>
      </c>
      <c r="D9" s="14" t="str">
        <f aca="false">Country_Data!D9</f>
        <v>Lower middle income</v>
      </c>
      <c r="E9" s="15" t="n">
        <f aca="false">Country_Data!BV9</f>
        <v>5539.4442652124</v>
      </c>
      <c r="F9" s="16" t="n">
        <f aca="false">SUMIFS(Calc!$J$5:$J$1369,Calc!$A$5:$A$1369,A9)</f>
        <v>291.815551733157</v>
      </c>
      <c r="G9" s="11" t="n">
        <f aca="false">IFERROR(F9/E9,"")</f>
        <v>0.0526795717696363</v>
      </c>
      <c r="H9" s="16" t="n">
        <f aca="false">SUMIFS(Calc!$L$5:$L$1369,Calc!$A$5:$A$1369,A9)</f>
        <v>70.0357324159577</v>
      </c>
      <c r="I9" s="11" t="n">
        <f aca="false">IFERROR(H9/E9,"")</f>
        <v>0.0126430972247127</v>
      </c>
      <c r="J9" s="17" t="n">
        <f aca="false">Country_Data!DW9</f>
        <v>0.095</v>
      </c>
      <c r="K9" s="14" t="str">
        <f aca="false">Country_Data!DV9</f>
        <v>Observed (IRENA/Steffen)</v>
      </c>
      <c r="L9" s="16" t="n">
        <f aca="false">SUMIFS(Calc!$W$5:$W$1369,Calc!$A$5:$A$1369,A9)</f>
        <v>2.46250899156242</v>
      </c>
      <c r="M9" s="16" t="n">
        <f aca="false">SUMIFS(Calc!$X$5:$X$1369,Calc!$A$5:$A$1369,A9)</f>
        <v>3.89243918954151</v>
      </c>
      <c r="N9" s="18" t="n">
        <f aca="false">SUMIFS(Calc!$AC$5:$AC$1369,Calc!$A$5:$A$1369,A9)</f>
        <v>5.12343870009197</v>
      </c>
      <c r="O9" s="18" t="n">
        <f aca="false">SUMIFS(Calc!$AD$5:$AD$1369,Calc!$A$5:$A$1369,A9)</f>
        <v>7.90470842558155</v>
      </c>
      <c r="P9" s="18" t="n">
        <f aca="false">SUMIFS(Calc!$AE$5:$AE$1369,Calc!$A$5:$A$1369,A9)</f>
        <v>3.15466267141014</v>
      </c>
      <c r="Q9" s="18" t="n">
        <f aca="false">SUMIFS(Calc!$AF$5:$AF$1369,Calc!$A$5:$A$1369,A9)</f>
        <v>-0.737776518131369</v>
      </c>
      <c r="R9" s="11" t="n">
        <f aca="false">IFERROR(N9/E9,"")</f>
        <v>0.000924901209362655</v>
      </c>
      <c r="S9" s="11" t="n">
        <f aca="false">IFERROR(P9/E9,"")</f>
        <v>0.000569490822612182</v>
      </c>
      <c r="T9" s="11" t="n">
        <f aca="false">IFERROR(Q9/E9,"")</f>
        <v>-0.000133186017009791</v>
      </c>
      <c r="U9" s="16" t="n">
        <f aca="false">SUMIFS(Calc!$AG$5:$AG$1369,Calc!$A$5:$A$1369,A9)</f>
        <v>-3.65433841901429</v>
      </c>
      <c r="V9" s="16" t="n">
        <f aca="false">SUMIFS(Calc!$AH$5:$AH$1369,Calc!$A$5:$A$1369,A9)</f>
        <v>-6.5709003198972</v>
      </c>
      <c r="W9" s="16" t="n">
        <f aca="false">SUMIFS(Calc!$Y$5:$Y$1369,Calc!$A$5:$A$1369,A9)</f>
        <v>58.3312380176583</v>
      </c>
      <c r="X9" s="7" t="n">
        <f aca="false">IFERROR(N9/W9*1000,"")</f>
        <v>87.8335326697674</v>
      </c>
      <c r="Y9" s="7" t="n">
        <f aca="false">IFERROR(P9/W9*1000,"")</f>
        <v>54.081874114435</v>
      </c>
      <c r="Z9" s="7" t="n">
        <f aca="false">IFERROR(Q9/W9*1000,"")</f>
        <v>-12.6480517678714</v>
      </c>
      <c r="AA9" s="16" t="n">
        <f aca="false">SUMIFS(Calc!$AM$5:$AM$1369,Calc!$A$5:$A$1369,A9)</f>
        <v>8.20323345284096</v>
      </c>
      <c r="AB9" s="16" t="n">
        <f aca="false">SUMIFS(Calc!$AN$5:$AN$1369,Calc!$A$5:$A$1369,A9)</f>
        <v>334.988263496419</v>
      </c>
      <c r="AC9" s="17" t="n">
        <f aca="false">Country_Data!DY9</f>
        <v>0.27</v>
      </c>
      <c r="AD9" s="12" t="str">
        <f aca="false">IF(Country_Data!BD9="","",Country_Data!BD9)</f>
        <v/>
      </c>
      <c r="AE9" s="7" t="n">
        <f aca="false">IF(Country_Data!BC9="","",Country_Data!BC9)</f>
        <v>106.972</v>
      </c>
      <c r="AF9" s="12" t="n">
        <f aca="false">IF(Country_Data!BL9="","",Country_Data!BL9)</f>
        <v>0.904</v>
      </c>
      <c r="AG9" s="7" t="n">
        <f aca="false">IF(Country_Data!BA9="","",Country_Data!BA9)</f>
        <v>84.782</v>
      </c>
    </row>
    <row r="10" customFormat="false" ht="15" hidden="false" customHeight="false" outlineLevel="0" collapsed="false">
      <c r="A10" s="14" t="str">
        <f aca="false">Country_Data!A10</f>
        <v>GBR</v>
      </c>
      <c r="B10" s="14" t="str">
        <f aca="false">Country_Data!B10</f>
        <v>United Kingdom</v>
      </c>
      <c r="C10" s="14" t="str">
        <f aca="false">Country_Data!E10</f>
        <v>AE</v>
      </c>
      <c r="D10" s="14" t="str">
        <f aca="false">Country_Data!D10</f>
        <v>High income</v>
      </c>
      <c r="E10" s="15" t="n">
        <f aca="false">Country_Data!BV10</f>
        <v>3895.85010099833</v>
      </c>
      <c r="F10" s="16" t="n">
        <f aca="false">SUMIFS(Calc!$J$5:$J$1369,Calc!$A$5:$A$1369,A10)</f>
        <v>104.589828567484</v>
      </c>
      <c r="G10" s="11" t="n">
        <f aca="false">IFERROR(F10/E10,"")</f>
        <v>0.0268464714647727</v>
      </c>
      <c r="H10" s="16" t="n">
        <f aca="false">SUMIFS(Calc!$L$5:$L$1369,Calc!$A$5:$A$1369,A10)</f>
        <v>39.7441348556438</v>
      </c>
      <c r="I10" s="11" t="n">
        <f aca="false">IFERROR(H10/E10,"")</f>
        <v>0.0102016591566136</v>
      </c>
      <c r="J10" s="17" t="n">
        <f aca="false">Country_Data!DW10</f>
        <v>0.03587</v>
      </c>
      <c r="K10" s="14" t="str">
        <f aca="false">Country_Data!DV10</f>
        <v>Observed (IRENA/Steffen)</v>
      </c>
      <c r="L10" s="16" t="n">
        <f aca="false">SUMIFS(Calc!$W$5:$W$1369,Calc!$A$5:$A$1369,A10)</f>
        <v>4.9009147244296</v>
      </c>
      <c r="M10" s="16" t="n">
        <f aca="false">SUMIFS(Calc!$X$5:$X$1369,Calc!$A$5:$A$1369,A10)</f>
        <v>0.629999012288744</v>
      </c>
      <c r="N10" s="18" t="n">
        <f aca="false">SUMIFS(Calc!$AC$5:$AC$1369,Calc!$A$5:$A$1369,A10)</f>
        <v>-2.30676634358767</v>
      </c>
      <c r="O10" s="18" t="n">
        <f aca="false">SUMIFS(Calc!$AD$5:$AD$1369,Calc!$A$5:$A$1369,A10)</f>
        <v>-1.89268911716557</v>
      </c>
      <c r="P10" s="18" t="n">
        <f aca="false">SUMIFS(Calc!$AE$5:$AE$1369,Calc!$A$5:$A$1369,A10)</f>
        <v>-1.62615613981362</v>
      </c>
      <c r="Q10" s="18" t="n">
        <f aca="false">SUMIFS(Calc!$AF$5:$AF$1369,Calc!$A$5:$A$1369,A10)</f>
        <v>-2.25615515210237</v>
      </c>
      <c r="R10" s="11" t="n">
        <f aca="false">IFERROR(N10/E10,"")</f>
        <v>-0.000592108598582001</v>
      </c>
      <c r="S10" s="11" t="n">
        <f aca="false">IFERROR(P10/E10,"")</f>
        <v>-0.000417407266105262</v>
      </c>
      <c r="T10" s="11" t="n">
        <f aca="false">IFERROR(Q10/E10,"")</f>
        <v>-0.000579117546520646</v>
      </c>
      <c r="U10" s="16" t="n">
        <f aca="false">SUMIFS(Calc!$AG$5:$AG$1369,Calc!$A$5:$A$1369,A10)</f>
        <v>-2.9641410220041</v>
      </c>
      <c r="V10" s="16" t="n">
        <f aca="false">SUMIFS(Calc!$AH$5:$AH$1369,Calc!$A$5:$A$1369,A10)</f>
        <v>-3.67212689190584</v>
      </c>
      <c r="W10" s="16" t="n">
        <f aca="false">SUMIFS(Calc!$Y$5:$Y$1369,Calc!$A$5:$A$1369,A10)</f>
        <v>14.1597173980347</v>
      </c>
      <c r="X10" s="7" t="n">
        <f aca="false">IFERROR(N10/W10*1000,"")</f>
        <v>-162.910478983701</v>
      </c>
      <c r="Y10" s="7" t="n">
        <f aca="false">IFERROR(P10/W10*1000,"")</f>
        <v>-114.843827323794</v>
      </c>
      <c r="Z10" s="7" t="n">
        <f aca="false">IFERROR(Q10/W10*1000,"")</f>
        <v>-159.336170961683</v>
      </c>
      <c r="AA10" s="16" t="n">
        <f aca="false">SUMIFS(Calc!$AM$5:$AM$1369,Calc!$A$5:$A$1369,A10)</f>
        <v>-1.79107948361592</v>
      </c>
      <c r="AB10" s="16" t="n">
        <f aca="false">SUMIFS(Calc!$AN$5:$AN$1369,Calc!$A$5:$A$1369,A10)</f>
        <v>109.278338123957</v>
      </c>
      <c r="AC10" s="17" t="n">
        <f aca="false">Country_Data!DY10</f>
        <v>0.13</v>
      </c>
      <c r="AD10" s="12" t="str">
        <f aca="false">IF(Country_Data!BD10="","",Country_Data!BD10)</f>
        <v/>
      </c>
      <c r="AE10" s="7" t="str">
        <f aca="false">IF(Country_Data!BC10="","",Country_Data!BC10)</f>
        <v/>
      </c>
      <c r="AF10" s="12" t="str">
        <f aca="false">IF(Country_Data!BL10="","",Country_Data!BL10)</f>
        <v/>
      </c>
      <c r="AG10" s="7" t="n">
        <f aca="false">IF(Country_Data!BA10="","",Country_Data!BA10)</f>
        <v>99.901</v>
      </c>
    </row>
    <row r="11" customFormat="false" ht="15" hidden="false" customHeight="false" outlineLevel="0" collapsed="false">
      <c r="A11" s="14" t="str">
        <f aca="false">Country_Data!A11</f>
        <v>FRA</v>
      </c>
      <c r="B11" s="14" t="str">
        <f aca="false">Country_Data!B11</f>
        <v>France</v>
      </c>
      <c r="C11" s="14" t="str">
        <f aca="false">Country_Data!E11</f>
        <v>AE</v>
      </c>
      <c r="D11" s="14" t="str">
        <f aca="false">Country_Data!D11</f>
        <v>High income</v>
      </c>
      <c r="E11" s="15" t="n">
        <f aca="false">Country_Data!BV11</f>
        <v>3329.61249854756</v>
      </c>
      <c r="F11" s="16" t="n">
        <f aca="false">SUMIFS(Calc!$J$5:$J$1369,Calc!$A$5:$A$1369,A11)</f>
        <v>106.428158278965</v>
      </c>
      <c r="G11" s="11" t="n">
        <f aca="false">IFERROR(F11/E11,"")</f>
        <v>0.0319641274548889</v>
      </c>
      <c r="H11" s="16" t="n">
        <f aca="false">SUMIFS(Calc!$L$5:$L$1369,Calc!$A$5:$A$1369,A11)</f>
        <v>40.4427001460068</v>
      </c>
      <c r="I11" s="11" t="n">
        <f aca="false">IFERROR(H11/E11,"")</f>
        <v>0.0121463684328578</v>
      </c>
      <c r="J11" s="17" t="n">
        <f aca="false">Country_Data!DW11</f>
        <v>0.03297</v>
      </c>
      <c r="K11" s="14" t="str">
        <f aca="false">Country_Data!DV11</f>
        <v>Observed (IRENA/Steffen)</v>
      </c>
      <c r="L11" s="16" t="n">
        <f aca="false">SUMIFS(Calc!$W$5:$W$1369,Calc!$A$5:$A$1369,A11)</f>
        <v>2.19074077225543</v>
      </c>
      <c r="M11" s="16" t="n">
        <f aca="false">SUMIFS(Calc!$X$5:$X$1369,Calc!$A$5:$A$1369,A11)</f>
        <v>0.369409808125736</v>
      </c>
      <c r="N11" s="18" t="n">
        <f aca="false">SUMIFS(Calc!$AC$5:$AC$1369,Calc!$A$5:$A$1369,A11)</f>
        <v>0.346643097841038</v>
      </c>
      <c r="O11" s="18" t="n">
        <f aca="false">SUMIFS(Calc!$AD$5:$AD$1369,Calc!$A$5:$A$1369,A11)</f>
        <v>0.76313705455103</v>
      </c>
      <c r="P11" s="18" t="n">
        <f aca="false">SUMIFS(Calc!$AE$5:$AE$1369,Calc!$A$5:$A$1369,A11)</f>
        <v>1.11955249276212</v>
      </c>
      <c r="Q11" s="18" t="n">
        <f aca="false">SUMIFS(Calc!$AF$5:$AF$1369,Calc!$A$5:$A$1369,A11)</f>
        <v>0.750142684636382</v>
      </c>
      <c r="R11" s="11" t="n">
        <f aca="false">IFERROR(N11/E11,"")</f>
        <v>0.000104109141226569</v>
      </c>
      <c r="S11" s="11" t="n">
        <f aca="false">IFERROR(P11/E11,"")</f>
        <v>0.000336241077077434</v>
      </c>
      <c r="T11" s="11" t="n">
        <f aca="false">IFERROR(Q11/E11,"")</f>
        <v>0.000225294290240563</v>
      </c>
      <c r="U11" s="16" t="n">
        <f aca="false">SUMIFS(Calc!$AG$5:$AG$1369,Calc!$A$5:$A$1369,A11)</f>
        <v>0.263524986429058</v>
      </c>
      <c r="V11" s="16" t="n">
        <f aca="false">SUMIFS(Calc!$AH$5:$AH$1369,Calc!$A$5:$A$1369,A11)</f>
        <v>-0.223092711778265</v>
      </c>
      <c r="W11" s="16" t="n">
        <f aca="false">SUMIFS(Calc!$Y$5:$Y$1369,Calc!$A$5:$A$1369,A11)</f>
        <v>9.73235396414647</v>
      </c>
      <c r="X11" s="7" t="n">
        <f aca="false">IFERROR(N11/W11*1000,"")</f>
        <v>35.617600748807</v>
      </c>
      <c r="Y11" s="7" t="n">
        <f aca="false">IFERROR(P11/W11*1000,"")</f>
        <v>115.034091123945</v>
      </c>
      <c r="Z11" s="7" t="n">
        <f aca="false">IFERROR(Q11/W11*1000,"")</f>
        <v>77.0772094192085</v>
      </c>
      <c r="AA11" s="16" t="n">
        <f aca="false">SUMIFS(Calc!$AM$5:$AM$1369,Calc!$A$5:$A$1369,A11)</f>
        <v>-2.03397209189758</v>
      </c>
      <c r="AB11" s="16" t="n">
        <f aca="false">SUMIFS(Calc!$AN$5:$AN$1369,Calc!$A$5:$A$1369,A11)</f>
        <v>111.199075719057</v>
      </c>
      <c r="AC11" s="17" t="n">
        <f aca="false">Country_Data!DY11</f>
        <v>0.13</v>
      </c>
      <c r="AD11" s="12" t="str">
        <f aca="false">IF(Country_Data!BD11="","",Country_Data!BD11)</f>
        <v/>
      </c>
      <c r="AE11" s="7" t="str">
        <f aca="false">IF(Country_Data!BC11="","",Country_Data!BC11)</f>
        <v/>
      </c>
      <c r="AF11" s="12" t="str">
        <f aca="false">IF(Country_Data!BL11="","",Country_Data!BL11)</f>
        <v/>
      </c>
      <c r="AG11" s="7" t="n">
        <f aca="false">IF(Country_Data!BA11="","",Country_Data!BA11)</f>
        <v>113.171</v>
      </c>
    </row>
    <row r="12" customFormat="false" ht="15" hidden="false" customHeight="false" outlineLevel="0" collapsed="false">
      <c r="A12" s="14" t="str">
        <f aca="false">Country_Data!A12</f>
        <v>ITA</v>
      </c>
      <c r="B12" s="14" t="str">
        <f aca="false">Country_Data!B12</f>
        <v>Italy</v>
      </c>
      <c r="C12" s="14" t="str">
        <f aca="false">Country_Data!E12</f>
        <v>AE</v>
      </c>
      <c r="D12" s="14" t="str">
        <f aca="false">Country_Data!D12</f>
        <v>High income</v>
      </c>
      <c r="E12" s="15" t="n">
        <f aca="false">Country_Data!BV12</f>
        <v>2458.64331463006</v>
      </c>
      <c r="F12" s="16" t="n">
        <f aca="false">SUMIFS(Calc!$J$5:$J$1369,Calc!$A$5:$A$1369,A12)</f>
        <v>81.7379719113723</v>
      </c>
      <c r="G12" s="11" t="n">
        <f aca="false">IFERROR(F12/E12,"")</f>
        <v>0.0332451524891772</v>
      </c>
      <c r="H12" s="16" t="n">
        <f aca="false">SUMIFS(Calc!$L$5:$L$1369,Calc!$A$5:$A$1369,A12)</f>
        <v>31.0604293263215</v>
      </c>
      <c r="I12" s="11" t="n">
        <f aca="false">IFERROR(H12/E12,"")</f>
        <v>0.0126331579458873</v>
      </c>
      <c r="J12" s="17" t="n">
        <f aca="false">Country_Data!DW12</f>
        <v>0.0438</v>
      </c>
      <c r="K12" s="14" t="str">
        <f aca="false">Country_Data!DV12</f>
        <v>Observed (IRENA/Steffen)</v>
      </c>
      <c r="L12" s="16" t="n">
        <f aca="false">SUMIFS(Calc!$W$5:$W$1369,Calc!$A$5:$A$1369,A12)</f>
        <v>3.26110122453835</v>
      </c>
      <c r="M12" s="16" t="n">
        <f aca="false">SUMIFS(Calc!$X$5:$X$1369,Calc!$A$5:$A$1369,A12)</f>
        <v>0.733803383199015</v>
      </c>
      <c r="N12" s="18" t="n">
        <f aca="false">SUMIFS(Calc!$AC$5:$AC$1369,Calc!$A$5:$A$1369,A12)</f>
        <v>-1.07578593917842</v>
      </c>
      <c r="O12" s="18" t="n">
        <f aca="false">SUMIFS(Calc!$AD$5:$AD$1369,Calc!$A$5:$A$1369,A12)</f>
        <v>-0.739282616811667</v>
      </c>
      <c r="P12" s="18" t="n">
        <f aca="false">SUMIFS(Calc!$AE$5:$AE$1369,Calc!$A$5:$A$1369,A12)</f>
        <v>-0.711405525465727</v>
      </c>
      <c r="Q12" s="18" t="n">
        <f aca="false">SUMIFS(Calc!$AF$5:$AF$1369,Calc!$A$5:$A$1369,A12)</f>
        <v>-1.44520890866474</v>
      </c>
      <c r="R12" s="11" t="n">
        <f aca="false">IFERROR(N12/E12,"")</f>
        <v>-0.00043755266686184</v>
      </c>
      <c r="S12" s="11" t="n">
        <f aca="false">IFERROR(P12/E12,"")</f>
        <v>-0.00028934881332015</v>
      </c>
      <c r="T12" s="11" t="n">
        <f aca="false">IFERROR(Q12/E12,"")</f>
        <v>-0.000587807470919057</v>
      </c>
      <c r="U12" s="16" t="n">
        <f aca="false">SUMIFS(Calc!$AG$5:$AG$1369,Calc!$A$5:$A$1369,A12)</f>
        <v>-2.06473335406678</v>
      </c>
      <c r="V12" s="16" t="n">
        <f aca="false">SUMIFS(Calc!$AH$5:$AH$1369,Calc!$A$5:$A$1369,A12)</f>
        <v>-2.68425779946883</v>
      </c>
      <c r="W12" s="16" t="n">
        <f aca="false">SUMIFS(Calc!$Y$5:$Y$1369,Calc!$A$5:$A$1369,A12)</f>
        <v>12.3904889080409</v>
      </c>
      <c r="X12" s="7" t="n">
        <f aca="false">IFERROR(N12/W12*1000,"")</f>
        <v>-86.8235262678199</v>
      </c>
      <c r="Y12" s="7" t="n">
        <f aca="false">IFERROR(P12/W12*1000,"")</f>
        <v>-57.4154523478132</v>
      </c>
      <c r="Z12" s="7" t="n">
        <f aca="false">IFERROR(Q12/W12*1000,"")</f>
        <v>-116.638570066987</v>
      </c>
      <c r="AA12" s="16" t="n">
        <f aca="false">SUMIFS(Calc!$AM$5:$AM$1369,Calc!$A$5:$A$1369,A12)</f>
        <v>-0.958895825559708</v>
      </c>
      <c r="AB12" s="16" t="n">
        <f aca="false">SUMIFS(Calc!$AN$5:$AN$1369,Calc!$A$5:$A$1369,A12)</f>
        <v>85.4020878936063</v>
      </c>
      <c r="AC12" s="17" t="n">
        <f aca="false">Country_Data!DY12</f>
        <v>0.13</v>
      </c>
      <c r="AD12" s="12" t="str">
        <f aca="false">IF(Country_Data!BD12="","",Country_Data!BD12)</f>
        <v/>
      </c>
      <c r="AE12" s="7" t="str">
        <f aca="false">IF(Country_Data!BC12="","",Country_Data!BC12)</f>
        <v/>
      </c>
      <c r="AF12" s="12" t="str">
        <f aca="false">IF(Country_Data!BL12="","",Country_Data!BL12)</f>
        <v/>
      </c>
      <c r="AG12" s="7" t="n">
        <f aca="false">IF(Country_Data!BA12="","",Country_Data!BA12)</f>
        <v>134.735</v>
      </c>
    </row>
    <row r="13" customFormat="false" ht="15" hidden="false" customHeight="false" outlineLevel="0" collapsed="false">
      <c r="A13" s="14" t="str">
        <f aca="false">Country_Data!A13</f>
        <v>CAN</v>
      </c>
      <c r="B13" s="14" t="str">
        <f aca="false">Country_Data!B13</f>
        <v>Canada</v>
      </c>
      <c r="C13" s="14" t="str">
        <f aca="false">Country_Data!E13</f>
        <v>AE</v>
      </c>
      <c r="D13" s="14" t="str">
        <f aca="false">Country_Data!D13</f>
        <v>High income</v>
      </c>
      <c r="E13" s="15" t="n">
        <f aca="false">Country_Data!BV13</f>
        <v>2488.14191608449</v>
      </c>
      <c r="F13" s="16" t="n">
        <f aca="false">SUMIFS(Calc!$J$5:$J$1369,Calc!$A$5:$A$1369,A13)</f>
        <v>108.786065870837</v>
      </c>
      <c r="G13" s="11" t="n">
        <f aca="false">IFERROR(F13/E13,"")</f>
        <v>0.043721809100837</v>
      </c>
      <c r="H13" s="16" t="n">
        <f aca="false">SUMIFS(Calc!$L$5:$L$1369,Calc!$A$5:$A$1369,A13)</f>
        <v>41.338705030918</v>
      </c>
      <c r="I13" s="11" t="n">
        <f aca="false">IFERROR(H13/E13,"")</f>
        <v>0.0166142874583181</v>
      </c>
      <c r="J13" s="17" t="n">
        <f aca="false">Country_Data!DW13</f>
        <v>0.055</v>
      </c>
      <c r="K13" s="14" t="str">
        <f aca="false">Country_Data!DV13</f>
        <v>Group default (IHLEG)</v>
      </c>
      <c r="L13" s="16" t="n">
        <f aca="false">SUMIFS(Calc!$W$5:$W$1369,Calc!$A$5:$A$1369,A13)</f>
        <v>2.13792018359649</v>
      </c>
      <c r="M13" s="16" t="n">
        <f aca="false">SUMIFS(Calc!$X$5:$X$1369,Calc!$A$5:$A$1369,A13)</f>
        <v>0.390206427735121</v>
      </c>
      <c r="N13" s="18" t="n">
        <f aca="false">SUMIFS(Calc!$AC$5:$AC$1369,Calc!$A$5:$A$1369,A13)</f>
        <v>1.08761266562286</v>
      </c>
      <c r="O13" s="18" t="n">
        <f aca="false">SUMIFS(Calc!$AD$5:$AD$1369,Calc!$A$5:$A$1369,A13)</f>
        <v>1.55758508718134</v>
      </c>
      <c r="P13" s="18" t="n">
        <f aca="false">SUMIFS(Calc!$AE$5:$AE$1369,Calc!$A$5:$A$1369,A13)</f>
        <v>1.24121540313061</v>
      </c>
      <c r="Q13" s="18" t="n">
        <f aca="false">SUMIFS(Calc!$AF$5:$AF$1369,Calc!$A$5:$A$1369,A13)</f>
        <v>0.851008975395488</v>
      </c>
      <c r="R13" s="11" t="n">
        <f aca="false">IFERROR(N13/E13,"")</f>
        <v>0.000437118421016114</v>
      </c>
      <c r="S13" s="11" t="n">
        <f aca="false">IFERROR(P13/E13,"")</f>
        <v>0.000498852334389298</v>
      </c>
      <c r="T13" s="11" t="n">
        <f aca="false">IFERROR(Q13/E13,"")</f>
        <v>0.000342025898882285</v>
      </c>
      <c r="U13" s="16" t="n">
        <f aca="false">SUMIFS(Calc!$AG$5:$AG$1369,Calc!$A$5:$A$1369,A13)</f>
        <v>0.195726012922672</v>
      </c>
      <c r="V13" s="16" t="n">
        <f aca="false">SUMIFS(Calc!$AH$5:$AH$1369,Calc!$A$5:$A$1369,A13)</f>
        <v>-0.459556949550144</v>
      </c>
      <c r="W13" s="16" t="n">
        <f aca="false">SUMIFS(Calc!$Y$5:$Y$1369,Calc!$A$5:$A$1369,A13)</f>
        <v>13.1056592494563</v>
      </c>
      <c r="X13" s="7" t="n">
        <f aca="false">IFERROR(N13/W13*1000,"")</f>
        <v>82.9880164683802</v>
      </c>
      <c r="Y13" s="7" t="n">
        <f aca="false">IFERROR(P13/W13*1000,"")</f>
        <v>94.7083530484818</v>
      </c>
      <c r="Z13" s="7" t="n">
        <f aca="false">IFERROR(Q13/W13*1000,"")</f>
        <v>64.9344652716186</v>
      </c>
      <c r="AA13" s="16" t="n">
        <f aca="false">SUMIFS(Calc!$AM$5:$AM$1369,Calc!$A$5:$A$1369,A13)</f>
        <v>-0.404217730283552</v>
      </c>
      <c r="AB13" s="16" t="n">
        <f aca="false">SUMIFS(Calc!$AN$5:$AN$1369,Calc!$A$5:$A$1369,A13)</f>
        <v>113.662682616771</v>
      </c>
      <c r="AC13" s="17" t="n">
        <f aca="false">Country_Data!DY13</f>
        <v>0.13</v>
      </c>
      <c r="AD13" s="12" t="str">
        <f aca="false">IF(Country_Data!BD13="","",Country_Data!BD13)</f>
        <v/>
      </c>
      <c r="AE13" s="7" t="str">
        <f aca="false">IF(Country_Data!BC13="","",Country_Data!BC13)</f>
        <v/>
      </c>
      <c r="AF13" s="12" t="str">
        <f aca="false">IF(Country_Data!BL13="","",Country_Data!BL13)</f>
        <v/>
      </c>
      <c r="AG13" s="7" t="n">
        <f aca="false">IF(Country_Data!BA13="","",Country_Data!BA13)</f>
        <v>110.019</v>
      </c>
    </row>
    <row r="14" customFormat="false" ht="15" hidden="false" customHeight="false" outlineLevel="0" collapsed="false">
      <c r="A14" s="14" t="str">
        <f aca="false">Country_Data!A14</f>
        <v>RUS</v>
      </c>
      <c r="B14" s="14" t="str">
        <f aca="false">Country_Data!B14</f>
        <v>Russian Federation</v>
      </c>
      <c r="C14" s="14" t="str">
        <f aca="false">Country_Data!E14</f>
        <v>EMDC</v>
      </c>
      <c r="D14" s="14" t="str">
        <f aca="false">Country_Data!D14</f>
        <v>High income</v>
      </c>
      <c r="E14" s="15" t="n">
        <f aca="false">Country_Data!BV14</f>
        <v>2330.35501939187</v>
      </c>
      <c r="F14" s="16" t="n">
        <f aca="false">SUMIFS(Calc!$J$5:$J$1369,Calc!$A$5:$A$1369,A14)</f>
        <v>177.399054556307</v>
      </c>
      <c r="G14" s="11" t="n">
        <f aca="false">IFERROR(F14/E14,"")</f>
        <v>0.0761253341572828</v>
      </c>
      <c r="H14" s="16" t="n">
        <f aca="false">SUMIFS(Calc!$L$5:$L$1369,Calc!$A$5:$A$1369,A14)</f>
        <v>42.5757730935137</v>
      </c>
      <c r="I14" s="11" t="n">
        <f aca="false">IFERROR(H14/E14,"")</f>
        <v>0.0182700801977479</v>
      </c>
      <c r="J14" s="17" t="n">
        <f aca="false">Country_Data!DW14</f>
        <v>0.105</v>
      </c>
      <c r="K14" s="14" t="str">
        <f aca="false">Country_Data!DV14</f>
        <v>Group default (IHLEG)</v>
      </c>
      <c r="L14" s="16" t="n">
        <f aca="false">SUMIFS(Calc!$W$5:$W$1369,Calc!$A$5:$A$1369,A14)</f>
        <v>1.3273053548291</v>
      </c>
      <c r="M14" s="16" t="n">
        <f aca="false">SUMIFS(Calc!$X$5:$X$1369,Calc!$A$5:$A$1369,A14)</f>
        <v>3.81707080273092</v>
      </c>
      <c r="N14" s="18" t="n">
        <f aca="false">SUMIFS(Calc!$AC$5:$AC$1369,Calc!$A$5:$A$1369,A14)</f>
        <v>3.65171757007075</v>
      </c>
      <c r="O14" s="18" t="n">
        <f aca="false">SUMIFS(Calc!$AD$5:$AD$1369,Calc!$A$5:$A$1369,A14)</f>
        <v>5.36683901991877</v>
      </c>
      <c r="P14" s="18" t="n">
        <f aca="false">SUMIFS(Calc!$AE$5:$AE$1369,Calc!$A$5:$A$1369,A14)</f>
        <v>2.09511403904091</v>
      </c>
      <c r="Q14" s="18" t="n">
        <f aca="false">SUMIFS(Calc!$AF$5:$AF$1369,Calc!$A$5:$A$1369,A14)</f>
        <v>-1.72195676369</v>
      </c>
      <c r="R14" s="11" t="n">
        <f aca="false">IFERROR(N14/E14,"")</f>
        <v>0.00156702199436707</v>
      </c>
      <c r="S14" s="11" t="n">
        <f aca="false">IFERROR(P14/E14,"")</f>
        <v>0.000899053586945587</v>
      </c>
      <c r="T14" s="11" t="n">
        <f aca="false">IFERROR(Q14/E14,"")</f>
        <v>-0.000738924648545338</v>
      </c>
      <c r="U14" s="16" t="n">
        <f aca="false">SUMIFS(Calc!$AG$5:$AG$1369,Calc!$A$5:$A$1369,A14)</f>
        <v>-2.9996619319285</v>
      </c>
      <c r="V14" s="16" t="n">
        <f aca="false">SUMIFS(Calc!$AH$5:$AH$1369,Calc!$A$5:$A$1369,A14)</f>
        <v>-4.277367100167</v>
      </c>
      <c r="W14" s="16" t="n">
        <f aca="false">SUMIFS(Calc!$Y$5:$Y$1369,Calc!$A$5:$A$1369,A14)</f>
        <v>25.55410336477</v>
      </c>
      <c r="X14" s="7" t="n">
        <f aca="false">IFERROR(N14/W14*1000,"")</f>
        <v>142.901416572697</v>
      </c>
      <c r="Y14" s="7" t="n">
        <f aca="false">IFERROR(P14/W14*1000,"")</f>
        <v>81.9873821880728</v>
      </c>
      <c r="Z14" s="7" t="n">
        <f aca="false">IFERROR(Q14/W14*1000,"")</f>
        <v>-67.3847459685855</v>
      </c>
      <c r="AA14" s="16" t="n">
        <f aca="false">SUMIFS(Calc!$AM$5:$AM$1369,Calc!$A$5:$A$1369,A14)</f>
        <v>6.48584804595765</v>
      </c>
      <c r="AB14" s="16" t="n">
        <f aca="false">SUMIFS(Calc!$AN$5:$AN$1369,Calc!$A$5:$A$1369,A14)</f>
        <v>203.644394134501</v>
      </c>
      <c r="AC14" s="17" t="n">
        <f aca="false">Country_Data!DY14</f>
        <v>0.27</v>
      </c>
      <c r="AD14" s="12" t="str">
        <f aca="false">IF(Country_Data!BD14="","",Country_Data!BD14)</f>
        <v/>
      </c>
      <c r="AE14" s="7" t="str">
        <f aca="false">IF(Country_Data!BC14="","",Country_Data!BC14)</f>
        <v/>
      </c>
      <c r="AF14" s="12" t="str">
        <f aca="false">IF(Country_Data!BL14="","",Country_Data!BL14)</f>
        <v/>
      </c>
      <c r="AG14" s="7" t="n">
        <f aca="false">IF(Country_Data!BA14="","",Country_Data!BA14)</f>
        <v>14.758</v>
      </c>
    </row>
    <row r="15" customFormat="false" ht="15" hidden="false" customHeight="false" outlineLevel="0" collapsed="false">
      <c r="A15" s="14" t="str">
        <f aca="false">Country_Data!A15</f>
        <v>BRA</v>
      </c>
      <c r="B15" s="14" t="str">
        <f aca="false">Country_Data!B15</f>
        <v>Brazil</v>
      </c>
      <c r="C15" s="14" t="str">
        <f aca="false">Country_Data!E15</f>
        <v>EMDC</v>
      </c>
      <c r="D15" s="14" t="str">
        <f aca="false">Country_Data!D15</f>
        <v>Upper middle income</v>
      </c>
      <c r="E15" s="15" t="n">
        <f aca="false">Country_Data!BV15</f>
        <v>2457.74207140853</v>
      </c>
      <c r="F15" s="16" t="n">
        <f aca="false">SUMIFS(Calc!$J$5:$J$1369,Calc!$A$5:$A$1369,A15)</f>
        <v>139.425298601075</v>
      </c>
      <c r="G15" s="11" t="n">
        <f aca="false">IFERROR(F15/E15,"")</f>
        <v>0.0567290197873248</v>
      </c>
      <c r="H15" s="16" t="n">
        <f aca="false">SUMIFS(Calc!$L$5:$L$1369,Calc!$A$5:$A$1369,A15)</f>
        <v>33.462071664258</v>
      </c>
      <c r="I15" s="11" t="n">
        <f aca="false">IFERROR(H15/E15,"")</f>
        <v>0.013614964748958</v>
      </c>
      <c r="J15" s="17" t="n">
        <f aca="false">Country_Data!DW15</f>
        <v>0.097755</v>
      </c>
      <c r="K15" s="14" t="str">
        <f aca="false">Country_Data!DV15</f>
        <v>Observed (IRENA/Steffen)</v>
      </c>
      <c r="L15" s="16" t="n">
        <f aca="false">SUMIFS(Calc!$W$5:$W$1369,Calc!$A$5:$A$1369,A15)</f>
        <v>1.39333633235973</v>
      </c>
      <c r="M15" s="16" t="n">
        <f aca="false">SUMIFS(Calc!$X$5:$X$1369,Calc!$A$5:$A$1369,A15)</f>
        <v>1.42641946239743</v>
      </c>
      <c r="N15" s="18" t="n">
        <f aca="false">SUMIFS(Calc!$AC$5:$AC$1369,Calc!$A$5:$A$1369,A15)</f>
        <v>2.30924082298177</v>
      </c>
      <c r="O15" s="18" t="n">
        <f aca="false">SUMIFS(Calc!$AD$5:$AD$1369,Calc!$A$5:$A$1369,A15)</f>
        <v>3.64594115669512</v>
      </c>
      <c r="P15" s="18" t="n">
        <f aca="false">SUMIFS(Calc!$AE$5:$AE$1369,Calc!$A$5:$A$1369,A15)</f>
        <v>1.28909064439485</v>
      </c>
      <c r="Q15" s="18" t="n">
        <f aca="false">SUMIFS(Calc!$AF$5:$AF$1369,Calc!$A$5:$A$1369,A15)</f>
        <v>-0.137328818002575</v>
      </c>
      <c r="R15" s="11" t="n">
        <f aca="false">IFERROR(N15/E15,"")</f>
        <v>0.00093957818025158</v>
      </c>
      <c r="S15" s="11" t="n">
        <f aca="false">IFERROR(P15/E15,"")</f>
        <v>0.000524502005068448</v>
      </c>
      <c r="T15" s="11" t="n">
        <f aca="false">IFERROR(Q15/E15,"")</f>
        <v>-5.58760089596677E-005</v>
      </c>
      <c r="U15" s="16" t="n">
        <f aca="false">SUMIFS(Calc!$AG$5:$AG$1369,Calc!$A$5:$A$1369,A15)</f>
        <v>-1.03015011759758</v>
      </c>
      <c r="V15" s="16" t="n">
        <f aca="false">SUMIFS(Calc!$AH$5:$AH$1369,Calc!$A$5:$A$1369,A15)</f>
        <v>-1.92297141719259</v>
      </c>
      <c r="W15" s="16" t="n">
        <f aca="false">SUMIFS(Calc!$Y$5:$Y$1369,Calc!$A$5:$A$1369,A15)</f>
        <v>17.8564259919001</v>
      </c>
      <c r="X15" s="7" t="n">
        <f aca="false">IFERROR(N15/W15*1000,"")</f>
        <v>129.322677675212</v>
      </c>
      <c r="Y15" s="7" t="n">
        <f aca="false">IFERROR(P15/W15*1000,"")</f>
        <v>72.1919741934697</v>
      </c>
      <c r="Z15" s="7" t="n">
        <f aca="false">IFERROR(Q15/W15*1000,"")</f>
        <v>-7.69072254799864</v>
      </c>
      <c r="AA15" s="16" t="n">
        <f aca="false">SUMIFS(Calc!$AM$5:$AM$1369,Calc!$A$5:$A$1369,A15)</f>
        <v>4.25062574411217</v>
      </c>
      <c r="AB15" s="16" t="n">
        <f aca="false">SUMIFS(Calc!$AN$5:$AN$1369,Calc!$A$5:$A$1369,A15)</f>
        <v>160.052603051645</v>
      </c>
      <c r="AC15" s="17" t="n">
        <f aca="false">Country_Data!DY15</f>
        <v>0.27</v>
      </c>
      <c r="AD15" s="12" t="str">
        <f aca="false">IF(Country_Data!BD15="","",Country_Data!BD15)</f>
        <v/>
      </c>
      <c r="AE15" s="7" t="n">
        <f aca="false">IF(Country_Data!BC15="","",Country_Data!BC15)</f>
        <v>87.319</v>
      </c>
      <c r="AF15" s="12" t="n">
        <f aca="false">IF(Country_Data!BL15="","",Country_Data!BL15)</f>
        <v>1.341</v>
      </c>
      <c r="AG15" s="7" t="n">
        <f aca="false">IF(Country_Data!BA15="","",Country_Data!BA15)</f>
        <v>87.028</v>
      </c>
    </row>
    <row r="16" customFormat="false" ht="15" hidden="false" customHeight="false" outlineLevel="0" collapsed="false">
      <c r="A16" s="14" t="str">
        <f aca="false">Country_Data!A16</f>
        <v>KOR</v>
      </c>
      <c r="B16" s="14" t="str">
        <f aca="false">Country_Data!B16</f>
        <v>Korea, Rep.</v>
      </c>
      <c r="C16" s="14" t="str">
        <f aca="false">Country_Data!E16</f>
        <v>AE</v>
      </c>
      <c r="D16" s="14" t="str">
        <f aca="false">Country_Data!D16</f>
        <v>High income</v>
      </c>
      <c r="E16" s="15" t="n">
        <f aca="false">Country_Data!BV16</f>
        <v>2077.32094658925</v>
      </c>
      <c r="F16" s="16" t="n">
        <f aca="false">SUMIFS(Calc!$J$5:$J$1369,Calc!$A$5:$A$1369,A16)</f>
        <v>96.9907985295963</v>
      </c>
      <c r="G16" s="11" t="n">
        <f aca="false">IFERROR(F16/E16,"")</f>
        <v>0.046690329045613</v>
      </c>
      <c r="H16" s="16" t="n">
        <f aca="false">SUMIFS(Calc!$L$5:$L$1369,Calc!$A$5:$A$1369,A16)</f>
        <v>36.8565034412466</v>
      </c>
      <c r="I16" s="11" t="n">
        <f aca="false">IFERROR(H16/E16,"")</f>
        <v>0.0177423250373329</v>
      </c>
      <c r="J16" s="17" t="n">
        <f aca="false">Country_Data!DW16</f>
        <v>0.055</v>
      </c>
      <c r="K16" s="14" t="str">
        <f aca="false">Country_Data!DV16</f>
        <v>Group default (IHLEG)</v>
      </c>
      <c r="L16" s="16" t="n">
        <f aca="false">SUMIFS(Calc!$W$5:$W$1369,Calc!$A$5:$A$1369,A16)</f>
        <v>2.62782196461879</v>
      </c>
      <c r="M16" s="16" t="n">
        <f aca="false">SUMIFS(Calc!$X$5:$X$1369,Calc!$A$5:$A$1369,A16)</f>
        <v>0.894584069627842</v>
      </c>
      <c r="N16" s="18" t="n">
        <f aca="false">SUMIFS(Calc!$AC$5:$AC$1369,Calc!$A$5:$A$1369,A16)</f>
        <v>0.203239465392121</v>
      </c>
      <c r="O16" s="18" t="n">
        <f aca="false">SUMIFS(Calc!$AD$5:$AD$1369,Calc!$A$5:$A$1369,A16)</f>
        <v>0.624522946525551</v>
      </c>
      <c r="P16" s="18" t="n">
        <f aca="false">SUMIFS(Calc!$AE$5:$AE$1369,Calc!$A$5:$A$1369,A16)</f>
        <v>0.340906324023053</v>
      </c>
      <c r="Q16" s="18" t="n">
        <f aca="false">SUMIFS(Calc!$AF$5:$AF$1369,Calc!$A$5:$A$1369,A16)</f>
        <v>-0.553677745604789</v>
      </c>
      <c r="R16" s="11" t="n">
        <f aca="false">IFERROR(N16/E16,"")</f>
        <v>9.78372965072246E-005</v>
      </c>
      <c r="S16" s="11" t="n">
        <f aca="false">IFERROR(P16/E16,"")</f>
        <v>0.00016410864415669</v>
      </c>
      <c r="T16" s="11" t="n">
        <f aca="false">IFERROR(Q16/E16,"")</f>
        <v>-0.000266534522031307</v>
      </c>
      <c r="U16" s="16" t="n">
        <f aca="false">SUMIFS(Calc!$AG$5:$AG$1369,Calc!$A$5:$A$1369,A16)</f>
        <v>-1.54452275485826</v>
      </c>
      <c r="V16" s="16" t="n">
        <f aca="false">SUMIFS(Calc!$AH$5:$AH$1369,Calc!$A$5:$A$1369,A16)</f>
        <v>-2.53536776411173</v>
      </c>
      <c r="W16" s="16" t="n">
        <f aca="false">SUMIFS(Calc!$Y$5:$Y$1369,Calc!$A$5:$A$1369,A16)</f>
        <v>19.8169001850694</v>
      </c>
      <c r="X16" s="7" t="n">
        <f aca="false">IFERROR(N16/W16*1000,"")</f>
        <v>10.2558656244959</v>
      </c>
      <c r="Y16" s="7" t="n">
        <f aca="false">IFERROR(P16/W16*1000,"")</f>
        <v>17.2028077468898</v>
      </c>
      <c r="Z16" s="7" t="n">
        <f aca="false">IFERROR(Q16/W16*1000,"")</f>
        <v>-27.9396747439816</v>
      </c>
      <c r="AA16" s="16" t="n">
        <f aca="false">SUMIFS(Calc!$AM$5:$AM$1369,Calc!$A$5:$A$1369,A16)</f>
        <v>-0.362281206923507</v>
      </c>
      <c r="AB16" s="16" t="n">
        <f aca="false">SUMIFS(Calc!$AN$5:$AN$1369,Calc!$A$5:$A$1369,A16)</f>
        <v>101.338661911957</v>
      </c>
      <c r="AC16" s="17" t="n">
        <f aca="false">Country_Data!DY16</f>
        <v>0.13</v>
      </c>
      <c r="AD16" s="12" t="str">
        <f aca="false">IF(Country_Data!BD16="","",Country_Data!BD16)</f>
        <v/>
      </c>
      <c r="AE16" s="7" t="str">
        <f aca="false">IF(Country_Data!BC16="","",Country_Data!BC16)</f>
        <v/>
      </c>
      <c r="AF16" s="12" t="str">
        <f aca="false">IF(Country_Data!BL16="","",Country_Data!BL16)</f>
        <v/>
      </c>
      <c r="AG16" s="7" t="n">
        <f aca="false">IF(Country_Data!BA16="","",Country_Data!BA16)</f>
        <v>49.701</v>
      </c>
    </row>
    <row r="17" customFormat="false" ht="15" hidden="false" customHeight="false" outlineLevel="0" collapsed="false">
      <c r="A17" s="14" t="str">
        <f aca="false">Country_Data!A17</f>
        <v>MEX</v>
      </c>
      <c r="B17" s="14" t="str">
        <f aca="false">Country_Data!B17</f>
        <v>Mexico</v>
      </c>
      <c r="C17" s="14" t="str">
        <f aca="false">Country_Data!E17</f>
        <v>EMDC</v>
      </c>
      <c r="D17" s="14" t="str">
        <f aca="false">Country_Data!D17</f>
        <v>Upper middle income</v>
      </c>
      <c r="E17" s="15" t="n">
        <f aca="false">Country_Data!BV17</f>
        <v>1996.65459960843</v>
      </c>
      <c r="F17" s="16" t="n">
        <f aca="false">SUMIFS(Calc!$J$5:$J$1369,Calc!$A$5:$A$1369,A17)</f>
        <v>93.834102426476</v>
      </c>
      <c r="G17" s="11" t="n">
        <f aca="false">IFERROR(F17/E17,"")</f>
        <v>0.0469956608643668</v>
      </c>
      <c r="H17" s="16" t="n">
        <f aca="false">SUMIFS(Calc!$L$5:$L$1369,Calc!$A$5:$A$1369,A17)</f>
        <v>22.5201845823542</v>
      </c>
      <c r="I17" s="11" t="n">
        <f aca="false">IFERROR(H17/E17,"")</f>
        <v>0.011278958607448</v>
      </c>
      <c r="J17" s="17" t="n">
        <f aca="false">Country_Data!DW17</f>
        <v>0.11</v>
      </c>
      <c r="K17" s="14" t="str">
        <f aca="false">Country_Data!DV17</f>
        <v>Observed (IRENA/Steffen)</v>
      </c>
      <c r="L17" s="16" t="n">
        <f aca="false">SUMIFS(Calc!$W$5:$W$1369,Calc!$A$5:$A$1369,A17)</f>
        <v>1.24471337696661</v>
      </c>
      <c r="M17" s="16" t="n">
        <f aca="false">SUMIFS(Calc!$X$5:$X$1369,Calc!$A$5:$A$1369,A17)</f>
        <v>1.04174224228883</v>
      </c>
      <c r="N17" s="18" t="n">
        <f aca="false">SUMIFS(Calc!$AC$5:$AC$1369,Calc!$A$5:$A$1369,A17)</f>
        <v>1.49766525505828</v>
      </c>
      <c r="O17" s="18" t="n">
        <f aca="false">SUMIFS(Calc!$AD$5:$AD$1369,Calc!$A$5:$A$1369,A17)</f>
        <v>2.41057078327542</v>
      </c>
      <c r="P17" s="18" t="n">
        <f aca="false">SUMIFS(Calc!$AE$5:$AE$1369,Calc!$A$5:$A$1369,A17)</f>
        <v>0.577102574166906</v>
      </c>
      <c r="Q17" s="18" t="n">
        <f aca="false">SUMIFS(Calc!$AF$5:$AF$1369,Calc!$A$5:$A$1369,A17)</f>
        <v>-0.464639668121922</v>
      </c>
      <c r="R17" s="11" t="n">
        <f aca="false">IFERROR(N17/E17,"")</f>
        <v>0.00075008729870053</v>
      </c>
      <c r="S17" s="11" t="n">
        <f aca="false">IFERROR(P17/E17,"")</f>
        <v>0.000289034755575693</v>
      </c>
      <c r="T17" s="11" t="n">
        <f aca="false">IFERROR(Q17/E17,"")</f>
        <v>-0.00023270908659567</v>
      </c>
      <c r="U17" s="16" t="n">
        <f aca="false">SUMIFS(Calc!$AG$5:$AG$1369,Calc!$A$5:$A$1369,A17)</f>
        <v>-1.19194104974114</v>
      </c>
      <c r="V17" s="16" t="n">
        <f aca="false">SUMIFS(Calc!$AH$5:$AH$1369,Calc!$A$5:$A$1369,A17)</f>
        <v>-1.91924243136037</v>
      </c>
      <c r="W17" s="16" t="n">
        <f aca="false">SUMIFS(Calc!$Y$5:$Y$1369,Calc!$A$5:$A$1369,A17)</f>
        <v>14.5460276323844</v>
      </c>
      <c r="X17" s="7" t="n">
        <f aca="false">IFERROR(N17/W17*1000,"")</f>
        <v>102.960429672494</v>
      </c>
      <c r="Y17" s="7" t="n">
        <f aca="false">IFERROR(P17/W17*1000,"")</f>
        <v>39.6742388198189</v>
      </c>
      <c r="Z17" s="7" t="n">
        <f aca="false">IFERROR(Q17/W17*1000,"")</f>
        <v>-31.9427186490059</v>
      </c>
      <c r="AA17" s="16" t="n">
        <f aca="false">SUMIFS(Calc!$AM$5:$AM$1369,Calc!$A$5:$A$1369,A17)</f>
        <v>3.83567783704738</v>
      </c>
      <c r="AB17" s="16" t="n">
        <f aca="false">SUMIFS(Calc!$AN$5:$AN$1369,Calc!$A$5:$A$1369,A17)</f>
        <v>107.716407990941</v>
      </c>
      <c r="AC17" s="17" t="n">
        <f aca="false">Country_Data!DY17</f>
        <v>0.27</v>
      </c>
      <c r="AD17" s="12" t="str">
        <f aca="false">IF(Country_Data!BD17="","",Country_Data!BD17)</f>
        <v/>
      </c>
      <c r="AE17" s="7" t="n">
        <f aca="false">IF(Country_Data!BC17="","",Country_Data!BC17)</f>
        <v>109.686</v>
      </c>
      <c r="AF17" s="12" t="n">
        <f aca="false">IF(Country_Data!BL17="","",Country_Data!BL17)</f>
        <v>0.419</v>
      </c>
      <c r="AG17" s="7" t="n">
        <f aca="false">IF(Country_Data!BA17="","",Country_Data!BA17)</f>
        <v>59.135</v>
      </c>
    </row>
    <row r="18" customFormat="false" ht="15" hidden="false" customHeight="false" outlineLevel="0" collapsed="false">
      <c r="A18" s="14" t="str">
        <f aca="false">Country_Data!A18</f>
        <v>AUS</v>
      </c>
      <c r="B18" s="14" t="str">
        <f aca="false">Country_Data!B18</f>
        <v>Australia</v>
      </c>
      <c r="C18" s="14" t="str">
        <f aca="false">Country_Data!E18</f>
        <v>AE</v>
      </c>
      <c r="D18" s="14" t="str">
        <f aca="false">Country_Data!D18</f>
        <v>High income</v>
      </c>
      <c r="E18" s="15" t="n">
        <f aca="false">Country_Data!BV18</f>
        <v>2026.75470416204</v>
      </c>
      <c r="F18" s="16" t="n">
        <f aca="false">SUMIFS(Calc!$J$5:$J$1369,Calc!$A$5:$A$1369,A18)</f>
        <v>68.4999901514912</v>
      </c>
      <c r="G18" s="11" t="n">
        <f aca="false">IFERROR(F18/E18,"")</f>
        <v>0.0337978690814547</v>
      </c>
      <c r="H18" s="16" t="n">
        <f aca="false">SUMIFS(Calc!$L$5:$L$1369,Calc!$A$5:$A$1369,A18)</f>
        <v>26.0299962575666</v>
      </c>
      <c r="I18" s="11" t="n">
        <f aca="false">IFERROR(H18/E18,"")</f>
        <v>0.0128431902509528</v>
      </c>
      <c r="J18" s="17" t="n">
        <f aca="false">Country_Data!DW18</f>
        <v>0.0502</v>
      </c>
      <c r="K18" s="14" t="str">
        <f aca="false">Country_Data!DV18</f>
        <v>Observed (IRENA/Steffen)</v>
      </c>
      <c r="L18" s="16" t="n">
        <f aca="false">SUMIFS(Calc!$W$5:$W$1369,Calc!$A$5:$A$1369,A18)</f>
        <v>1.52641683730349</v>
      </c>
      <c r="M18" s="16" t="n">
        <f aca="false">SUMIFS(Calc!$X$5:$X$1369,Calc!$A$5:$A$1369,A18)</f>
        <v>0.341483665375305</v>
      </c>
      <c r="N18" s="18" t="n">
        <f aca="false">SUMIFS(Calc!$AC$5:$AC$1369,Calc!$A$5:$A$1369,A18)</f>
        <v>0.455325447643237</v>
      </c>
      <c r="O18" s="18" t="n">
        <f aca="false">SUMIFS(Calc!$AD$5:$AD$1369,Calc!$A$5:$A$1369,A18)</f>
        <v>0.744145908906225</v>
      </c>
      <c r="P18" s="18" t="n">
        <f aca="false">SUMIFS(Calc!$AE$5:$AE$1369,Calc!$A$5:$A$1369,A18)</f>
        <v>0.642032955588975</v>
      </c>
      <c r="Q18" s="18" t="n">
        <f aca="false">SUMIFS(Calc!$AF$5:$AF$1369,Calc!$A$5:$A$1369,A18)</f>
        <v>0.30054929021367</v>
      </c>
      <c r="R18" s="11" t="n">
        <f aca="false">IFERROR(N18/E18,"")</f>
        <v>0.000224657402648778</v>
      </c>
      <c r="S18" s="11" t="n">
        <f aca="false">IFERROR(P18/E18,"")</f>
        <v>0.000316778816040504</v>
      </c>
      <c r="T18" s="11" t="n">
        <f aca="false">IFERROR(Q18/E18,"")</f>
        <v>0.000148290905454161</v>
      </c>
      <c r="U18" s="16" t="n">
        <f aca="false">SUMIFS(Calc!$AG$5:$AG$1369,Calc!$A$5:$A$1369,A18)</f>
        <v>-0.457293189135184</v>
      </c>
      <c r="V18" s="16" t="n">
        <f aca="false">SUMIFS(Calc!$AH$5:$AH$1369,Calc!$A$5:$A$1369,A18)</f>
        <v>-1.21513566848404</v>
      </c>
      <c r="W18" s="16" t="n">
        <f aca="false">SUMIFS(Calc!$Y$5:$Y$1369,Calc!$A$5:$A$1369,A18)</f>
        <v>15.1568495869771</v>
      </c>
      <c r="X18" s="7" t="n">
        <f aca="false">IFERROR(N18/W18*1000,"")</f>
        <v>30.0409029614213</v>
      </c>
      <c r="Y18" s="7" t="n">
        <f aca="false">IFERROR(P18/W18*1000,"")</f>
        <v>42.3592615275813</v>
      </c>
      <c r="Z18" s="7" t="n">
        <f aca="false">IFERROR(Q18/W18*1000,"")</f>
        <v>19.8292718080349</v>
      </c>
      <c r="AA18" s="16" t="n">
        <f aca="false">SUMIFS(Calc!$AM$5:$AM$1369,Calc!$A$5:$A$1369,A18)</f>
        <v>-0.491335547225626</v>
      </c>
      <c r="AB18" s="16" t="n">
        <f aca="false">SUMIFS(Calc!$AN$5:$AN$1369,Calc!$A$5:$A$1369,A18)</f>
        <v>71.5706793651787</v>
      </c>
      <c r="AC18" s="17" t="n">
        <f aca="false">Country_Data!DY18</f>
        <v>0.13</v>
      </c>
      <c r="AD18" s="12" t="str">
        <f aca="false">IF(Country_Data!BD18="","",Country_Data!BD18)</f>
        <v/>
      </c>
      <c r="AE18" s="7" t="str">
        <f aca="false">IF(Country_Data!BC18="","",Country_Data!BC18)</f>
        <v/>
      </c>
      <c r="AF18" s="12" t="str">
        <f aca="false">IF(Country_Data!BL18="","",Country_Data!BL18)</f>
        <v/>
      </c>
      <c r="AG18" s="7" t="n">
        <f aca="false">IF(Country_Data!BA18="","",Country_Data!BA18)</f>
        <v>50.611</v>
      </c>
    </row>
    <row r="19" customFormat="false" ht="15" hidden="false" customHeight="false" outlineLevel="0" collapsed="false">
      <c r="A19" s="14" t="str">
        <f aca="false">Country_Data!A19</f>
        <v>ESP</v>
      </c>
      <c r="B19" s="14" t="str">
        <f aca="false">Country_Data!B19</f>
        <v>Spain</v>
      </c>
      <c r="C19" s="14" t="str">
        <f aca="false">Country_Data!E19</f>
        <v>AE</v>
      </c>
      <c r="D19" s="14" t="str">
        <f aca="false">Country_Data!D19</f>
        <v>High income</v>
      </c>
      <c r="E19" s="15" t="n">
        <f aca="false">Country_Data!BV19</f>
        <v>1966.04221009883</v>
      </c>
      <c r="F19" s="16" t="n">
        <f aca="false">SUMIFS(Calc!$J$5:$J$1369,Calc!$A$5:$A$1369,A19)</f>
        <v>64.5827593516485</v>
      </c>
      <c r="G19" s="11" t="n">
        <f aca="false">IFERROR(F19/E19,"")</f>
        <v>0.0328491214582835</v>
      </c>
      <c r="H19" s="16" t="n">
        <f aca="false">SUMIFS(Calc!$L$5:$L$1369,Calc!$A$5:$A$1369,A19)</f>
        <v>24.5414485536264</v>
      </c>
      <c r="I19" s="11" t="n">
        <f aca="false">IFERROR(H19/E19,"")</f>
        <v>0.0124826661541477</v>
      </c>
      <c r="J19" s="17" t="n">
        <f aca="false">Country_Data!DW19</f>
        <v>0.05125</v>
      </c>
      <c r="K19" s="14" t="str">
        <f aca="false">Country_Data!DV19</f>
        <v>Observed (IRENA/Steffen)</v>
      </c>
      <c r="L19" s="16" t="n">
        <f aca="false">SUMIFS(Calc!$W$5:$W$1369,Calc!$A$5:$A$1369,A19)</f>
        <v>1.70033646439276</v>
      </c>
      <c r="M19" s="16" t="n">
        <f aca="false">SUMIFS(Calc!$X$5:$X$1369,Calc!$A$5:$A$1369,A19)</f>
        <v>0.267184552104335</v>
      </c>
      <c r="N19" s="18" t="n">
        <f aca="false">SUMIFS(Calc!$AC$5:$AC$1369,Calc!$A$5:$A$1369,A19)</f>
        <v>0.161667101696141</v>
      </c>
      <c r="O19" s="18" t="n">
        <f aca="false">SUMIFS(Calc!$AD$5:$AD$1369,Calc!$A$5:$A$1369,A19)</f>
        <v>0.436232125445856</v>
      </c>
      <c r="P19" s="18" t="n">
        <f aca="false">SUMIFS(Calc!$AE$5:$AE$1369,Calc!$A$5:$A$1369,A19)</f>
        <v>0.319807552559491</v>
      </c>
      <c r="Q19" s="18" t="n">
        <f aca="false">SUMIFS(Calc!$AF$5:$AF$1369,Calc!$A$5:$A$1369,A19)</f>
        <v>0.0526230004551553</v>
      </c>
      <c r="R19" s="11" t="n">
        <f aca="false">IFERROR(N19/E19,"")</f>
        <v>8.22297206365752E-005</v>
      </c>
      <c r="S19" s="11" t="n">
        <f aca="false">IFERROR(P19/E19,"")</f>
        <v>0.000162665659423159</v>
      </c>
      <c r="T19" s="11" t="n">
        <f aca="false">IFERROR(Q19/E19,"")</f>
        <v>2.67659565928191E-005</v>
      </c>
      <c r="U19" s="16" t="n">
        <f aca="false">SUMIFS(Calc!$AG$5:$AG$1369,Calc!$A$5:$A$1369,A19)</f>
        <v>-0.333238742821004</v>
      </c>
      <c r="V19" s="16" t="n">
        <f aca="false">SUMIFS(Calc!$AH$5:$AH$1369,Calc!$A$5:$A$1369,A19)</f>
        <v>-0.719100486097163</v>
      </c>
      <c r="W19" s="16" t="n">
        <f aca="false">SUMIFS(Calc!$Y$5:$Y$1369,Calc!$A$5:$A$1369,A19)</f>
        <v>7.71723486552318</v>
      </c>
      <c r="X19" s="7" t="n">
        <f aca="false">IFERROR(N19/W19*1000,"")</f>
        <v>20.9488378302947</v>
      </c>
      <c r="Y19" s="7" t="n">
        <f aca="false">IFERROR(P19/W19*1000,"")</f>
        <v>41.4406919229884</v>
      </c>
      <c r="Z19" s="7" t="n">
        <f aca="false">IFERROR(Q19/W19*1000,"")</f>
        <v>6.81889321397345</v>
      </c>
      <c r="AA19" s="16" t="n">
        <f aca="false">SUMIFS(Calc!$AM$5:$AM$1369,Calc!$A$5:$A$1369,A19)</f>
        <v>-0.416159081219341</v>
      </c>
      <c r="AB19" s="16" t="n">
        <f aca="false">SUMIFS(Calc!$AN$5:$AN$1369,Calc!$A$5:$A$1369,A19)</f>
        <v>67.4778485639637</v>
      </c>
      <c r="AC19" s="17" t="n">
        <f aca="false">Country_Data!DY19</f>
        <v>0.13</v>
      </c>
      <c r="AD19" s="12" t="str">
        <f aca="false">IF(Country_Data!BD19="","",Country_Data!BD19)</f>
        <v/>
      </c>
      <c r="AE19" s="7" t="str">
        <f aca="false">IF(Country_Data!BC19="","",Country_Data!BC19)</f>
        <v/>
      </c>
      <c r="AF19" s="12" t="str">
        <f aca="false">IF(Country_Data!BL19="","",Country_Data!BL19)</f>
        <v/>
      </c>
      <c r="AG19" s="7" t="n">
        <f aca="false">IF(Country_Data!BA19="","",Country_Data!BA19)</f>
        <v>101.648</v>
      </c>
    </row>
    <row r="20" customFormat="false" ht="15" hidden="false" customHeight="false" outlineLevel="0" collapsed="false">
      <c r="A20" s="14" t="str">
        <f aca="false">Country_Data!A20</f>
        <v>IDN</v>
      </c>
      <c r="B20" s="14" t="str">
        <f aca="false">Country_Data!B20</f>
        <v>Indonesia</v>
      </c>
      <c r="C20" s="14" t="str">
        <f aca="false">Country_Data!E20</f>
        <v>EMDC</v>
      </c>
      <c r="D20" s="14" t="str">
        <f aca="false">Country_Data!D20</f>
        <v>Upper middle income</v>
      </c>
      <c r="E20" s="15" t="n">
        <f aca="false">Country_Data!BV20</f>
        <v>1868.64734030782</v>
      </c>
      <c r="F20" s="16" t="n">
        <f aca="false">SUMIFS(Calc!$J$5:$J$1369,Calc!$A$5:$A$1369,A20)</f>
        <v>97.6345821726165</v>
      </c>
      <c r="G20" s="11" t="n">
        <f aca="false">IFERROR(F20/E20,"")</f>
        <v>0.0522488005449617</v>
      </c>
      <c r="H20" s="16" t="n">
        <f aca="false">SUMIFS(Calc!$L$5:$L$1369,Calc!$A$5:$A$1369,A20)</f>
        <v>23.432299721428</v>
      </c>
      <c r="I20" s="11" t="n">
        <f aca="false">IFERROR(H20/E20,"")</f>
        <v>0.0125397121307908</v>
      </c>
      <c r="J20" s="17" t="n">
        <f aca="false">Country_Data!DW20</f>
        <v>0.0818500000000001</v>
      </c>
      <c r="K20" s="14" t="str">
        <f aca="false">Country_Data!DV20</f>
        <v>Observed (IRENA/Steffen)</v>
      </c>
      <c r="L20" s="16" t="n">
        <f aca="false">SUMIFS(Calc!$W$5:$W$1369,Calc!$A$5:$A$1369,A20)</f>
        <v>1.18628931444376</v>
      </c>
      <c r="M20" s="16" t="n">
        <f aca="false">SUMIFS(Calc!$X$5:$X$1369,Calc!$A$5:$A$1369,A20)</f>
        <v>1.44014513583907</v>
      </c>
      <c r="N20" s="18" t="n">
        <f aca="false">SUMIFS(Calc!$AC$5:$AC$1369,Calc!$A$5:$A$1369,A20)</f>
        <v>1.11006191395752</v>
      </c>
      <c r="O20" s="18" t="n">
        <f aca="false">SUMIFS(Calc!$AD$5:$AD$1369,Calc!$A$5:$A$1369,A20)</f>
        <v>2.01503136965663</v>
      </c>
      <c r="P20" s="18" t="n">
        <f aca="false">SUMIFS(Calc!$AE$5:$AE$1369,Calc!$A$5:$A$1369,A20)</f>
        <v>0.708263792835954</v>
      </c>
      <c r="Q20" s="18" t="n">
        <f aca="false">SUMIFS(Calc!$AF$5:$AF$1369,Calc!$A$5:$A$1369,A20)</f>
        <v>-0.731881343003112</v>
      </c>
      <c r="R20" s="11" t="n">
        <f aca="false">IFERROR(N20/E20,"")</f>
        <v>0.000594045698197209</v>
      </c>
      <c r="S20" s="11" t="n">
        <f aca="false">IFERROR(P20/E20,"")</f>
        <v>0.000379024858012685</v>
      </c>
      <c r="T20" s="11" t="n">
        <f aca="false">IFERROR(Q20/E20,"")</f>
        <v>-0.000391663706262814</v>
      </c>
      <c r="U20" s="16" t="n">
        <f aca="false">SUMIFS(Calc!$AG$5:$AG$1369,Calc!$A$5:$A$1369,A20)</f>
        <v>-1.72050263202769</v>
      </c>
      <c r="V20" s="16" t="n">
        <f aca="false">SUMIFS(Calc!$AH$5:$AH$1369,Calc!$A$5:$A$1369,A20)</f>
        <v>-2.70912392105226</v>
      </c>
      <c r="W20" s="16" t="n">
        <f aca="false">SUMIFS(Calc!$Y$5:$Y$1369,Calc!$A$5:$A$1369,A20)</f>
        <v>19.7724257804915</v>
      </c>
      <c r="X20" s="7" t="n">
        <f aca="false">IFERROR(N20/W20*1000,"")</f>
        <v>56.1419183605061</v>
      </c>
      <c r="Y20" s="7" t="n">
        <f aca="false">IFERROR(P20/W20*1000,"")</f>
        <v>35.82078398973</v>
      </c>
      <c r="Z20" s="7" t="n">
        <f aca="false">IFERROR(Q20/W20*1000,"")</f>
        <v>-37.0152530159059</v>
      </c>
      <c r="AA20" s="16" t="n">
        <f aca="false">SUMIFS(Calc!$AM$5:$AM$1369,Calc!$A$5:$A$1369,A20)</f>
        <v>1.67415883800652</v>
      </c>
      <c r="AB20" s="16" t="n">
        <f aca="false">SUMIFS(Calc!$AN$5:$AN$1369,Calc!$A$5:$A$1369,A20)</f>
        <v>119.129327395115</v>
      </c>
      <c r="AC20" s="17" t="n">
        <f aca="false">Country_Data!DY20</f>
        <v>0.355</v>
      </c>
      <c r="AD20" s="12" t="n">
        <f aca="false">IF(Country_Data!BD20="","",Country_Data!BD20)</f>
        <v>1.5</v>
      </c>
      <c r="AE20" s="7" t="str">
        <f aca="false">IF(Country_Data!BC20="","",Country_Data!BC20)</f>
        <v/>
      </c>
      <c r="AF20" s="12" t="n">
        <f aca="false">IF(Country_Data!BL20="","",Country_Data!BL20)</f>
        <v>2.413</v>
      </c>
      <c r="AG20" s="7" t="n">
        <f aca="false">IF(Country_Data!BA20="","",Country_Data!BA20)</f>
        <v>40.165</v>
      </c>
    </row>
    <row r="21" customFormat="false" ht="15" hidden="false" customHeight="false" outlineLevel="0" collapsed="false">
      <c r="A21" s="14" t="str">
        <f aca="false">Country_Data!A21</f>
        <v>TUR</v>
      </c>
      <c r="B21" s="14" t="str">
        <f aca="false">Country_Data!B21</f>
        <v>Türkiye</v>
      </c>
      <c r="C21" s="14" t="str">
        <f aca="false">Country_Data!E21</f>
        <v>EMDC</v>
      </c>
      <c r="D21" s="14" t="str">
        <f aca="false">Country_Data!D21</f>
        <v>Upper middle income</v>
      </c>
      <c r="E21" s="15" t="n">
        <f aca="false">Country_Data!BV21</f>
        <v>1660.53984510871</v>
      </c>
      <c r="F21" s="16" t="n">
        <f aca="false">SUMIFS(Calc!$J$5:$J$1369,Calc!$A$5:$A$1369,A21)</f>
        <v>88.0879126056111</v>
      </c>
      <c r="G21" s="11" t="n">
        <f aca="false">IFERROR(F21/E21,"")</f>
        <v>0.0530477560445676</v>
      </c>
      <c r="H21" s="16" t="n">
        <f aca="false">SUMIFS(Calc!$L$5:$L$1369,Calc!$A$5:$A$1369,A21)</f>
        <v>21.1410990253467</v>
      </c>
      <c r="I21" s="11" t="n">
        <f aca="false">IFERROR(H21/E21,"")</f>
        <v>0.0127314614506962</v>
      </c>
      <c r="J21" s="17" t="n">
        <f aca="false">Country_Data!DW21</f>
        <v>0.0842</v>
      </c>
      <c r="K21" s="14" t="str">
        <f aca="false">Country_Data!DV21</f>
        <v>Observed (IRENA/Steffen)</v>
      </c>
      <c r="L21" s="16" t="n">
        <f aca="false">SUMIFS(Calc!$W$5:$W$1369,Calc!$A$5:$A$1369,A21)</f>
        <v>1.02027340095243</v>
      </c>
      <c r="M21" s="16" t="n">
        <f aca="false">SUMIFS(Calc!$X$5:$X$1369,Calc!$A$5:$A$1369,A21)</f>
        <v>1.48980588814794</v>
      </c>
      <c r="N21" s="18" t="n">
        <f aca="false">SUMIFS(Calc!$AC$5:$AC$1369,Calc!$A$5:$A$1369,A21)</f>
        <v>1.07785830426078</v>
      </c>
      <c r="O21" s="18" t="n">
        <f aca="false">SUMIFS(Calc!$AD$5:$AD$1369,Calc!$A$5:$A$1369,A21)</f>
        <v>1.90051264600813</v>
      </c>
      <c r="P21" s="18" t="n">
        <f aca="false">SUMIFS(Calc!$AE$5:$AE$1369,Calc!$A$5:$A$1369,A21)</f>
        <v>0.673750835235128</v>
      </c>
      <c r="Q21" s="18" t="n">
        <f aca="false">SUMIFS(Calc!$AF$5:$AF$1369,Calc!$A$5:$A$1369,A21)</f>
        <v>-0.816055052912813</v>
      </c>
      <c r="R21" s="11" t="n">
        <f aca="false">IFERROR(N21/E21,"")</f>
        <v>0.00064910113866627</v>
      </c>
      <c r="S21" s="11" t="n">
        <f aca="false">IFERROR(P21/E21,"")</f>
        <v>0.000405742046611967</v>
      </c>
      <c r="T21" s="11" t="n">
        <f aca="false">IFERROR(Q21/E21,"")</f>
        <v>-0.000491439609423758</v>
      </c>
      <c r="U21" s="16" t="n">
        <f aca="false">SUMIFS(Calc!$AG$5:$AG$1369,Calc!$A$5:$A$1369,A21)</f>
        <v>-1.47646577754863</v>
      </c>
      <c r="V21" s="16" t="n">
        <f aca="false">SUMIFS(Calc!$AH$5:$AH$1369,Calc!$A$5:$A$1369,A21)</f>
        <v>-2.13687650218445</v>
      </c>
      <c r="W21" s="16" t="n">
        <f aca="false">SUMIFS(Calc!$Y$5:$Y$1369,Calc!$A$5:$A$1369,A21)</f>
        <v>13.2082144927164</v>
      </c>
      <c r="X21" s="7" t="n">
        <f aca="false">IFERROR(N21/W21*1000,"")</f>
        <v>81.6051484366157</v>
      </c>
      <c r="Y21" s="7" t="n">
        <f aca="false">IFERROR(P21/W21*1000,"")</f>
        <v>51.009985914952</v>
      </c>
      <c r="Z21" s="7" t="n">
        <f aca="false">IFERROR(Q21/W21*1000,"")</f>
        <v>-61.7839037488999</v>
      </c>
      <c r="AA21" s="16" t="n">
        <f aca="false">SUMIFS(Calc!$AM$5:$AM$1369,Calc!$A$5:$A$1369,A21)</f>
        <v>1.68378112094021</v>
      </c>
      <c r="AB21" s="16" t="n">
        <f aca="false">SUMIFS(Calc!$AN$5:$AN$1369,Calc!$A$5:$A$1369,A21)</f>
        <v>101.120096936304</v>
      </c>
      <c r="AC21" s="17" t="n">
        <f aca="false">Country_Data!DY21</f>
        <v>0.27</v>
      </c>
      <c r="AD21" s="12" t="str">
        <f aca="false">IF(Country_Data!BD21="","",Country_Data!BD21)</f>
        <v/>
      </c>
      <c r="AE21" s="7" t="str">
        <f aca="false">IF(Country_Data!BC21="","",Country_Data!BC21)</f>
        <v/>
      </c>
      <c r="AF21" s="12" t="n">
        <f aca="false">IF(Country_Data!BL21="","",Country_Data!BL21)</f>
        <v>1.517</v>
      </c>
      <c r="AG21" s="7" t="n">
        <f aca="false">IF(Country_Data!BA21="","",Country_Data!BA21)</f>
        <v>23.6</v>
      </c>
    </row>
    <row r="22" customFormat="false" ht="15" hidden="false" customHeight="false" outlineLevel="0" collapsed="false">
      <c r="A22" s="14" t="str">
        <f aca="false">Country_Data!A22</f>
        <v>SAU</v>
      </c>
      <c r="B22" s="14" t="str">
        <f aca="false">Country_Data!B22</f>
        <v>Saudi Arabia</v>
      </c>
      <c r="C22" s="14" t="str">
        <f aca="false">Country_Data!E22</f>
        <v>EMDC</v>
      </c>
      <c r="D22" s="14" t="str">
        <f aca="false">Country_Data!D22</f>
        <v>High income</v>
      </c>
      <c r="E22" s="15" t="n">
        <f aca="false">Country_Data!BV22</f>
        <v>1527.84817120144</v>
      </c>
      <c r="F22" s="16" t="n">
        <f aca="false">SUMIFS(Calc!$J$5:$J$1369,Calc!$A$5:$A$1369,A22)</f>
        <v>78.1413218877102</v>
      </c>
      <c r="G22" s="11" t="n">
        <f aca="false">IFERROR(F22/E22,"")</f>
        <v>0.0511446905265873</v>
      </c>
      <c r="H22" s="16" t="n">
        <f aca="false">SUMIFS(Calc!$L$5:$L$1369,Calc!$A$5:$A$1369,A22)</f>
        <v>18.7539172530504</v>
      </c>
      <c r="I22" s="11" t="n">
        <f aca="false">IFERROR(H22/E22,"")</f>
        <v>0.012274725726381</v>
      </c>
      <c r="J22" s="17" t="n">
        <f aca="false">Country_Data!DW22</f>
        <v>0.042</v>
      </c>
      <c r="K22" s="14" t="str">
        <f aca="false">Country_Data!DV22</f>
        <v>Observed (IRENA/Steffen)</v>
      </c>
      <c r="L22" s="16" t="n">
        <f aca="false">SUMIFS(Calc!$W$5:$W$1369,Calc!$A$5:$A$1369,A22)</f>
        <v>1.6197631372419</v>
      </c>
      <c r="M22" s="16" t="n">
        <f aca="false">SUMIFS(Calc!$X$5:$X$1369,Calc!$A$5:$A$1369,A22)</f>
        <v>0.878950734709278</v>
      </c>
      <c r="N22" s="18" t="n">
        <f aca="false">SUMIFS(Calc!$AC$5:$AC$1369,Calc!$A$5:$A$1369,A22)</f>
        <v>-0.336570595274188</v>
      </c>
      <c r="O22" s="18" t="n">
        <f aca="false">SUMIFS(Calc!$AD$5:$AD$1369,Calc!$A$5:$A$1369,A22)</f>
        <v>0.307567568996006</v>
      </c>
      <c r="P22" s="18" t="n">
        <f aca="false">SUMIFS(Calc!$AE$5:$AE$1369,Calc!$A$5:$A$1369,A22)</f>
        <v>-0.0922995811885926</v>
      </c>
      <c r="Q22" s="18" t="n">
        <f aca="false">SUMIFS(Calc!$AF$5:$AF$1369,Calc!$A$5:$A$1369,A22)</f>
        <v>-0.97125031589787</v>
      </c>
      <c r="R22" s="11" t="n">
        <f aca="false">IFERROR(N22/E22,"")</f>
        <v>-0.000220290603227624</v>
      </c>
      <c r="S22" s="11" t="n">
        <f aca="false">IFERROR(P22/E22,"")</f>
        <v>-6.04114878221254E-005</v>
      </c>
      <c r="T22" s="11" t="n">
        <f aca="false">IFERROR(Q22/E22,"")</f>
        <v>-0.000635698189260596</v>
      </c>
      <c r="U22" s="16" t="n">
        <f aca="false">SUMIFS(Calc!$AG$5:$AG$1369,Calc!$A$5:$A$1369,A22)</f>
        <v>-1.65011460750975</v>
      </c>
      <c r="V22" s="16" t="n">
        <f aca="false">SUMIFS(Calc!$AH$5:$AH$1369,Calc!$A$5:$A$1369,A22)</f>
        <v>-2.32897889912162</v>
      </c>
      <c r="W22" s="16" t="n">
        <f aca="false">SUMIFS(Calc!$Y$5:$Y$1369,Calc!$A$5:$A$1369,A22)</f>
        <v>13.5772858322375</v>
      </c>
      <c r="X22" s="7" t="n">
        <f aca="false">IFERROR(N22/W22*1000,"")</f>
        <v>-24.7892398696538</v>
      </c>
      <c r="Y22" s="7" t="n">
        <f aca="false">IFERROR(P22/W22*1000,"")</f>
        <v>-6.79808780113027</v>
      </c>
      <c r="Z22" s="7" t="n">
        <f aca="false">IFERROR(Q22/W22*1000,"")</f>
        <v>-71.5349391549056</v>
      </c>
      <c r="AA22" s="16" t="n">
        <f aca="false">SUMIFS(Calc!$AM$5:$AM$1369,Calc!$A$5:$A$1369,A22)</f>
        <v>-1.01779589202331</v>
      </c>
      <c r="AB22" s="16" t="n">
        <f aca="false">SUMIFS(Calc!$AN$5:$AN$1369,Calc!$A$5:$A$1369,A22)</f>
        <v>89.7019558108235</v>
      </c>
      <c r="AC22" s="17" t="n">
        <f aca="false">Country_Data!DY22</f>
        <v>0.27</v>
      </c>
      <c r="AD22" s="12" t="str">
        <f aca="false">IF(Country_Data!BD22="","",Country_Data!BD22)</f>
        <v/>
      </c>
      <c r="AE22" s="7" t="n">
        <f aca="false">IF(Country_Data!BC22="","",Country_Data!BC22)</f>
        <v>113.284</v>
      </c>
      <c r="AF22" s="12" t="str">
        <f aca="false">IF(Country_Data!BL22="","",Country_Data!BL22)</f>
        <v/>
      </c>
      <c r="AG22" s="7" t="n">
        <f aca="false">IF(Country_Data!BA22="","",Country_Data!BA22)</f>
        <v>25.854</v>
      </c>
    </row>
    <row r="23" customFormat="false" ht="15" hidden="false" customHeight="false" outlineLevel="0" collapsed="false">
      <c r="A23" s="14" t="str">
        <f aca="false">Country_Data!A23</f>
        <v>NLD</v>
      </c>
      <c r="B23" s="14" t="str">
        <f aca="false">Country_Data!B23</f>
        <v>Netherlands</v>
      </c>
      <c r="C23" s="14" t="str">
        <f aca="false">Country_Data!E23</f>
        <v>AE</v>
      </c>
      <c r="D23" s="14" t="str">
        <f aca="false">Country_Data!D23</f>
        <v>High income</v>
      </c>
      <c r="E23" s="15" t="n">
        <f aca="false">Country_Data!BV23</f>
        <v>1315.27583806336</v>
      </c>
      <c r="F23" s="16" t="n">
        <f aca="false">SUMIFS(Calc!$J$5:$J$1369,Calc!$A$5:$A$1369,A23)</f>
        <v>33.8975517959216</v>
      </c>
      <c r="G23" s="11" t="n">
        <f aca="false">IFERROR(F23/E23,"")</f>
        <v>0.0257721998800138</v>
      </c>
      <c r="H23" s="16" t="n">
        <f aca="false">SUMIFS(Calc!$L$5:$L$1369,Calc!$A$5:$A$1369,A23)</f>
        <v>12.8810696824502</v>
      </c>
      <c r="I23" s="11" t="n">
        <f aca="false">IFERROR(H23/E23,"")</f>
        <v>0.00979343595440524</v>
      </c>
      <c r="J23" s="17" t="n">
        <f aca="false">Country_Data!DW23</f>
        <v>0.02327</v>
      </c>
      <c r="K23" s="14" t="str">
        <f aca="false">Country_Data!DV23</f>
        <v>Observed (IRENA/Steffen)</v>
      </c>
      <c r="L23" s="16" t="n">
        <f aca="false">SUMIFS(Calc!$W$5:$W$1369,Calc!$A$5:$A$1369,A23)</f>
        <v>1.09557115792011</v>
      </c>
      <c r="M23" s="16" t="n">
        <f aca="false">SUMIFS(Calc!$X$5:$X$1369,Calc!$A$5:$A$1369,A23)</f>
        <v>0.174419269794405</v>
      </c>
      <c r="N23" s="18" t="n">
        <f aca="false">SUMIFS(Calc!$AC$5:$AC$1369,Calc!$A$5:$A$1369,A23)</f>
        <v>-0.368693025450013</v>
      </c>
      <c r="O23" s="18" t="n">
        <f aca="false">SUMIFS(Calc!$AD$5:$AD$1369,Calc!$A$5:$A$1369,A23)</f>
        <v>-0.243216266982291</v>
      </c>
      <c r="P23" s="18" t="n">
        <f aca="false">SUMIFS(Calc!$AE$5:$AE$1369,Calc!$A$5:$A$1369,A23)</f>
        <v>-0.0430402886441909</v>
      </c>
      <c r="Q23" s="18" t="n">
        <f aca="false">SUMIFS(Calc!$AF$5:$AF$1369,Calc!$A$5:$A$1369,A23)</f>
        <v>-0.217459558438596</v>
      </c>
      <c r="R23" s="11" t="n">
        <f aca="false">IFERROR(N23/E23,"")</f>
        <v>-0.000280316124405421</v>
      </c>
      <c r="S23" s="11" t="n">
        <f aca="false">IFERROR(P23/E23,"")</f>
        <v>-3.27233933739437E-005</v>
      </c>
      <c r="T23" s="11" t="n">
        <f aca="false">IFERROR(Q23/E23,"")</f>
        <v>-0.000165333804625186</v>
      </c>
      <c r="U23" s="16" t="n">
        <f aca="false">SUMIFS(Calc!$AG$5:$AG$1369,Calc!$A$5:$A$1369,A23)</f>
        <v>-0.481165069816912</v>
      </c>
      <c r="V23" s="16" t="n">
        <f aca="false">SUMIFS(Calc!$AH$5:$AH$1369,Calc!$A$5:$A$1369,A23)</f>
        <v>-0.744870581195229</v>
      </c>
      <c r="W23" s="16" t="n">
        <f aca="false">SUMIFS(Calc!$Y$5:$Y$1369,Calc!$A$5:$A$1369,A23)</f>
        <v>5.27411022756633</v>
      </c>
      <c r="X23" s="7" t="n">
        <f aca="false">IFERROR(N23/W23*1000,"")</f>
        <v>-69.9062039930367</v>
      </c>
      <c r="Y23" s="7" t="n">
        <f aca="false">IFERROR(P23/W23*1000,"")</f>
        <v>-8.16067294521663</v>
      </c>
      <c r="Z23" s="7" t="n">
        <f aca="false">IFERROR(Q23/W23*1000,"")</f>
        <v>-41.2315156596452</v>
      </c>
      <c r="AA23" s="16" t="n">
        <f aca="false">SUMIFS(Calc!$AM$5:$AM$1369,Calc!$A$5:$A$1369,A23)</f>
        <v>-0.856980886331111</v>
      </c>
      <c r="AB23" s="16" t="n">
        <f aca="false">SUMIFS(Calc!$AN$5:$AN$1369,Calc!$A$5:$A$1369,A23)</f>
        <v>35.417097221256</v>
      </c>
      <c r="AC23" s="17" t="n">
        <f aca="false">Country_Data!DY23</f>
        <v>0.13</v>
      </c>
      <c r="AD23" s="12" t="str">
        <f aca="false">IF(Country_Data!BD23="","",Country_Data!BD23)</f>
        <v/>
      </c>
      <c r="AE23" s="7" t="str">
        <f aca="false">IF(Country_Data!BC23="","",Country_Data!BC23)</f>
        <v/>
      </c>
      <c r="AF23" s="12" t="str">
        <f aca="false">IF(Country_Data!BL23="","",Country_Data!BL23)</f>
        <v/>
      </c>
      <c r="AG23" s="7" t="n">
        <f aca="false">IF(Country_Data!BA23="","",Country_Data!BA23)</f>
        <v>43.748</v>
      </c>
    </row>
    <row r="24" customFormat="false" ht="15" hidden="false" customHeight="false" outlineLevel="0" collapsed="false">
      <c r="A24" s="14" t="str">
        <f aca="false">Country_Data!A24</f>
        <v>CHE</v>
      </c>
      <c r="B24" s="14" t="str">
        <f aca="false">Country_Data!B24</f>
        <v>Switzerland</v>
      </c>
      <c r="C24" s="14" t="str">
        <f aca="false">Country_Data!E24</f>
        <v>AE</v>
      </c>
      <c r="D24" s="14" t="str">
        <f aca="false">Country_Data!D24</f>
        <v>High income</v>
      </c>
      <c r="E24" s="15" t="n">
        <f aca="false">Country_Data!BV24</f>
        <v>1050.25204373072</v>
      </c>
      <c r="F24" s="16" t="n">
        <f aca="false">SUMIFS(Calc!$J$5:$J$1369,Calc!$A$5:$A$1369,A24)</f>
        <v>21.9234073355477</v>
      </c>
      <c r="G24" s="11" t="n">
        <f aca="false">IFERROR(F24/E24,"")</f>
        <v>0.0208744248263218</v>
      </c>
      <c r="H24" s="16" t="n">
        <f aca="false">SUMIFS(Calc!$L$5:$L$1369,Calc!$A$5:$A$1369,A24)</f>
        <v>8.33089478750813</v>
      </c>
      <c r="I24" s="11" t="n">
        <f aca="false">IFERROR(H24/E24,"")</f>
        <v>0.00793228143400228</v>
      </c>
      <c r="J24" s="17" t="n">
        <f aca="false">Country_Data!DW24</f>
        <v>0.0397</v>
      </c>
      <c r="K24" s="14" t="str">
        <f aca="false">Country_Data!DV24</f>
        <v>Observed (IRENA/Steffen)</v>
      </c>
      <c r="L24" s="16" t="n">
        <f aca="false">SUMIFS(Calc!$W$5:$W$1369,Calc!$A$5:$A$1369,A24)</f>
        <v>0.429478298300868</v>
      </c>
      <c r="M24" s="16" t="n">
        <f aca="false">SUMIFS(Calc!$X$5:$X$1369,Calc!$A$5:$A$1369,A24)</f>
        <v>0.0780626885918363</v>
      </c>
      <c r="N24" s="18" t="n">
        <f aca="false">SUMIFS(Calc!$AC$5:$AC$1369,Calc!$A$5:$A$1369,A24)</f>
        <v>0.135292928219695</v>
      </c>
      <c r="O24" s="18" t="n">
        <f aca="false">SUMIFS(Calc!$AD$5:$AD$1369,Calc!$A$5:$A$1369,A24)</f>
        <v>0.223897076917172</v>
      </c>
      <c r="P24" s="18" t="n">
        <f aca="false">SUMIFS(Calc!$AE$5:$AE$1369,Calc!$A$5:$A$1369,A24)</f>
        <v>0.256659563112195</v>
      </c>
      <c r="Q24" s="18" t="n">
        <f aca="false">SUMIFS(Calc!$AF$5:$AF$1369,Calc!$A$5:$A$1369,A24)</f>
        <v>0.178596874520359</v>
      </c>
      <c r="R24" s="11" t="n">
        <f aca="false">IFERROR(N24/E24,"")</f>
        <v>0.000128819485786579</v>
      </c>
      <c r="S24" s="11" t="n">
        <f aca="false">IFERROR(P24/E24,"")</f>
        <v>0.000244379018012177</v>
      </c>
      <c r="T24" s="11" t="n">
        <f aca="false">IFERROR(Q24/E24,"")</f>
        <v>0.000170051442019522</v>
      </c>
      <c r="U24" s="16" t="n">
        <f aca="false">SUMIFS(Calc!$AG$5:$AG$1369,Calc!$A$5:$A$1369,A24)</f>
        <v>0.0806664341976843</v>
      </c>
      <c r="V24" s="16" t="n">
        <f aca="false">SUMIFS(Calc!$AH$5:$AH$1369,Calc!$A$5:$A$1369,A24)</f>
        <v>-0.01726400612499</v>
      </c>
      <c r="W24" s="16" t="n">
        <f aca="false">SUMIFS(Calc!$Y$5:$Y$1369,Calc!$A$5:$A$1369,A24)</f>
        <v>1.95860880645349</v>
      </c>
      <c r="X24" s="7" t="n">
        <f aca="false">IFERROR(N24/W24*1000,"")</f>
        <v>69.0760338531685</v>
      </c>
      <c r="Y24" s="7" t="n">
        <f aca="false">IFERROR(P24/W24*1000,"")</f>
        <v>131.041769171321</v>
      </c>
      <c r="Z24" s="7" t="n">
        <f aca="false">IFERROR(Q24/W24*1000,"")</f>
        <v>91.1855771973932</v>
      </c>
      <c r="AA24" s="16" t="n">
        <f aca="false">SUMIFS(Calc!$AM$5:$AM$1369,Calc!$A$5:$A$1369,A24)</f>
        <v>-0.319385881296052</v>
      </c>
      <c r="AB24" s="16" t="n">
        <f aca="false">SUMIFS(Calc!$AN$5:$AN$1369,Calc!$A$5:$A$1369,A24)</f>
        <v>22.9061807678309</v>
      </c>
      <c r="AC24" s="17" t="n">
        <f aca="false">Country_Data!DY24</f>
        <v>0.13</v>
      </c>
      <c r="AD24" s="12" t="str">
        <f aca="false">IF(Country_Data!BD24="","",Country_Data!BD24)</f>
        <v/>
      </c>
      <c r="AE24" s="7" t="str">
        <f aca="false">IF(Country_Data!BC24="","",Country_Data!BC24)</f>
        <v/>
      </c>
      <c r="AF24" s="12" t="str">
        <f aca="false">IF(Country_Data!BL24="","",Country_Data!BL24)</f>
        <v/>
      </c>
      <c r="AG24" s="7" t="n">
        <f aca="false">IF(Country_Data!BA24="","",Country_Data!BA24)</f>
        <v>40.493</v>
      </c>
    </row>
    <row r="25" customFormat="false" ht="15" hidden="false" customHeight="false" outlineLevel="0" collapsed="false">
      <c r="A25" s="14" t="str">
        <f aca="false">Country_Data!A25</f>
        <v>POL</v>
      </c>
      <c r="B25" s="14" t="str">
        <f aca="false">Country_Data!B25</f>
        <v>Poland</v>
      </c>
      <c r="C25" s="14" t="str">
        <f aca="false">Country_Data!E25</f>
        <v>EMDC</v>
      </c>
      <c r="D25" s="14" t="str">
        <f aca="false">Country_Data!D25</f>
        <v>High income</v>
      </c>
      <c r="E25" s="15" t="n">
        <f aca="false">Country_Data!BV25</f>
        <v>1119.22370542498</v>
      </c>
      <c r="F25" s="16" t="n">
        <f aca="false">SUMIFS(Calc!$J$5:$J$1369,Calc!$A$5:$A$1369,A25)</f>
        <v>51.4351539305021</v>
      </c>
      <c r="G25" s="11" t="n">
        <f aca="false">IFERROR(F25/E25,"")</f>
        <v>0.0459560976784099</v>
      </c>
      <c r="H25" s="16" t="n">
        <f aca="false">SUMIFS(Calc!$L$5:$L$1369,Calc!$A$5:$A$1369,A25)</f>
        <v>12.3444369433205</v>
      </c>
      <c r="I25" s="11" t="n">
        <f aca="false">IFERROR(H25/E25,"")</f>
        <v>0.0110294634428184</v>
      </c>
      <c r="J25" s="17" t="n">
        <f aca="false">Country_Data!DW25</f>
        <v>0.05799</v>
      </c>
      <c r="K25" s="14" t="str">
        <f aca="false">Country_Data!DV25</f>
        <v>Observed (IRENA/Steffen)</v>
      </c>
      <c r="L25" s="16" t="n">
        <f aca="false">SUMIFS(Calc!$W$5:$W$1369,Calc!$A$5:$A$1369,A25)</f>
        <v>1.22400556437356</v>
      </c>
      <c r="M25" s="16" t="n">
        <f aca="false">SUMIFS(Calc!$X$5:$X$1369,Calc!$A$5:$A$1369,A25)</f>
        <v>1.03460301882393</v>
      </c>
      <c r="N25" s="18" t="n">
        <f aca="false">SUMIFS(Calc!$AC$5:$AC$1369,Calc!$A$5:$A$1369,A25)</f>
        <v>-0.240724468044812</v>
      </c>
      <c r="O25" s="18" t="n">
        <f aca="false">SUMIFS(Calc!$AD$5:$AD$1369,Calc!$A$5:$A$1369,A25)</f>
        <v>0.207112221087664</v>
      </c>
      <c r="P25" s="18" t="n">
        <f aca="false">SUMIFS(Calc!$AE$5:$AE$1369,Calc!$A$5:$A$1369,A25)</f>
        <v>-0.222122322435651</v>
      </c>
      <c r="Q25" s="18" t="n">
        <f aca="false">SUMIFS(Calc!$AF$5:$AF$1369,Calc!$A$5:$A$1369,A25)</f>
        <v>-1.25672534125959</v>
      </c>
      <c r="R25" s="11" t="n">
        <f aca="false">IFERROR(N25/E25,"")</f>
        <v>-0.000215081638172958</v>
      </c>
      <c r="S25" s="11" t="n">
        <f aca="false">IFERROR(P25/E25,"")</f>
        <v>-0.000198461059535287</v>
      </c>
      <c r="T25" s="11" t="n">
        <f aca="false">IFERROR(Q25/E25,"")</f>
        <v>-0.00112285447061935</v>
      </c>
      <c r="U25" s="16" t="n">
        <f aca="false">SUMIFS(Calc!$AG$5:$AG$1369,Calc!$A$5:$A$1369,A25)</f>
        <v>-1.70177032383777</v>
      </c>
      <c r="V25" s="16" t="n">
        <f aca="false">SUMIFS(Calc!$AH$5:$AH$1369,Calc!$A$5:$A$1369,A25)</f>
        <v>-2.14681530641594</v>
      </c>
      <c r="W25" s="16" t="n">
        <f aca="false">SUMIFS(Calc!$Y$5:$Y$1369,Calc!$A$5:$A$1369,A25)</f>
        <v>8.90089965156359</v>
      </c>
      <c r="X25" s="7" t="n">
        <f aca="false">IFERROR(N25/W25*1000,"")</f>
        <v>-27.0449592140413</v>
      </c>
      <c r="Y25" s="7" t="n">
        <f aca="false">IFERROR(P25/W25*1000,"")</f>
        <v>-24.9550417520583</v>
      </c>
      <c r="Z25" s="7" t="n">
        <f aca="false">IFERROR(Q25/W25*1000,"")</f>
        <v>-141.190822327586</v>
      </c>
      <c r="AA25" s="16" t="n">
        <f aca="false">SUMIFS(Calc!$AM$5:$AM$1369,Calc!$A$5:$A$1369,A25)</f>
        <v>-0.0775089400381704</v>
      </c>
      <c r="AB25" s="16" t="n">
        <f aca="false">SUMIFS(Calc!$AN$5:$AN$1369,Calc!$A$5:$A$1369,A25)</f>
        <v>59.0447383476175</v>
      </c>
      <c r="AC25" s="17" t="n">
        <f aca="false">Country_Data!DY25</f>
        <v>0.27</v>
      </c>
      <c r="AD25" s="12" t="str">
        <f aca="false">IF(Country_Data!BD25="","",Country_Data!BD25)</f>
        <v/>
      </c>
      <c r="AE25" s="7" t="n">
        <f aca="false">IF(Country_Data!BC25="","",Country_Data!BC25)</f>
        <v>87.212</v>
      </c>
      <c r="AF25" s="12" t="str">
        <f aca="false">IF(Country_Data!BL25="","",Country_Data!BL25)</f>
        <v/>
      </c>
      <c r="AG25" s="7" t="n">
        <f aca="false">IF(Country_Data!BA25="","",Country_Data!BA25)</f>
        <v>55.089</v>
      </c>
    </row>
    <row r="26" customFormat="false" ht="15" hidden="false" customHeight="false" outlineLevel="0" collapsed="false">
      <c r="A26" s="14" t="str">
        <f aca="false">Country_Data!A26</f>
        <v>TWN</v>
      </c>
      <c r="B26" s="14" t="str">
        <f aca="false">Country_Data!B26</f>
        <v>Taiwan Province of China</v>
      </c>
      <c r="C26" s="14" t="str">
        <f aca="false">Country_Data!E26</f>
        <v>AE</v>
      </c>
      <c r="D26" s="14" t="str">
        <f aca="false">Country_Data!D26</f>
        <v>High income</v>
      </c>
      <c r="E26" s="15" t="n">
        <f aca="false">Country_Data!BV26</f>
        <v>1121.29772269484</v>
      </c>
      <c r="F26" s="16" t="n">
        <f aca="false">SUMIFS(Calc!$J$5:$J$1369,Calc!$A$5:$A$1369,A26)</f>
        <v>40.3950931677352</v>
      </c>
      <c r="G26" s="11" t="n">
        <f aca="false">IFERROR(F26/E26,"")</f>
        <v>0.036025305634843</v>
      </c>
      <c r="H26" s="16" t="n">
        <f aca="false">SUMIFS(Calc!$L$5:$L$1369,Calc!$A$5:$A$1369,A26)</f>
        <v>15.3501354037394</v>
      </c>
      <c r="I26" s="11" t="n">
        <f aca="false">IFERROR(H26/E26,"")</f>
        <v>0.0136896161412404</v>
      </c>
      <c r="J26" s="17" t="n">
        <f aca="false">Country_Data!DW26</f>
        <v>0.055</v>
      </c>
      <c r="K26" s="14" t="str">
        <f aca="false">Country_Data!DV26</f>
        <v>Group default (IHLEG)</v>
      </c>
      <c r="L26" s="16" t="n">
        <f aca="false">SUMIFS(Calc!$W$5:$W$1369,Calc!$A$5:$A$1369,A26)</f>
        <v>1.36693971676483</v>
      </c>
      <c r="M26" s="16" t="n">
        <f aca="false">SUMIFS(Calc!$X$5:$X$1369,Calc!$A$5:$A$1369,A26)</f>
        <v>1.35539436825936</v>
      </c>
      <c r="N26" s="18" t="n">
        <f aca="false">SUMIFS(Calc!$AC$5:$AC$1369,Calc!$A$5:$A$1369,A26)</f>
        <v>-0.16493812198503</v>
      </c>
      <c r="O26" s="18" t="n">
        <f aca="false">SUMIFS(Calc!$AD$5:$AD$1369,Calc!$A$5:$A$1369,A26)</f>
        <v>0.00948040845507894</v>
      </c>
      <c r="P26" s="18" t="n">
        <f aca="false">SUMIFS(Calc!$AE$5:$AE$1369,Calc!$A$5:$A$1369,A26)</f>
        <v>-0.107929561211448</v>
      </c>
      <c r="Q26" s="18" t="n">
        <f aca="false">SUMIFS(Calc!$AF$5:$AF$1369,Calc!$A$5:$A$1369,A26)</f>
        <v>-1.46332392947081</v>
      </c>
      <c r="R26" s="11" t="n">
        <f aca="false">IFERROR(N26/E26,"")</f>
        <v>-0.000147095743304134</v>
      </c>
      <c r="S26" s="11" t="n">
        <f aca="false">IFERROR(P26/E26,"")</f>
        <v>-9.62541517983811E-005</v>
      </c>
      <c r="T26" s="11" t="n">
        <f aca="false">IFERROR(Q26/E26,"")</f>
        <v>-0.0013050271126512</v>
      </c>
      <c r="U26" s="16" t="n">
        <f aca="false">SUMIFS(Calc!$AG$5:$AG$1369,Calc!$A$5:$A$1369,A26)</f>
        <v>-1.71237110790207</v>
      </c>
      <c r="V26" s="16" t="n">
        <f aca="false">SUMIFS(Calc!$AH$5:$AH$1369,Calc!$A$5:$A$1369,A26)</f>
        <v>-1.96141828633334</v>
      </c>
      <c r="W26" s="16" t="n">
        <f aca="false">SUMIFS(Calc!$Y$5:$Y$1369,Calc!$A$5:$A$1369,A26)</f>
        <v>4.98094356862522</v>
      </c>
      <c r="X26" s="7" t="n">
        <f aca="false">IFERROR(N26/W26*1000,"")</f>
        <v>-33.1138306854086</v>
      </c>
      <c r="Y26" s="7" t="n">
        <f aca="false">IFERROR(P26/W26*1000,"")</f>
        <v>-21.6684970878395</v>
      </c>
      <c r="Z26" s="7" t="n">
        <f aca="false">IFERROR(Q26/W26*1000,"")</f>
        <v>-293.784482660723</v>
      </c>
      <c r="AA26" s="16" t="n">
        <f aca="false">SUMIFS(Calc!$AM$5:$AM$1369,Calc!$A$5:$A$1369,A26)</f>
        <v>-0.150022528351532</v>
      </c>
      <c r="AB26" s="16" t="n">
        <f aca="false">SUMIFS(Calc!$AN$5:$AN$1369,Calc!$A$5:$A$1369,A26)</f>
        <v>42.2059076890474</v>
      </c>
      <c r="AC26" s="17" t="n">
        <f aca="false">Country_Data!DY26</f>
        <v>0.13</v>
      </c>
      <c r="AD26" s="12" t="str">
        <f aca="false">IF(Country_Data!BD26="","",Country_Data!BD26)</f>
        <v/>
      </c>
      <c r="AE26" s="7" t="str">
        <f aca="false">IF(Country_Data!BC26="","",Country_Data!BC26)</f>
        <v/>
      </c>
      <c r="AF26" s="12" t="str">
        <f aca="false">IF(Country_Data!BL26="","",Country_Data!BL26)</f>
        <v/>
      </c>
      <c r="AG26" s="7" t="str">
        <f aca="false">IF(Country_Data!BA26="","",Country_Data!BA26)</f>
        <v/>
      </c>
    </row>
    <row r="27" customFormat="false" ht="15" hidden="false" customHeight="false" outlineLevel="0" collapsed="false">
      <c r="A27" s="14" t="str">
        <f aca="false">Country_Data!A27</f>
        <v>BEL</v>
      </c>
      <c r="B27" s="14" t="str">
        <f aca="false">Country_Data!B27</f>
        <v>Belgium</v>
      </c>
      <c r="C27" s="14" t="str">
        <f aca="false">Country_Data!E27</f>
        <v>AE</v>
      </c>
      <c r="D27" s="14" t="str">
        <f aca="false">Country_Data!D27</f>
        <v>High income</v>
      </c>
      <c r="E27" s="15" t="n">
        <f aca="false">Country_Data!BV27</f>
        <v>700.387526837024</v>
      </c>
      <c r="F27" s="16" t="n">
        <f aca="false">SUMIFS(Calc!$J$5:$J$1369,Calc!$A$5:$A$1369,A27)</f>
        <v>21.8276195203218</v>
      </c>
      <c r="G27" s="11" t="n">
        <f aca="false">IFERROR(F27/E27,"")</f>
        <v>0.0311650603186726</v>
      </c>
      <c r="H27" s="16" t="n">
        <f aca="false">SUMIFS(Calc!$L$5:$L$1369,Calc!$A$5:$A$1369,A27)</f>
        <v>8.29449541772228</v>
      </c>
      <c r="I27" s="11" t="n">
        <f aca="false">IFERROR(H27/E27,"")</f>
        <v>0.0118427229210956</v>
      </c>
      <c r="J27" s="17" t="n">
        <f aca="false">Country_Data!DW27</f>
        <v>0.038</v>
      </c>
      <c r="K27" s="14" t="str">
        <f aca="false">Country_Data!DV27</f>
        <v>Observed (IRENA/Steffen)</v>
      </c>
      <c r="L27" s="16" t="n">
        <f aca="false">SUMIFS(Calc!$W$5:$W$1369,Calc!$A$5:$A$1369,A27)</f>
        <v>0.596821758689717</v>
      </c>
      <c r="M27" s="16" t="n">
        <f aca="false">SUMIFS(Calc!$X$5:$X$1369,Calc!$A$5:$A$1369,A27)</f>
        <v>0.0761285856004179</v>
      </c>
      <c r="N27" s="18" t="n">
        <f aca="false">SUMIFS(Calc!$AC$5:$AC$1369,Calc!$A$5:$A$1369,A27)</f>
        <v>-0.0442579388495564</v>
      </c>
      <c r="O27" s="18" t="n">
        <f aca="false">SUMIFS(Calc!$AD$5:$AD$1369,Calc!$A$5:$A$1369,A27)</f>
        <v>0.0431291745418154</v>
      </c>
      <c r="P27" s="18" t="n">
        <f aca="false">SUMIFS(Calc!$AE$5:$AE$1369,Calc!$A$5:$A$1369,A27)</f>
        <v>0.0860018629572717</v>
      </c>
      <c r="Q27" s="18" t="n">
        <f aca="false">SUMIFS(Calc!$AF$5:$AF$1369,Calc!$A$5:$A$1369,A27)</f>
        <v>0.00987327735685376</v>
      </c>
      <c r="R27" s="11" t="n">
        <f aca="false">IFERROR(N27/E27,"")</f>
        <v>-6.31906439702416E-005</v>
      </c>
      <c r="S27" s="11" t="n">
        <f aca="false">IFERROR(P27/E27,"")</f>
        <v>0.000122791825470764</v>
      </c>
      <c r="T27" s="11" t="n">
        <f aca="false">IFERROR(Q27/E27,"")</f>
        <v>1.40968777691428E-005</v>
      </c>
      <c r="U27" s="16" t="n">
        <f aca="false">SUMIFS(Calc!$AG$5:$AG$1369,Calc!$A$5:$A$1369,A27)</f>
        <v>-0.120632205281634</v>
      </c>
      <c r="V27" s="16" t="n">
        <f aca="false">SUMIFS(Calc!$AH$5:$AH$1369,Calc!$A$5:$A$1369,A27)</f>
        <v>-0.251137687920123</v>
      </c>
      <c r="W27" s="16" t="n">
        <f aca="false">SUMIFS(Calc!$Y$5:$Y$1369,Calc!$A$5:$A$1369,A27)</f>
        <v>2.61010965276976</v>
      </c>
      <c r="X27" s="7" t="n">
        <f aca="false">IFERROR(N27/W27*1000,"")</f>
        <v>-16.9563523136246</v>
      </c>
      <c r="Y27" s="7" t="n">
        <f aca="false">IFERROR(P27/W27*1000,"")</f>
        <v>32.9495210540328</v>
      </c>
      <c r="Z27" s="7" t="n">
        <f aca="false">IFERROR(Q27/W27*1000,"")</f>
        <v>3.78270596653921</v>
      </c>
      <c r="AA27" s="16" t="n">
        <f aca="false">SUMIFS(Calc!$AM$5:$AM$1369,Calc!$A$5:$A$1369,A27)</f>
        <v>-0.342788952123232</v>
      </c>
      <c r="AB27" s="16" t="n">
        <f aca="false">SUMIFS(Calc!$AN$5:$AN$1369,Calc!$A$5:$A$1369,A27)</f>
        <v>22.8060990160603</v>
      </c>
      <c r="AC27" s="17" t="n">
        <f aca="false">Country_Data!DY27</f>
        <v>0.13</v>
      </c>
      <c r="AD27" s="12" t="str">
        <f aca="false">IF(Country_Data!BD27="","",Country_Data!BD27)</f>
        <v/>
      </c>
      <c r="AE27" s="7" t="str">
        <f aca="false">IF(Country_Data!BC27="","",Country_Data!BC27)</f>
        <v/>
      </c>
      <c r="AF27" s="12" t="str">
        <f aca="false">IF(Country_Data!BL27="","",Country_Data!BL27)</f>
        <v/>
      </c>
      <c r="AG27" s="7" t="n">
        <f aca="false">IF(Country_Data!BA27="","",Country_Data!BA27)</f>
        <v>103.89</v>
      </c>
    </row>
    <row r="28" customFormat="false" ht="15" hidden="false" customHeight="false" outlineLevel="0" collapsed="false">
      <c r="A28" s="14" t="str">
        <f aca="false">Country_Data!A28</f>
        <v>ARG</v>
      </c>
      <c r="B28" s="14" t="str">
        <f aca="false">Country_Data!B28</f>
        <v>Argentina</v>
      </c>
      <c r="C28" s="14" t="str">
        <f aca="false">Country_Data!E28</f>
        <v>EMDC</v>
      </c>
      <c r="D28" s="14" t="str">
        <f aca="false">Country_Data!D28</f>
        <v>Upper middle income</v>
      </c>
      <c r="E28" s="15" t="n">
        <f aca="false">Country_Data!BV28</f>
        <v>789.885040234008</v>
      </c>
      <c r="F28" s="16" t="n">
        <f aca="false">SUMIFS(Calc!$J$5:$J$1369,Calc!$A$5:$A$1369,A28)</f>
        <v>37.4974155367317</v>
      </c>
      <c r="G28" s="11" t="n">
        <f aca="false">IFERROR(F28/E28,"")</f>
        <v>0.0474719910198868</v>
      </c>
      <c r="H28" s="16" t="n">
        <f aca="false">SUMIFS(Calc!$L$5:$L$1369,Calc!$A$5:$A$1369,A28)</f>
        <v>8.99937972881562</v>
      </c>
      <c r="I28" s="11" t="n">
        <f aca="false">IFERROR(H28/E28,"")</f>
        <v>0.0113932778447728</v>
      </c>
      <c r="J28" s="17" t="n">
        <f aca="false">Country_Data!DW28</f>
        <v>0.12688</v>
      </c>
      <c r="K28" s="14" t="str">
        <f aca="false">Country_Data!DV28</f>
        <v>Observed (IRENA/Steffen)</v>
      </c>
      <c r="L28" s="16" t="n">
        <f aca="false">SUMIFS(Calc!$W$5:$W$1369,Calc!$A$5:$A$1369,A28)</f>
        <v>0.605461536978192</v>
      </c>
      <c r="M28" s="16" t="n">
        <f aca="false">SUMIFS(Calc!$X$5:$X$1369,Calc!$A$5:$A$1369,A28)</f>
        <v>0.417521619533831</v>
      </c>
      <c r="N28" s="18" t="n">
        <f aca="false">SUMIFS(Calc!$AC$5:$AC$1369,Calc!$A$5:$A$1369,A28)</f>
        <v>0.620884355893312</v>
      </c>
      <c r="O28" s="18" t="n">
        <f aca="false">SUMIFS(Calc!$AD$5:$AD$1369,Calc!$A$5:$A$1369,A28)</f>
        <v>0.994104520360025</v>
      </c>
      <c r="P28" s="18" t="n">
        <f aca="false">SUMIFS(Calc!$AE$5:$AE$1369,Calc!$A$5:$A$1369,A28)</f>
        <v>0.11793750714113</v>
      </c>
      <c r="Q28" s="18" t="n">
        <f aca="false">SUMIFS(Calc!$AF$5:$AF$1369,Calc!$A$5:$A$1369,A28)</f>
        <v>-0.299584112392701</v>
      </c>
      <c r="R28" s="11" t="n">
        <f aca="false">IFERROR(N28/E28,"")</f>
        <v>0.000786043948508471</v>
      </c>
      <c r="S28" s="11" t="n">
        <f aca="false">IFERROR(P28/E28,"")</f>
        <v>0.000149309711076678</v>
      </c>
      <c r="T28" s="11" t="n">
        <f aca="false">IFERROR(Q28/E28,"")</f>
        <v>-0.000379275587120814</v>
      </c>
      <c r="U28" s="16" t="n">
        <f aca="false">SUMIFS(Calc!$AG$5:$AG$1369,Calc!$A$5:$A$1369,A28)</f>
        <v>-0.574599144255603</v>
      </c>
      <c r="V28" s="16" t="n">
        <f aca="false">SUMIFS(Calc!$AH$5:$AH$1369,Calc!$A$5:$A$1369,A28)</f>
        <v>-0.849614176118506</v>
      </c>
      <c r="W28" s="16" t="n">
        <f aca="false">SUMIFS(Calc!$Y$5:$Y$1369,Calc!$A$5:$A$1369,A28)</f>
        <v>5.50030063725805</v>
      </c>
      <c r="X28" s="7" t="n">
        <f aca="false">IFERROR(N28/W28*1000,"")</f>
        <v>112.881894434561</v>
      </c>
      <c r="Y28" s="7" t="n">
        <f aca="false">IFERROR(P28/W28*1000,"")</f>
        <v>21.4420110679482</v>
      </c>
      <c r="Z28" s="7" t="n">
        <f aca="false">IFERROR(Q28/W28*1000,"")</f>
        <v>-54.4668613863345</v>
      </c>
      <c r="AA28" s="16" t="n">
        <f aca="false">SUMIFS(Calc!$AM$5:$AM$1369,Calc!$A$5:$A$1369,A28)</f>
        <v>2.09561186980076</v>
      </c>
      <c r="AB28" s="16" t="n">
        <f aca="false">SUMIFS(Calc!$AN$5:$AN$1369,Calc!$A$5:$A$1369,A28)</f>
        <v>45.7526605076091</v>
      </c>
      <c r="AC28" s="17" t="n">
        <f aca="false">Country_Data!DY28</f>
        <v>0.355</v>
      </c>
      <c r="AD28" s="12" t="n">
        <f aca="false">IF(Country_Data!BD28="","",Country_Data!BD28)</f>
        <v>1.5</v>
      </c>
      <c r="AE28" s="7" t="n">
        <f aca="false">IF(Country_Data!BC28="","",Country_Data!BC28)</f>
        <v>97.306</v>
      </c>
      <c r="AF28" s="12" t="n">
        <f aca="false">IF(Country_Data!BL28="","",Country_Data!BL28)</f>
        <v>-2.971</v>
      </c>
      <c r="AG28" s="7" t="n">
        <f aca="false">IF(Country_Data!BA28="","",Country_Data!BA28)</f>
        <v>84.653</v>
      </c>
    </row>
    <row r="29" customFormat="false" ht="15" hidden="false" customHeight="false" outlineLevel="0" collapsed="false">
      <c r="A29" s="14" t="str">
        <f aca="false">Country_Data!A29</f>
        <v>IRL</v>
      </c>
      <c r="B29" s="14" t="str">
        <f aca="false">Country_Data!B29</f>
        <v>Ireland</v>
      </c>
      <c r="C29" s="14" t="str">
        <f aca="false">Country_Data!E29</f>
        <v>AE</v>
      </c>
      <c r="D29" s="14" t="str">
        <f aca="false">Country_Data!D29</f>
        <v>High income</v>
      </c>
      <c r="E29" s="15" t="n">
        <f aca="false">Country_Data!BV29</f>
        <v>774.611072587656</v>
      </c>
      <c r="F29" s="16" t="n">
        <f aca="false">SUMIFS(Calc!$J$5:$J$1369,Calc!$A$5:$A$1369,A29)</f>
        <v>15.5034103461177</v>
      </c>
      <c r="G29" s="11" t="n">
        <f aca="false">IFERROR(F29/E29,"")</f>
        <v>0.0200144445319214</v>
      </c>
      <c r="H29" s="16" t="n">
        <f aca="false">SUMIFS(Calc!$L$5:$L$1369,Calc!$A$5:$A$1369,A29)</f>
        <v>5.89129593152474</v>
      </c>
      <c r="I29" s="11" t="n">
        <f aca="false">IFERROR(H29/E29,"")</f>
        <v>0.00760548892213012</v>
      </c>
      <c r="J29" s="17" t="n">
        <f aca="false">Country_Data!DW29</f>
        <v>0.06595</v>
      </c>
      <c r="K29" s="14" t="str">
        <f aca="false">Country_Data!DV29</f>
        <v>Observed (IRENA/Steffen)</v>
      </c>
      <c r="L29" s="16" t="n">
        <f aca="false">SUMIFS(Calc!$W$5:$W$1369,Calc!$A$5:$A$1369,A29)</f>
        <v>0.518853869433884</v>
      </c>
      <c r="M29" s="16" t="n">
        <f aca="false">SUMIFS(Calc!$X$5:$X$1369,Calc!$A$5:$A$1369,A29)</f>
        <v>0.076553399712117</v>
      </c>
      <c r="N29" s="18" t="n">
        <f aca="false">SUMIFS(Calc!$AC$5:$AC$1369,Calc!$A$5:$A$1369,A29)</f>
        <v>-0.00850348674771224</v>
      </c>
      <c r="O29" s="18" t="n">
        <f aca="false">SUMIFS(Calc!$AD$5:$AD$1369,Calc!$A$5:$A$1369,A29)</f>
        <v>0.0610770644152772</v>
      </c>
      <c r="P29" s="18" t="n">
        <f aca="false">SUMIFS(Calc!$AE$5:$AE$1369,Calc!$A$5:$A$1369,A29)</f>
        <v>-0.0351027264400983</v>
      </c>
      <c r="Q29" s="18" t="n">
        <f aca="false">SUMIFS(Calc!$AF$5:$AF$1369,Calc!$A$5:$A$1369,A29)</f>
        <v>-0.111656126152215</v>
      </c>
      <c r="R29" s="11" t="n">
        <f aca="false">IFERROR(N29/E29,"")</f>
        <v>-1.09777500588852E-005</v>
      </c>
      <c r="S29" s="11" t="n">
        <f aca="false">IFERROR(P29/E29,"")</f>
        <v>-4.53165823241264E-005</v>
      </c>
      <c r="T29" s="11" t="n">
        <f aca="false">IFERROR(Q29/E29,"")</f>
        <v>-0.000144144758709966</v>
      </c>
      <c r="U29" s="16" t="n">
        <f aca="false">SUMIFS(Calc!$AG$5:$AG$1369,Calc!$A$5:$A$1369,A29)</f>
        <v>-0.231600861755409</v>
      </c>
      <c r="V29" s="16" t="n">
        <f aca="false">SUMIFS(Calc!$AH$5:$AH$1369,Calc!$A$5:$A$1369,A29)</f>
        <v>-0.351545597358603</v>
      </c>
      <c r="W29" s="16" t="n">
        <f aca="false">SUMIFS(Calc!$Y$5:$Y$1369,Calc!$A$5:$A$1369,A29)</f>
        <v>2.39889471206388</v>
      </c>
      <c r="X29" s="7" t="n">
        <f aca="false">IFERROR(N29/W29*1000,"")</f>
        <v>-3.54475196637385</v>
      </c>
      <c r="Y29" s="7" t="n">
        <f aca="false">IFERROR(P29/W29*1000,"")</f>
        <v>-14.6328749917907</v>
      </c>
      <c r="Z29" s="7" t="n">
        <f aca="false">IFERROR(Q29/W29*1000,"")</f>
        <v>-46.5448214924584</v>
      </c>
      <c r="AA29" s="16" t="n">
        <f aca="false">SUMIFS(Calc!$AM$5:$AM$1369,Calc!$A$5:$A$1369,A29)</f>
        <v>0.0699979991904897</v>
      </c>
      <c r="AB29" s="16" t="n">
        <f aca="false">SUMIFS(Calc!$AN$5:$AN$1369,Calc!$A$5:$A$1369,A29)</f>
        <v>16.1983908099092</v>
      </c>
      <c r="AC29" s="17" t="n">
        <f aca="false">Country_Data!DY29</f>
        <v>0.13</v>
      </c>
      <c r="AD29" s="12" t="str">
        <f aca="false">IF(Country_Data!BD29="","",Country_Data!BD29)</f>
        <v/>
      </c>
      <c r="AE29" s="7" t="str">
        <f aca="false">IF(Country_Data!BC29="","",Country_Data!BC29)</f>
        <v/>
      </c>
      <c r="AF29" s="12" t="str">
        <f aca="false">IF(Country_Data!BL29="","",Country_Data!BL29)</f>
        <v/>
      </c>
      <c r="AG29" s="7" t="n">
        <f aca="false">IF(Country_Data!BA29="","",Country_Data!BA29)</f>
        <v>38.27</v>
      </c>
    </row>
    <row r="30" customFormat="false" ht="15" hidden="false" customHeight="false" outlineLevel="0" collapsed="false">
      <c r="A30" s="14" t="str">
        <f aca="false">Country_Data!A30</f>
        <v>SWE</v>
      </c>
      <c r="B30" s="14" t="str">
        <f aca="false">Country_Data!B30</f>
        <v>Sweden</v>
      </c>
      <c r="C30" s="14" t="str">
        <f aca="false">Country_Data!E30</f>
        <v>AE</v>
      </c>
      <c r="D30" s="14" t="str">
        <f aca="false">Country_Data!D30</f>
        <v>High income</v>
      </c>
      <c r="E30" s="15" t="n">
        <f aca="false">Country_Data!BV30</f>
        <v>676.852730517855</v>
      </c>
      <c r="F30" s="16" t="n">
        <f aca="false">SUMIFS(Calc!$J$5:$J$1369,Calc!$A$5:$A$1369,A30)</f>
        <v>22.6594402154606</v>
      </c>
      <c r="G30" s="11" t="n">
        <f aca="false">IFERROR(F30/E30,"")</f>
        <v>0.0334776520708191</v>
      </c>
      <c r="H30" s="16" t="n">
        <f aca="false">SUMIFS(Calc!$L$5:$L$1369,Calc!$A$5:$A$1369,A30)</f>
        <v>8.61058728187505</v>
      </c>
      <c r="I30" s="11" t="n">
        <f aca="false">IFERROR(H30/E30,"")</f>
        <v>0.0127215077869113</v>
      </c>
      <c r="J30" s="17" t="n">
        <f aca="false">Country_Data!DW30</f>
        <v>0.03503</v>
      </c>
      <c r="K30" s="14" t="str">
        <f aca="false">Country_Data!DV30</f>
        <v>Observed (IRENA/Steffen)</v>
      </c>
      <c r="L30" s="16" t="n">
        <f aca="false">SUMIFS(Calc!$W$5:$W$1369,Calc!$A$5:$A$1369,A30)</f>
        <v>0.3672366394601</v>
      </c>
      <c r="M30" s="16" t="n">
        <f aca="false">SUMIFS(Calc!$X$5:$X$1369,Calc!$A$5:$A$1369,A30)</f>
        <v>0.0548597807089636</v>
      </c>
      <c r="N30" s="18" t="n">
        <f aca="false">SUMIFS(Calc!$AC$5:$AC$1369,Calc!$A$5:$A$1369,A30)</f>
        <v>0.168206571765234</v>
      </c>
      <c r="O30" s="18" t="n">
        <f aca="false">SUMIFS(Calc!$AD$5:$AD$1369,Calc!$A$5:$A$1369,A30)</f>
        <v>0.258461544687263</v>
      </c>
      <c r="P30" s="18" t="n">
        <f aca="false">SUMIFS(Calc!$AE$5:$AE$1369,Calc!$A$5:$A$1369,A30)</f>
        <v>0.322152630448542</v>
      </c>
      <c r="Q30" s="18" t="n">
        <f aca="false">SUMIFS(Calc!$AF$5:$AF$1369,Calc!$A$5:$A$1369,A30)</f>
        <v>0.267292849739579</v>
      </c>
      <c r="R30" s="11" t="n">
        <f aca="false">IFERROR(N30/E30,"")</f>
        <v>0.000248512806672938</v>
      </c>
      <c r="S30" s="11" t="n">
        <f aca="false">IFERROR(P30/E30,"")</f>
        <v>0.000475956756800058</v>
      </c>
      <c r="T30" s="11" t="n">
        <f aca="false">IFERROR(Q30/E30,"")</f>
        <v>0.000394905476018505</v>
      </c>
      <c r="U30" s="16" t="n">
        <f aca="false">SUMIFS(Calc!$AG$5:$AG$1369,Calc!$A$5:$A$1369,A30)</f>
        <v>0.190518242076547</v>
      </c>
      <c r="V30" s="16" t="n">
        <f aca="false">SUMIFS(Calc!$AH$5:$AH$1369,Calc!$A$5:$A$1369,A30)</f>
        <v>0.113743634413516</v>
      </c>
      <c r="W30" s="16" t="n">
        <f aca="false">SUMIFS(Calc!$Y$5:$Y$1369,Calc!$A$5:$A$1369,A30)</f>
        <v>1.53549215326062</v>
      </c>
      <c r="X30" s="7" t="n">
        <f aca="false">IFERROR(N30/W30*1000,"")</f>
        <v>109.545705855967</v>
      </c>
      <c r="Y30" s="7" t="n">
        <f aca="false">IFERROR(P30/W30*1000,"")</f>
        <v>209.804152866852</v>
      </c>
      <c r="Z30" s="7" t="n">
        <f aca="false">IFERROR(Q30/W30*1000,"")</f>
        <v>174.076337135284</v>
      </c>
      <c r="AA30" s="16" t="n">
        <f aca="false">SUMIFS(Calc!$AM$5:$AM$1369,Calc!$A$5:$A$1369,A30)</f>
        <v>-0.405121207061338</v>
      </c>
      <c r="AB30" s="16" t="n">
        <f aca="false">SUMIFS(Calc!$AN$5:$AN$1369,Calc!$A$5:$A$1369,A30)</f>
        <v>23.6752082251192</v>
      </c>
      <c r="AC30" s="17" t="n">
        <f aca="false">Country_Data!DY30</f>
        <v>0.13</v>
      </c>
      <c r="AD30" s="12" t="str">
        <f aca="false">IF(Country_Data!BD30="","",Country_Data!BD30)</f>
        <v/>
      </c>
      <c r="AE30" s="7" t="str">
        <f aca="false">IF(Country_Data!BC30="","",Country_Data!BC30)</f>
        <v/>
      </c>
      <c r="AF30" s="12" t="str">
        <f aca="false">IF(Country_Data!BL30="","",Country_Data!BL30)</f>
        <v/>
      </c>
      <c r="AG30" s="7" t="n">
        <f aca="false">IF(Country_Data!BA30="","",Country_Data!BA30)</f>
        <v>33.92</v>
      </c>
    </row>
    <row r="31" customFormat="false" ht="15" hidden="false" customHeight="false" outlineLevel="0" collapsed="false">
      <c r="A31" s="14" t="str">
        <f aca="false">Country_Data!A31</f>
        <v>SGP</v>
      </c>
      <c r="B31" s="14" t="str">
        <f aca="false">Country_Data!B31</f>
        <v>Singapore</v>
      </c>
      <c r="C31" s="14" t="str">
        <f aca="false">Country_Data!E31</f>
        <v>AE</v>
      </c>
      <c r="D31" s="14" t="str">
        <f aca="false">Country_Data!D31</f>
        <v>High income</v>
      </c>
      <c r="E31" s="15" t="n">
        <f aca="false">Country_Data!BV31</f>
        <v>714.816243946555</v>
      </c>
      <c r="F31" s="16" t="n">
        <f aca="false">SUMIFS(Calc!$J$5:$J$1369,Calc!$A$5:$A$1369,A31)</f>
        <v>16.6363502914212</v>
      </c>
      <c r="G31" s="11" t="n">
        <f aca="false">IFERROR(F31/E31,"")</f>
        <v>0.0232736041357576</v>
      </c>
      <c r="H31" s="16" t="n">
        <f aca="false">SUMIFS(Calc!$L$5:$L$1369,Calc!$A$5:$A$1369,A31)</f>
        <v>6.32181311074006</v>
      </c>
      <c r="I31" s="11" t="n">
        <f aca="false">IFERROR(H31/E31,"")</f>
        <v>0.00884396957158787</v>
      </c>
      <c r="J31" s="17" t="n">
        <f aca="false">Country_Data!DW31</f>
        <v>0.0546</v>
      </c>
      <c r="K31" s="14" t="str">
        <f aca="false">Country_Data!DV31</f>
        <v>Observed (IRENA/Steffen)</v>
      </c>
      <c r="L31" s="16" t="n">
        <f aca="false">SUMIFS(Calc!$W$5:$W$1369,Calc!$A$5:$A$1369,A31)</f>
        <v>2.14885003085665</v>
      </c>
      <c r="M31" s="16" t="n">
        <f aca="false">SUMIFS(Calc!$X$5:$X$1369,Calc!$A$5:$A$1369,A31)</f>
        <v>0.174453647151917</v>
      </c>
      <c r="N31" s="18" t="n">
        <f aca="false">SUMIFS(Calc!$AC$5:$AC$1369,Calc!$A$5:$A$1369,A31)</f>
        <v>-1.66291619497828</v>
      </c>
      <c r="O31" s="18" t="n">
        <f aca="false">SUMIFS(Calc!$AD$5:$AD$1369,Calc!$A$5:$A$1369,A31)</f>
        <v>-1.59086822058268</v>
      </c>
      <c r="P31" s="18" t="n">
        <f aca="false">SUMIFS(Calc!$AE$5:$AE$1369,Calc!$A$5:$A$1369,A31)</f>
        <v>-1.63746941295319</v>
      </c>
      <c r="Q31" s="18" t="n">
        <f aca="false">SUMIFS(Calc!$AF$5:$AF$1369,Calc!$A$5:$A$1369,A31)</f>
        <v>-1.81192306010511</v>
      </c>
      <c r="R31" s="11" t="n">
        <f aca="false">IFERROR(N31/E31,"")</f>
        <v>-0.00232635479266279</v>
      </c>
      <c r="S31" s="11" t="n">
        <f aca="false">IFERROR(P31/E31,"")</f>
        <v>-0.00229075573872328</v>
      </c>
      <c r="T31" s="11" t="n">
        <f aca="false">IFERROR(Q31/E31,"")</f>
        <v>-0.00253480957581677</v>
      </c>
      <c r="U31" s="16" t="n">
        <f aca="false">SUMIFS(Calc!$AG$5:$AG$1369,Calc!$A$5:$A$1369,A31)</f>
        <v>-1.98145653940302</v>
      </c>
      <c r="V31" s="16" t="n">
        <f aca="false">SUMIFS(Calc!$AH$5:$AH$1369,Calc!$A$5:$A$1369,A31)</f>
        <v>-2.15099001870093</v>
      </c>
      <c r="W31" s="16" t="n">
        <f aca="false">SUMIFS(Calc!$Y$5:$Y$1369,Calc!$A$5:$A$1369,A31)</f>
        <v>3.39066958595819</v>
      </c>
      <c r="X31" s="7" t="n">
        <f aca="false">IFERROR(N31/W31*1000,"")</f>
        <v>-490.438880233253</v>
      </c>
      <c r="Y31" s="7" t="n">
        <f aca="false">IFERROR(P31/W31*1000,"")</f>
        <v>-482.933937218317</v>
      </c>
      <c r="Z31" s="7" t="n">
        <f aca="false">IFERROR(Q31/W31*1000,"")</f>
        <v>-534.385027549968</v>
      </c>
      <c r="AA31" s="16" t="n">
        <f aca="false">SUMIFS(Calc!$AM$5:$AM$1369,Calc!$A$5:$A$1369,A31)</f>
        <v>-0.0669652158555081</v>
      </c>
      <c r="AB31" s="16" t="n">
        <f aca="false">SUMIFS(Calc!$AN$5:$AN$1369,Calc!$A$5:$A$1369,A31)</f>
        <v>17.382117718278</v>
      </c>
      <c r="AC31" s="17" t="n">
        <f aca="false">Country_Data!DY31</f>
        <v>0.13</v>
      </c>
      <c r="AD31" s="12" t="str">
        <f aca="false">IF(Country_Data!BD31="","",Country_Data!BD31)</f>
        <v/>
      </c>
      <c r="AE31" s="7" t="str">
        <f aca="false">IF(Country_Data!BC31="","",Country_Data!BC31)</f>
        <v/>
      </c>
      <c r="AF31" s="12" t="str">
        <f aca="false">IF(Country_Data!BL31="","",Country_Data!BL31)</f>
        <v/>
      </c>
      <c r="AG31" s="7" t="n">
        <f aca="false">IF(Country_Data!BA31="","",Country_Data!BA31)</f>
        <v>166.039</v>
      </c>
    </row>
    <row r="32" customFormat="false" ht="15" hidden="false" customHeight="false" outlineLevel="0" collapsed="false">
      <c r="A32" s="14" t="str">
        <f aca="false">Country_Data!A32</f>
        <v>ARE</v>
      </c>
      <c r="B32" s="14" t="str">
        <f aca="false">Country_Data!B32</f>
        <v>United Arab Emirates</v>
      </c>
      <c r="C32" s="14" t="str">
        <f aca="false">Country_Data!E32</f>
        <v>EMDC</v>
      </c>
      <c r="D32" s="14" t="str">
        <f aca="false">Country_Data!D32</f>
        <v>High income</v>
      </c>
      <c r="E32" s="15" t="n">
        <f aca="false">Country_Data!BV32</f>
        <v>682.174660497772</v>
      </c>
      <c r="F32" s="16" t="n">
        <f aca="false">SUMIFS(Calc!$J$5:$J$1369,Calc!$A$5:$A$1369,A32)</f>
        <v>34.0797897184924</v>
      </c>
      <c r="G32" s="11" t="n">
        <f aca="false">IFERROR(F32/E32,"")</f>
        <v>0.0499575720001457</v>
      </c>
      <c r="H32" s="16" t="n">
        <f aca="false">SUMIFS(Calc!$L$5:$L$1369,Calc!$A$5:$A$1369,A32)</f>
        <v>8.17914953243817</v>
      </c>
      <c r="I32" s="11" t="n">
        <f aca="false">IFERROR(H32/E32,"")</f>
        <v>0.011989817280035</v>
      </c>
      <c r="J32" s="17" t="n">
        <f aca="false">Country_Data!DW32</f>
        <v>0.0535</v>
      </c>
      <c r="K32" s="14" t="str">
        <f aca="false">Country_Data!DV32</f>
        <v>Observed (IRENA/Steffen)</v>
      </c>
      <c r="L32" s="16" t="n">
        <f aca="false">SUMIFS(Calc!$W$5:$W$1369,Calc!$A$5:$A$1369,A32)</f>
        <v>0.410926011006648</v>
      </c>
      <c r="M32" s="16" t="n">
        <f aca="false">SUMIFS(Calc!$X$5:$X$1369,Calc!$A$5:$A$1369,A32)</f>
        <v>0.185540581389811</v>
      </c>
      <c r="N32" s="18" t="n">
        <f aca="false">SUMIFS(Calc!$AC$5:$AC$1369,Calc!$A$5:$A$1369,A32)</f>
        <v>0.203507544039163</v>
      </c>
      <c r="O32" s="18" t="n">
        <f aca="false">SUMIFS(Calc!$AD$5:$AD$1369,Calc!$A$5:$A$1369,A32)</f>
        <v>0.497624477723233</v>
      </c>
      <c r="P32" s="18" t="n">
        <f aca="false">SUMIFS(Calc!$AE$5:$AE$1369,Calc!$A$5:$A$1369,A32)</f>
        <v>0.243180703914928</v>
      </c>
      <c r="Q32" s="18" t="n">
        <f aca="false">SUMIFS(Calc!$AF$5:$AF$1369,Calc!$A$5:$A$1369,A32)</f>
        <v>0.0576401225251167</v>
      </c>
      <c r="R32" s="11" t="n">
        <f aca="false">IFERROR(N32/E32,"")</f>
        <v>0.000298321758082698</v>
      </c>
      <c r="S32" s="11" t="n">
        <f aca="false">IFERROR(P32/E32,"")</f>
        <v>0.000356478652750723</v>
      </c>
      <c r="T32" s="11" t="n">
        <f aca="false">IFERROR(Q32/E32,"")</f>
        <v>8.44946695660867E-005</v>
      </c>
      <c r="U32" s="16" t="n">
        <f aca="false">SUMIFS(Calc!$AG$5:$AG$1369,Calc!$A$5:$A$1369,A32)</f>
        <v>-0.167900952082836</v>
      </c>
      <c r="V32" s="16" t="n">
        <f aca="false">SUMIFS(Calc!$AH$5:$AH$1369,Calc!$A$5:$A$1369,A32)</f>
        <v>-0.393442026690788</v>
      </c>
      <c r="W32" s="16" t="n">
        <f aca="false">SUMIFS(Calc!$Y$5:$Y$1369,Calc!$A$5:$A$1369,A32)</f>
        <v>4.51082149215904</v>
      </c>
      <c r="X32" s="7" t="n">
        <f aca="false">IFERROR(N32/W32*1000,"")</f>
        <v>45.1154062276485</v>
      </c>
      <c r="Y32" s="7" t="n">
        <f aca="false">IFERROR(P32/W32*1000,"")</f>
        <v>53.9105137141069</v>
      </c>
      <c r="Z32" s="7" t="n">
        <f aca="false">IFERROR(Q32/W32*1000,"")</f>
        <v>12.7781874377671</v>
      </c>
      <c r="AA32" s="16" t="n">
        <f aca="false">SUMIFS(Calc!$AM$5:$AM$1369,Calc!$A$5:$A$1369,A32)</f>
        <v>-0.165304832815688</v>
      </c>
      <c r="AB32" s="16" t="n">
        <f aca="false">SUMIFS(Calc!$AN$5:$AN$1369,Calc!$A$5:$A$1369,A32)</f>
        <v>39.1217312110913</v>
      </c>
      <c r="AC32" s="17" t="n">
        <f aca="false">Country_Data!DY32</f>
        <v>0.27</v>
      </c>
      <c r="AD32" s="12" t="str">
        <f aca="false">IF(Country_Data!BD32="","",Country_Data!BD32)</f>
        <v/>
      </c>
      <c r="AE32" s="7" t="str">
        <f aca="false">IF(Country_Data!BC32="","",Country_Data!BC32)</f>
        <v/>
      </c>
      <c r="AF32" s="12" t="str">
        <f aca="false">IF(Country_Data!BL32="","",Country_Data!BL32)</f>
        <v/>
      </c>
      <c r="AG32" s="7" t="n">
        <f aca="false">IF(Country_Data!BA32="","",Country_Data!BA32)</f>
        <v>34.944</v>
      </c>
    </row>
    <row r="33" customFormat="false" ht="15" hidden="false" customHeight="false" outlineLevel="0" collapsed="false">
      <c r="A33" s="14" t="str">
        <f aca="false">Country_Data!A33</f>
        <v>ISR</v>
      </c>
      <c r="B33" s="14" t="str">
        <f aca="false">Country_Data!B33</f>
        <v>Israel</v>
      </c>
      <c r="C33" s="14" t="str">
        <f aca="false">Country_Data!E33</f>
        <v>AE</v>
      </c>
      <c r="D33" s="14" t="str">
        <f aca="false">Country_Data!D33</f>
        <v>High income</v>
      </c>
      <c r="E33" s="15" t="n">
        <f aca="false">Country_Data!BV33</f>
        <v>663.903340465009</v>
      </c>
      <c r="F33" s="16" t="n">
        <f aca="false">SUMIFS(Calc!$J$5:$J$1369,Calc!$A$5:$A$1369,A33)</f>
        <v>17.8168235019689</v>
      </c>
      <c r="G33" s="11" t="n">
        <f aca="false">IFERROR(F33/E33,"")</f>
        <v>0.0268364721429022</v>
      </c>
      <c r="H33" s="16" t="n">
        <f aca="false">SUMIFS(Calc!$L$5:$L$1369,Calc!$A$5:$A$1369,A33)</f>
        <v>6.77039293074818</v>
      </c>
      <c r="I33" s="11" t="n">
        <f aca="false">IFERROR(H33/E33,"")</f>
        <v>0.0101978594143028</v>
      </c>
      <c r="J33" s="17" t="n">
        <f aca="false">Country_Data!DW33</f>
        <v>0.055</v>
      </c>
      <c r="K33" s="14" t="str">
        <f aca="false">Country_Data!DV33</f>
        <v>Group default (IHLEG)</v>
      </c>
      <c r="L33" s="16" t="n">
        <f aca="false">SUMIFS(Calc!$W$5:$W$1369,Calc!$A$5:$A$1369,A33)</f>
        <v>0.313824045500267</v>
      </c>
      <c r="M33" s="16" t="n">
        <f aca="false">SUMIFS(Calc!$X$5:$X$1369,Calc!$A$5:$A$1369,A33)</f>
        <v>0.0757234488849617</v>
      </c>
      <c r="N33" s="18" t="n">
        <f aca="false">SUMIFS(Calc!$AC$5:$AC$1369,Calc!$A$5:$A$1369,A33)</f>
        <v>0.210560467331753</v>
      </c>
      <c r="O33" s="18" t="n">
        <f aca="false">SUMIFS(Calc!$AD$5:$AD$1369,Calc!$A$5:$A$1369,A33)</f>
        <v>0.287841926117002</v>
      </c>
      <c r="P33" s="18" t="n">
        <f aca="false">SUMIFS(Calc!$AE$5:$AE$1369,Calc!$A$5:$A$1369,A33)</f>
        <v>0.235817033070311</v>
      </c>
      <c r="Q33" s="18" t="n">
        <f aca="false">SUMIFS(Calc!$AF$5:$AF$1369,Calc!$A$5:$A$1369,A33)</f>
        <v>0.16009358418535</v>
      </c>
      <c r="R33" s="11" t="n">
        <f aca="false">IFERROR(N33/E33,"")</f>
        <v>0.000317155306349676</v>
      </c>
      <c r="S33" s="11" t="n">
        <f aca="false">IFERROR(P33/E33,"")</f>
        <v>0.000355197840856082</v>
      </c>
      <c r="T33" s="11" t="n">
        <f aca="false">IFERROR(Q33/E33,"")</f>
        <v>0.000241139898578033</v>
      </c>
      <c r="U33" s="16" t="n">
        <f aca="false">SUMIFS(Calc!$AG$5:$AG$1369,Calc!$A$5:$A$1369,A33)</f>
        <v>-0.0105376456440012</v>
      </c>
      <c r="V33" s="16" t="n">
        <f aca="false">SUMIFS(Calc!$AH$5:$AH$1369,Calc!$A$5:$A$1369,A33)</f>
        <v>-0.181168875473352</v>
      </c>
      <c r="W33" s="16" t="n">
        <f aca="false">SUMIFS(Calc!$Y$5:$Y$1369,Calc!$A$5:$A$1369,A33)</f>
        <v>3.41262459658702</v>
      </c>
      <c r="X33" s="7" t="n">
        <f aca="false">IFERROR(N33/W33*1000,"")</f>
        <v>61.7004482539145</v>
      </c>
      <c r="Y33" s="7" t="n">
        <f aca="false">IFERROR(P33/W33*1000,"")</f>
        <v>69.1013694580275</v>
      </c>
      <c r="Z33" s="7" t="n">
        <f aca="false">IFERROR(Q33/W33*1000,"")</f>
        <v>46.9121579752605</v>
      </c>
      <c r="AA33" s="16" t="n">
        <f aca="false">SUMIFS(Calc!$AM$5:$AM$1369,Calc!$A$5:$A$1369,A33)</f>
        <v>-0.0664646466804167</v>
      </c>
      <c r="AB33" s="16" t="n">
        <f aca="false">SUMIFS(Calc!$AN$5:$AN$1369,Calc!$A$5:$A$1369,A33)</f>
        <v>18.6155086934365</v>
      </c>
      <c r="AC33" s="17" t="n">
        <f aca="false">Country_Data!DY33</f>
        <v>0.13</v>
      </c>
      <c r="AD33" s="12" t="str">
        <f aca="false">IF(Country_Data!BD33="","",Country_Data!BD33)</f>
        <v/>
      </c>
      <c r="AE33" s="7" t="str">
        <f aca="false">IF(Country_Data!BC33="","",Country_Data!BC33)</f>
        <v/>
      </c>
      <c r="AF33" s="12" t="str">
        <f aca="false">IF(Country_Data!BL33="","",Country_Data!BL33)</f>
        <v/>
      </c>
      <c r="AG33" s="7" t="n">
        <f aca="false">IF(Country_Data!BA33="","",Country_Data!BA33)</f>
        <v>67.673</v>
      </c>
    </row>
    <row r="34" customFormat="false" ht="15" hidden="false" customHeight="false" outlineLevel="0" collapsed="false">
      <c r="A34" s="14" t="str">
        <f aca="false">Country_Data!A34</f>
        <v>AUT</v>
      </c>
      <c r="B34" s="14" t="str">
        <f aca="false">Country_Data!B34</f>
        <v>Austria</v>
      </c>
      <c r="C34" s="14" t="str">
        <f aca="false">Country_Data!E34</f>
        <v>AE</v>
      </c>
      <c r="D34" s="14" t="str">
        <f aca="false">Country_Data!D34</f>
        <v>High income</v>
      </c>
      <c r="E34" s="15" t="n">
        <f aca="false">Country_Data!BV34</f>
        <v>556.518419283744</v>
      </c>
      <c r="F34" s="16" t="n">
        <f aca="false">SUMIFS(Calc!$J$5:$J$1369,Calc!$A$5:$A$1369,A34)</f>
        <v>17.0936481697357</v>
      </c>
      <c r="G34" s="11" t="n">
        <f aca="false">IFERROR(F34/E34,"")</f>
        <v>0.0307153322826865</v>
      </c>
      <c r="H34" s="16" t="n">
        <f aca="false">SUMIFS(Calc!$L$5:$L$1369,Calc!$A$5:$A$1369,A34)</f>
        <v>6.49558630449955</v>
      </c>
      <c r="I34" s="11" t="n">
        <f aca="false">IFERROR(H34/E34,"")</f>
        <v>0.0116718262674209</v>
      </c>
      <c r="J34" s="17" t="n">
        <f aca="false">Country_Data!DW34</f>
        <v>0.0611</v>
      </c>
      <c r="K34" s="14" t="str">
        <f aca="false">Country_Data!DV34</f>
        <v>Observed (IRENA/Steffen)</v>
      </c>
      <c r="L34" s="16" t="n">
        <f aca="false">SUMIFS(Calc!$W$5:$W$1369,Calc!$A$5:$A$1369,A34)</f>
        <v>0.349852980609776</v>
      </c>
      <c r="M34" s="16" t="n">
        <f aca="false">SUMIFS(Calc!$X$5:$X$1369,Calc!$A$5:$A$1369,A34)</f>
        <v>0.0648443843487922</v>
      </c>
      <c r="N34" s="18" t="n">
        <f aca="false">SUMIFS(Calc!$AC$5:$AC$1369,Calc!$A$5:$A$1369,A34)</f>
        <v>0.191103722101746</v>
      </c>
      <c r="O34" s="18" t="n">
        <f aca="false">SUMIFS(Calc!$AD$5:$AD$1369,Calc!$A$5:$A$1369,A34)</f>
        <v>0.266511506504739</v>
      </c>
      <c r="P34" s="18" t="n">
        <f aca="false">SUMIFS(Calc!$AE$5:$AE$1369,Calc!$A$5:$A$1369,A34)</f>
        <v>0.185735527799934</v>
      </c>
      <c r="Q34" s="18" t="n">
        <f aca="false">SUMIFS(Calc!$AF$5:$AF$1369,Calc!$A$5:$A$1369,A34)</f>
        <v>0.120891143451142</v>
      </c>
      <c r="R34" s="11" t="n">
        <f aca="false">IFERROR(N34/E34,"")</f>
        <v>0.000343391549102188</v>
      </c>
      <c r="S34" s="11" t="n">
        <f aca="false">IFERROR(P34/E34,"")</f>
        <v>0.00033374551742417</v>
      </c>
      <c r="T34" s="11" t="n">
        <f aca="false">IFERROR(Q34/E34,"")</f>
        <v>0.000217227569227147</v>
      </c>
      <c r="U34" s="16" t="n">
        <f aca="false">SUMIFS(Calc!$AG$5:$AG$1369,Calc!$A$5:$A$1369,A34)</f>
        <v>0.0274338419509971</v>
      </c>
      <c r="V34" s="16" t="n">
        <f aca="false">SUMIFS(Calc!$AH$5:$AH$1369,Calc!$A$5:$A$1369,A34)</f>
        <v>-0.0660234595491481</v>
      </c>
      <c r="W34" s="16" t="n">
        <f aca="false">SUMIFS(Calc!$Y$5:$Y$1369,Calc!$A$5:$A$1369,A34)</f>
        <v>1.8691460300029</v>
      </c>
      <c r="X34" s="7" t="n">
        <f aca="false">IFERROR(N34/W34*1000,"")</f>
        <v>102.241194125132</v>
      </c>
      <c r="Y34" s="7" t="n">
        <f aca="false">IFERROR(P34/W34*1000,"")</f>
        <v>99.3691904316571</v>
      </c>
      <c r="Z34" s="7" t="n">
        <f aca="false">IFERROR(Q34/W34*1000,"")</f>
        <v>64.6772063341431</v>
      </c>
      <c r="AA34" s="16" t="n">
        <f aca="false">SUMIFS(Calc!$AM$5:$AM$1369,Calc!$A$5:$A$1369,A34)</f>
        <v>0.0141268271100301</v>
      </c>
      <c r="AB34" s="16" t="n">
        <f aca="false">SUMIFS(Calc!$AN$5:$AN$1369,Calc!$A$5:$A$1369,A34)</f>
        <v>17.8599151566548</v>
      </c>
      <c r="AC34" s="17" t="n">
        <f aca="false">Country_Data!DY34</f>
        <v>0.13</v>
      </c>
      <c r="AD34" s="12" t="str">
        <f aca="false">IF(Country_Data!BD34="","",Country_Data!BD34)</f>
        <v/>
      </c>
      <c r="AE34" s="7" t="str">
        <f aca="false">IF(Country_Data!BC34="","",Country_Data!BC34)</f>
        <v/>
      </c>
      <c r="AF34" s="12" t="str">
        <f aca="false">IF(Country_Data!BL34="","",Country_Data!BL34)</f>
        <v/>
      </c>
      <c r="AG34" s="7" t="n">
        <f aca="false">IF(Country_Data!BA34="","",Country_Data!BA34)</f>
        <v>79.176</v>
      </c>
    </row>
    <row r="35" customFormat="false" ht="15" hidden="false" customHeight="false" outlineLevel="0" collapsed="false">
      <c r="A35" s="14" t="str">
        <f aca="false">Country_Data!A35</f>
        <v>THA</v>
      </c>
      <c r="B35" s="14" t="str">
        <f aca="false">Country_Data!B35</f>
        <v>Thailand</v>
      </c>
      <c r="C35" s="14" t="str">
        <f aca="false">Country_Data!E35</f>
        <v>EMDC</v>
      </c>
      <c r="D35" s="14" t="str">
        <f aca="false">Country_Data!D35</f>
        <v>Upper middle income</v>
      </c>
      <c r="E35" s="15" t="n">
        <f aca="false">Country_Data!BV35</f>
        <v>584.06038623172</v>
      </c>
      <c r="F35" s="16" t="n">
        <f aca="false">SUMIFS(Calc!$J$5:$J$1369,Calc!$A$5:$A$1369,A35)</f>
        <v>40.5420861582471</v>
      </c>
      <c r="G35" s="11" t="n">
        <f aca="false">IFERROR(F35/E35,"")</f>
        <v>0.0694142029042909</v>
      </c>
      <c r="H35" s="16" t="n">
        <f aca="false">SUMIFS(Calc!$L$5:$L$1369,Calc!$A$5:$A$1369,A35)</f>
        <v>9.73010067797931</v>
      </c>
      <c r="I35" s="11" t="n">
        <f aca="false">IFERROR(H35/E35,"")</f>
        <v>0.0166594086970298</v>
      </c>
      <c r="J35" s="17" t="n">
        <f aca="false">Country_Data!DW35</f>
        <v>0.0904499999999999</v>
      </c>
      <c r="K35" s="14" t="str">
        <f aca="false">Country_Data!DV35</f>
        <v>Observed (IRENA/Steffen)</v>
      </c>
      <c r="L35" s="16" t="n">
        <f aca="false">SUMIFS(Calc!$W$5:$W$1369,Calc!$A$5:$A$1369,A35)</f>
        <v>0.757917397149083</v>
      </c>
      <c r="M35" s="16" t="n">
        <f aca="false">SUMIFS(Calc!$X$5:$X$1369,Calc!$A$5:$A$1369,A35)</f>
        <v>0.459162414721277</v>
      </c>
      <c r="N35" s="18" t="n">
        <f aca="false">SUMIFS(Calc!$AC$5:$AC$1369,Calc!$A$5:$A$1369,A35)</f>
        <v>0.266026001724052</v>
      </c>
      <c r="O35" s="18" t="n">
        <f aca="false">SUMIFS(Calc!$AD$5:$AD$1369,Calc!$A$5:$A$1369,A35)</f>
        <v>0.648186483236643</v>
      </c>
      <c r="P35" s="18" t="n">
        <f aca="false">SUMIFS(Calc!$AE$5:$AE$1369,Calc!$A$5:$A$1369,A35)</f>
        <v>0.0302760172902917</v>
      </c>
      <c r="Q35" s="18" t="n">
        <f aca="false">SUMIFS(Calc!$AF$5:$AF$1369,Calc!$A$5:$A$1369,A35)</f>
        <v>-0.428886397430986</v>
      </c>
      <c r="R35" s="11" t="n">
        <f aca="false">IFERROR(N35/E35,"")</f>
        <v>0.000455476878752926</v>
      </c>
      <c r="S35" s="11" t="n">
        <f aca="false">IFERROR(P35/E35,"")</f>
        <v>5.18371353442211E-005</v>
      </c>
      <c r="T35" s="11" t="n">
        <f aca="false">IFERROR(Q35/E35,"")</f>
        <v>-0.00073431858681275</v>
      </c>
      <c r="U35" s="16" t="n">
        <f aca="false">SUMIFS(Calc!$AG$5:$AG$1369,Calc!$A$5:$A$1369,A35)</f>
        <v>-0.759353020292915</v>
      </c>
      <c r="V35" s="16" t="n">
        <f aca="false">SUMIFS(Calc!$AH$5:$AH$1369,Calc!$A$5:$A$1369,A35)</f>
        <v>-1.08981964315484</v>
      </c>
      <c r="W35" s="16" t="n">
        <f aca="false">SUMIFS(Calc!$Y$5:$Y$1369,Calc!$A$5:$A$1369,A35)</f>
        <v>6.60933245723858</v>
      </c>
      <c r="X35" s="7" t="n">
        <f aca="false">IFERROR(N35/W35*1000,"")</f>
        <v>40.2500560298943</v>
      </c>
      <c r="Y35" s="7" t="n">
        <f aca="false">IFERROR(P35/W35*1000,"")</f>
        <v>4.58079805883168</v>
      </c>
      <c r="Z35" s="7" t="n">
        <f aca="false">IFERROR(Q35/W35*1000,"")</f>
        <v>-64.8910310089284</v>
      </c>
      <c r="AA35" s="16" t="n">
        <f aca="false">SUMIFS(Calc!$AM$5:$AM$1369,Calc!$A$5:$A$1369,A35)</f>
        <v>0.982291601807334</v>
      </c>
      <c r="AB35" s="16" t="n">
        <f aca="false">SUMIFS(Calc!$AN$5:$AN$1369,Calc!$A$5:$A$1369,A35)</f>
        <v>46.5400934254947</v>
      </c>
      <c r="AC35" s="17" t="n">
        <f aca="false">Country_Data!DY35</f>
        <v>0.27</v>
      </c>
      <c r="AD35" s="12" t="str">
        <f aca="false">IF(Country_Data!BD35="","",Country_Data!BD35)</f>
        <v/>
      </c>
      <c r="AE35" s="7" t="str">
        <f aca="false">IF(Country_Data!BC35="","",Country_Data!BC35)</f>
        <v/>
      </c>
      <c r="AF35" s="12" t="n">
        <f aca="false">IF(Country_Data!BL35="","",Country_Data!BL35)</f>
        <v>5.826</v>
      </c>
      <c r="AG35" s="7" t="n">
        <f aca="false">IF(Country_Data!BA35="","",Country_Data!BA35)</f>
        <v>62.913</v>
      </c>
    </row>
    <row r="36" customFormat="false" ht="15" hidden="false" customHeight="false" outlineLevel="0" collapsed="false">
      <c r="A36" s="14" t="str">
        <f aca="false">Country_Data!A36</f>
        <v>NOR</v>
      </c>
      <c r="B36" s="14" t="str">
        <f aca="false">Country_Data!B36</f>
        <v>Norway</v>
      </c>
      <c r="C36" s="14" t="str">
        <f aca="false">Country_Data!E36</f>
        <v>AE</v>
      </c>
      <c r="D36" s="14" t="str">
        <f aca="false">Country_Data!D36</f>
        <v>High income</v>
      </c>
      <c r="E36" s="15" t="n">
        <f aca="false">Country_Data!BV36</f>
        <v>544.779690348795</v>
      </c>
      <c r="F36" s="16" t="n">
        <f aca="false">SUMIFS(Calc!$J$5:$J$1369,Calc!$A$5:$A$1369,A36)</f>
        <v>19.0853138334431</v>
      </c>
      <c r="G36" s="11" t="n">
        <f aca="false">IFERROR(F36/E36,"")</f>
        <v>0.0350330861659393</v>
      </c>
      <c r="H36" s="16" t="n">
        <f aca="false">SUMIFS(Calc!$L$5:$L$1369,Calc!$A$5:$A$1369,A36)</f>
        <v>7.25241925670838</v>
      </c>
      <c r="I36" s="11" t="n">
        <f aca="false">IFERROR(H36/E36,"")</f>
        <v>0.0133125727430569</v>
      </c>
      <c r="J36" s="17" t="n">
        <f aca="false">Country_Data!DW36</f>
        <v>0.0478</v>
      </c>
      <c r="K36" s="14" t="str">
        <f aca="false">Country_Data!DV36</f>
        <v>Observed (IRENA/Steffen)</v>
      </c>
      <c r="L36" s="16" t="n">
        <f aca="false">SUMIFS(Calc!$W$5:$W$1369,Calc!$A$5:$A$1369,A36)</f>
        <v>0.221289798591137</v>
      </c>
      <c r="M36" s="16" t="n">
        <f aca="false">SUMIFS(Calc!$X$5:$X$1369,Calc!$A$5:$A$1369,A36)</f>
        <v>0.0477909525919903</v>
      </c>
      <c r="N36" s="18" t="n">
        <f aca="false">SUMIFS(Calc!$AC$5:$AC$1369,Calc!$A$5:$A$1369,A36)</f>
        <v>0.292847272921343</v>
      </c>
      <c r="O36" s="18" t="n">
        <f aca="false">SUMIFS(Calc!$AD$5:$AD$1369,Calc!$A$5:$A$1369,A36)</f>
        <v>0.373649297222477</v>
      </c>
      <c r="P36" s="18" t="n">
        <f aca="false">SUMIFS(Calc!$AE$5:$AE$1369,Calc!$A$5:$A$1369,A36)</f>
        <v>0.358172391023846</v>
      </c>
      <c r="Q36" s="18" t="n">
        <f aca="false">SUMIFS(Calc!$AF$5:$AF$1369,Calc!$A$5:$A$1369,A36)</f>
        <v>0.310381438431856</v>
      </c>
      <c r="R36" s="11" t="n">
        <f aca="false">IFERROR(N36/E36,"")</f>
        <v>0.000537551744511341</v>
      </c>
      <c r="S36" s="11" t="n">
        <f aca="false">IFERROR(P36/E36,"")</f>
        <v>0.000657462819134329</v>
      </c>
      <c r="T36" s="11" t="n">
        <f aca="false">IFERROR(Q36/E36,"")</f>
        <v>0.000569737535981075</v>
      </c>
      <c r="U36" s="16" t="n">
        <f aca="false">SUMIFS(Calc!$AG$5:$AG$1369,Calc!$A$5:$A$1369,A36)</f>
        <v>0.245791232485745</v>
      </c>
      <c r="V36" s="16" t="n">
        <f aca="false">SUMIFS(Calc!$AH$5:$AH$1369,Calc!$A$5:$A$1369,A36)</f>
        <v>0.181201026539635</v>
      </c>
      <c r="W36" s="16" t="n">
        <f aca="false">SUMIFS(Calc!$Y$5:$Y$1369,Calc!$A$5:$A$1369,A36)</f>
        <v>1.29180411892221</v>
      </c>
      <c r="X36" s="7" t="n">
        <f aca="false">IFERROR(N36/W36*1000,"")</f>
        <v>226.696345546316</v>
      </c>
      <c r="Y36" s="7" t="n">
        <f aca="false">IFERROR(P36/W36*1000,"")</f>
        <v>277.265249256737</v>
      </c>
      <c r="Z36" s="7" t="n">
        <f aca="false">IFERROR(Q36/W36*1000,"")</f>
        <v>240.269738953005</v>
      </c>
      <c r="AA36" s="16" t="n">
        <f aca="false">SUMIFS(Calc!$AM$5:$AM$1369,Calc!$A$5:$A$1369,A36)</f>
        <v>-0.171908205532901</v>
      </c>
      <c r="AB36" s="16" t="n">
        <f aca="false">SUMIFS(Calc!$AN$5:$AN$1369,Calc!$A$5:$A$1369,A36)</f>
        <v>19.9408623845974</v>
      </c>
      <c r="AC36" s="17" t="n">
        <f aca="false">Country_Data!DY36</f>
        <v>0.13</v>
      </c>
      <c r="AD36" s="12" t="str">
        <f aca="false">IF(Country_Data!BD36="","",Country_Data!BD36)</f>
        <v/>
      </c>
      <c r="AE36" s="7" t="str">
        <f aca="false">IF(Country_Data!BC36="","",Country_Data!BC36)</f>
        <v/>
      </c>
      <c r="AF36" s="12" t="str">
        <f aca="false">IF(Country_Data!BL36="","",Country_Data!BL36)</f>
        <v/>
      </c>
      <c r="AG36" s="7" t="n">
        <f aca="false">IF(Country_Data!BA36="","",Country_Data!BA36)</f>
        <v>52.818</v>
      </c>
    </row>
    <row r="37" customFormat="false" ht="15" hidden="false" customHeight="false" outlineLevel="0" collapsed="false">
      <c r="A37" s="14" t="str">
        <f aca="false">Country_Data!A37</f>
        <v>PHL</v>
      </c>
      <c r="B37" s="14" t="str">
        <f aca="false">Country_Data!B37</f>
        <v>Philippines</v>
      </c>
      <c r="C37" s="14" t="str">
        <f aca="false">Country_Data!E37</f>
        <v>EMDC</v>
      </c>
      <c r="D37" s="14" t="str">
        <f aca="false">Country_Data!D37</f>
        <v>Upper middle income</v>
      </c>
      <c r="E37" s="15" t="n">
        <f aca="false">Country_Data!BV37</f>
        <v>588.219044913822</v>
      </c>
      <c r="F37" s="16" t="n">
        <f aca="false">SUMIFS(Calc!$J$5:$J$1369,Calc!$A$5:$A$1369,A37)</f>
        <v>28.0685543562072</v>
      </c>
      <c r="G37" s="11" t="n">
        <f aca="false">IFERROR(F37/E37,"")</f>
        <v>0.0477178605468639</v>
      </c>
      <c r="H37" s="16" t="n">
        <f aca="false">SUMIFS(Calc!$L$5:$L$1369,Calc!$A$5:$A$1369,A37)</f>
        <v>6.73645304548973</v>
      </c>
      <c r="I37" s="11" t="n">
        <f aca="false">IFERROR(H37/E37,"")</f>
        <v>0.0114522865312473</v>
      </c>
      <c r="J37" s="17" t="n">
        <f aca="false">Country_Data!DW37</f>
        <v>0.0781399999999999</v>
      </c>
      <c r="K37" s="14" t="str">
        <f aca="false">Country_Data!DV37</f>
        <v>Observed (IRENA/Steffen)</v>
      </c>
      <c r="L37" s="16" t="n">
        <f aca="false">SUMIFS(Calc!$W$5:$W$1369,Calc!$A$5:$A$1369,A37)</f>
        <v>0.378474820497617</v>
      </c>
      <c r="M37" s="16" t="n">
        <f aca="false">SUMIFS(Calc!$X$5:$X$1369,Calc!$A$5:$A$1369,A37)</f>
        <v>0.395043236581281</v>
      </c>
      <c r="N37" s="18" t="n">
        <f aca="false">SUMIFS(Calc!$AC$5:$AC$1369,Calc!$A$5:$A$1369,A37)</f>
        <v>0.263831234095449</v>
      </c>
      <c r="O37" s="18" t="n">
        <f aca="false">SUMIFS(Calc!$AD$5:$AD$1369,Calc!$A$5:$A$1369,A37)</f>
        <v>0.521639399351105</v>
      </c>
      <c r="P37" s="18" t="n">
        <f aca="false">SUMIFS(Calc!$AE$5:$AE$1369,Calc!$A$5:$A$1369,A37)</f>
        <v>0.168590184951825</v>
      </c>
      <c r="Q37" s="18" t="n">
        <f aca="false">SUMIFS(Calc!$AF$5:$AF$1369,Calc!$A$5:$A$1369,A37)</f>
        <v>-0.226453051629456</v>
      </c>
      <c r="R37" s="11" t="n">
        <f aca="false">IFERROR(N37/E37,"")</f>
        <v>0.000448525487871788</v>
      </c>
      <c r="S37" s="11" t="n">
        <f aca="false">IFERROR(P37/E37,"")</f>
        <v>0.000286611231665451</v>
      </c>
      <c r="T37" s="11" t="n">
        <f aca="false">IFERROR(Q37/E37,"")</f>
        <v>-0.000384980822344222</v>
      </c>
      <c r="U37" s="16" t="n">
        <f aca="false">SUMIFS(Calc!$AG$5:$AG$1369,Calc!$A$5:$A$1369,A37)</f>
        <v>-0.496509125338014</v>
      </c>
      <c r="V37" s="16" t="n">
        <f aca="false">SUMIFS(Calc!$AH$5:$AH$1369,Calc!$A$5:$A$1369,A37)</f>
        <v>-0.766565199046572</v>
      </c>
      <c r="W37" s="16" t="n">
        <f aca="false">SUMIFS(Calc!$Y$5:$Y$1369,Calc!$A$5:$A$1369,A37)</f>
        <v>5.40112147417117</v>
      </c>
      <c r="X37" s="7" t="n">
        <f aca="false">IFERROR(N37/W37*1000,"")</f>
        <v>48.8474912769732</v>
      </c>
      <c r="Y37" s="7" t="n">
        <f aca="false">IFERROR(P37/W37*1000,"")</f>
        <v>31.2139221008164</v>
      </c>
      <c r="Z37" s="7" t="n">
        <f aca="false">IFERROR(Q37/W37*1000,"")</f>
        <v>-41.9270428766289</v>
      </c>
      <c r="AA37" s="16" t="n">
        <f aca="false">SUMIFS(Calc!$AM$5:$AM$1369,Calc!$A$5:$A$1369,A37)</f>
        <v>0.396837704765097</v>
      </c>
      <c r="AB37" s="16" t="n">
        <f aca="false">SUMIFS(Calc!$AN$5:$AN$1369,Calc!$A$5:$A$1369,A37)</f>
        <v>31.235263052805</v>
      </c>
      <c r="AC37" s="17" t="n">
        <f aca="false">Country_Data!DY37</f>
        <v>0.22</v>
      </c>
      <c r="AD37" s="12" t="n">
        <f aca="false">IF(Country_Data!BD37="","",Country_Data!BD37)</f>
        <v>3</v>
      </c>
      <c r="AE37" s="7" t="n">
        <f aca="false">IF(Country_Data!BC37="","",Country_Data!BC37)</f>
        <v>100</v>
      </c>
      <c r="AF37" s="12" t="n">
        <f aca="false">IF(Country_Data!BL37="","",Country_Data!BL37)</f>
        <v>1.597</v>
      </c>
      <c r="AG37" s="7" t="n">
        <f aca="false">IF(Country_Data!BA37="","",Country_Data!BA37)</f>
        <v>56.627</v>
      </c>
    </row>
    <row r="38" customFormat="false" ht="15" hidden="false" customHeight="false" outlineLevel="0" collapsed="false">
      <c r="A38" s="14" t="str">
        <f aca="false">Country_Data!A38</f>
        <v>VNM</v>
      </c>
      <c r="B38" s="14" t="str">
        <f aca="false">Country_Data!B38</f>
        <v>Viet Nam</v>
      </c>
      <c r="C38" s="14" t="str">
        <f aca="false">Country_Data!E38</f>
        <v>EMDC</v>
      </c>
      <c r="D38" s="14" t="str">
        <f aca="false">Country_Data!D38</f>
        <v>Upper middle income</v>
      </c>
      <c r="E38" s="15" t="n">
        <f aca="false">Country_Data!BV38</f>
        <v>699.332758156695</v>
      </c>
      <c r="F38" s="16" t="n">
        <f aca="false">SUMIFS(Calc!$J$5:$J$1369,Calc!$A$5:$A$1369,A38)</f>
        <v>36.5627375914272</v>
      </c>
      <c r="G38" s="11" t="n">
        <f aca="false">IFERROR(F38/E38,"")</f>
        <v>0.0522823179165802</v>
      </c>
      <c r="H38" s="16" t="n">
        <f aca="false">SUMIFS(Calc!$L$5:$L$1369,Calc!$A$5:$A$1369,A38)</f>
        <v>8.77505702194254</v>
      </c>
      <c r="I38" s="11" t="n">
        <f aca="false">IFERROR(H38/E38,"")</f>
        <v>0.0125477562999793</v>
      </c>
      <c r="J38" s="17" t="n">
        <f aca="false">Country_Data!DW38</f>
        <v>0.0931000000000001</v>
      </c>
      <c r="K38" s="14" t="str">
        <f aca="false">Country_Data!DV38</f>
        <v>Observed (IRENA/Steffen)</v>
      </c>
      <c r="L38" s="16" t="n">
        <f aca="false">SUMIFS(Calc!$W$5:$W$1369,Calc!$A$5:$A$1369,A38)</f>
        <v>0.406855400970092</v>
      </c>
      <c r="M38" s="16" t="n">
        <f aca="false">SUMIFS(Calc!$X$5:$X$1369,Calc!$A$5:$A$1369,A38)</f>
        <v>0.342786629788369</v>
      </c>
      <c r="N38" s="18" t="n">
        <f aca="false">SUMIFS(Calc!$AC$5:$AC$1369,Calc!$A$5:$A$1369,A38)</f>
        <v>0.522039766974222</v>
      </c>
      <c r="O38" s="18" t="n">
        <f aca="false">SUMIFS(Calc!$AD$5:$AD$1369,Calc!$A$5:$A$1369,A38)</f>
        <v>0.870974941127394</v>
      </c>
      <c r="P38" s="18" t="n">
        <f aca="false">SUMIFS(Calc!$AE$5:$AE$1369,Calc!$A$5:$A$1369,A38)</f>
        <v>0.288277308889773</v>
      </c>
      <c r="Q38" s="18" t="n">
        <f aca="false">SUMIFS(Calc!$AF$5:$AF$1369,Calc!$A$5:$A$1369,A38)</f>
        <v>-0.0545093208985958</v>
      </c>
      <c r="R38" s="11" t="n">
        <f aca="false">IFERROR(N38/E38,"")</f>
        <v>0.000746482644900287</v>
      </c>
      <c r="S38" s="11" t="n">
        <f aca="false">IFERROR(P38/E38,"")</f>
        <v>0.000412217653938614</v>
      </c>
      <c r="T38" s="11" t="n">
        <f aca="false">IFERROR(Q38/E38,"")</f>
        <v>-7.79447555728288E-005</v>
      </c>
      <c r="U38" s="16" t="n">
        <f aca="false">SUMIFS(Calc!$AG$5:$AG$1369,Calc!$A$5:$A$1369,A38)</f>
        <v>-0.366524344214616</v>
      </c>
      <c r="V38" s="16" t="n">
        <f aca="false">SUMIFS(Calc!$AH$5:$AH$1369,Calc!$A$5:$A$1369,A38)</f>
        <v>-0.678539367530635</v>
      </c>
      <c r="W38" s="16" t="n">
        <f aca="false">SUMIFS(Calc!$Y$5:$Y$1369,Calc!$A$5:$A$1369,A38)</f>
        <v>6.2403004663204</v>
      </c>
      <c r="X38" s="7" t="n">
        <f aca="false">IFERROR(N38/W38*1000,"")</f>
        <v>83.656190882431</v>
      </c>
      <c r="Y38" s="7" t="n">
        <f aca="false">IFERROR(P38/W38*1000,"")</f>
        <v>46.1960622642512</v>
      </c>
      <c r="Z38" s="7" t="n">
        <f aca="false">IFERROR(Q38/W38*1000,"")</f>
        <v>-8.73504748574027</v>
      </c>
      <c r="AA38" s="16" t="n">
        <f aca="false">SUMIFS(Calc!$AM$5:$AM$1369,Calc!$A$5:$A$1369,A38)</f>
        <v>0.974010242018539</v>
      </c>
      <c r="AB38" s="16" t="n">
        <f aca="false">SUMIFS(Calc!$AN$5:$AN$1369,Calc!$A$5:$A$1369,A38)</f>
        <v>44.6122085030283</v>
      </c>
      <c r="AC38" s="17" t="n">
        <f aca="false">Country_Data!DY38</f>
        <v>0.355</v>
      </c>
      <c r="AD38" s="12" t="n">
        <f aca="false">IF(Country_Data!BD38="","",Country_Data!BD38)</f>
        <v>1.5</v>
      </c>
      <c r="AE38" s="7" t="str">
        <f aca="false">IF(Country_Data!BC38="","",Country_Data!BC38)</f>
        <v/>
      </c>
      <c r="AF38" s="12" t="n">
        <f aca="false">IF(Country_Data!BL38="","",Country_Data!BL38)</f>
        <v>1.643</v>
      </c>
      <c r="AG38" s="7" t="n">
        <f aca="false">IF(Country_Data!BA38="","",Country_Data!BA38)</f>
        <v>31.163</v>
      </c>
    </row>
    <row r="39" customFormat="false" ht="15" hidden="false" customHeight="false" outlineLevel="0" collapsed="false">
      <c r="A39" s="14" t="str">
        <f aca="false">Country_Data!A39</f>
        <v>BGD</v>
      </c>
      <c r="B39" s="14" t="str">
        <f aca="false">Country_Data!B39</f>
        <v>Bangladesh</v>
      </c>
      <c r="C39" s="14" t="str">
        <f aca="false">Country_Data!E39</f>
        <v>EMDC</v>
      </c>
      <c r="D39" s="14" t="str">
        <f aca="false">Country_Data!D39</f>
        <v>Lower middle income</v>
      </c>
      <c r="E39" s="15" t="n">
        <f aca="false">Country_Data!BV39</f>
        <v>586.33228395574</v>
      </c>
      <c r="F39" s="16" t="n">
        <f aca="false">SUMIFS(Calc!$J$5:$J$1369,Calc!$A$5:$A$1369,A39)</f>
        <v>31.0228418859364</v>
      </c>
      <c r="G39" s="11" t="n">
        <f aca="false">IFERROR(F39/E39,"")</f>
        <v>0.0529100012652181</v>
      </c>
      <c r="H39" s="16" t="n">
        <f aca="false">SUMIFS(Calc!$L$5:$L$1369,Calc!$A$5:$A$1369,A39)</f>
        <v>7.44548205262474</v>
      </c>
      <c r="I39" s="11" t="n">
        <f aca="false">IFERROR(H39/E39,"")</f>
        <v>0.0126984003036523</v>
      </c>
      <c r="J39" s="17" t="n">
        <f aca="false">Country_Data!DW39</f>
        <v>0.0893600000000001</v>
      </c>
      <c r="K39" s="14" t="str">
        <f aca="false">Country_Data!DV39</f>
        <v>Observed (IRENA/Steffen)</v>
      </c>
      <c r="L39" s="16" t="n">
        <f aca="false">SUMIFS(Calc!$W$5:$W$1369,Calc!$A$5:$A$1369,A39)</f>
        <v>0.42971127784051</v>
      </c>
      <c r="M39" s="16" t="n">
        <f aca="false">SUMIFS(Calc!$X$5:$X$1369,Calc!$A$5:$A$1369,A39)</f>
        <v>0.597522492106327</v>
      </c>
      <c r="N39" s="18" t="n">
        <f aca="false">SUMIFS(Calc!$AC$5:$AC$1369,Calc!$A$5:$A$1369,A39)</f>
        <v>0.333369128138651</v>
      </c>
      <c r="O39" s="18" t="n">
        <f aca="false">SUMIFS(Calc!$AD$5:$AD$1369,Calc!$A$5:$A$1369,A39)</f>
        <v>0.627653555733986</v>
      </c>
      <c r="P39" s="18" t="n">
        <f aca="false">SUMIFS(Calc!$AE$5:$AE$1369,Calc!$A$5:$A$1369,A39)</f>
        <v>0.158354193130986</v>
      </c>
      <c r="Q39" s="18" t="n">
        <f aca="false">SUMIFS(Calc!$AF$5:$AF$1369,Calc!$A$5:$A$1369,A39)</f>
        <v>-0.439168298975341</v>
      </c>
      <c r="R39" s="11" t="n">
        <f aca="false">IFERROR(N39/E39,"")</f>
        <v>0.000568566898430952</v>
      </c>
      <c r="S39" s="11" t="n">
        <f aca="false">IFERROR(P39/E39,"")</f>
        <v>0.000270075855388068</v>
      </c>
      <c r="T39" s="11" t="n">
        <f aca="false">IFERROR(Q39/E39,"")</f>
        <v>-0.000749009240992933</v>
      </c>
      <c r="U39" s="16" t="n">
        <f aca="false">SUMIFS(Calc!$AG$5:$AG$1369,Calc!$A$5:$A$1369,A39)</f>
        <v>-0.737197111135798</v>
      </c>
      <c r="V39" s="16" t="n">
        <f aca="false">SUMIFS(Calc!$AH$5:$AH$1369,Calc!$A$5:$A$1369,A39)</f>
        <v>-1.03522592329625</v>
      </c>
      <c r="W39" s="16" t="n">
        <f aca="false">SUMIFS(Calc!$Y$5:$Y$1369,Calc!$A$5:$A$1369,A39)</f>
        <v>5.96057624320913</v>
      </c>
      <c r="X39" s="7" t="n">
        <f aca="false">IFERROR(N39/W39*1000,"")</f>
        <v>55.9290099708829</v>
      </c>
      <c r="Y39" s="7" t="n">
        <f aca="false">IFERROR(P39/W39*1000,"")</f>
        <v>26.5669268657369</v>
      </c>
      <c r="Z39" s="7" t="n">
        <f aca="false">IFERROR(Q39/W39*1000,"")</f>
        <v>-73.6788325584602</v>
      </c>
      <c r="AA39" s="16" t="n">
        <f aca="false">SUMIFS(Calc!$AM$5:$AM$1369,Calc!$A$5:$A$1369,A39)</f>
        <v>0.729228895865273</v>
      </c>
      <c r="AB39" s="16" t="n">
        <f aca="false">SUMIFS(Calc!$AN$5:$AN$1369,Calc!$A$5:$A$1369,A39)</f>
        <v>35.4968843892143</v>
      </c>
      <c r="AC39" s="17" t="n">
        <f aca="false">Country_Data!DY39</f>
        <v>0.265</v>
      </c>
      <c r="AD39" s="12" t="n">
        <f aca="false">IF(Country_Data!BD39="","",Country_Data!BD39)</f>
        <v>2.5</v>
      </c>
      <c r="AE39" s="7" t="n">
        <f aca="false">IF(Country_Data!BC39="","",Country_Data!BC39)</f>
        <v>78.21</v>
      </c>
      <c r="AF39" s="12" t="str">
        <f aca="false">IF(Country_Data!BL39="","",Country_Data!BL39)</f>
        <v/>
      </c>
      <c r="AG39" s="7" t="n">
        <f aca="false">IF(Country_Data!BA39="","",Country_Data!BA39)</f>
        <v>40.972</v>
      </c>
    </row>
    <row r="40" customFormat="false" ht="15" hidden="false" customHeight="false" outlineLevel="0" collapsed="false">
      <c r="A40" s="14" t="str">
        <f aca="false">Country_Data!A40</f>
        <v>DNK</v>
      </c>
      <c r="B40" s="14" t="str">
        <f aca="false">Country_Data!B40</f>
        <v>Denmark</v>
      </c>
      <c r="C40" s="14" t="str">
        <f aca="false">Country_Data!E40</f>
        <v>AE</v>
      </c>
      <c r="D40" s="14" t="str">
        <f aca="false">Country_Data!D40</f>
        <v>High income</v>
      </c>
      <c r="E40" s="15" t="n">
        <f aca="false">Country_Data!BV40</f>
        <v>482.204061085231</v>
      </c>
      <c r="F40" s="16" t="n">
        <f aca="false">SUMIFS(Calc!$J$5:$J$1369,Calc!$A$5:$A$1369,A40)</f>
        <v>11.674521286336</v>
      </c>
      <c r="G40" s="11" t="n">
        <f aca="false">IFERROR(F40/E40,"")</f>
        <v>0.02421074857823</v>
      </c>
      <c r="H40" s="16" t="n">
        <f aca="false">SUMIFS(Calc!$L$5:$L$1369,Calc!$A$5:$A$1369,A40)</f>
        <v>4.43631808880768</v>
      </c>
      <c r="I40" s="11" t="n">
        <f aca="false">IFERROR(H40/E40,"")</f>
        <v>0.00920008445972741</v>
      </c>
      <c r="J40" s="17" t="n">
        <f aca="false">Country_Data!DW40</f>
        <v>0.0375</v>
      </c>
      <c r="K40" s="14" t="str">
        <f aca="false">Country_Data!DV40</f>
        <v>Observed (IRENA/Steffen)</v>
      </c>
      <c r="L40" s="16" t="n">
        <f aca="false">SUMIFS(Calc!$W$5:$W$1369,Calc!$A$5:$A$1369,A40)</f>
        <v>0.237446406022309</v>
      </c>
      <c r="M40" s="16" t="n">
        <f aca="false">SUMIFS(Calc!$X$5:$X$1369,Calc!$A$5:$A$1369,A40)</f>
        <v>0.0401522168187786</v>
      </c>
      <c r="N40" s="18" t="n">
        <f aca="false">SUMIFS(Calc!$AC$5:$AC$1369,Calc!$A$5:$A$1369,A40)</f>
        <v>0.0568545454487784</v>
      </c>
      <c r="O40" s="18" t="n">
        <f aca="false">SUMIFS(Calc!$AD$5:$AD$1369,Calc!$A$5:$A$1369,A40)</f>
        <v>0.103523917823004</v>
      </c>
      <c r="P40" s="18" t="n">
        <f aca="false">SUMIFS(Calc!$AE$5:$AE$1369,Calc!$A$5:$A$1369,A40)</f>
        <v>0.128090070546456</v>
      </c>
      <c r="Q40" s="18" t="n">
        <f aca="false">SUMIFS(Calc!$AF$5:$AF$1369,Calc!$A$5:$A$1369,A40)</f>
        <v>0.0879378537276776</v>
      </c>
      <c r="R40" s="11" t="n">
        <f aca="false">IFERROR(N40/E40,"")</f>
        <v>0.000117905571597269</v>
      </c>
      <c r="S40" s="11" t="n">
        <f aca="false">IFERROR(P40/E40,"")</f>
        <v>0.000265634574412711</v>
      </c>
      <c r="T40" s="11" t="n">
        <f aca="false">IFERROR(Q40/E40,"")</f>
        <v>0.00018236647267086</v>
      </c>
      <c r="U40" s="16" t="n">
        <f aca="false">SUMIFS(Calc!$AG$5:$AG$1369,Calc!$A$5:$A$1369,A40)</f>
        <v>0.0288600928872918</v>
      </c>
      <c r="V40" s="16" t="n">
        <f aca="false">SUMIFS(Calc!$AH$5:$AH$1369,Calc!$A$5:$A$1369,A40)</f>
        <v>-0.0302176679530939</v>
      </c>
      <c r="W40" s="16" t="n">
        <f aca="false">SUMIFS(Calc!$Y$5:$Y$1369,Calc!$A$5:$A$1369,A40)</f>
        <v>1.18155521680771</v>
      </c>
      <c r="X40" s="7" t="n">
        <f aca="false">IFERROR(N40/W40*1000,"")</f>
        <v>48.1183990726951</v>
      </c>
      <c r="Y40" s="7" t="n">
        <f aca="false">IFERROR(P40/W40*1000,"")</f>
        <v>108.408027593095</v>
      </c>
      <c r="Z40" s="7" t="n">
        <f aca="false">IFERROR(Q40/W40*1000,"")</f>
        <v>74.4255134899789</v>
      </c>
      <c r="AA40" s="16" t="n">
        <f aca="false">SUMIFS(Calc!$AM$5:$AM$1369,Calc!$A$5:$A$1369,A40)</f>
        <v>-0.187461908151784</v>
      </c>
      <c r="AB40" s="16" t="n">
        <f aca="false">SUMIFS(Calc!$AN$5:$AN$1369,Calc!$A$5:$A$1369,A40)</f>
        <v>12.1978618957235</v>
      </c>
      <c r="AC40" s="17" t="n">
        <f aca="false">Country_Data!DY40</f>
        <v>0.13</v>
      </c>
      <c r="AD40" s="12" t="str">
        <f aca="false">IF(Country_Data!BD40="","",Country_Data!BD40)</f>
        <v/>
      </c>
      <c r="AE40" s="7" t="str">
        <f aca="false">IF(Country_Data!BC40="","",Country_Data!BC40)</f>
        <v/>
      </c>
      <c r="AF40" s="12" t="str">
        <f aca="false">IF(Country_Data!BL40="","",Country_Data!BL40)</f>
        <v/>
      </c>
      <c r="AG40" s="7" t="n">
        <f aca="false">IF(Country_Data!BA40="","",Country_Data!BA40)</f>
        <v>30.544</v>
      </c>
    </row>
    <row r="41" customFormat="false" ht="15" hidden="false" customHeight="false" outlineLevel="0" collapsed="false">
      <c r="A41" s="14" t="str">
        <f aca="false">Country_Data!A41</f>
        <v>MYS</v>
      </c>
      <c r="B41" s="14" t="str">
        <f aca="false">Country_Data!B41</f>
        <v>Malaysia</v>
      </c>
      <c r="C41" s="14" t="str">
        <f aca="false">Country_Data!E41</f>
        <v>EMDC</v>
      </c>
      <c r="D41" s="14" t="str">
        <f aca="false">Country_Data!D41</f>
        <v>Upper middle income</v>
      </c>
      <c r="E41" s="15" t="n">
        <f aca="false">Country_Data!BV41</f>
        <v>558.695808645077</v>
      </c>
      <c r="F41" s="16" t="n">
        <f aca="false">SUMIFS(Calc!$J$5:$J$1369,Calc!$A$5:$A$1369,A41)</f>
        <v>34.0232813480885</v>
      </c>
      <c r="G41" s="11" t="n">
        <f aca="false">IFERROR(F41/E41,"")</f>
        <v>0.0608976849684986</v>
      </c>
      <c r="H41" s="16" t="n">
        <f aca="false">SUMIFS(Calc!$L$5:$L$1369,Calc!$A$5:$A$1369,A41)</f>
        <v>8.16558752354123</v>
      </c>
      <c r="I41" s="11" t="n">
        <f aca="false">IFERROR(H41/E41,"")</f>
        <v>0.0146154443924397</v>
      </c>
      <c r="J41" s="17" t="n">
        <f aca="false">Country_Data!DW41</f>
        <v>0.06559</v>
      </c>
      <c r="K41" s="14" t="str">
        <f aca="false">Country_Data!DV41</f>
        <v>Observed (IRENA/Steffen)</v>
      </c>
      <c r="L41" s="16" t="n">
        <f aca="false">SUMIFS(Calc!$W$5:$W$1369,Calc!$A$5:$A$1369,A41)</f>
        <v>0.500513790108213</v>
      </c>
      <c r="M41" s="16" t="n">
        <f aca="false">SUMIFS(Calc!$X$5:$X$1369,Calc!$A$5:$A$1369,A41)</f>
        <v>0.387321380283871</v>
      </c>
      <c r="N41" s="18" t="n">
        <f aca="false">SUMIFS(Calc!$AC$5:$AC$1369,Calc!$A$5:$A$1369,A41)</f>
        <v>0.191783704010981</v>
      </c>
      <c r="O41" s="18" t="n">
        <f aca="false">SUMIFS(Calc!$AD$5:$AD$1369,Calc!$A$5:$A$1369,A41)</f>
        <v>0.495695359777197</v>
      </c>
      <c r="P41" s="18" t="n">
        <f aca="false">SUMIFS(Calc!$AE$5:$AE$1369,Calc!$A$5:$A$1369,A41)</f>
        <v>0.156909281684482</v>
      </c>
      <c r="Q41" s="18" t="n">
        <f aca="false">SUMIFS(Calc!$AF$5:$AF$1369,Calc!$A$5:$A$1369,A41)</f>
        <v>-0.230412098599389</v>
      </c>
      <c r="R41" s="11" t="n">
        <f aca="false">IFERROR(N41/E41,"")</f>
        <v>0.000343270346838803</v>
      </c>
      <c r="S41" s="11" t="n">
        <f aca="false">IFERROR(P41/E41,"")</f>
        <v>0.000280849219300591</v>
      </c>
      <c r="T41" s="11" t="n">
        <f aca="false">IFERROR(Q41/E41,"")</f>
        <v>-0.000412410644637149</v>
      </c>
      <c r="U41" s="16" t="n">
        <f aca="false">SUMIFS(Calc!$AG$5:$AG$1369,Calc!$A$5:$A$1369,A41)</f>
        <v>-0.53914679646452</v>
      </c>
      <c r="V41" s="16" t="n">
        <f aca="false">SUMIFS(Calc!$AH$5:$AH$1369,Calc!$A$5:$A$1369,A41)</f>
        <v>-0.847881494329651</v>
      </c>
      <c r="W41" s="16" t="n">
        <f aca="false">SUMIFS(Calc!$Y$5:$Y$1369,Calc!$A$5:$A$1369,A41)</f>
        <v>6.17469395730261</v>
      </c>
      <c r="X41" s="7" t="n">
        <f aca="false">IFERROR(N41/W41*1000,"")</f>
        <v>31.0596290823717</v>
      </c>
      <c r="Y41" s="7" t="n">
        <f aca="false">IFERROR(P41/W41*1000,"")</f>
        <v>25.411669431634</v>
      </c>
      <c r="Z41" s="7" t="n">
        <f aca="false">IFERROR(Q41/W41*1000,"")</f>
        <v>-37.315549595278</v>
      </c>
      <c r="AA41" s="16" t="n">
        <f aca="false">SUMIFS(Calc!$AM$5:$AM$1369,Calc!$A$5:$A$1369,A41)</f>
        <v>0.145310093027078</v>
      </c>
      <c r="AB41" s="16" t="n">
        <f aca="false">SUMIFS(Calc!$AN$5:$AN$1369,Calc!$A$5:$A$1369,A41)</f>
        <v>39.0568626982166</v>
      </c>
      <c r="AC41" s="17" t="n">
        <f aca="false">Country_Data!DY41</f>
        <v>0.27</v>
      </c>
      <c r="AD41" s="12" t="str">
        <f aca="false">IF(Country_Data!BD41="","",Country_Data!BD41)</f>
        <v/>
      </c>
      <c r="AE41" s="7" t="str">
        <f aca="false">IF(Country_Data!BC41="","",Country_Data!BC41)</f>
        <v/>
      </c>
      <c r="AF41" s="12" t="str">
        <f aca="false">IF(Country_Data!BL41="","",Country_Data!BL41)</f>
        <v/>
      </c>
      <c r="AG41" s="7" t="n">
        <f aca="false">IF(Country_Data!BA41="","",Country_Data!BA41)</f>
        <v>69.839</v>
      </c>
    </row>
    <row r="42" customFormat="false" ht="15" hidden="false" customHeight="false" outlineLevel="0" collapsed="false">
      <c r="A42" s="14" t="str">
        <f aca="false">Country_Data!A42</f>
        <v>COL</v>
      </c>
      <c r="B42" s="14" t="str">
        <f aca="false">Country_Data!B42</f>
        <v>Colombia</v>
      </c>
      <c r="C42" s="14" t="str">
        <f aca="false">Country_Data!E42</f>
        <v>EMDC</v>
      </c>
      <c r="D42" s="14" t="str">
        <f aca="false">Country_Data!D42</f>
        <v>Upper middle income</v>
      </c>
      <c r="E42" s="15" t="n">
        <f aca="false">Country_Data!BV42</f>
        <v>484.579163943813</v>
      </c>
      <c r="F42" s="16" t="n">
        <f aca="false">SUMIFS(Calc!$J$5:$J$1369,Calc!$A$5:$A$1369,A42)</f>
        <v>24.4462991364287</v>
      </c>
      <c r="G42" s="11" t="n">
        <f aca="false">IFERROR(F42/E42,"")</f>
        <v>0.0504485148256669</v>
      </c>
      <c r="H42" s="16" t="n">
        <f aca="false">SUMIFS(Calc!$L$5:$L$1369,Calc!$A$5:$A$1369,A42)</f>
        <v>5.8671117927429</v>
      </c>
      <c r="I42" s="11" t="n">
        <f aca="false">IFERROR(H42/E42,"")</f>
        <v>0.0121076435581601</v>
      </c>
      <c r="J42" s="17" t="n">
        <f aca="false">Country_Data!DW42</f>
        <v>0.06836</v>
      </c>
      <c r="K42" s="14" t="str">
        <f aca="false">Country_Data!DV42</f>
        <v>Observed (IRENA/Steffen)</v>
      </c>
      <c r="L42" s="16" t="n">
        <f aca="false">SUMIFS(Calc!$W$5:$W$1369,Calc!$A$5:$A$1369,A42)</f>
        <v>0.250225458600979</v>
      </c>
      <c r="M42" s="16" t="n">
        <f aca="false">SUMIFS(Calc!$X$5:$X$1369,Calc!$A$5:$A$1369,A42)</f>
        <v>0.431791954206233</v>
      </c>
      <c r="N42" s="18" t="n">
        <f aca="false">SUMIFS(Calc!$AC$5:$AC$1369,Calc!$A$5:$A$1369,A42)</f>
        <v>0.26014573405928</v>
      </c>
      <c r="O42" s="18" t="n">
        <f aca="false">SUMIFS(Calc!$AD$5:$AD$1369,Calc!$A$5:$A$1369,A42)</f>
        <v>0.480005248190477</v>
      </c>
      <c r="P42" s="18" t="n">
        <f aca="false">SUMIFS(Calc!$AE$5:$AE$1369,Calc!$A$5:$A$1369,A42)</f>
        <v>0.222506289833535</v>
      </c>
      <c r="Q42" s="18" t="n">
        <f aca="false">SUMIFS(Calc!$AF$5:$AF$1369,Calc!$A$5:$A$1369,A42)</f>
        <v>-0.209285664372699</v>
      </c>
      <c r="R42" s="11" t="n">
        <f aca="false">IFERROR(N42/E42,"")</f>
        <v>0.000536848782234153</v>
      </c>
      <c r="S42" s="11" t="n">
        <f aca="false">IFERROR(P42/E42,"")</f>
        <v>0.000459174282324971</v>
      </c>
      <c r="T42" s="11" t="n">
        <f aca="false">IFERROR(Q42/E42,"")</f>
        <v>-0.000431891587474375</v>
      </c>
      <c r="U42" s="16" t="n">
        <f aca="false">SUMIFS(Calc!$AG$5:$AG$1369,Calc!$A$5:$A$1369,A42)</f>
        <v>-0.379363619331026</v>
      </c>
      <c r="V42" s="16" t="n">
        <f aca="false">SUMIFS(Calc!$AH$5:$AH$1369,Calc!$A$5:$A$1369,A42)</f>
        <v>-0.549441574289353</v>
      </c>
      <c r="W42" s="16" t="n">
        <f aca="false">SUMIFS(Calc!$Y$5:$Y$1369,Calc!$A$5:$A$1369,A42)</f>
        <v>3.40155909916654</v>
      </c>
      <c r="X42" s="7" t="n">
        <f aca="false">IFERROR(N42/W42*1000,"")</f>
        <v>76.4783813760641</v>
      </c>
      <c r="Y42" s="7" t="n">
        <f aca="false">IFERROR(P42/W42*1000,"")</f>
        <v>65.4130307152545</v>
      </c>
      <c r="Z42" s="7" t="n">
        <f aca="false">IFERROR(Q42/W42*1000,"")</f>
        <v>-61.5263937128061</v>
      </c>
      <c r="AA42" s="16" t="n">
        <f aca="false">SUMIFS(Calc!$AM$5:$AM$1369,Calc!$A$5:$A$1369,A42)</f>
        <v>0.156831017607273</v>
      </c>
      <c r="AB42" s="16" t="n">
        <f aca="false">SUMIFS(Calc!$AN$5:$AN$1369,Calc!$A$5:$A$1369,A42)</f>
        <v>27.2043431415643</v>
      </c>
      <c r="AC42" s="17" t="n">
        <f aca="false">Country_Data!DY42</f>
        <v>0.22</v>
      </c>
      <c r="AD42" s="12" t="n">
        <f aca="false">IF(Country_Data!BD42="","",Country_Data!BD42)</f>
        <v>3</v>
      </c>
      <c r="AE42" s="7" t="n">
        <f aca="false">IF(Country_Data!BC42="","",Country_Data!BC42)</f>
        <v>83.432</v>
      </c>
      <c r="AF42" s="12" t="n">
        <f aca="false">IF(Country_Data!BL42="","",Country_Data!BL42)</f>
        <v>1.297</v>
      </c>
      <c r="AG42" s="7" t="n">
        <f aca="false">IF(Country_Data!BA42="","",Country_Data!BA42)</f>
        <v>61.008</v>
      </c>
    </row>
    <row r="43" customFormat="false" ht="15" hidden="false" customHeight="false" outlineLevel="0" collapsed="false">
      <c r="A43" s="14" t="str">
        <f aca="false">Country_Data!A43</f>
        <v>IRN</v>
      </c>
      <c r="B43" s="14" t="str">
        <f aca="false">Country_Data!B43</f>
        <v>Iran, Islamic Rep.</v>
      </c>
      <c r="C43" s="14" t="str">
        <f aca="false">Country_Data!E43</f>
        <v>EMDC</v>
      </c>
      <c r="D43" s="14" t="str">
        <f aca="false">Country_Data!D43</f>
        <v>Upper middle income</v>
      </c>
      <c r="E43" s="15" t="n">
        <f aca="false">Country_Data!BV43</f>
        <v>300.017154394947</v>
      </c>
      <c r="F43" s="16" t="n">
        <f aca="false">SUMIFS(Calc!$J$5:$J$1369,Calc!$A$5:$A$1369,A43)</f>
        <v>57.4529478250048</v>
      </c>
      <c r="G43" s="11" t="n">
        <f aca="false">IFERROR(F43/E43,"")</f>
        <v>0.191498875925517</v>
      </c>
      <c r="H43" s="16" t="n">
        <f aca="false">SUMIFS(Calc!$L$5:$L$1369,Calc!$A$5:$A$1369,A43)</f>
        <v>13.7887074780012</v>
      </c>
      <c r="I43" s="11" t="n">
        <f aca="false">IFERROR(H43/E43,"")</f>
        <v>0.0459597302221242</v>
      </c>
      <c r="J43" s="17" t="n">
        <f aca="false">Country_Data!DW43</f>
        <v>0.105</v>
      </c>
      <c r="K43" s="14" t="str">
        <f aca="false">Country_Data!DV43</f>
        <v>Group default (IHLEG)</v>
      </c>
      <c r="L43" s="16" t="n">
        <f aca="false">SUMIFS(Calc!$W$5:$W$1369,Calc!$A$5:$A$1369,A43)</f>
        <v>0.698505388229325</v>
      </c>
      <c r="M43" s="16" t="n">
        <f aca="false">SUMIFS(Calc!$X$5:$X$1369,Calc!$A$5:$A$1369,A43)</f>
        <v>0.562320899236821</v>
      </c>
      <c r="N43" s="18" t="n">
        <f aca="false">SUMIFS(Calc!$AC$5:$AC$1369,Calc!$A$5:$A$1369,A43)</f>
        <v>0.924988684474983</v>
      </c>
      <c r="O43" s="18" t="n">
        <f aca="false">SUMIFS(Calc!$AD$5:$AD$1369,Calc!$A$5:$A$1369,A43)</f>
        <v>1.47780103807544</v>
      </c>
      <c r="P43" s="18" t="n">
        <f aca="false">SUMIFS(Calc!$AE$5:$AE$1369,Calc!$A$5:$A$1369,A43)</f>
        <v>0.423623365268942</v>
      </c>
      <c r="Q43" s="18" t="n">
        <f aca="false">SUMIFS(Calc!$AF$5:$AF$1369,Calc!$A$5:$A$1369,A43)</f>
        <v>-0.138697533967879</v>
      </c>
      <c r="R43" s="11" t="n">
        <f aca="false">IFERROR(N43/E43,"")</f>
        <v>0.0030831193180951</v>
      </c>
      <c r="S43" s="11" t="n">
        <f aca="false">IFERROR(P43/E43,"")</f>
        <v>0.00141199714437421</v>
      </c>
      <c r="T43" s="11" t="n">
        <f aca="false">IFERROR(Q43/E43,"")</f>
        <v>-0.000462298678379222</v>
      </c>
      <c r="U43" s="16" t="n">
        <f aca="false">SUMIFS(Calc!$AG$5:$AG$1369,Calc!$A$5:$A$1369,A43)</f>
        <v>-0.56064485708006</v>
      </c>
      <c r="V43" s="16" t="n">
        <f aca="false">SUMIFS(Calc!$AH$5:$AH$1369,Calc!$A$5:$A$1369,A43)</f>
        <v>-0.982592180192242</v>
      </c>
      <c r="W43" s="16" t="n">
        <f aca="false">SUMIFS(Calc!$Y$5:$Y$1369,Calc!$A$5:$A$1369,A43)</f>
        <v>8.43894646224363</v>
      </c>
      <c r="X43" s="7" t="n">
        <f aca="false">IFERROR(N43/W43*1000,"")</f>
        <v>109.609497893302</v>
      </c>
      <c r="Y43" s="7" t="n">
        <f aca="false">IFERROR(P43/W43*1000,"")</f>
        <v>50.198607985518</v>
      </c>
      <c r="Z43" s="7" t="n">
        <f aca="false">IFERROR(Q43/W43*1000,"")</f>
        <v>-16.4354086838233</v>
      </c>
      <c r="AA43" s="16" t="n">
        <f aca="false">SUMIFS(Calc!$AM$5:$AM$1369,Calc!$A$5:$A$1369,A43)</f>
        <v>2.08902216335851</v>
      </c>
      <c r="AB43" s="16" t="n">
        <f aca="false">SUMIFS(Calc!$AN$5:$AN$1369,Calc!$A$5:$A$1369,A43)</f>
        <v>65.9528359963754</v>
      </c>
      <c r="AC43" s="17" t="n">
        <f aca="false">Country_Data!DY43</f>
        <v>0.27</v>
      </c>
      <c r="AD43" s="12" t="str">
        <f aca="false">IF(Country_Data!BD43="","",Country_Data!BD43)</f>
        <v/>
      </c>
      <c r="AE43" s="7" t="str">
        <f aca="false">IF(Country_Data!BC43="","",Country_Data!BC43)</f>
        <v/>
      </c>
      <c r="AF43" s="12" t="n">
        <f aca="false">IF(Country_Data!BL43="","",Country_Data!BL43)</f>
        <v>-0.44</v>
      </c>
      <c r="AG43" s="7" t="n">
        <f aca="false">IF(Country_Data!BA43="","",Country_Data!BA43)</f>
        <v>31.229</v>
      </c>
    </row>
    <row r="44" customFormat="false" ht="15" hidden="false" customHeight="false" outlineLevel="0" collapsed="false">
      <c r="A44" s="14" t="str">
        <f aca="false">Country_Data!A44</f>
        <v>HKG</v>
      </c>
      <c r="B44" s="14" t="str">
        <f aca="false">Country_Data!B44</f>
        <v>Hong Kong SAR, China</v>
      </c>
      <c r="C44" s="14" t="str">
        <f aca="false">Country_Data!E44</f>
        <v>AE</v>
      </c>
      <c r="D44" s="14" t="str">
        <f aca="false">Country_Data!D44</f>
        <v>High income</v>
      </c>
      <c r="E44" s="15" t="n">
        <f aca="false">Country_Data!BV44</f>
        <v>476.284686165841</v>
      </c>
      <c r="F44" s="16" t="n">
        <f aca="false">SUMIFS(Calc!$J$5:$J$1369,Calc!$A$5:$A$1369,A44)</f>
        <v>12.1977600657302</v>
      </c>
      <c r="G44" s="11" t="n">
        <f aca="false">IFERROR(F44/E44,"")</f>
        <v>0.0256102293859664</v>
      </c>
      <c r="H44" s="16" t="n">
        <f aca="false">SUMIFS(Calc!$L$5:$L$1369,Calc!$A$5:$A$1369,A44)</f>
        <v>4.63514882497747</v>
      </c>
      <c r="I44" s="11" t="n">
        <f aca="false">IFERROR(H44/E44,"")</f>
        <v>0.00973188716666722</v>
      </c>
      <c r="J44" s="17" t="n">
        <f aca="false">Country_Data!DW44</f>
        <v>0.055</v>
      </c>
      <c r="K44" s="14" t="str">
        <f aca="false">Country_Data!DV44</f>
        <v>Group default (IHLEG)</v>
      </c>
      <c r="L44" s="16" t="n">
        <f aca="false">SUMIFS(Calc!$W$5:$W$1369,Calc!$A$5:$A$1369,A44)</f>
        <v>1.02409230526567</v>
      </c>
      <c r="M44" s="16" t="n">
        <f aca="false">SUMIFS(Calc!$X$5:$X$1369,Calc!$A$5:$A$1369,A44)</f>
        <v>0.0313146601772275</v>
      </c>
      <c r="N44" s="18" t="n">
        <f aca="false">SUMIFS(Calc!$AC$5:$AC$1369,Calc!$A$5:$A$1369,A44)</f>
        <v>-0.666608832376334</v>
      </c>
      <c r="O44" s="18" t="n">
        <f aca="false">SUMIFS(Calc!$AD$5:$AD$1369,Calc!$A$5:$A$1369,A44)</f>
        <v>-0.613658921129768</v>
      </c>
      <c r="P44" s="18" t="n">
        <f aca="false">SUMIFS(Calc!$AE$5:$AE$1369,Calc!$A$5:$A$1369,A44)</f>
        <v>-0.649305015851049</v>
      </c>
      <c r="Q44" s="18" t="n">
        <f aca="false">SUMIFS(Calc!$AF$5:$AF$1369,Calc!$A$5:$A$1369,A44)</f>
        <v>-0.680619676028277</v>
      </c>
      <c r="R44" s="11" t="n">
        <f aca="false">IFERROR(N44/E44,"")</f>
        <v>-0.00139960164947278</v>
      </c>
      <c r="S44" s="11" t="n">
        <f aca="false">IFERROR(P44/E44,"")</f>
        <v>-0.00136327082249494</v>
      </c>
      <c r="T44" s="11" t="n">
        <f aca="false">IFERROR(Q44/E44,"")</f>
        <v>-0.00142901860126422</v>
      </c>
      <c r="U44" s="16" t="n">
        <f aca="false">SUMIFS(Calc!$AG$5:$AG$1369,Calc!$A$5:$A$1369,A44)</f>
        <v>-0.838275731484551</v>
      </c>
      <c r="V44" s="16" t="n">
        <f aca="false">SUMIFS(Calc!$AH$5:$AH$1369,Calc!$A$5:$A$1369,A44)</f>
        <v>-0.995931786940825</v>
      </c>
      <c r="W44" s="16" t="n">
        <f aca="false">SUMIFS(Calc!$Y$5:$Y$1369,Calc!$A$5:$A$1369,A44)</f>
        <v>3.15312110912548</v>
      </c>
      <c r="X44" s="7" t="n">
        <f aca="false">IFERROR(N44/W44*1000,"")</f>
        <v>-211.41237818208</v>
      </c>
      <c r="Y44" s="7" t="n">
        <f aca="false">IFERROR(P44/W44*1000,"")</f>
        <v>-205.924540599436</v>
      </c>
      <c r="Z44" s="7" t="n">
        <f aca="false">IFERROR(Q44/W44*1000,"")</f>
        <v>-215.855862325899</v>
      </c>
      <c r="AA44" s="16" t="n">
        <f aca="false">SUMIFS(Calc!$AM$5:$AM$1369,Calc!$A$5:$A$1369,A44)</f>
        <v>-0.0455363592770661</v>
      </c>
      <c r="AB44" s="16" t="n">
        <f aca="false">SUMIFS(Calc!$AN$5:$AN$1369,Calc!$A$5:$A$1369,A44)</f>
        <v>12.7445562066078</v>
      </c>
      <c r="AC44" s="17" t="n">
        <f aca="false">Country_Data!DY44</f>
        <v>0.13</v>
      </c>
      <c r="AD44" s="12" t="str">
        <f aca="false">IF(Country_Data!BD44="","",Country_Data!BD44)</f>
        <v/>
      </c>
      <c r="AE44" s="7" t="str">
        <f aca="false">IF(Country_Data!BC44="","",Country_Data!BC44)</f>
        <v/>
      </c>
      <c r="AF44" s="12" t="str">
        <f aca="false">IF(Country_Data!BL44="","",Country_Data!BL44)</f>
        <v/>
      </c>
      <c r="AG44" s="7" t="n">
        <f aca="false">IF(Country_Data!BA44="","",Country_Data!BA44)</f>
        <v>9.211</v>
      </c>
    </row>
    <row r="45" customFormat="false" ht="15" hidden="false" customHeight="false" outlineLevel="0" collapsed="false">
      <c r="A45" s="14" t="str">
        <f aca="false">Country_Data!A45</f>
        <v>ZAF</v>
      </c>
      <c r="B45" s="14" t="str">
        <f aca="false">Country_Data!B45</f>
        <v>South Africa</v>
      </c>
      <c r="C45" s="14" t="str">
        <f aca="false">Country_Data!E45</f>
        <v>EMDC</v>
      </c>
      <c r="D45" s="14" t="str">
        <f aca="false">Country_Data!D45</f>
        <v>Upper middle income</v>
      </c>
      <c r="E45" s="15" t="n">
        <f aca="false">Country_Data!BV45</f>
        <v>427.269961214852</v>
      </c>
      <c r="F45" s="16" t="n">
        <f aca="false">SUMIFS(Calc!$J$5:$J$1369,Calc!$A$5:$A$1369,A45)</f>
        <v>32.8132049454123</v>
      </c>
      <c r="G45" s="11" t="n">
        <f aca="false">IFERROR(F45/E45,"")</f>
        <v>0.076797359805297</v>
      </c>
      <c r="H45" s="16" t="n">
        <f aca="false">SUMIFS(Calc!$L$5:$L$1369,Calc!$A$5:$A$1369,A45)</f>
        <v>7.87516918689894</v>
      </c>
      <c r="I45" s="11" t="n">
        <f aca="false">IFERROR(H45/E45,"")</f>
        <v>0.0184313663532713</v>
      </c>
      <c r="J45" s="17" t="n">
        <f aca="false">Country_Data!DW45</f>
        <v>0.09152</v>
      </c>
      <c r="K45" s="14" t="str">
        <f aca="false">Country_Data!DV45</f>
        <v>Observed (IRENA/Steffen)</v>
      </c>
      <c r="L45" s="16" t="n">
        <f aca="false">SUMIFS(Calc!$W$5:$W$1369,Calc!$A$5:$A$1369,A45)</f>
        <v>0.25808722948727</v>
      </c>
      <c r="M45" s="16" t="n">
        <f aca="false">SUMIFS(Calc!$X$5:$X$1369,Calc!$A$5:$A$1369,A45)</f>
        <v>0.338424706894586</v>
      </c>
      <c r="N45" s="18" t="n">
        <f aca="false">SUMIFS(Calc!$AC$5:$AC$1369,Calc!$A$5:$A$1369,A45)</f>
        <v>0.575172592957834</v>
      </c>
      <c r="O45" s="18" t="n">
        <f aca="false">SUMIFS(Calc!$AD$5:$AD$1369,Calc!$A$5:$A$1369,A45)</f>
        <v>0.885308349537112</v>
      </c>
      <c r="P45" s="18" t="n">
        <f aca="false">SUMIFS(Calc!$AE$5:$AE$1369,Calc!$A$5:$A$1369,A45)</f>
        <v>0.377246239532809</v>
      </c>
      <c r="Q45" s="18" t="n">
        <f aca="false">SUMIFS(Calc!$AF$5:$AF$1369,Calc!$A$5:$A$1369,A45)</f>
        <v>0.0388215326382236</v>
      </c>
      <c r="R45" s="11" t="n">
        <f aca="false">IFERROR(N45/E45,"")</f>
        <v>0.0013461573365056</v>
      </c>
      <c r="S45" s="11" t="n">
        <f aca="false">IFERROR(P45/E45,"")</f>
        <v>0.000882922446642843</v>
      </c>
      <c r="T45" s="11" t="n">
        <f aca="false">IFERROR(Q45/E45,"")</f>
        <v>9.08594943764424E-005</v>
      </c>
      <c r="U45" s="16" t="n">
        <f aca="false">SUMIFS(Calc!$AG$5:$AG$1369,Calc!$A$5:$A$1369,A45)</f>
        <v>-0.310443159669321</v>
      </c>
      <c r="V45" s="16" t="n">
        <f aca="false">SUMIFS(Calc!$AH$5:$AH$1369,Calc!$A$5:$A$1369,A45)</f>
        <v>-0.659707851976865</v>
      </c>
      <c r="W45" s="16" t="n">
        <f aca="false">SUMIFS(Calc!$Y$5:$Y$1369,Calc!$A$5:$A$1369,A45)</f>
        <v>6.98529384615088</v>
      </c>
      <c r="X45" s="7" t="n">
        <f aca="false">IFERROR(N45/W45*1000,"")</f>
        <v>82.3405007184877</v>
      </c>
      <c r="Y45" s="7" t="n">
        <f aca="false">IFERROR(P45/W45*1000,"")</f>
        <v>54.0057795479404</v>
      </c>
      <c r="Z45" s="7" t="n">
        <f aca="false">IFERROR(Q45/W45*1000,"")</f>
        <v>5.55760909895229</v>
      </c>
      <c r="AA45" s="16" t="n">
        <f aca="false">SUMIFS(Calc!$AM$5:$AM$1369,Calc!$A$5:$A$1369,A45)</f>
        <v>0.824693139270938</v>
      </c>
      <c r="AB45" s="16" t="n">
        <f aca="false">SUMIFS(Calc!$AN$5:$AN$1369,Calc!$A$5:$A$1369,A45)</f>
        <v>37.6677612935007</v>
      </c>
      <c r="AC45" s="17" t="n">
        <f aca="false">Country_Data!DY45</f>
        <v>0.27</v>
      </c>
      <c r="AD45" s="12" t="str">
        <f aca="false">IF(Country_Data!BD45="","",Country_Data!BD45)</f>
        <v/>
      </c>
      <c r="AE45" s="7" t="n">
        <f aca="false">IF(Country_Data!BC45="","",Country_Data!BC45)</f>
        <v>98.558</v>
      </c>
      <c r="AF45" s="12" t="n">
        <f aca="false">IF(Country_Data!BL45="","",Country_Data!BL45)</f>
        <v>-0.137</v>
      </c>
      <c r="AG45" s="7" t="n">
        <f aca="false">IF(Country_Data!BA45="","",Country_Data!BA45)</f>
        <v>75.963</v>
      </c>
    </row>
    <row r="46" customFormat="false" ht="15" hidden="false" customHeight="false" outlineLevel="0" collapsed="false">
      <c r="A46" s="14" t="str">
        <f aca="false">Country_Data!A46</f>
        <v>EGY</v>
      </c>
      <c r="B46" s="14" t="str">
        <f aca="false">Country_Data!B46</f>
        <v>Egypt, Arab Rep.</v>
      </c>
      <c r="C46" s="14" t="str">
        <f aca="false">Country_Data!E46</f>
        <v>EMDC</v>
      </c>
      <c r="D46" s="14" t="str">
        <f aca="false">Country_Data!D46</f>
        <v>Lower middle income</v>
      </c>
      <c r="E46" s="15" t="n">
        <f aca="false">Country_Data!BV46</f>
        <v>492.217501664139</v>
      </c>
      <c r="F46" s="16" t="n">
        <f aca="false">SUMIFS(Calc!$J$5:$J$1369,Calc!$A$5:$A$1369,A46)</f>
        <v>35.3499674518349</v>
      </c>
      <c r="G46" s="11" t="n">
        <f aca="false">IFERROR(F46/E46,"")</f>
        <v>0.0718177783852061</v>
      </c>
      <c r="H46" s="16" t="n">
        <f aca="false">SUMIFS(Calc!$L$5:$L$1369,Calc!$A$5:$A$1369,A46)</f>
        <v>8.48399218844038</v>
      </c>
      <c r="I46" s="11" t="n">
        <f aca="false">IFERROR(H46/E46,"")</f>
        <v>0.0172362668124494</v>
      </c>
      <c r="J46" s="17" t="n">
        <f aca="false">Country_Data!DW46</f>
        <v>0.10343</v>
      </c>
      <c r="K46" s="14" t="str">
        <f aca="false">Country_Data!DV46</f>
        <v>Observed (IRENA/Steffen)</v>
      </c>
      <c r="L46" s="16" t="n">
        <f aca="false">SUMIFS(Calc!$W$5:$W$1369,Calc!$A$5:$A$1369,A46)</f>
        <v>0.708108812972528</v>
      </c>
      <c r="M46" s="16" t="n">
        <f aca="false">SUMIFS(Calc!$X$5:$X$1369,Calc!$A$5:$A$1369,A46)</f>
        <v>0.670800438587394</v>
      </c>
      <c r="N46" s="18" t="n">
        <f aca="false">SUMIFS(Calc!$AC$5:$AC$1369,Calc!$A$5:$A$1369,A46)</f>
        <v>0.276922623897823</v>
      </c>
      <c r="O46" s="18" t="n">
        <f aca="false">SUMIFS(Calc!$AD$5:$AD$1369,Calc!$A$5:$A$1369,A46)</f>
        <v>0.617559568419354</v>
      </c>
      <c r="P46" s="18" t="n">
        <f aca="false">SUMIFS(Calc!$AE$5:$AE$1369,Calc!$A$5:$A$1369,A46)</f>
        <v>-0.0217806632902783</v>
      </c>
      <c r="Q46" s="18" t="n">
        <f aca="false">SUMIFS(Calc!$AF$5:$AF$1369,Calc!$A$5:$A$1369,A46)</f>
        <v>-0.692581101877672</v>
      </c>
      <c r="R46" s="11" t="n">
        <f aca="false">IFERROR(N46/E46,"")</f>
        <v>0.000562602148362411</v>
      </c>
      <c r="S46" s="11" t="n">
        <f aca="false">IFERROR(P46/E46,"")</f>
        <v>-4.42500789115382E-005</v>
      </c>
      <c r="T46" s="11" t="n">
        <f aca="false">IFERROR(Q46/E46,"")</f>
        <v>-0.00140706313679649</v>
      </c>
      <c r="U46" s="16" t="n">
        <f aca="false">SUMIFS(Calc!$AG$5:$AG$1369,Calc!$A$5:$A$1369,A46)</f>
        <v>-0.957649482281022</v>
      </c>
      <c r="V46" s="16" t="n">
        <f aca="false">SUMIFS(Calc!$AH$5:$AH$1369,Calc!$A$5:$A$1369,A46)</f>
        <v>-1.22271786268437</v>
      </c>
      <c r="W46" s="16" t="n">
        <f aca="false">SUMIFS(Calc!$Y$5:$Y$1369,Calc!$A$5:$A$1369,A46)</f>
        <v>5.30136760806699</v>
      </c>
      <c r="X46" s="7" t="n">
        <f aca="false">IFERROR(N46/W46*1000,"")</f>
        <v>52.2360727213927</v>
      </c>
      <c r="Y46" s="7" t="n">
        <f aca="false">IFERROR(P46/W46*1000,"")</f>
        <v>-4.10849895735114</v>
      </c>
      <c r="Z46" s="7" t="n">
        <f aca="false">IFERROR(Q46/W46*1000,"")</f>
        <v>-130.641968842867</v>
      </c>
      <c r="AA46" s="16" t="n">
        <f aca="false">SUMIFS(Calc!$AM$5:$AM$1369,Calc!$A$5:$A$1369,A46)</f>
        <v>1.24459702995042</v>
      </c>
      <c r="AB46" s="16" t="n">
        <f aca="false">SUMIFS(Calc!$AN$5:$AN$1369,Calc!$A$5:$A$1369,A46)</f>
        <v>40.5798256501886</v>
      </c>
      <c r="AC46" s="17" t="n">
        <f aca="false">Country_Data!DY46</f>
        <v>0.27</v>
      </c>
      <c r="AD46" s="12" t="str">
        <f aca="false">IF(Country_Data!BD46="","",Country_Data!BD46)</f>
        <v/>
      </c>
      <c r="AE46" s="7" t="str">
        <f aca="false">IF(Country_Data!BC46="","",Country_Data!BC46)</f>
        <v/>
      </c>
      <c r="AF46" s="12" t="n">
        <f aca="false">IF(Country_Data!BL46="","",Country_Data!BL46)</f>
        <v>1.841</v>
      </c>
      <c r="AG46" s="7" t="n">
        <f aca="false">IF(Country_Data!BA46="","",Country_Data!BA46)</f>
        <v>90.926</v>
      </c>
    </row>
    <row r="47" customFormat="false" ht="15" hidden="false" customHeight="false" outlineLevel="0" collapsed="false">
      <c r="A47" s="14" t="str">
        <f aca="false">Country_Data!A47</f>
        <v>ROU</v>
      </c>
      <c r="B47" s="14" t="str">
        <f aca="false">Country_Data!B47</f>
        <v>Romania</v>
      </c>
      <c r="C47" s="14" t="str">
        <f aca="false">Country_Data!E47</f>
        <v>EMDC</v>
      </c>
      <c r="D47" s="14" t="str">
        <f aca="false">Country_Data!D47</f>
        <v>High income</v>
      </c>
      <c r="E47" s="15" t="n">
        <f aca="false">Country_Data!BV47</f>
        <v>398.74769150566</v>
      </c>
      <c r="F47" s="16" t="n">
        <f aca="false">SUMIFS(Calc!$J$5:$J$1369,Calc!$A$5:$A$1369,A47)</f>
        <v>19.2956573188834</v>
      </c>
      <c r="G47" s="11" t="n">
        <f aca="false">IFERROR(F47/E47,"")</f>
        <v>0.0483906433314347</v>
      </c>
      <c r="H47" s="16" t="n">
        <f aca="false">SUMIFS(Calc!$L$5:$L$1369,Calc!$A$5:$A$1369,A47)</f>
        <v>4.63095775653201</v>
      </c>
      <c r="I47" s="11" t="n">
        <f aca="false">IFERROR(H47/E47,"")</f>
        <v>0.0116137543995443</v>
      </c>
      <c r="J47" s="17" t="n">
        <f aca="false">Country_Data!DW47</f>
        <v>0.07191</v>
      </c>
      <c r="K47" s="14" t="str">
        <f aca="false">Country_Data!DV47</f>
        <v>Observed (IRENA/Steffen)</v>
      </c>
      <c r="L47" s="16" t="n">
        <f aca="false">SUMIFS(Calc!$W$5:$W$1369,Calc!$A$5:$A$1369,A47)</f>
        <v>0.282139185946813</v>
      </c>
      <c r="M47" s="16" t="n">
        <f aca="false">SUMIFS(Calc!$X$5:$X$1369,Calc!$A$5:$A$1369,A47)</f>
        <v>0.275290887722599</v>
      </c>
      <c r="N47" s="18" t="n">
        <f aca="false">SUMIFS(Calc!$AC$5:$AC$1369,Calc!$A$5:$A$1369,A47)</f>
        <v>0.136969862478384</v>
      </c>
      <c r="O47" s="18" t="n">
        <f aca="false">SUMIFS(Calc!$AD$5:$AD$1369,Calc!$A$5:$A$1369,A47)</f>
        <v>0.311338788380487</v>
      </c>
      <c r="P47" s="18" t="n">
        <f aca="false">SUMIFS(Calc!$AE$5:$AE$1369,Calc!$A$5:$A$1369,A47)</f>
        <v>0.0945325693524266</v>
      </c>
      <c r="Q47" s="18" t="n">
        <f aca="false">SUMIFS(Calc!$AF$5:$AF$1369,Calc!$A$5:$A$1369,A47)</f>
        <v>-0.180758318370172</v>
      </c>
      <c r="R47" s="11" t="n">
        <f aca="false">IFERROR(N47/E47,"")</f>
        <v>0.000343500076354523</v>
      </c>
      <c r="S47" s="11" t="n">
        <f aca="false">IFERROR(P47/E47,"")</f>
        <v>0.000237073646735042</v>
      </c>
      <c r="T47" s="11" t="n">
        <f aca="false">IFERROR(Q47/E47,"")</f>
        <v>-0.000453315021555695</v>
      </c>
      <c r="U47" s="16" t="n">
        <f aca="false">SUMIFS(Calc!$AG$5:$AG$1369,Calc!$A$5:$A$1369,A47)</f>
        <v>-0.303320617289822</v>
      </c>
      <c r="V47" s="16" t="n">
        <f aca="false">SUMIFS(Calc!$AH$5:$AH$1369,Calc!$A$5:$A$1369,A47)</f>
        <v>-0.425882916209471</v>
      </c>
      <c r="W47" s="16" t="n">
        <f aca="false">SUMIFS(Calc!$Y$5:$Y$1369,Calc!$A$5:$A$1369,A47)</f>
        <v>2.45124597839299</v>
      </c>
      <c r="X47" s="7" t="n">
        <f aca="false">IFERROR(N47/W47*1000,"")</f>
        <v>55.8776490347084</v>
      </c>
      <c r="Y47" s="7" t="n">
        <f aca="false">IFERROR(P47/W47*1000,"")</f>
        <v>38.5651094119901</v>
      </c>
      <c r="Z47" s="7" t="n">
        <f aca="false">IFERROR(Q47/W47*1000,"")</f>
        <v>-73.7414033367124</v>
      </c>
      <c r="AA47" s="16" t="n">
        <f aca="false">SUMIFS(Calc!$AM$5:$AM$1369,Calc!$A$5:$A$1369,A47)</f>
        <v>0.17682205469149</v>
      </c>
      <c r="AB47" s="16" t="n">
        <f aca="false">SUMIFS(Calc!$AN$5:$AN$1369,Calc!$A$5:$A$1369,A47)</f>
        <v>22.1503573057867</v>
      </c>
      <c r="AC47" s="17" t="n">
        <f aca="false">Country_Data!DY47</f>
        <v>0.27</v>
      </c>
      <c r="AD47" s="12" t="str">
        <f aca="false">IF(Country_Data!BD47="","",Country_Data!BD47)</f>
        <v/>
      </c>
      <c r="AE47" s="7" t="n">
        <f aca="false">IF(Country_Data!BC47="","",Country_Data!BC47)</f>
        <v>100</v>
      </c>
      <c r="AF47" s="12" t="str">
        <f aca="false">IF(Country_Data!BL47="","",Country_Data!BL47)</f>
        <v/>
      </c>
      <c r="AG47" s="7" t="n">
        <f aca="false">IF(Country_Data!BA47="","",Country_Data!BA47)</f>
        <v>57.468</v>
      </c>
    </row>
    <row r="48" customFormat="false" ht="15" hidden="false" customHeight="false" outlineLevel="0" collapsed="false">
      <c r="A48" s="14" t="str">
        <f aca="false">Country_Data!A48</f>
        <v>PAK</v>
      </c>
      <c r="B48" s="14" t="str">
        <f aca="false">Country_Data!B48</f>
        <v>Pakistan</v>
      </c>
      <c r="C48" s="14" t="str">
        <f aca="false">Country_Data!E48</f>
        <v>EMDC</v>
      </c>
      <c r="D48" s="14" t="str">
        <f aca="false">Country_Data!D48</f>
        <v>Lower middle income</v>
      </c>
      <c r="E48" s="15" t="n">
        <f aca="false">Country_Data!BV48</f>
        <v>458.054731945104</v>
      </c>
      <c r="F48" s="16" t="n">
        <f aca="false">SUMIFS(Calc!$J$5:$J$1369,Calc!$A$5:$A$1369,A48)</f>
        <v>29.976733436581</v>
      </c>
      <c r="G48" s="11" t="n">
        <f aca="false">IFERROR(F48/E48,"")</f>
        <v>0.0654435624085499</v>
      </c>
      <c r="H48" s="16" t="n">
        <f aca="false">SUMIFS(Calc!$L$5:$L$1369,Calc!$A$5:$A$1369,A48)</f>
        <v>7.19441602477944</v>
      </c>
      <c r="I48" s="11" t="n">
        <f aca="false">IFERROR(H48/E48,"")</f>
        <v>0.015706454978052</v>
      </c>
      <c r="J48" s="17" t="n">
        <f aca="false">Country_Data!DW48</f>
        <v>0.0891200000000001</v>
      </c>
      <c r="K48" s="14" t="str">
        <f aca="false">Country_Data!DV48</f>
        <v>Observed (IRENA/Steffen)</v>
      </c>
      <c r="L48" s="16" t="n">
        <f aca="false">SUMIFS(Calc!$W$5:$W$1369,Calc!$A$5:$A$1369,A48)</f>
        <v>0.281376445293169</v>
      </c>
      <c r="M48" s="16" t="n">
        <f aca="false">SUMIFS(Calc!$X$5:$X$1369,Calc!$A$5:$A$1369,A48)</f>
        <v>0.369323020327995</v>
      </c>
      <c r="N48" s="18" t="n">
        <f aca="false">SUMIFS(Calc!$AC$5:$AC$1369,Calc!$A$5:$A$1369,A48)</f>
        <v>0.464579174457539</v>
      </c>
      <c r="O48" s="18" t="n">
        <f aca="false">SUMIFS(Calc!$AD$5:$AD$1369,Calc!$A$5:$A$1369,A48)</f>
        <v>0.746995009612361</v>
      </c>
      <c r="P48" s="18" t="n">
        <f aca="false">SUMIFS(Calc!$AE$5:$AE$1369,Calc!$A$5:$A$1369,A48)</f>
        <v>0.297982134411223</v>
      </c>
      <c r="Q48" s="18" t="n">
        <f aca="false">SUMIFS(Calc!$AF$5:$AF$1369,Calc!$A$5:$A$1369,A48)</f>
        <v>-0.0713408859167722</v>
      </c>
      <c r="R48" s="11" t="n">
        <f aca="false">IFERROR(N48/E48,"")</f>
        <v>0.00101424380550492</v>
      </c>
      <c r="S48" s="11" t="n">
        <f aca="false">IFERROR(P48/E48,"")</f>
        <v>0.000650538273332225</v>
      </c>
      <c r="T48" s="11" t="n">
        <f aca="false">IFERROR(Q48/E48,"")</f>
        <v>-0.000155747514306483</v>
      </c>
      <c r="U48" s="16" t="n">
        <f aca="false">SUMIFS(Calc!$AG$5:$AG$1369,Calc!$A$5:$A$1369,A48)</f>
        <v>-0.303210478786336</v>
      </c>
      <c r="V48" s="16" t="n">
        <f aca="false">SUMIFS(Calc!$AH$5:$AH$1369,Calc!$A$5:$A$1369,A48)</f>
        <v>-0.5350800716559</v>
      </c>
      <c r="W48" s="16" t="n">
        <f aca="false">SUMIFS(Calc!$Y$5:$Y$1369,Calc!$A$5:$A$1369,A48)</f>
        <v>4.63739185739128</v>
      </c>
      <c r="X48" s="7" t="n">
        <f aca="false">IFERROR(N48/W48*1000,"")</f>
        <v>100.181133866674</v>
      </c>
      <c r="Y48" s="7" t="n">
        <f aca="false">IFERROR(P48/W48*1000,"")</f>
        <v>64.2564060952249</v>
      </c>
      <c r="Z48" s="7" t="n">
        <f aca="false">IFERROR(Q48/W48*1000,"")</f>
        <v>-15.3838381811677</v>
      </c>
      <c r="AA48" s="16" t="n">
        <f aca="false">SUMIFS(Calc!$AM$5:$AM$1369,Calc!$A$5:$A$1369,A48)</f>
        <v>0.694154333526316</v>
      </c>
      <c r="AB48" s="16" t="n">
        <f aca="false">SUMIFS(Calc!$AN$5:$AN$1369,Calc!$A$5:$A$1369,A48)</f>
        <v>34.4116474244588</v>
      </c>
      <c r="AC48" s="17" t="n">
        <f aca="false">Country_Data!DY48</f>
        <v>0.27</v>
      </c>
      <c r="AD48" s="12" t="str">
        <f aca="false">IF(Country_Data!BD48="","",Country_Data!BD48)</f>
        <v/>
      </c>
      <c r="AE48" s="7" t="n">
        <f aca="false">IF(Country_Data!BC48="","",Country_Data!BC48)</f>
        <v>93.488</v>
      </c>
      <c r="AF48" s="12" t="n">
        <f aca="false">IF(Country_Data!BL48="","",Country_Data!BL48)</f>
        <v>5.1</v>
      </c>
      <c r="AG48" s="7" t="n">
        <f aca="false">IF(Country_Data!BA48="","",Country_Data!BA48)</f>
        <v>70.22</v>
      </c>
    </row>
    <row r="49" customFormat="false" ht="15" hidden="false" customHeight="false" outlineLevel="0" collapsed="false">
      <c r="A49" s="14" t="str">
        <f aca="false">Country_Data!A49</f>
        <v>CZE</v>
      </c>
      <c r="B49" s="14" t="str">
        <f aca="false">Country_Data!B49</f>
        <v>Czechia</v>
      </c>
      <c r="C49" s="14" t="str">
        <f aca="false">Country_Data!E49</f>
        <v>AE</v>
      </c>
      <c r="D49" s="14" t="str">
        <f aca="false">Country_Data!D49</f>
        <v>High income</v>
      </c>
      <c r="E49" s="15" t="n">
        <f aca="false">Country_Data!BV49</f>
        <v>397.500156359744</v>
      </c>
      <c r="F49" s="16" t="n">
        <f aca="false">SUMIFS(Calc!$J$5:$J$1369,Calc!$A$5:$A$1369,A49)</f>
        <v>14.1623978236579</v>
      </c>
      <c r="G49" s="11" t="n">
        <f aca="false">IFERROR(F49/E49,"")</f>
        <v>0.0356286597553956</v>
      </c>
      <c r="H49" s="16" t="n">
        <f aca="false">SUMIFS(Calc!$L$5:$L$1369,Calc!$A$5:$A$1369,A49)</f>
        <v>5.38171117299</v>
      </c>
      <c r="I49" s="11" t="n">
        <f aca="false">IFERROR(H49/E49,"")</f>
        <v>0.0135388907070503</v>
      </c>
      <c r="J49" s="17" t="n">
        <f aca="false">Country_Data!DW49</f>
        <v>0.0575</v>
      </c>
      <c r="K49" s="14" t="str">
        <f aca="false">Country_Data!DV49</f>
        <v>Observed (IRENA/Steffen)</v>
      </c>
      <c r="L49" s="16" t="n">
        <f aca="false">SUMIFS(Calc!$W$5:$W$1369,Calc!$A$5:$A$1369,A49)</f>
        <v>0.292262489968328</v>
      </c>
      <c r="M49" s="16" t="n">
        <f aca="false">SUMIFS(Calc!$X$5:$X$1369,Calc!$A$5:$A$1369,A49)</f>
        <v>0.151980109503268</v>
      </c>
      <c r="N49" s="18" t="n">
        <f aca="false">SUMIFS(Calc!$AC$5:$AC$1369,Calc!$A$5:$A$1369,A49)</f>
        <v>0.139259113571055</v>
      </c>
      <c r="O49" s="18" t="n">
        <f aca="false">SUMIFS(Calc!$AD$5:$AD$1369,Calc!$A$5:$A$1369,A49)</f>
        <v>0.20095368200366</v>
      </c>
      <c r="P49" s="18" t="n">
        <f aca="false">SUMIFS(Calc!$AE$5:$AE$1369,Calc!$A$5:$A$1369,A49)</f>
        <v>0.149298063794729</v>
      </c>
      <c r="Q49" s="18" t="n">
        <f aca="false">SUMIFS(Calc!$AF$5:$AF$1369,Calc!$A$5:$A$1369,A49)</f>
        <v>-0.00268204570853872</v>
      </c>
      <c r="R49" s="11" t="n">
        <f aca="false">IFERROR(N49/E49,"")</f>
        <v>0.000350337254823676</v>
      </c>
      <c r="S49" s="11" t="n">
        <f aca="false">IFERROR(P49/E49,"")</f>
        <v>0.00037559246557783</v>
      </c>
      <c r="T49" s="11" t="n">
        <f aca="false">IFERROR(Q49/E49,"")</f>
        <v>-6.74728214725888E-006</v>
      </c>
      <c r="U49" s="16" t="n">
        <f aca="false">SUMIFS(Calc!$AG$5:$AG$1369,Calc!$A$5:$A$1369,A49)</f>
        <v>-0.134925876122967</v>
      </c>
      <c r="V49" s="16" t="n">
        <f aca="false">SUMIFS(Calc!$AH$5:$AH$1369,Calc!$A$5:$A$1369,A49)</f>
        <v>-0.267169706537395</v>
      </c>
      <c r="W49" s="16" t="n">
        <f aca="false">SUMIFS(Calc!$Y$5:$Y$1369,Calc!$A$5:$A$1369,A49)</f>
        <v>2.64487660828857</v>
      </c>
      <c r="X49" s="7" t="n">
        <f aca="false">IFERROR(N49/W49*1000,"")</f>
        <v>52.6524047037363</v>
      </c>
      <c r="Y49" s="7" t="n">
        <f aca="false">IFERROR(P49/W49*1000,"")</f>
        <v>56.4480260919758</v>
      </c>
      <c r="Z49" s="7" t="n">
        <f aca="false">IFERROR(Q49/W49*1000,"")</f>
        <v>-1.01405324548362</v>
      </c>
      <c r="AA49" s="16" t="n">
        <f aca="false">SUMIFS(Calc!$AM$5:$AM$1369,Calc!$A$5:$A$1369,A49)</f>
        <v>-0.0264182900623015</v>
      </c>
      <c r="AB49" s="16" t="n">
        <f aca="false">SUMIFS(Calc!$AN$5:$AN$1369,Calc!$A$5:$A$1369,A49)</f>
        <v>14.7972639329943</v>
      </c>
      <c r="AC49" s="17" t="n">
        <f aca="false">Country_Data!DY49</f>
        <v>0.13</v>
      </c>
      <c r="AD49" s="12" t="str">
        <f aca="false">IF(Country_Data!BD49="","",Country_Data!BD49)</f>
        <v/>
      </c>
      <c r="AE49" s="7" t="str">
        <f aca="false">IF(Country_Data!BC49="","",Country_Data!BC49)</f>
        <v/>
      </c>
      <c r="AF49" s="12" t="str">
        <f aca="false">IF(Country_Data!BL49="","",Country_Data!BL49)</f>
        <v/>
      </c>
      <c r="AG49" s="7" t="n">
        <f aca="false">IF(Country_Data!BA49="","",Country_Data!BA49)</f>
        <v>43.291</v>
      </c>
    </row>
    <row r="50" customFormat="false" ht="15" hidden="false" customHeight="false" outlineLevel="0" collapsed="false">
      <c r="A50" s="14" t="str">
        <f aca="false">Country_Data!A50</f>
        <v>CHL</v>
      </c>
      <c r="B50" s="14" t="str">
        <f aca="false">Country_Data!B50</f>
        <v>Chile</v>
      </c>
      <c r="C50" s="14" t="str">
        <f aca="false">Country_Data!E50</f>
        <v>EMDC</v>
      </c>
      <c r="D50" s="14" t="str">
        <f aca="false">Country_Data!D50</f>
        <v>High income</v>
      </c>
      <c r="E50" s="15" t="n">
        <f aca="false">Country_Data!BV50</f>
        <v>380.230411499507</v>
      </c>
      <c r="F50" s="16" t="n">
        <f aca="false">SUMIFS(Calc!$J$5:$J$1369,Calc!$A$5:$A$1369,A50)</f>
        <v>19.2672336690885</v>
      </c>
      <c r="G50" s="11" t="n">
        <f aca="false">IFERROR(F50/E50,"")</f>
        <v>0.0506725214143306</v>
      </c>
      <c r="H50" s="16" t="n">
        <f aca="false">SUMIFS(Calc!$L$5:$L$1369,Calc!$A$5:$A$1369,A50)</f>
        <v>4.62413608058123</v>
      </c>
      <c r="I50" s="11" t="n">
        <f aca="false">IFERROR(H50/E50,"")</f>
        <v>0.0121614051394393</v>
      </c>
      <c r="J50" s="17" t="n">
        <f aca="false">Country_Data!DW50</f>
        <v>0.0603</v>
      </c>
      <c r="K50" s="14" t="str">
        <f aca="false">Country_Data!DV50</f>
        <v>Observed (IRENA/Steffen)</v>
      </c>
      <c r="L50" s="16" t="n">
        <f aca="false">SUMIFS(Calc!$W$5:$W$1369,Calc!$A$5:$A$1369,A50)</f>
        <v>0.242574843869485</v>
      </c>
      <c r="M50" s="16" t="n">
        <f aca="false">SUMIFS(Calc!$X$5:$X$1369,Calc!$A$5:$A$1369,A50)</f>
        <v>0.174372995032112</v>
      </c>
      <c r="N50" s="18" t="n">
        <f aca="false">SUMIFS(Calc!$AC$5:$AC$1369,Calc!$A$5:$A$1369,A50)</f>
        <v>0.137755511324414</v>
      </c>
      <c r="O50" s="18" t="n">
        <f aca="false">SUMIFS(Calc!$AD$5:$AD$1369,Calc!$A$5:$A$1369,A50)</f>
        <v>0.306311612439772</v>
      </c>
      <c r="P50" s="18" t="n">
        <f aca="false">SUMIFS(Calc!$AE$5:$AE$1369,Calc!$A$5:$A$1369,A50)</f>
        <v>0.136712242811347</v>
      </c>
      <c r="Q50" s="18" t="n">
        <f aca="false">SUMIFS(Calc!$AF$5:$AF$1369,Calc!$A$5:$A$1369,A50)</f>
        <v>-0.0376607522207647</v>
      </c>
      <c r="R50" s="11" t="n">
        <f aca="false">IFERROR(N50/E50,"")</f>
        <v>0.000362294827447258</v>
      </c>
      <c r="S50" s="11" t="n">
        <f aca="false">IFERROR(P50/E50,"")</f>
        <v>0.000359551047671853</v>
      </c>
      <c r="T50" s="11" t="n">
        <f aca="false">IFERROR(Q50/E50,"")</f>
        <v>-9.90471858162075E-005</v>
      </c>
      <c r="U50" s="16" t="n">
        <f aca="false">SUMIFS(Calc!$AG$5:$AG$1369,Calc!$A$5:$A$1369,A50)</f>
        <v>-0.158206889168781</v>
      </c>
      <c r="V50" s="16" t="n">
        <f aca="false">SUMIFS(Calc!$AH$5:$AH$1369,Calc!$A$5:$A$1369,A50)</f>
        <v>-0.278753026116798</v>
      </c>
      <c r="W50" s="16" t="n">
        <f aca="false">SUMIFS(Calc!$Y$5:$Y$1369,Calc!$A$5:$A$1369,A50)</f>
        <v>2.41092273896033</v>
      </c>
      <c r="X50" s="7" t="n">
        <f aca="false">IFERROR(N50/W50*1000,"")</f>
        <v>57.138086218316</v>
      </c>
      <c r="Y50" s="7" t="n">
        <f aca="false">IFERROR(P50/W50*1000,"")</f>
        <v>56.7053604008489</v>
      </c>
      <c r="Z50" s="7" t="n">
        <f aca="false">IFERROR(Q50/W50*1000,"")</f>
        <v>-15.6208872280185</v>
      </c>
      <c r="AA50" s="16" t="n">
        <f aca="false">SUMIFS(Calc!$AM$5:$AM$1369,Calc!$A$5:$A$1369,A50)</f>
        <v>0.00434695213777707</v>
      </c>
      <c r="AB50" s="16" t="n">
        <f aca="false">SUMIFS(Calc!$AN$5:$AN$1369,Calc!$A$5:$A$1369,A50)</f>
        <v>22.1177285132824</v>
      </c>
      <c r="AC50" s="17" t="n">
        <f aca="false">Country_Data!DY50</f>
        <v>0.27</v>
      </c>
      <c r="AD50" s="12" t="str">
        <f aca="false">IF(Country_Data!BD50="","",Country_Data!BD50)</f>
        <v/>
      </c>
      <c r="AE50" s="7" t="n">
        <f aca="false">IF(Country_Data!BC50="","",Country_Data!BC50)</f>
        <v>106.026</v>
      </c>
      <c r="AF50" s="12" t="str">
        <f aca="false">IF(Country_Data!BL50="","",Country_Data!BL50)</f>
        <v/>
      </c>
      <c r="AG50" s="7" t="n">
        <f aca="false">IF(Country_Data!BA50="","",Country_Data!BA50)</f>
        <v>41.65</v>
      </c>
    </row>
    <row r="51" customFormat="false" ht="15" hidden="false" customHeight="false" outlineLevel="0" collapsed="false">
      <c r="A51" s="14" t="str">
        <f aca="false">Country_Data!A51</f>
        <v>PRT</v>
      </c>
      <c r="B51" s="14" t="str">
        <f aca="false">Country_Data!B51</f>
        <v>Portugal</v>
      </c>
      <c r="C51" s="14" t="str">
        <f aca="false">Country_Data!E51</f>
        <v>AE</v>
      </c>
      <c r="D51" s="14" t="str">
        <f aca="false">Country_Data!D51</f>
        <v>High income</v>
      </c>
      <c r="E51" s="15" t="n">
        <f aca="false">Country_Data!BV51</f>
        <v>351.442494614824</v>
      </c>
      <c r="F51" s="16" t="n">
        <f aca="false">SUMIFS(Calc!$J$5:$J$1369,Calc!$A$5:$A$1369,A51)</f>
        <v>11.985856837287</v>
      </c>
      <c r="G51" s="11" t="n">
        <f aca="false">IFERROR(F51/E51,"")</f>
        <v>0.0341047455016027</v>
      </c>
      <c r="H51" s="16" t="n">
        <f aca="false">SUMIFS(Calc!$L$5:$L$1369,Calc!$A$5:$A$1369,A51)</f>
        <v>4.55462559816905</v>
      </c>
      <c r="I51" s="11" t="n">
        <f aca="false">IFERROR(H51/E51,"")</f>
        <v>0.012959803290609</v>
      </c>
      <c r="J51" s="17" t="n">
        <f aca="false">Country_Data!DW51</f>
        <v>0.1003</v>
      </c>
      <c r="K51" s="14" t="str">
        <f aca="false">Country_Data!DV51</f>
        <v>Observed (IRENA/Steffen)</v>
      </c>
      <c r="L51" s="16" t="n">
        <f aca="false">SUMIFS(Calc!$W$5:$W$1369,Calc!$A$5:$A$1369,A51)</f>
        <v>0.277131423450476</v>
      </c>
      <c r="M51" s="16" t="n">
        <f aca="false">SUMIFS(Calc!$X$5:$X$1369,Calc!$A$5:$A$1369,A51)</f>
        <v>0.0402553099065502</v>
      </c>
      <c r="N51" s="18" t="n">
        <f aca="false">SUMIFS(Calc!$AC$5:$AC$1369,Calc!$A$5:$A$1369,A51)</f>
        <v>0.242951449158582</v>
      </c>
      <c r="O51" s="18" t="n">
        <f aca="false">SUMIFS(Calc!$AD$5:$AD$1369,Calc!$A$5:$A$1369,A51)</f>
        <v>0.301886203940498</v>
      </c>
      <c r="P51" s="18" t="n">
        <f aca="false">SUMIFS(Calc!$AE$5:$AE$1369,Calc!$A$5:$A$1369,A51)</f>
        <v>0.0952741116687182</v>
      </c>
      <c r="Q51" s="18" t="n">
        <f aca="false">SUMIFS(Calc!$AF$5:$AF$1369,Calc!$A$5:$A$1369,A51)</f>
        <v>0.055018801762168</v>
      </c>
      <c r="R51" s="11" t="n">
        <f aca="false">IFERROR(N51/E51,"")</f>
        <v>0.000691297873425504</v>
      </c>
      <c r="S51" s="11" t="n">
        <f aca="false">IFERROR(P51/E51,"")</f>
        <v>0.000271094455362142</v>
      </c>
      <c r="T51" s="11" t="n">
        <f aca="false">IFERROR(Q51/E51,"")</f>
        <v>0.000156551363609195</v>
      </c>
      <c r="U51" s="16" t="n">
        <f aca="false">SUMIFS(Calc!$AG$5:$AG$1369,Calc!$A$5:$A$1369,A51)</f>
        <v>-0.00976895235055408</v>
      </c>
      <c r="V51" s="16" t="n">
        <f aca="false">SUMIFS(Calc!$AH$5:$AH$1369,Calc!$A$5:$A$1369,A51)</f>
        <v>-0.0745567064632762</v>
      </c>
      <c r="W51" s="16" t="n">
        <f aca="false">SUMIFS(Calc!$Y$5:$Y$1369,Calc!$A$5:$A$1369,A51)</f>
        <v>1.29575508225444</v>
      </c>
      <c r="X51" s="7" t="n">
        <f aca="false">IFERROR(N51/W51*1000,"")</f>
        <v>187.497971249226</v>
      </c>
      <c r="Y51" s="7" t="n">
        <f aca="false">IFERROR(P51/W51*1000,"")</f>
        <v>73.5278703309841</v>
      </c>
      <c r="Z51" s="7" t="n">
        <f aca="false">IFERROR(Q51/W51*1000,"")</f>
        <v>42.4608033691387</v>
      </c>
      <c r="AA51" s="16" t="n">
        <f aca="false">SUMIFS(Calc!$AM$5:$AM$1369,Calc!$A$5:$A$1369,A51)</f>
        <v>0.388624572341747</v>
      </c>
      <c r="AB51" s="16" t="n">
        <f aca="false">SUMIFS(Calc!$AN$5:$AN$1369,Calc!$A$5:$A$1369,A51)</f>
        <v>12.523153867924</v>
      </c>
      <c r="AC51" s="17" t="n">
        <f aca="false">Country_Data!DY51</f>
        <v>0.13</v>
      </c>
      <c r="AD51" s="12" t="str">
        <f aca="false">IF(Country_Data!BD51="","",Country_Data!BD51)</f>
        <v/>
      </c>
      <c r="AE51" s="7" t="str">
        <f aca="false">IF(Country_Data!BC51="","",Country_Data!BC51)</f>
        <v/>
      </c>
      <c r="AF51" s="12" t="str">
        <f aca="false">IF(Country_Data!BL51="","",Country_Data!BL51)</f>
        <v/>
      </c>
      <c r="AG51" s="7" t="n">
        <f aca="false">IF(Country_Data!BA51="","",Country_Data!BA51)</f>
        <v>93.477</v>
      </c>
    </row>
    <row r="52" customFormat="false" ht="15" hidden="false" customHeight="false" outlineLevel="0" collapsed="false">
      <c r="A52" s="14" t="str">
        <f aca="false">Country_Data!A52</f>
        <v>FIN</v>
      </c>
      <c r="B52" s="14" t="str">
        <f aca="false">Country_Data!B52</f>
        <v>Finland</v>
      </c>
      <c r="C52" s="14" t="str">
        <f aca="false">Country_Data!E52</f>
        <v>AE</v>
      </c>
      <c r="D52" s="14" t="str">
        <f aca="false">Country_Data!D52</f>
        <v>High income</v>
      </c>
      <c r="E52" s="15" t="n">
        <f aca="false">Country_Data!BV52</f>
        <v>315.14783213489</v>
      </c>
      <c r="F52" s="16" t="n">
        <f aca="false">SUMIFS(Calc!$J$5:$J$1369,Calc!$A$5:$A$1369,A52)</f>
        <v>13.5783606739313</v>
      </c>
      <c r="G52" s="11" t="n">
        <f aca="false">IFERROR(F52/E52,"")</f>
        <v>0.0430856864283283</v>
      </c>
      <c r="H52" s="16" t="n">
        <f aca="false">SUMIFS(Calc!$L$5:$L$1369,Calc!$A$5:$A$1369,A52)</f>
        <v>5.15977705609391</v>
      </c>
      <c r="I52" s="11" t="n">
        <f aca="false">IFERROR(H52/E52,"")</f>
        <v>0.0163725608427648</v>
      </c>
      <c r="J52" s="17" t="n">
        <f aca="false">Country_Data!DW52</f>
        <v>0.0369</v>
      </c>
      <c r="K52" s="14" t="str">
        <f aca="false">Country_Data!DV52</f>
        <v>Observed (IRENA/Steffen)</v>
      </c>
      <c r="L52" s="16" t="n">
        <f aca="false">SUMIFS(Calc!$W$5:$W$1369,Calc!$A$5:$A$1369,A52)</f>
        <v>0.197313005575324</v>
      </c>
      <c r="M52" s="16" t="n">
        <f aca="false">SUMIFS(Calc!$X$5:$X$1369,Calc!$A$5:$A$1369,A52)</f>
        <v>0.0329785577810681</v>
      </c>
      <c r="N52" s="18" t="n">
        <f aca="false">SUMIFS(Calc!$AC$5:$AC$1369,Calc!$A$5:$A$1369,A52)</f>
        <v>0.130595590570367</v>
      </c>
      <c r="O52" s="18" t="n">
        <f aca="false">SUMIFS(Calc!$AD$5:$AD$1369,Calc!$A$5:$A$1369,A52)</f>
        <v>0.185191446670974</v>
      </c>
      <c r="P52" s="18" t="n">
        <f aca="false">SUMIFS(Calc!$AE$5:$AE$1369,Calc!$A$5:$A$1369,A52)</f>
        <v>0.21631911424781</v>
      </c>
      <c r="Q52" s="18" t="n">
        <f aca="false">SUMIFS(Calc!$AF$5:$AF$1369,Calc!$A$5:$A$1369,A52)</f>
        <v>0.183340556466742</v>
      </c>
      <c r="R52" s="11" t="n">
        <f aca="false">IFERROR(N52/E52,"")</f>
        <v>0.000414394697516019</v>
      </c>
      <c r="S52" s="11" t="n">
        <f aca="false">IFERROR(P52/E52,"")</f>
        <v>0.000686405211111276</v>
      </c>
      <c r="T52" s="11" t="n">
        <f aca="false">IFERROR(Q52/E52,"")</f>
        <v>0.000581760487529765</v>
      </c>
      <c r="U52" s="16" t="n">
        <f aca="false">SUMIFS(Calc!$AG$5:$AG$1369,Calc!$A$5:$A$1369,A52)</f>
        <v>0.133399734681349</v>
      </c>
      <c r="V52" s="16" t="n">
        <f aca="false">SUMIFS(Calc!$AH$5:$AH$1369,Calc!$A$5:$A$1369,A52)</f>
        <v>0.0834589128959551</v>
      </c>
      <c r="W52" s="16" t="n">
        <f aca="false">SUMIFS(Calc!$Y$5:$Y$1369,Calc!$A$5:$A$1369,A52)</f>
        <v>0.998816435707872</v>
      </c>
      <c r="X52" s="7" t="n">
        <f aca="false">IFERROR(N52/W52*1000,"")</f>
        <v>130.750342006349</v>
      </c>
      <c r="Y52" s="7" t="n">
        <f aca="false">IFERROR(P52/W52*1000,"")</f>
        <v>216.575445211314</v>
      </c>
      <c r="Z52" s="7" t="n">
        <f aca="false">IFERROR(Q52/W52*1000,"")</f>
        <v>183.557808934939</v>
      </c>
      <c r="AA52" s="16" t="n">
        <f aca="false">SUMIFS(Calc!$AM$5:$AM$1369,Calc!$A$5:$A$1369,A52)</f>
        <v>-0.225588220203798</v>
      </c>
      <c r="AB52" s="16" t="n">
        <f aca="false">SUMIFS(Calc!$AN$5:$AN$1369,Calc!$A$5:$A$1369,A52)</f>
        <v>14.1870458075903</v>
      </c>
      <c r="AC52" s="17" t="n">
        <f aca="false">Country_Data!DY52</f>
        <v>0.13</v>
      </c>
      <c r="AD52" s="12" t="str">
        <f aca="false">IF(Country_Data!BD52="","",Country_Data!BD52)</f>
        <v/>
      </c>
      <c r="AE52" s="7" t="str">
        <f aca="false">IF(Country_Data!BC52="","",Country_Data!BC52)</f>
        <v/>
      </c>
      <c r="AF52" s="12" t="str">
        <f aca="false">IF(Country_Data!BL52="","",Country_Data!BL52)</f>
        <v/>
      </c>
      <c r="AG52" s="7" t="n">
        <f aca="false">IF(Country_Data!BA52="","",Country_Data!BA52)</f>
        <v>82.447</v>
      </c>
    </row>
    <row r="53" customFormat="false" ht="15" hidden="false" customHeight="false" outlineLevel="0" collapsed="false">
      <c r="A53" s="14" t="str">
        <f aca="false">Country_Data!A53</f>
        <v>PER</v>
      </c>
      <c r="B53" s="14" t="str">
        <f aca="false">Country_Data!B53</f>
        <v>Peru</v>
      </c>
      <c r="C53" s="14" t="str">
        <f aca="false">Country_Data!E53</f>
        <v>EMDC</v>
      </c>
      <c r="D53" s="14" t="str">
        <f aca="false">Country_Data!D53</f>
        <v>Upper middle income</v>
      </c>
      <c r="E53" s="15" t="n">
        <f aca="false">Country_Data!BV53</f>
        <v>350.928053016394</v>
      </c>
      <c r="F53" s="16" t="n">
        <f aca="false">SUMIFS(Calc!$J$5:$J$1369,Calc!$A$5:$A$1369,A53)</f>
        <v>17.2872490604357</v>
      </c>
      <c r="G53" s="11" t="n">
        <f aca="false">IFERROR(F53/E53,"")</f>
        <v>0.0492615193109913</v>
      </c>
      <c r="H53" s="16" t="n">
        <f aca="false">SUMIFS(Calc!$L$5:$L$1369,Calc!$A$5:$A$1369,A53)</f>
        <v>4.14893977450456</v>
      </c>
      <c r="I53" s="11" t="n">
        <f aca="false">IFERROR(H53/E53,"")</f>
        <v>0.0118227646346379</v>
      </c>
      <c r="J53" s="17" t="n">
        <f aca="false">Country_Data!DW53</f>
        <v>0.07592</v>
      </c>
      <c r="K53" s="14" t="str">
        <f aca="false">Country_Data!DV53</f>
        <v>Observed (IRENA/Steffen)</v>
      </c>
      <c r="L53" s="16" t="n">
        <f aca="false">SUMIFS(Calc!$W$5:$W$1369,Calc!$A$5:$A$1369,A53)</f>
        <v>0.213257594529824</v>
      </c>
      <c r="M53" s="16" t="n">
        <f aca="false">SUMIFS(Calc!$X$5:$X$1369,Calc!$A$5:$A$1369,A53)</f>
        <v>0.229549193871243</v>
      </c>
      <c r="N53" s="18" t="n">
        <f aca="false">SUMIFS(Calc!$AC$5:$AC$1369,Calc!$A$5:$A$1369,A53)</f>
        <v>0.173890220165126</v>
      </c>
      <c r="O53" s="18" t="n">
        <f aca="false">SUMIFS(Calc!$AD$5:$AD$1369,Calc!$A$5:$A$1369,A53)</f>
        <v>0.332059051707987</v>
      </c>
      <c r="P53" s="18" t="n">
        <f aca="false">SUMIFS(Calc!$AE$5:$AE$1369,Calc!$A$5:$A$1369,A53)</f>
        <v>0.122562563481482</v>
      </c>
      <c r="Q53" s="18" t="n">
        <f aca="false">SUMIFS(Calc!$AF$5:$AF$1369,Calc!$A$5:$A$1369,A53)</f>
        <v>-0.106986630389761</v>
      </c>
      <c r="R53" s="11" t="n">
        <f aca="false">IFERROR(N53/E53,"")</f>
        <v>0.000495515301984142</v>
      </c>
      <c r="S53" s="11" t="n">
        <f aca="false">IFERROR(P53/E53,"")</f>
        <v>0.000349252681363028</v>
      </c>
      <c r="T53" s="11" t="n">
        <f aca="false">IFERROR(Q53/E53,"")</f>
        <v>-0.000304867705702522</v>
      </c>
      <c r="U53" s="16" t="n">
        <f aca="false">SUMIFS(Calc!$AG$5:$AG$1369,Calc!$A$5:$A$1369,A53)</f>
        <v>-0.225525339607658</v>
      </c>
      <c r="V53" s="16" t="n">
        <f aca="false">SUMIFS(Calc!$AH$5:$AH$1369,Calc!$A$5:$A$1369,A53)</f>
        <v>-0.344064048825555</v>
      </c>
      <c r="W53" s="16" t="n">
        <f aca="false">SUMIFS(Calc!$Y$5:$Y$1369,Calc!$A$5:$A$1369,A53)</f>
        <v>2.37077418435794</v>
      </c>
      <c r="X53" s="7" t="n">
        <f aca="false">IFERROR(N53/W53*1000,"")</f>
        <v>73.3474412335139</v>
      </c>
      <c r="Y53" s="7" t="n">
        <f aca="false">IFERROR(P53/W53*1000,"")</f>
        <v>51.6972743714413</v>
      </c>
      <c r="Z53" s="7" t="n">
        <f aca="false">IFERROR(Q53/W53*1000,"")</f>
        <v>-45.1272968533422</v>
      </c>
      <c r="AA53" s="16" t="n">
        <f aca="false">SUMIFS(Calc!$AM$5:$AM$1369,Calc!$A$5:$A$1369,A53)</f>
        <v>0.213865236181847</v>
      </c>
      <c r="AB53" s="16" t="n">
        <f aca="false">SUMIFS(Calc!$AN$5:$AN$1369,Calc!$A$5:$A$1369,A53)</f>
        <v>19.8448146748563</v>
      </c>
      <c r="AC53" s="17" t="n">
        <f aca="false">Country_Data!DY53</f>
        <v>0.27</v>
      </c>
      <c r="AD53" s="12" t="str">
        <f aca="false">IF(Country_Data!BD53="","",Country_Data!BD53)</f>
        <v/>
      </c>
      <c r="AE53" s="7" t="n">
        <f aca="false">IF(Country_Data!BC53="","",Country_Data!BC53)</f>
        <v>76.318</v>
      </c>
      <c r="AF53" s="12" t="n">
        <f aca="false">IF(Country_Data!BL53="","",Country_Data!BL53)</f>
        <v>-1.037</v>
      </c>
      <c r="AG53" s="7" t="n">
        <f aca="false">IF(Country_Data!BA53="","",Country_Data!BA53)</f>
        <v>32.077</v>
      </c>
    </row>
    <row r="54" customFormat="false" ht="15" hidden="false" customHeight="false" outlineLevel="0" collapsed="false">
      <c r="A54" s="14" t="str">
        <f aca="false">Country_Data!A54</f>
        <v>KAZ</v>
      </c>
      <c r="B54" s="14" t="str">
        <f aca="false">Country_Data!B54</f>
        <v>Kazakhstan</v>
      </c>
      <c r="C54" s="14" t="str">
        <f aca="false">Country_Data!E54</f>
        <v>EMDC</v>
      </c>
      <c r="D54" s="14" t="str">
        <f aca="false">Country_Data!D54</f>
        <v>Upper middle income</v>
      </c>
      <c r="E54" s="15" t="n">
        <f aca="false">Country_Data!BV54</f>
        <v>388.814496452288</v>
      </c>
      <c r="F54" s="16" t="n">
        <f aca="false">SUMIFS(Calc!$J$5:$J$1369,Calc!$A$5:$A$1369,A54)</f>
        <v>21.1156892754546</v>
      </c>
      <c r="G54" s="11" t="n">
        <f aca="false">IFERROR(F54/E54,"")</f>
        <v>0.0543078755245067</v>
      </c>
      <c r="H54" s="16" t="n">
        <f aca="false">SUMIFS(Calc!$L$5:$L$1369,Calc!$A$5:$A$1369,A54)</f>
        <v>5.06776542610911</v>
      </c>
      <c r="I54" s="11" t="n">
        <f aca="false">IFERROR(H54/E54,"")</f>
        <v>0.0130338901258816</v>
      </c>
      <c r="J54" s="17" t="n">
        <f aca="false">Country_Data!DW54</f>
        <v>0.08426</v>
      </c>
      <c r="K54" s="14" t="str">
        <f aca="false">Country_Data!DV54</f>
        <v>Observed (IRENA/Steffen)</v>
      </c>
      <c r="L54" s="16" t="n">
        <f aca="false">SUMIFS(Calc!$W$5:$W$1369,Calc!$A$5:$A$1369,A54)</f>
        <v>0.294566790263386</v>
      </c>
      <c r="M54" s="16" t="n">
        <f aca="false">SUMIFS(Calc!$X$5:$X$1369,Calc!$A$5:$A$1369,A54)</f>
        <v>0.483326117194482</v>
      </c>
      <c r="N54" s="18" t="n">
        <f aca="false">SUMIFS(Calc!$AC$5:$AC$1369,Calc!$A$5:$A$1369,A54)</f>
        <v>0.21252210214921</v>
      </c>
      <c r="O54" s="18" t="n">
        <f aca="false">SUMIFS(Calc!$AD$5:$AD$1369,Calc!$A$5:$A$1369,A54)</f>
        <v>0.408843602151633</v>
      </c>
      <c r="P54" s="18" t="n">
        <f aca="false">SUMIFS(Calc!$AE$5:$AE$1369,Calc!$A$5:$A$1369,A54)</f>
        <v>0.11587983042745</v>
      </c>
      <c r="Q54" s="18" t="n">
        <f aca="false">SUMIFS(Calc!$AF$5:$AF$1369,Calc!$A$5:$A$1369,A54)</f>
        <v>-0.367446286767033</v>
      </c>
      <c r="R54" s="11" t="n">
        <f aca="false">IFERROR(N54/E54,"")</f>
        <v>0.000546589965364855</v>
      </c>
      <c r="S54" s="11" t="n">
        <f aca="false">IFERROR(P54/E54,"")</f>
        <v>0.000298033719125154</v>
      </c>
      <c r="T54" s="11" t="n">
        <f aca="false">IFERROR(Q54/E54,"")</f>
        <v>-0.000945042662040051</v>
      </c>
      <c r="U54" s="16" t="n">
        <f aca="false">SUMIFS(Calc!$AG$5:$AG$1369,Calc!$A$5:$A$1369,A54)</f>
        <v>-0.565492961419126</v>
      </c>
      <c r="V54" s="16" t="n">
        <f aca="false">SUMIFS(Calc!$AH$5:$AH$1369,Calc!$A$5:$A$1369,A54)</f>
        <v>-0.76353963607122</v>
      </c>
      <c r="W54" s="16" t="n">
        <f aca="false">SUMIFS(Calc!$Y$5:$Y$1369,Calc!$A$5:$A$1369,A54)</f>
        <v>3.96093349304187</v>
      </c>
      <c r="X54" s="7" t="n">
        <f aca="false">IFERROR(N54/W54*1000,"")</f>
        <v>53.6545494950989</v>
      </c>
      <c r="Y54" s="7" t="n">
        <f aca="false">IFERROR(P54/W54*1000,"")</f>
        <v>29.2556869816205</v>
      </c>
      <c r="Z54" s="7" t="n">
        <f aca="false">IFERROR(Q54/W54*1000,"")</f>
        <v>-92.7675981968698</v>
      </c>
      <c r="AA54" s="16" t="n">
        <f aca="false">SUMIFS(Calc!$AM$5:$AM$1369,Calc!$A$5:$A$1369,A54)</f>
        <v>0.402676132174002</v>
      </c>
      <c r="AB54" s="16" t="n">
        <f aca="false">SUMIFS(Calc!$AN$5:$AN$1369,Calc!$A$5:$A$1369,A54)</f>
        <v>24.1609451437515</v>
      </c>
      <c r="AC54" s="17" t="n">
        <f aca="false">Country_Data!DY54</f>
        <v>0.265</v>
      </c>
      <c r="AD54" s="12" t="n">
        <f aca="false">IF(Country_Data!BD54="","",Country_Data!BD54)</f>
        <v>2.5</v>
      </c>
      <c r="AE54" s="7" t="str">
        <f aca="false">IF(Country_Data!BC54="","",Country_Data!BC54)</f>
        <v/>
      </c>
      <c r="AF54" s="12" t="n">
        <f aca="false">IF(Country_Data!BL54="","",Country_Data!BL54)</f>
        <v>4.119</v>
      </c>
      <c r="AG54" s="7" t="n">
        <f aca="false">IF(Country_Data!BA54="","",Country_Data!BA54)</f>
        <v>24.377</v>
      </c>
    </row>
    <row r="55" customFormat="false" ht="15" hidden="false" customHeight="false" outlineLevel="0" collapsed="false">
      <c r="A55" s="14" t="str">
        <f aca="false">Country_Data!A55</f>
        <v>IRQ</v>
      </c>
      <c r="B55" s="14" t="str">
        <f aca="false">Country_Data!B55</f>
        <v>Iraq</v>
      </c>
      <c r="C55" s="14" t="str">
        <f aca="false">Country_Data!E55</f>
        <v>EMDC</v>
      </c>
      <c r="D55" s="14" t="str">
        <f aca="false">Country_Data!D55</f>
        <v>Upper middle income</v>
      </c>
      <c r="E55" s="15" t="n">
        <f aca="false">Country_Data!BV55</f>
        <v>200.96152044257</v>
      </c>
      <c r="F55" s="16" t="n">
        <f aca="false">SUMIFS(Calc!$J$5:$J$1369,Calc!$A$5:$A$1369,A55)</f>
        <v>20.1354346850207</v>
      </c>
      <c r="G55" s="11" t="n">
        <f aca="false">IFERROR(F55/E55,"")</f>
        <v>0.10019547344525</v>
      </c>
      <c r="H55" s="16" t="n">
        <f aca="false">SUMIFS(Calc!$L$5:$L$1369,Calc!$A$5:$A$1369,A55)</f>
        <v>4.83250432440496</v>
      </c>
      <c r="I55" s="11" t="n">
        <f aca="false">IFERROR(H55/E55,"")</f>
        <v>0.0240469136268601</v>
      </c>
      <c r="J55" s="17" t="n">
        <f aca="false">Country_Data!DW55</f>
        <v>0.11792</v>
      </c>
      <c r="K55" s="14" t="str">
        <f aca="false">Country_Data!DV55</f>
        <v>Observed (IRENA/Steffen)</v>
      </c>
      <c r="L55" s="16" t="n">
        <f aca="false">SUMIFS(Calc!$W$5:$W$1369,Calc!$A$5:$A$1369,A55)</f>
        <v>0.42613409812943</v>
      </c>
      <c r="M55" s="16" t="n">
        <f aca="false">SUMIFS(Calc!$X$5:$X$1369,Calc!$A$5:$A$1369,A55)</f>
        <v>0.283924283048682</v>
      </c>
      <c r="N55" s="18" t="n">
        <f aca="false">SUMIFS(Calc!$AC$5:$AC$1369,Calc!$A$5:$A$1369,A55)</f>
        <v>0.202136643229844</v>
      </c>
      <c r="O55" s="18" t="n">
        <f aca="false">SUMIFS(Calc!$AD$5:$AD$1369,Calc!$A$5:$A$1369,A55)</f>
        <v>0.398799092902638</v>
      </c>
      <c r="P55" s="18" t="n">
        <f aca="false">SUMIFS(Calc!$AE$5:$AE$1369,Calc!$A$5:$A$1369,A55)</f>
        <v>-0.0273023130733535</v>
      </c>
      <c r="Q55" s="18" t="n">
        <f aca="false">SUMIFS(Calc!$AF$5:$AF$1369,Calc!$A$5:$A$1369,A55)</f>
        <v>-0.311226596122035</v>
      </c>
      <c r="R55" s="11" t="n">
        <f aca="false">IFERROR(N55/E55,"")</f>
        <v>0.00100584750147534</v>
      </c>
      <c r="S55" s="11" t="n">
        <f aca="false">IFERROR(P55/E55,"")</f>
        <v>-0.000135858412163815</v>
      </c>
      <c r="T55" s="11" t="n">
        <f aca="false">IFERROR(Q55/E55,"")</f>
        <v>-0.00154868750712391</v>
      </c>
      <c r="U55" s="16" t="n">
        <f aca="false">SUMIFS(Calc!$AG$5:$AG$1369,Calc!$A$5:$A$1369,A55)</f>
        <v>-0.503363636212425</v>
      </c>
      <c r="V55" s="16" t="n">
        <f aca="false">SUMIFS(Calc!$AH$5:$AH$1369,Calc!$A$5:$A$1369,A55)</f>
        <v>-0.695500676302814</v>
      </c>
      <c r="W55" s="16" t="n">
        <f aca="false">SUMIFS(Calc!$Y$5:$Y$1369,Calc!$A$5:$A$1369,A55)</f>
        <v>3.84274080180779</v>
      </c>
      <c r="X55" s="7" t="n">
        <f aca="false">IFERROR(N55/W55*1000,"")</f>
        <v>52.6022059918147</v>
      </c>
      <c r="Y55" s="7" t="n">
        <f aca="false">IFERROR(P55/W55*1000,"")</f>
        <v>-7.10490623268407</v>
      </c>
      <c r="Z55" s="7" t="n">
        <f aca="false">IFERROR(Q55/W55*1000,"")</f>
        <v>-80.9907855288134</v>
      </c>
      <c r="AA55" s="16" t="n">
        <f aca="false">SUMIFS(Calc!$AM$5:$AM$1369,Calc!$A$5:$A$1369,A55)</f>
        <v>0.955995651263325</v>
      </c>
      <c r="AB55" s="16" t="n">
        <f aca="false">SUMIFS(Calc!$AN$5:$AN$1369,Calc!$A$5:$A$1369,A55)</f>
        <v>23.1143757069141</v>
      </c>
      <c r="AC55" s="17" t="n">
        <f aca="false">Country_Data!DY55</f>
        <v>0.27</v>
      </c>
      <c r="AD55" s="12" t="str">
        <f aca="false">IF(Country_Data!BD55="","",Country_Data!BD55)</f>
        <v/>
      </c>
      <c r="AE55" s="7" t="str">
        <f aca="false">IF(Country_Data!BC55="","",Country_Data!BC55)</f>
        <v/>
      </c>
      <c r="AF55" s="12" t="n">
        <f aca="false">IF(Country_Data!BL55="","",Country_Data!BL55)</f>
        <v>2.106</v>
      </c>
      <c r="AG55" s="7" t="n">
        <f aca="false">IF(Country_Data!BA55="","",Country_Data!BA55)</f>
        <v>45.202</v>
      </c>
    </row>
    <row r="56" customFormat="false" ht="15" hidden="false" customHeight="false" outlineLevel="0" collapsed="false">
      <c r="A56" s="14" t="str">
        <f aca="false">Country_Data!A56</f>
        <v>DZA</v>
      </c>
      <c r="B56" s="14" t="str">
        <f aca="false">Country_Data!B56</f>
        <v>Algeria</v>
      </c>
      <c r="C56" s="14" t="str">
        <f aca="false">Country_Data!E56</f>
        <v>EMDC</v>
      </c>
      <c r="D56" s="14" t="str">
        <f aca="false">Country_Data!D56</f>
        <v>Upper middle income</v>
      </c>
      <c r="E56" s="15" t="n">
        <f aca="false">Country_Data!BV56</f>
        <v>336.335878751681</v>
      </c>
      <c r="F56" s="16" t="n">
        <f aca="false">SUMIFS(Calc!$J$5:$J$1369,Calc!$A$5:$A$1369,A56)</f>
        <v>19.4382180349588</v>
      </c>
      <c r="G56" s="11" t="n">
        <f aca="false">IFERROR(F56/E56,"")</f>
        <v>0.0577940661790358</v>
      </c>
      <c r="H56" s="16" t="n">
        <f aca="false">SUMIFS(Calc!$L$5:$L$1369,Calc!$A$5:$A$1369,A56)</f>
        <v>4.66517232839011</v>
      </c>
      <c r="I56" s="11" t="n">
        <f aca="false">IFERROR(H56/E56,"")</f>
        <v>0.0138705758829686</v>
      </c>
      <c r="J56" s="17" t="n">
        <f aca="false">Country_Data!DW56</f>
        <v>0.1322</v>
      </c>
      <c r="K56" s="14" t="str">
        <f aca="false">Country_Data!DV56</f>
        <v>Observed (IRENA/Steffen)</v>
      </c>
      <c r="L56" s="16" t="n">
        <f aca="false">SUMIFS(Calc!$W$5:$W$1369,Calc!$A$5:$A$1369,A56)</f>
        <v>0.283626398577949</v>
      </c>
      <c r="M56" s="16" t="n">
        <f aca="false">SUMIFS(Calc!$X$5:$X$1369,Calc!$A$5:$A$1369,A56)</f>
        <v>0.190659684865575</v>
      </c>
      <c r="N56" s="18" t="n">
        <f aca="false">SUMIFS(Calc!$AC$5:$AC$1369,Calc!$A$5:$A$1369,A56)</f>
        <v>0.378440487786495</v>
      </c>
      <c r="O56" s="18" t="n">
        <f aca="false">SUMIFS(Calc!$AD$5:$AD$1369,Calc!$A$5:$A$1369,A56)</f>
        <v>0.571978121607004</v>
      </c>
      <c r="P56" s="18" t="n">
        <f aca="false">SUMIFS(Calc!$AE$5:$AE$1369,Calc!$A$5:$A$1369,A56)</f>
        <v>0.0971640082767492</v>
      </c>
      <c r="Q56" s="18" t="n">
        <f aca="false">SUMIFS(Calc!$AF$5:$AF$1369,Calc!$A$5:$A$1369,A56)</f>
        <v>-0.0934956765888262</v>
      </c>
      <c r="R56" s="11" t="n">
        <f aca="false">IFERROR(N56/E56,"")</f>
        <v>0.0011251861953922</v>
      </c>
      <c r="S56" s="11" t="n">
        <f aca="false">IFERROR(P56/E56,"")</f>
        <v>0.00028888981049948</v>
      </c>
      <c r="T56" s="11" t="n">
        <f aca="false">IFERROR(Q56/E56,"")</f>
        <v>-0.000277983059481604</v>
      </c>
      <c r="U56" s="16" t="n">
        <f aca="false">SUMIFS(Calc!$AG$5:$AG$1369,Calc!$A$5:$A$1369,A56)</f>
        <v>-0.248910473105876</v>
      </c>
      <c r="V56" s="16" t="n">
        <f aca="false">SUMIFS(Calc!$AH$5:$AH$1369,Calc!$A$5:$A$1369,A56)</f>
        <v>-0.404325269622926</v>
      </c>
      <c r="W56" s="16" t="n">
        <f aca="false">SUMIFS(Calc!$Y$5:$Y$1369,Calc!$A$5:$A$1369,A56)</f>
        <v>3.108295930341</v>
      </c>
      <c r="X56" s="7" t="n">
        <f aca="false">IFERROR(N56/W56*1000,"")</f>
        <v>121.751756032116</v>
      </c>
      <c r="Y56" s="7" t="n">
        <f aca="false">IFERROR(P56/W56*1000,"")</f>
        <v>31.2595745238742</v>
      </c>
      <c r="Z56" s="7" t="n">
        <f aca="false">IFERROR(Q56/W56*1000,"")</f>
        <v>-30.0793999941213</v>
      </c>
      <c r="AA56" s="16" t="n">
        <f aca="false">SUMIFS(Calc!$AM$5:$AM$1369,Calc!$A$5:$A$1369,A56)</f>
        <v>1.17198533129061</v>
      </c>
      <c r="AB56" s="16" t="n">
        <f aca="false">SUMIFS(Calc!$AN$5:$AN$1369,Calc!$A$5:$A$1369,A56)</f>
        <v>22.3140091962952</v>
      </c>
      <c r="AC56" s="17" t="n">
        <f aca="false">Country_Data!DY56</f>
        <v>0.27</v>
      </c>
      <c r="AD56" s="12" t="str">
        <f aca="false">IF(Country_Data!BD56="","",Country_Data!BD56)</f>
        <v/>
      </c>
      <c r="AE56" s="7" t="str">
        <f aca="false">IF(Country_Data!BC56="","",Country_Data!BC56)</f>
        <v/>
      </c>
      <c r="AF56" s="12" t="str">
        <f aca="false">IF(Country_Data!BL56="","",Country_Data!BL56)</f>
        <v/>
      </c>
      <c r="AG56" s="7" t="n">
        <f aca="false">IF(Country_Data!BA56="","",Country_Data!BA56)</f>
        <v>48.069</v>
      </c>
    </row>
    <row r="57" customFormat="false" ht="15" hidden="false" customHeight="false" outlineLevel="0" collapsed="false">
      <c r="A57" s="14" t="str">
        <f aca="false">Country_Data!A57</f>
        <v>NZL</v>
      </c>
      <c r="B57" s="14" t="str">
        <f aca="false">Country_Data!B57</f>
        <v>New Zealand</v>
      </c>
      <c r="C57" s="14" t="str">
        <f aca="false">Country_Data!E57</f>
        <v>AE</v>
      </c>
      <c r="D57" s="14" t="str">
        <f aca="false">Country_Data!D57</f>
        <v>High income</v>
      </c>
      <c r="E57" s="15" t="n">
        <f aca="false">Country_Data!BV57</f>
        <v>288.11189323152</v>
      </c>
      <c r="F57" s="16" t="n">
        <f aca="false">SUMIFS(Calc!$J$5:$J$1369,Calc!$A$5:$A$1369,A57)</f>
        <v>9.5235482159588</v>
      </c>
      <c r="G57" s="11" t="n">
        <f aca="false">IFERROR(F57/E57,"")</f>
        <v>0.0330550332689873</v>
      </c>
      <c r="H57" s="16" t="n">
        <f aca="false">SUMIFS(Calc!$L$5:$L$1369,Calc!$A$5:$A$1369,A57)</f>
        <v>3.61894832206435</v>
      </c>
      <c r="I57" s="11" t="n">
        <f aca="false">IFERROR(H57/E57,"")</f>
        <v>0.0125609126422152</v>
      </c>
      <c r="J57" s="17" t="n">
        <f aca="false">Country_Data!DW57</f>
        <v>0.055</v>
      </c>
      <c r="K57" s="14" t="str">
        <f aca="false">Country_Data!DV57</f>
        <v>Group default (IHLEG)</v>
      </c>
      <c r="L57" s="16" t="n">
        <f aca="false">SUMIFS(Calc!$W$5:$W$1369,Calc!$A$5:$A$1369,A57)</f>
        <v>0.183591795970483</v>
      </c>
      <c r="M57" s="16" t="n">
        <f aca="false">SUMIFS(Calc!$X$5:$X$1369,Calc!$A$5:$A$1369,A57)</f>
        <v>0.0386268395916602</v>
      </c>
      <c r="N57" s="18" t="n">
        <f aca="false">SUMIFS(Calc!$AC$5:$AC$1369,Calc!$A$5:$A$1369,A57)</f>
        <v>0.101212749988343</v>
      </c>
      <c r="O57" s="18" t="n">
        <f aca="false">SUMIFS(Calc!$AD$5:$AD$1369,Calc!$A$5:$A$1369,A57)</f>
        <v>0.142329555847939</v>
      </c>
      <c r="P57" s="18" t="n">
        <f aca="false">SUMIFS(Calc!$AE$5:$AE$1369,Calc!$A$5:$A$1369,A57)</f>
        <v>0.114652488631371</v>
      </c>
      <c r="Q57" s="18" t="n">
        <f aca="false">SUMIFS(Calc!$AF$5:$AF$1369,Calc!$A$5:$A$1369,A57)</f>
        <v>0.0760256490397111</v>
      </c>
      <c r="R57" s="11" t="n">
        <f aca="false">IFERROR(N57/E57,"")</f>
        <v>0.000351296674542384</v>
      </c>
      <c r="S57" s="11" t="n">
        <f aca="false">IFERROR(P57/E57,"")</f>
        <v>0.000397944310265732</v>
      </c>
      <c r="T57" s="11" t="n">
        <f aca="false">IFERROR(Q57/E57,"")</f>
        <v>0.00026387542765761</v>
      </c>
      <c r="U57" s="16" t="n">
        <f aca="false">SUMIFS(Calc!$AG$5:$AG$1369,Calc!$A$5:$A$1369,A57)</f>
        <v>0.0227064811369242</v>
      </c>
      <c r="V57" s="16" t="n">
        <f aca="false">SUMIFS(Calc!$AH$5:$AH$1369,Calc!$A$5:$A$1369,A57)</f>
        <v>-0.0306126867658627</v>
      </c>
      <c r="W57" s="16" t="n">
        <f aca="false">SUMIFS(Calc!$Y$5:$Y$1369,Calc!$A$5:$A$1369,A57)</f>
        <v>1.06638335805574</v>
      </c>
      <c r="X57" s="7" t="n">
        <f aca="false">IFERROR(N57/W57*1000,"")</f>
        <v>94.9121619572884</v>
      </c>
      <c r="Y57" s="7" t="n">
        <f aca="false">IFERROR(P57/W57*1000,"")</f>
        <v>107.515264342093</v>
      </c>
      <c r="Z57" s="7" t="n">
        <f aca="false">IFERROR(Q57/W57*1000,"")</f>
        <v>71.29298152057</v>
      </c>
      <c r="AA57" s="16" t="n">
        <f aca="false">SUMIFS(Calc!$AM$5:$AM$1369,Calc!$A$5:$A$1369,A57)</f>
        <v>-0.0353677332711266</v>
      </c>
      <c r="AB57" s="16" t="n">
        <f aca="false">SUMIFS(Calc!$AN$5:$AN$1369,Calc!$A$5:$A$1369,A57)</f>
        <v>9.95046589460523</v>
      </c>
      <c r="AC57" s="17" t="n">
        <f aca="false">Country_Data!DY57</f>
        <v>0.13</v>
      </c>
      <c r="AD57" s="12" t="str">
        <f aca="false">IF(Country_Data!BD57="","",Country_Data!BD57)</f>
        <v/>
      </c>
      <c r="AE57" s="7" t="str">
        <f aca="false">IF(Country_Data!BC57="","",Country_Data!BC57)</f>
        <v/>
      </c>
      <c r="AF57" s="12" t="str">
        <f aca="false">IF(Country_Data!BL57="","",Country_Data!BL57)</f>
        <v/>
      </c>
      <c r="AG57" s="7" t="n">
        <f aca="false">IF(Country_Data!BA57="","",Country_Data!BA57)</f>
        <v>51.425</v>
      </c>
    </row>
    <row r="58" customFormat="false" ht="15" hidden="false" customHeight="false" outlineLevel="0" collapsed="false">
      <c r="A58" s="14" t="str">
        <f aca="false">Country_Data!A58</f>
        <v>GRC</v>
      </c>
      <c r="B58" s="14" t="str">
        <f aca="false">Country_Data!B58</f>
        <v>Greece</v>
      </c>
      <c r="C58" s="14" t="str">
        <f aca="false">Country_Data!E58</f>
        <v>AE</v>
      </c>
      <c r="D58" s="14" t="str">
        <f aca="false">Country_Data!D58</f>
        <v>High income</v>
      </c>
      <c r="E58" s="15" t="n">
        <f aca="false">Country_Data!BV58</f>
        <v>285.89426284962</v>
      </c>
      <c r="F58" s="16" t="n">
        <f aca="false">SUMIFS(Calc!$J$5:$J$1369,Calc!$A$5:$A$1369,A58)</f>
        <v>11.3948516648026</v>
      </c>
      <c r="G58" s="11" t="n">
        <f aca="false">IFERROR(F58/E58,"")</f>
        <v>0.0398568741856717</v>
      </c>
      <c r="H58" s="16" t="n">
        <f aca="false">SUMIFS(Calc!$L$5:$L$1369,Calc!$A$5:$A$1369,A58)</f>
        <v>4.33004363262501</v>
      </c>
      <c r="I58" s="11" t="n">
        <f aca="false">IFERROR(H58/E58,"")</f>
        <v>0.0151456121905553</v>
      </c>
      <c r="J58" s="17" t="n">
        <f aca="false">Country_Data!DW58</f>
        <v>0.04315</v>
      </c>
      <c r="K58" s="14" t="str">
        <f aca="false">Country_Data!DV58</f>
        <v>Observed (IRENA/Steffen)</v>
      </c>
      <c r="L58" s="16" t="n">
        <f aca="false">SUMIFS(Calc!$W$5:$W$1369,Calc!$A$5:$A$1369,A58)</f>
        <v>0.340405618250092</v>
      </c>
      <c r="M58" s="16" t="n">
        <f aca="false">SUMIFS(Calc!$X$5:$X$1369,Calc!$A$5:$A$1369,A58)</f>
        <v>0.122638029674818</v>
      </c>
      <c r="N58" s="18" t="n">
        <f aca="false">SUMIFS(Calc!$AC$5:$AC$1369,Calc!$A$5:$A$1369,A58)</f>
        <v>-0.0375890675020797</v>
      </c>
      <c r="O58" s="18" t="n">
        <f aca="false">SUMIFS(Calc!$AD$5:$AD$1369,Calc!$A$5:$A$1369,A58)</f>
        <v>0.00923705334650178</v>
      </c>
      <c r="P58" s="18" t="n">
        <f aca="false">SUMIFS(Calc!$AE$5:$AE$1369,Calc!$A$5:$A$1369,A58)</f>
        <v>0.0152273172788858</v>
      </c>
      <c r="Q58" s="18" t="n">
        <f aca="false">SUMIFS(Calc!$AF$5:$AF$1369,Calc!$A$5:$A$1369,A58)</f>
        <v>-0.107410712395933</v>
      </c>
      <c r="R58" s="11" t="n">
        <f aca="false">IFERROR(N58/E58,"")</f>
        <v>-0.000131478915062565</v>
      </c>
      <c r="S58" s="11" t="n">
        <f aca="false">IFERROR(P58/E58,"")</f>
        <v>5.32620596408936E-005</v>
      </c>
      <c r="T58" s="11" t="n">
        <f aca="false">IFERROR(Q58/E58,"")</f>
        <v>-0.000375700831927609</v>
      </c>
      <c r="U58" s="16" t="n">
        <f aca="false">SUMIFS(Calc!$AG$5:$AG$1369,Calc!$A$5:$A$1369,A58)</f>
        <v>-0.199955546761479</v>
      </c>
      <c r="V58" s="16" t="n">
        <f aca="false">SUMIFS(Calc!$AH$5:$AH$1369,Calc!$A$5:$A$1369,A58)</f>
        <v>-0.292500381127026</v>
      </c>
      <c r="W58" s="16" t="n">
        <f aca="false">SUMIFS(Calc!$Y$5:$Y$1369,Calc!$A$5:$A$1369,A58)</f>
        <v>1.85089668731093</v>
      </c>
      <c r="X58" s="7" t="n">
        <f aca="false">IFERROR(N58/W58*1000,"")</f>
        <v>-20.3085713858459</v>
      </c>
      <c r="Y58" s="7" t="n">
        <f aca="false">IFERROR(P58/W58*1000,"")</f>
        <v>8.22699472276256</v>
      </c>
      <c r="Z58" s="7" t="n">
        <f aca="false">IFERROR(Q58/W58*1000,"")</f>
        <v>-58.0317168064004</v>
      </c>
      <c r="AA58" s="16" t="n">
        <f aca="false">SUMIFS(Calc!$AM$5:$AM$1369,Calc!$A$5:$A$1369,A58)</f>
        <v>-0.138990486265699</v>
      </c>
      <c r="AB58" s="16" t="n">
        <f aca="false">SUMIFS(Calc!$AN$5:$AN$1369,Calc!$A$5:$A$1369,A58)</f>
        <v>11.9056553601214</v>
      </c>
      <c r="AC58" s="17" t="n">
        <f aca="false">Country_Data!DY58</f>
        <v>0.13</v>
      </c>
      <c r="AD58" s="12" t="str">
        <f aca="false">IF(Country_Data!BD58="","",Country_Data!BD58)</f>
        <v/>
      </c>
      <c r="AE58" s="7" t="str">
        <f aca="false">IF(Country_Data!BC58="","",Country_Data!BC58)</f>
        <v/>
      </c>
      <c r="AF58" s="12" t="str">
        <f aca="false">IF(Country_Data!BL58="","",Country_Data!BL58)</f>
        <v/>
      </c>
      <c r="AG58" s="7" t="n">
        <f aca="false">IF(Country_Data!BA58="","",Country_Data!BA58)</f>
        <v>155.373</v>
      </c>
    </row>
    <row r="59" customFormat="false" ht="15" hidden="false" customHeight="false" outlineLevel="0" collapsed="false">
      <c r="A59" s="14" t="str">
        <f aca="false">Country_Data!A59</f>
        <v>NGA</v>
      </c>
      <c r="B59" s="14" t="str">
        <f aca="false">Country_Data!B59</f>
        <v>Nigeria</v>
      </c>
      <c r="C59" s="14" t="str">
        <f aca="false">Country_Data!E59</f>
        <v>EMDC</v>
      </c>
      <c r="D59" s="14" t="str">
        <f aca="false">Country_Data!D59</f>
        <v>Lower middle income</v>
      </c>
      <c r="E59" s="15" t="n">
        <f aca="false">Country_Data!BV59</f>
        <v>319.928805765808</v>
      </c>
      <c r="F59" s="16" t="n">
        <f aca="false">SUMIFS(Calc!$J$5:$J$1369,Calc!$A$5:$A$1369,A59)</f>
        <v>21.5755146174839</v>
      </c>
      <c r="G59" s="11" t="n">
        <f aca="false">IFERROR(F59/E59,"")</f>
        <v>0.0674384870278842</v>
      </c>
      <c r="H59" s="16" t="n">
        <f aca="false">SUMIFS(Calc!$L$5:$L$1369,Calc!$A$5:$A$1369,A59)</f>
        <v>5.17812350819615</v>
      </c>
      <c r="I59" s="11" t="n">
        <f aca="false">IFERROR(H59/E59,"")</f>
        <v>0.0161852368866922</v>
      </c>
      <c r="J59" s="17" t="n">
        <f aca="false">Country_Data!DW59</f>
        <v>0.105</v>
      </c>
      <c r="K59" s="14" t="str">
        <f aca="false">Country_Data!DV59</f>
        <v>Group default (IHLEG)</v>
      </c>
      <c r="L59" s="16" t="n">
        <f aca="false">SUMIFS(Calc!$W$5:$W$1369,Calc!$A$5:$A$1369,A59)</f>
        <v>0.313108416295243</v>
      </c>
      <c r="M59" s="16" t="n">
        <f aca="false">SUMIFS(Calc!$X$5:$X$1369,Calc!$A$5:$A$1369,A59)</f>
        <v>0.197581037321265</v>
      </c>
      <c r="N59" s="18" t="n">
        <f aca="false">SUMIFS(Calc!$AC$5:$AC$1369,Calc!$A$5:$A$1369,A59)</f>
        <v>0.297733685439994</v>
      </c>
      <c r="O59" s="18" t="n">
        <f aca="false">SUMIFS(Calc!$AD$5:$AD$1369,Calc!$A$5:$A$1369,A59)</f>
        <v>0.505717581164432</v>
      </c>
      <c r="P59" s="18" t="n">
        <f aca="false">SUMIFS(Calc!$AE$5:$AE$1369,Calc!$A$5:$A$1369,A59)</f>
        <v>0.108886935615493</v>
      </c>
      <c r="Q59" s="18" t="n">
        <f aca="false">SUMIFS(Calc!$AF$5:$AF$1369,Calc!$A$5:$A$1369,A59)</f>
        <v>-0.0886941017057716</v>
      </c>
      <c r="R59" s="11" t="n">
        <f aca="false">IFERROR(N59/E59,"")</f>
        <v>0.000930624814253014</v>
      </c>
      <c r="S59" s="11" t="n">
        <f aca="false">IFERROR(P59/E59,"")</f>
        <v>0.000340347394961365</v>
      </c>
      <c r="T59" s="11" t="n">
        <f aca="false">IFERROR(Q59/E59,"")</f>
        <v>-0.000277230746676486</v>
      </c>
      <c r="U59" s="16" t="n">
        <f aca="false">SUMIFS(Calc!$AG$5:$AG$1369,Calc!$A$5:$A$1369,A59)</f>
        <v>-0.268102005646922</v>
      </c>
      <c r="V59" s="16" t="n">
        <f aca="false">SUMIFS(Calc!$AH$5:$AH$1369,Calc!$A$5:$A$1369,A59)</f>
        <v>-0.447509909588072</v>
      </c>
      <c r="W59" s="16" t="n">
        <f aca="false">SUMIFS(Calc!$Y$5:$Y$1369,Calc!$A$5:$A$1369,A59)</f>
        <v>3.588158078823</v>
      </c>
      <c r="X59" s="7" t="n">
        <f aca="false">IFERROR(N59/W59*1000,"")</f>
        <v>82.976747094057</v>
      </c>
      <c r="Y59" s="7" t="n">
        <f aca="false">IFERROR(P59/W59*1000,"")</f>
        <v>30.3461924540433</v>
      </c>
      <c r="Z59" s="7" t="n">
        <f aca="false">IFERROR(Q59/W59*1000,"")</f>
        <v>-24.7185602633386</v>
      </c>
      <c r="AA59" s="16" t="n">
        <f aca="false">SUMIFS(Calc!$AM$5:$AM$1369,Calc!$A$5:$A$1369,A59)</f>
        <v>0.786861457602085</v>
      </c>
      <c r="AB59" s="16" t="n">
        <f aca="false">SUMIFS(Calc!$AN$5:$AN$1369,Calc!$A$5:$A$1369,A59)</f>
        <v>27.3289851821463</v>
      </c>
      <c r="AC59" s="17" t="n">
        <f aca="false">Country_Data!DY59</f>
        <v>0.4</v>
      </c>
      <c r="AD59" s="12" t="n">
        <f aca="false">IF(Country_Data!BD59="","",Country_Data!BD59)</f>
        <v>1</v>
      </c>
      <c r="AE59" s="7" t="n">
        <f aca="false">IF(Country_Data!BC59="","",Country_Data!BC59)</f>
        <v>23.295</v>
      </c>
      <c r="AF59" s="12" t="n">
        <f aca="false">IF(Country_Data!BL59="","",Country_Data!BL59)</f>
        <v>4.593</v>
      </c>
      <c r="AG59" s="7" t="n">
        <f aca="false">IF(Country_Data!BA59="","",Country_Data!BA59)</f>
        <v>39.333</v>
      </c>
    </row>
    <row r="60" customFormat="false" ht="15" hidden="false" customHeight="false" outlineLevel="0" collapsed="false">
      <c r="A60" s="14" t="str">
        <f aca="false">Country_Data!A60</f>
        <v>HUN</v>
      </c>
      <c r="B60" s="14" t="str">
        <f aca="false">Country_Data!B60</f>
        <v>Hungary</v>
      </c>
      <c r="C60" s="14" t="str">
        <f aca="false">Country_Data!E60</f>
        <v>EMDC</v>
      </c>
      <c r="D60" s="14" t="str">
        <f aca="false">Country_Data!D60</f>
        <v>High income</v>
      </c>
      <c r="E60" s="15" t="n">
        <f aca="false">Country_Data!BV60</f>
        <v>243.015005273459</v>
      </c>
      <c r="F60" s="16" t="n">
        <f aca="false">SUMIFS(Calc!$J$5:$J$1369,Calc!$A$5:$A$1369,A60)</f>
        <v>11.9802195887768</v>
      </c>
      <c r="G60" s="11" t="n">
        <f aca="false">IFERROR(F60/E60,"")</f>
        <v>0.0492982710071574</v>
      </c>
      <c r="H60" s="16" t="n">
        <f aca="false">SUMIFS(Calc!$L$5:$L$1369,Calc!$A$5:$A$1369,A60)</f>
        <v>2.87525270130642</v>
      </c>
      <c r="I60" s="11" t="n">
        <f aca="false">IFERROR(H60/E60,"")</f>
        <v>0.0118315850417178</v>
      </c>
      <c r="J60" s="17" t="n">
        <f aca="false">Country_Data!DW60</f>
        <v>0.1843</v>
      </c>
      <c r="K60" s="14" t="str">
        <f aca="false">Country_Data!DV60</f>
        <v>Observed (IRENA/Steffen)</v>
      </c>
      <c r="L60" s="16" t="n">
        <f aca="false">SUMIFS(Calc!$W$5:$W$1369,Calc!$A$5:$A$1369,A60)</f>
        <v>0.242903567780229</v>
      </c>
      <c r="M60" s="16" t="n">
        <f aca="false">SUMIFS(Calc!$X$5:$X$1369,Calc!$A$5:$A$1369,A60)</f>
        <v>0.0903114200424293</v>
      </c>
      <c r="N60" s="18" t="n">
        <f aca="false">SUMIFS(Calc!$AC$5:$AC$1369,Calc!$A$5:$A$1369,A60)</f>
        <v>0.302829555119992</v>
      </c>
      <c r="O60" s="18" t="n">
        <f aca="false">SUMIFS(Calc!$AD$5:$AD$1369,Calc!$A$5:$A$1369,A60)</f>
        <v>0.426902282533605</v>
      </c>
      <c r="P60" s="18" t="n">
        <f aca="false">SUMIFS(Calc!$AE$5:$AE$1369,Calc!$A$5:$A$1369,A60)</f>
        <v>-0.0099465328671063</v>
      </c>
      <c r="Q60" s="18" t="n">
        <f aca="false">SUMIFS(Calc!$AF$5:$AF$1369,Calc!$A$5:$A$1369,A60)</f>
        <v>-0.100257952909536</v>
      </c>
      <c r="R60" s="11" t="n">
        <f aca="false">IFERROR(N60/E60,"")</f>
        <v>0.00124613521201798</v>
      </c>
      <c r="S60" s="11" t="n">
        <f aca="false">IFERROR(P60/E60,"")</f>
        <v>-4.09297066076792E-005</v>
      </c>
      <c r="T60" s="11" t="n">
        <f aca="false">IFERROR(Q60/E60,"")</f>
        <v>-0.000412558692812889</v>
      </c>
      <c r="U60" s="16" t="n">
        <f aca="false">SUMIFS(Calc!$AG$5:$AG$1369,Calc!$A$5:$A$1369,A60)</f>
        <v>-0.163986274486884</v>
      </c>
      <c r="V60" s="16" t="n">
        <f aca="false">SUMIFS(Calc!$AH$5:$AH$1369,Calc!$A$5:$A$1369,A60)</f>
        <v>-0.227714596064233</v>
      </c>
      <c r="W60" s="16" t="n">
        <f aca="false">SUMIFS(Calc!$Y$5:$Y$1369,Calc!$A$5:$A$1369,A60)</f>
        <v>1.27456643154697</v>
      </c>
      <c r="X60" s="7" t="n">
        <f aca="false">IFERROR(N60/W60*1000,"")</f>
        <v>237.594171339064</v>
      </c>
      <c r="Y60" s="7" t="n">
        <f aca="false">IFERROR(P60/W60*1000,"")</f>
        <v>-7.80385597872206</v>
      </c>
      <c r="Z60" s="7" t="n">
        <f aca="false">IFERROR(Q60/W60*1000,"")</f>
        <v>-78.6604373283627</v>
      </c>
      <c r="AA60" s="16" t="n">
        <f aca="false">SUMIFS(Calc!$AM$5:$AM$1369,Calc!$A$5:$A$1369,A60)</f>
        <v>1.30323369994624</v>
      </c>
      <c r="AB60" s="16" t="n">
        <f aca="false">SUMIFS(Calc!$AN$5:$AN$1369,Calc!$A$5:$A$1369,A60)</f>
        <v>13.7526356375273</v>
      </c>
      <c r="AC60" s="17" t="n">
        <f aca="false">Country_Data!DY60</f>
        <v>0.27</v>
      </c>
      <c r="AD60" s="12" t="str">
        <f aca="false">IF(Country_Data!BD60="","",Country_Data!BD60)</f>
        <v/>
      </c>
      <c r="AE60" s="7" t="str">
        <f aca="false">IF(Country_Data!BC60="","",Country_Data!BC60)</f>
        <v/>
      </c>
      <c r="AF60" s="12" t="str">
        <f aca="false">IF(Country_Data!BL60="","",Country_Data!BL60)</f>
        <v/>
      </c>
      <c r="AG60" s="7" t="n">
        <f aca="false">IF(Country_Data!BA60="","",Country_Data!BA60)</f>
        <v>73.513</v>
      </c>
    </row>
    <row r="61" customFormat="false" ht="15" hidden="false" customHeight="false" outlineLevel="0" collapsed="false">
      <c r="A61" s="14" t="str">
        <f aca="false">Country_Data!A61</f>
        <v>QAT</v>
      </c>
      <c r="B61" s="14" t="str">
        <f aca="false">Country_Data!B61</f>
        <v>Qatar</v>
      </c>
      <c r="C61" s="14" t="str">
        <f aca="false">Country_Data!E61</f>
        <v>EMDC</v>
      </c>
      <c r="D61" s="14" t="str">
        <f aca="false">Country_Data!D61</f>
        <v>High income</v>
      </c>
      <c r="E61" s="15" t="n">
        <f aca="false">Country_Data!BV61</f>
        <v>143.347374139267</v>
      </c>
      <c r="F61" s="16" t="n">
        <f aca="false">SUMIFS(Calc!$J$5:$J$1369,Calc!$A$5:$A$1369,A61)</f>
        <v>14.030177326609</v>
      </c>
      <c r="G61" s="11" t="n">
        <f aca="false">IFERROR(F61/E61,"")</f>
        <v>0.0978753703083407</v>
      </c>
      <c r="H61" s="16" t="n">
        <f aca="false">SUMIFS(Calc!$L$5:$L$1369,Calc!$A$5:$A$1369,A61)</f>
        <v>3.36724255838615</v>
      </c>
      <c r="I61" s="11" t="n">
        <f aca="false">IFERROR(H61/E61,"")</f>
        <v>0.0234900888740018</v>
      </c>
      <c r="J61" s="17" t="n">
        <f aca="false">Country_Data!DW61</f>
        <v>0.105</v>
      </c>
      <c r="K61" s="14" t="str">
        <f aca="false">Country_Data!DV61</f>
        <v>Group default (IHLEG)</v>
      </c>
      <c r="L61" s="16" t="n">
        <f aca="false">SUMIFS(Calc!$W$5:$W$1369,Calc!$A$5:$A$1369,A61)</f>
        <v>0.0960224562656981</v>
      </c>
      <c r="M61" s="16" t="n">
        <f aca="false">SUMIFS(Calc!$X$5:$X$1369,Calc!$A$5:$A$1369,A61)</f>
        <v>0.110939750176365</v>
      </c>
      <c r="N61" s="18" t="n">
        <f aca="false">SUMIFS(Calc!$AC$5:$AC$1369,Calc!$A$5:$A$1369,A61)</f>
        <v>0.295304839488279</v>
      </c>
      <c r="O61" s="18" t="n">
        <f aca="false">SUMIFS(Calc!$AD$5:$AD$1369,Calc!$A$5:$A$1369,A61)</f>
        <v>0.431540492835981</v>
      </c>
      <c r="P61" s="18" t="n">
        <f aca="false">SUMIFS(Calc!$AE$5:$AE$1369,Calc!$A$5:$A$1369,A61)</f>
        <v>0.171649805297447</v>
      </c>
      <c r="Q61" s="18" t="n">
        <f aca="false">SUMIFS(Calc!$AF$5:$AF$1369,Calc!$A$5:$A$1369,A61)</f>
        <v>0.060710055121082</v>
      </c>
      <c r="R61" s="11" t="n">
        <f aca="false">IFERROR(N61/E61,"")</f>
        <v>0.00206006451992194</v>
      </c>
      <c r="S61" s="11" t="n">
        <f aca="false">IFERROR(P61/E61,"")</f>
        <v>0.00119743948103775</v>
      </c>
      <c r="T61" s="11" t="n">
        <f aca="false">IFERROR(Q61/E61,"")</f>
        <v>0.00042351703674809</v>
      </c>
      <c r="U61" s="16" t="n">
        <f aca="false">SUMIFS(Calc!$AG$5:$AG$1369,Calc!$A$5:$A$1369,A61)</f>
        <v>-0.0597000775060296</v>
      </c>
      <c r="V61" s="16" t="n">
        <f aca="false">SUMIFS(Calc!$AH$5:$AH$1369,Calc!$A$5:$A$1369,A61)</f>
        <v>-0.180110210133141</v>
      </c>
      <c r="W61" s="16" t="n">
        <f aca="false">SUMIFS(Calc!$Y$5:$Y$1369,Calc!$A$5:$A$1369,A61)</f>
        <v>2.40820265254223</v>
      </c>
      <c r="X61" s="7" t="n">
        <f aca="false">IFERROR(N61/W61*1000,"")</f>
        <v>122.624580276306</v>
      </c>
      <c r="Y61" s="7" t="n">
        <f aca="false">IFERROR(P61/W61*1000,"")</f>
        <v>71.2771431906878</v>
      </c>
      <c r="Z61" s="7" t="n">
        <f aca="false">IFERROR(Q61/W61*1000,"")</f>
        <v>25.2096953123912</v>
      </c>
      <c r="AA61" s="16" t="n">
        <f aca="false">SUMIFS(Calc!$AM$5:$AM$1369,Calc!$A$5:$A$1369,A61)</f>
        <v>0.515229309128465</v>
      </c>
      <c r="AB61" s="16" t="n">
        <f aca="false">SUMIFS(Calc!$AN$5:$AN$1369,Calc!$A$5:$A$1369,A61)</f>
        <v>16.1058747941073</v>
      </c>
      <c r="AC61" s="17" t="n">
        <f aca="false">Country_Data!DY61</f>
        <v>0.27</v>
      </c>
      <c r="AD61" s="12" t="str">
        <f aca="false">IF(Country_Data!BD61="","",Country_Data!BD61)</f>
        <v/>
      </c>
      <c r="AE61" s="7" t="str">
        <f aca="false">IF(Country_Data!BC61="","",Country_Data!BC61)</f>
        <v/>
      </c>
      <c r="AF61" s="12" t="str">
        <f aca="false">IF(Country_Data!BL61="","",Country_Data!BL61)</f>
        <v/>
      </c>
      <c r="AG61" s="7" t="n">
        <f aca="false">IF(Country_Data!BA61="","",Country_Data!BA61)</f>
        <v>41.266</v>
      </c>
    </row>
    <row r="62" customFormat="false" ht="15" hidden="false" customHeight="false" outlineLevel="0" collapsed="false">
      <c r="A62" s="14" t="str">
        <f aca="false">Country_Data!A62</f>
        <v>UKR</v>
      </c>
      <c r="B62" s="14" t="str">
        <f aca="false">Country_Data!B62</f>
        <v>Ukraine</v>
      </c>
      <c r="C62" s="14" t="str">
        <f aca="false">Country_Data!E62</f>
        <v>EMDC</v>
      </c>
      <c r="D62" s="14" t="str">
        <f aca="false">Country_Data!D62</f>
        <v>Upper middle income</v>
      </c>
      <c r="E62" s="15" t="n">
        <f aca="false">Country_Data!BV62</f>
        <v>214.48868680583</v>
      </c>
      <c r="F62" s="16" t="n">
        <f aca="false">SUMIFS(Calc!$J$5:$J$1369,Calc!$A$5:$A$1369,A62)</f>
        <v>16.4067276345233</v>
      </c>
      <c r="G62" s="11" t="n">
        <f aca="false">IFERROR(F62/E62,"")</f>
        <v>0.076492275088503</v>
      </c>
      <c r="H62" s="16" t="n">
        <f aca="false">SUMIFS(Calc!$L$5:$L$1369,Calc!$A$5:$A$1369,A62)</f>
        <v>3.9376146322856</v>
      </c>
      <c r="I62" s="11" t="n">
        <f aca="false">IFERROR(H62/E62,"")</f>
        <v>0.0183581460212407</v>
      </c>
      <c r="J62" s="17" t="n">
        <f aca="false">Country_Data!DW62</f>
        <v>0.1385</v>
      </c>
      <c r="K62" s="14" t="str">
        <f aca="false">Country_Data!DV62</f>
        <v>Observed (IRENA/Steffen)</v>
      </c>
      <c r="L62" s="16" t="n">
        <f aca="false">SUMIFS(Calc!$W$5:$W$1369,Calc!$A$5:$A$1369,A62)</f>
        <v>0.137928924862987</v>
      </c>
      <c r="M62" s="16" t="n">
        <f aca="false">SUMIFS(Calc!$X$5:$X$1369,Calc!$A$5:$A$1369,A62)</f>
        <v>0.245577441645548</v>
      </c>
      <c r="N62" s="18" t="n">
        <f aca="false">SUMIFS(Calc!$AC$5:$AC$1369,Calc!$A$5:$A$1369,A62)</f>
        <v>0.438405081008131</v>
      </c>
      <c r="O62" s="18" t="n">
        <f aca="false">SUMIFS(Calc!$AD$5:$AD$1369,Calc!$A$5:$A$1369,A62)</f>
        <v>0.60388259848624</v>
      </c>
      <c r="P62" s="18" t="n">
        <f aca="false">SUMIFS(Calc!$AE$5:$AE$1369,Calc!$A$5:$A$1369,A62)</f>
        <v>0.176540286110183</v>
      </c>
      <c r="Q62" s="18" t="n">
        <f aca="false">SUMIFS(Calc!$AF$5:$AF$1369,Calc!$A$5:$A$1369,A62)</f>
        <v>-0.0690371555353651</v>
      </c>
      <c r="R62" s="11" t="n">
        <f aca="false">IFERROR(N62/E62,"")</f>
        <v>0.00204395433408106</v>
      </c>
      <c r="S62" s="11" t="n">
        <f aca="false">IFERROR(P62/E62,"")</f>
        <v>0.000823075047636424</v>
      </c>
      <c r="T62" s="11" t="n">
        <f aca="false">IFERROR(Q62/E62,"")</f>
        <v>-0.00032186851699951</v>
      </c>
      <c r="U62" s="16" t="n">
        <f aca="false">SUMIFS(Calc!$AG$5:$AG$1369,Calc!$A$5:$A$1369,A62)</f>
        <v>-0.180860388401936</v>
      </c>
      <c r="V62" s="16" t="n">
        <f aca="false">SUMIFS(Calc!$AH$5:$AH$1369,Calc!$A$5:$A$1369,A62)</f>
        <v>-0.292683621268506</v>
      </c>
      <c r="W62" s="16" t="n">
        <f aca="false">SUMIFS(Calc!$Y$5:$Y$1369,Calc!$A$5:$A$1369,A62)</f>
        <v>2.23646465733141</v>
      </c>
      <c r="X62" s="7" t="n">
        <f aca="false">IFERROR(N62/W62*1000,"")</f>
        <v>196.025937441482</v>
      </c>
      <c r="Y62" s="7" t="n">
        <f aca="false">IFERROR(P62/W62*1000,"")</f>
        <v>78.9372125919638</v>
      </c>
      <c r="Z62" s="7" t="n">
        <f aca="false">IFERROR(Q62/W62*1000,"")</f>
        <v>-30.8688783920876</v>
      </c>
      <c r="AA62" s="16" t="n">
        <f aca="false">SUMIFS(Calc!$AM$5:$AM$1369,Calc!$A$5:$A$1369,A62)</f>
        <v>1.09110331207479</v>
      </c>
      <c r="AB62" s="16" t="n">
        <f aca="false">SUMIFS(Calc!$AN$5:$AN$1369,Calc!$A$5:$A$1369,A62)</f>
        <v>18.772867946441</v>
      </c>
      <c r="AC62" s="17" t="n">
        <f aca="false">Country_Data!DY62</f>
        <v>0.265</v>
      </c>
      <c r="AD62" s="12" t="n">
        <f aca="false">IF(Country_Data!BD62="","",Country_Data!BD62)</f>
        <v>2.5</v>
      </c>
      <c r="AE62" s="7" t="n">
        <f aca="false">IF(Country_Data!BC62="","",Country_Data!BC62)</f>
        <v>84.964</v>
      </c>
      <c r="AF62" s="12" t="n">
        <f aca="false">IF(Country_Data!BL62="","",Country_Data!BL62)</f>
        <v>3.31</v>
      </c>
      <c r="AG62" s="7" t="n">
        <f aca="false">IF(Country_Data!BA62="","",Country_Data!BA62)</f>
        <v>89.677</v>
      </c>
    </row>
    <row r="63" customFormat="false" ht="15" hidden="false" customHeight="false" outlineLevel="0" collapsed="false">
      <c r="A63" s="14" t="str">
        <f aca="false">Country_Data!A63</f>
        <v>KWT</v>
      </c>
      <c r="B63" s="14" t="str">
        <f aca="false">Country_Data!B63</f>
        <v>Kuwait</v>
      </c>
      <c r="C63" s="14" t="str">
        <f aca="false">Country_Data!E63</f>
        <v>EMDC</v>
      </c>
      <c r="D63" s="14" t="str">
        <f aca="false">Country_Data!D63</f>
        <v>High income</v>
      </c>
      <c r="E63" s="15" t="n">
        <f aca="false">Country_Data!BV63</f>
        <v>161.864361270317</v>
      </c>
      <c r="F63" s="16" t="n">
        <f aca="false">SUMIFS(Calc!$J$5:$J$1369,Calc!$A$5:$A$1369,A63)</f>
        <v>14.0956980914323</v>
      </c>
      <c r="G63" s="11" t="n">
        <f aca="false">IFERROR(F63/E63,"")</f>
        <v>0.087083394891925</v>
      </c>
      <c r="H63" s="16" t="n">
        <f aca="false">SUMIFS(Calc!$L$5:$L$1369,Calc!$A$5:$A$1369,A63)</f>
        <v>3.38296754194374</v>
      </c>
      <c r="I63" s="11" t="n">
        <f aca="false">IFERROR(H63/E63,"")</f>
        <v>0.020900014774062</v>
      </c>
      <c r="J63" s="17" t="n">
        <f aca="false">Country_Data!DW63</f>
        <v>0.105</v>
      </c>
      <c r="K63" s="14" t="str">
        <f aca="false">Country_Data!DV63</f>
        <v>Group default (IHLEG)</v>
      </c>
      <c r="L63" s="16" t="n">
        <f aca="false">SUMIFS(Calc!$W$5:$W$1369,Calc!$A$5:$A$1369,A63)</f>
        <v>0.302877545650665</v>
      </c>
      <c r="M63" s="16" t="n">
        <f aca="false">SUMIFS(Calc!$X$5:$X$1369,Calc!$A$5:$A$1369,A63)</f>
        <v>0.108499395397705</v>
      </c>
      <c r="N63" s="18" t="n">
        <f aca="false">SUMIFS(Calc!$AC$5:$AC$1369,Calc!$A$5:$A$1369,A63)</f>
        <v>0.0916902007364803</v>
      </c>
      <c r="O63" s="18" t="n">
        <f aca="false">SUMIFS(Calc!$AD$5:$AD$1369,Calc!$A$5:$A$1369,A63)</f>
        <v>0.228333230690929</v>
      </c>
      <c r="P63" s="18" t="n">
        <f aca="false">SUMIFS(Calc!$AE$5:$AE$1369,Calc!$A$5:$A$1369,A63)</f>
        <v>-0.0324115861550497</v>
      </c>
      <c r="Q63" s="18" t="n">
        <f aca="false">SUMIFS(Calc!$AF$5:$AF$1369,Calc!$A$5:$A$1369,A63)</f>
        <v>-0.140910981552755</v>
      </c>
      <c r="R63" s="11" t="n">
        <f aca="false">IFERROR(N63/E63,"")</f>
        <v>0.000566463179521991</v>
      </c>
      <c r="S63" s="11" t="n">
        <f aca="false">IFERROR(P63/E63,"")</f>
        <v>-0.00020023917495292</v>
      </c>
      <c r="T63" s="11" t="n">
        <f aca="false">IFERROR(Q63/E63,"")</f>
        <v>-0.000870549764301915</v>
      </c>
      <c r="U63" s="16" t="n">
        <f aca="false">SUMIFS(Calc!$AG$5:$AG$1369,Calc!$A$5:$A$1369,A63)</f>
        <v>-0.266793821977397</v>
      </c>
      <c r="V63" s="16" t="n">
        <f aca="false">SUMIFS(Calc!$AH$5:$AH$1369,Calc!$A$5:$A$1369,A63)</f>
        <v>-0.39267666240204</v>
      </c>
      <c r="W63" s="16" t="n">
        <f aca="false">SUMIFS(Calc!$Y$5:$Y$1369,Calc!$A$5:$A$1369,A63)</f>
        <v>2.51765680849285</v>
      </c>
      <c r="X63" s="7" t="n">
        <f aca="false">IFERROR(N63/W63*1000,"")</f>
        <v>36.4188639322009</v>
      </c>
      <c r="Y63" s="7" t="n">
        <f aca="false">IFERROR(P63/W63*1000,"")</f>
        <v>-12.8737110021172</v>
      </c>
      <c r="Z63" s="7" t="n">
        <f aca="false">IFERROR(Q63/W63*1000,"")</f>
        <v>-55.9690983605938</v>
      </c>
      <c r="AA63" s="16" t="n">
        <f aca="false">SUMIFS(Calc!$AM$5:$AM$1369,Calc!$A$5:$A$1369,A63)</f>
        <v>0.517090778714708</v>
      </c>
      <c r="AB63" s="16" t="n">
        <f aca="false">SUMIFS(Calc!$AN$5:$AN$1369,Calc!$A$5:$A$1369,A63)</f>
        <v>16.1810890419455</v>
      </c>
      <c r="AC63" s="17" t="n">
        <f aca="false">Country_Data!DY63</f>
        <v>0.27</v>
      </c>
      <c r="AD63" s="12" t="str">
        <f aca="false">IF(Country_Data!BD63="","",Country_Data!BD63)</f>
        <v/>
      </c>
      <c r="AE63" s="7" t="n">
        <f aca="false">IF(Country_Data!BC63="","",Country_Data!BC63)</f>
        <v>66.764</v>
      </c>
      <c r="AF63" s="12" t="str">
        <f aca="false">IF(Country_Data!BL63="","",Country_Data!BL63)</f>
        <v/>
      </c>
      <c r="AG63" s="7" t="n">
        <f aca="false">IF(Country_Data!BA63="","",Country_Data!BA63)</f>
        <v>2.911</v>
      </c>
    </row>
    <row r="64" customFormat="false" ht="15" hidden="false" customHeight="false" outlineLevel="0" collapsed="false">
      <c r="A64" s="14" t="str">
        <f aca="false">Country_Data!A64</f>
        <v>MAR</v>
      </c>
      <c r="B64" s="14" t="str">
        <f aca="false">Country_Data!B64</f>
        <v>Morocco</v>
      </c>
      <c r="C64" s="14" t="str">
        <f aca="false">Country_Data!E64</f>
        <v>EMDC</v>
      </c>
      <c r="D64" s="14" t="str">
        <f aca="false">Country_Data!D64</f>
        <v>Lower middle income</v>
      </c>
      <c r="E64" s="15" t="n">
        <f aca="false">Country_Data!BV64</f>
        <v>213.715000629797</v>
      </c>
      <c r="F64" s="16" t="n">
        <f aca="false">SUMIFS(Calc!$J$5:$J$1369,Calc!$A$5:$A$1369,A64)</f>
        <v>9.92507708079202</v>
      </c>
      <c r="G64" s="11" t="n">
        <f aca="false">IFERROR(F64/E64,"")</f>
        <v>0.046440713340401</v>
      </c>
      <c r="H64" s="16" t="n">
        <f aca="false">SUMIFS(Calc!$L$5:$L$1369,Calc!$A$5:$A$1369,A64)</f>
        <v>2.38201849939009</v>
      </c>
      <c r="I64" s="11" t="n">
        <f aca="false">IFERROR(H64/E64,"")</f>
        <v>0.0111457712016962</v>
      </c>
      <c r="J64" s="17" t="n">
        <f aca="false">Country_Data!DW64</f>
        <v>0.0895199999999999</v>
      </c>
      <c r="K64" s="14" t="str">
        <f aca="false">Country_Data!DV64</f>
        <v>Observed (IRENA/Steffen)</v>
      </c>
      <c r="L64" s="16" t="n">
        <f aca="false">SUMIFS(Calc!$W$5:$W$1369,Calc!$A$5:$A$1369,A64)</f>
        <v>0.174681882458339</v>
      </c>
      <c r="M64" s="16" t="n">
        <f aca="false">SUMIFS(Calc!$X$5:$X$1369,Calc!$A$5:$A$1369,A64)</f>
        <v>0.125722754437773</v>
      </c>
      <c r="N64" s="18" t="n">
        <f aca="false">SUMIFS(Calc!$AC$5:$AC$1369,Calc!$A$5:$A$1369,A64)</f>
        <v>0.0759530124639248</v>
      </c>
      <c r="O64" s="18" t="n">
        <f aca="false">SUMIFS(Calc!$AD$5:$AD$1369,Calc!$A$5:$A$1369,A64)</f>
        <v>0.168975707634557</v>
      </c>
      <c r="P64" s="18" t="n">
        <f aca="false">SUMIFS(Calc!$AE$5:$AE$1369,Calc!$A$5:$A$1369,A64)</f>
        <v>0.0203101310627223</v>
      </c>
      <c r="Q64" s="18" t="n">
        <f aca="false">SUMIFS(Calc!$AF$5:$AF$1369,Calc!$A$5:$A$1369,A64)</f>
        <v>-0.10541262337505</v>
      </c>
      <c r="R64" s="11" t="n">
        <f aca="false">IFERROR(N64/E64,"")</f>
        <v>0.000355393922935211</v>
      </c>
      <c r="S64" s="11" t="n">
        <f aca="false">IFERROR(P64/E64,"")</f>
        <v>9.50337178151758E-005</v>
      </c>
      <c r="T64" s="11" t="n">
        <f aca="false">IFERROR(Q64/E64,"")</f>
        <v>-0.000493239234795918</v>
      </c>
      <c r="U64" s="16" t="n">
        <f aca="false">SUMIFS(Calc!$AG$5:$AG$1369,Calc!$A$5:$A$1369,A64)</f>
        <v>-0.200594089922641</v>
      </c>
      <c r="V64" s="16" t="n">
        <f aca="false">SUMIFS(Calc!$AH$5:$AH$1369,Calc!$A$5:$A$1369,A64)</f>
        <v>-0.295775556470231</v>
      </c>
      <c r="W64" s="16" t="n">
        <f aca="false">SUMIFS(Calc!$Y$5:$Y$1369,Calc!$A$5:$A$1369,A64)</f>
        <v>1.90362933095181</v>
      </c>
      <c r="X64" s="7" t="n">
        <f aca="false">IFERROR(N64/W64*1000,"")</f>
        <v>39.8990555718894</v>
      </c>
      <c r="Y64" s="7" t="n">
        <f aca="false">IFERROR(P64/W64*1000,"")</f>
        <v>10.6691627054135</v>
      </c>
      <c r="Z64" s="7" t="n">
        <f aca="false">IFERROR(Q64/W64*1000,"")</f>
        <v>-55.37455305038</v>
      </c>
      <c r="AA64" s="16" t="n">
        <f aca="false">SUMIFS(Calc!$AM$5:$AM$1369,Calc!$A$5:$A$1369,A64)</f>
        <v>0.231845339171677</v>
      </c>
      <c r="AB64" s="16" t="n">
        <f aca="false">SUMIFS(Calc!$AN$5:$AN$1369,Calc!$A$5:$A$1369,A64)</f>
        <v>11.7087141213981</v>
      </c>
      <c r="AC64" s="17" t="n">
        <f aca="false">Country_Data!DY64</f>
        <v>0.31</v>
      </c>
      <c r="AD64" s="12" t="n">
        <f aca="false">IF(Country_Data!BD64="","",Country_Data!BD64)</f>
        <v>2</v>
      </c>
      <c r="AE64" s="7" t="str">
        <f aca="false">IF(Country_Data!BC64="","",Country_Data!BC64)</f>
        <v/>
      </c>
      <c r="AF64" s="12" t="n">
        <f aca="false">IF(Country_Data!BL64="","",Country_Data!BL64)</f>
        <v>2.786</v>
      </c>
      <c r="AG64" s="7" t="n">
        <f aca="false">IF(Country_Data!BA64="","",Country_Data!BA64)</f>
        <v>67.735</v>
      </c>
    </row>
    <row r="65" customFormat="false" ht="15" hidden="false" customHeight="false" outlineLevel="0" collapsed="false">
      <c r="A65" s="14" t="str">
        <f aca="false">Country_Data!A65</f>
        <v>ETH</v>
      </c>
      <c r="B65" s="14" t="str">
        <f aca="false">Country_Data!B65</f>
        <v>Ethiopia</v>
      </c>
      <c r="C65" s="14" t="str">
        <f aca="false">Country_Data!E65</f>
        <v>EMDC</v>
      </c>
      <c r="D65" s="14" t="str">
        <f aca="false">Country_Data!D65</f>
        <v>Low income</v>
      </c>
      <c r="E65" s="15" t="n">
        <f aca="false">Country_Data!BV65</f>
        <v>240.841876037292</v>
      </c>
      <c r="F65" s="16" t="n">
        <f aca="false">SUMIFS(Calc!$J$5:$J$1369,Calc!$A$5:$A$1369,A65)</f>
        <v>9.67304257236989</v>
      </c>
      <c r="G65" s="11" t="n">
        <f aca="false">IFERROR(F65/E65,"")</f>
        <v>0.0401634579979444</v>
      </c>
      <c r="H65" s="16" t="n">
        <f aca="false">SUMIFS(Calc!$L$5:$L$1369,Calc!$A$5:$A$1369,A65)</f>
        <v>2.32153021736877</v>
      </c>
      <c r="I65" s="11" t="n">
        <f aca="false">IFERROR(H65/E65,"")</f>
        <v>0.00963922991950664</v>
      </c>
      <c r="J65" s="17" t="n">
        <f aca="false">Country_Data!DW65</f>
        <v>0.10568</v>
      </c>
      <c r="K65" s="14" t="str">
        <f aca="false">Country_Data!DV65</f>
        <v>Observed (IRENA/Steffen)</v>
      </c>
      <c r="L65" s="16" t="n">
        <f aca="false">SUMIFS(Calc!$W$5:$W$1369,Calc!$A$5:$A$1369,A65)</f>
        <v>0.142831538308965</v>
      </c>
      <c r="M65" s="16" t="n">
        <f aca="false">SUMIFS(Calc!$X$5:$X$1369,Calc!$A$5:$A$1369,A65)</f>
        <v>0.150318283587957</v>
      </c>
      <c r="N65" s="18" t="n">
        <f aca="false">SUMIFS(Calc!$AC$5:$AC$1369,Calc!$A$5:$A$1369,A65)</f>
        <v>0.128950058896677</v>
      </c>
      <c r="O65" s="18" t="n">
        <f aca="false">SUMIFS(Calc!$AD$5:$AD$1369,Calc!$A$5:$A$1369,A65)</f>
        <v>0.223058047423306</v>
      </c>
      <c r="P65" s="18" t="n">
        <f aca="false">SUMIFS(Calc!$AE$5:$AE$1369,Calc!$A$5:$A$1369,A65)</f>
        <v>0.042223136751015</v>
      </c>
      <c r="Q65" s="18" t="n">
        <f aca="false">SUMIFS(Calc!$AF$5:$AF$1369,Calc!$A$5:$A$1369,A65)</f>
        <v>-0.108095146836942</v>
      </c>
      <c r="R65" s="11" t="n">
        <f aca="false">IFERROR(N65/E65,"")</f>
        <v>0.000535413778610122</v>
      </c>
      <c r="S65" s="11" t="n">
        <f aca="false">IFERROR(P65/E65,"")</f>
        <v>0.000175314764382907</v>
      </c>
      <c r="T65" s="11" t="n">
        <f aca="false">IFERROR(Q65/E65,"")</f>
        <v>-0.000448822059583213</v>
      </c>
      <c r="U65" s="16" t="n">
        <f aca="false">SUMIFS(Calc!$AG$5:$AG$1369,Calc!$A$5:$A$1369,A65)</f>
        <v>-0.196688534609902</v>
      </c>
      <c r="V65" s="16" t="n">
        <f aca="false">SUMIFS(Calc!$AH$5:$AH$1369,Calc!$A$5:$A$1369,A65)</f>
        <v>-0.285281922382863</v>
      </c>
      <c r="W65" s="16" t="n">
        <f aca="false">SUMIFS(Calc!$Y$5:$Y$1369,Calc!$A$5:$A$1369,A65)</f>
        <v>1.7718677554592</v>
      </c>
      <c r="X65" s="7" t="n">
        <f aca="false">IFERROR(N65/W65*1000,"")</f>
        <v>72.7763449046217</v>
      </c>
      <c r="Y65" s="7" t="n">
        <f aca="false">IFERROR(P65/W65*1000,"")</f>
        <v>23.8297336925533</v>
      </c>
      <c r="Z65" s="7" t="n">
        <f aca="false">IFERROR(Q65/W65*1000,"")</f>
        <v>-61.0063287758899</v>
      </c>
      <c r="AA65" s="16" t="n">
        <f aca="false">SUMIFS(Calc!$AM$5:$AM$1369,Calc!$A$5:$A$1369,A65)</f>
        <v>0.361362175606925</v>
      </c>
      <c r="AB65" s="16" t="n">
        <f aca="false">SUMIFS(Calc!$AN$5:$AN$1369,Calc!$A$5:$A$1369,A65)</f>
        <v>11.8026116348141</v>
      </c>
      <c r="AC65" s="17" t="n">
        <f aca="false">Country_Data!DY65</f>
        <v>0.355</v>
      </c>
      <c r="AD65" s="12" t="n">
        <f aca="false">IF(Country_Data!BD65="","",Country_Data!BD65)</f>
        <v>1.5</v>
      </c>
      <c r="AE65" s="7" t="n">
        <f aca="false">IF(Country_Data!BC65="","",Country_Data!BC65)</f>
        <v>99.054</v>
      </c>
      <c r="AF65" s="12" t="n">
        <f aca="false">IF(Country_Data!BL65="","",Country_Data!BL65)</f>
        <v>2.806</v>
      </c>
      <c r="AG65" s="7" t="n">
        <f aca="false">IF(Country_Data!BA65="","",Country_Data!BA65)</f>
        <v>33.382</v>
      </c>
    </row>
    <row r="66" customFormat="false" ht="15" hidden="false" customHeight="false" outlineLevel="0" collapsed="false">
      <c r="A66" s="14" t="str">
        <f aca="false">Country_Data!A66</f>
        <v>SVK</v>
      </c>
      <c r="B66" s="14" t="str">
        <f aca="false">Country_Data!B66</f>
        <v>Slovak Republic</v>
      </c>
      <c r="C66" s="14" t="str">
        <f aca="false">Country_Data!E66</f>
        <v>AE</v>
      </c>
      <c r="D66" s="14" t="str">
        <f aca="false">Country_Data!D66</f>
        <v>High income</v>
      </c>
      <c r="E66" s="15" t="n">
        <f aca="false">Country_Data!BV66</f>
        <v>146.348580106108</v>
      </c>
      <c r="F66" s="16" t="n">
        <f aca="false">SUMIFS(Calc!$J$5:$J$1369,Calc!$A$5:$A$1369,A66)</f>
        <v>5.9954874707932</v>
      </c>
      <c r="G66" s="11" t="n">
        <f aca="false">IFERROR(F66/E66,"")</f>
        <v>0.0409671721204692</v>
      </c>
      <c r="H66" s="16" t="n">
        <f aca="false">SUMIFS(Calc!$L$5:$L$1369,Calc!$A$5:$A$1369,A66)</f>
        <v>2.27828523890141</v>
      </c>
      <c r="I66" s="11" t="n">
        <f aca="false">IFERROR(H66/E66,"")</f>
        <v>0.0155675254057783</v>
      </c>
      <c r="J66" s="17" t="n">
        <f aca="false">Country_Data!DW66</f>
        <v>0.055</v>
      </c>
      <c r="K66" s="14" t="str">
        <f aca="false">Country_Data!DV66</f>
        <v>Observed (IRENA/Steffen)</v>
      </c>
      <c r="L66" s="16" t="n">
        <f aca="false">SUMIFS(Calc!$W$5:$W$1369,Calc!$A$5:$A$1369,A66)</f>
        <v>0.155121830928627</v>
      </c>
      <c r="M66" s="16" t="n">
        <f aca="false">SUMIFS(Calc!$X$5:$X$1369,Calc!$A$5:$A$1369,A66)</f>
        <v>0.0711781132513108</v>
      </c>
      <c r="N66" s="18" t="n">
        <f aca="false">SUMIFS(Calc!$AC$5:$AC$1369,Calc!$A$5:$A$1369,A66)</f>
        <v>0.0216101413010955</v>
      </c>
      <c r="O66" s="18" t="n">
        <f aca="false">SUMIFS(Calc!$AD$5:$AD$1369,Calc!$A$5:$A$1369,A66)</f>
        <v>0.0475520959326902</v>
      </c>
      <c r="P66" s="18" t="n">
        <f aca="false">SUMIFS(Calc!$AE$5:$AE$1369,Calc!$A$5:$A$1369,A66)</f>
        <v>0.030088258847512</v>
      </c>
      <c r="Q66" s="18" t="n">
        <f aca="false">SUMIFS(Calc!$AF$5:$AF$1369,Calc!$A$5:$A$1369,A66)</f>
        <v>-0.0410898544037988</v>
      </c>
      <c r="R66" s="11" t="n">
        <f aca="false">IFERROR(N66/E66,"")</f>
        <v>0.000147662117974957</v>
      </c>
      <c r="S66" s="11" t="n">
        <f aca="false">IFERROR(P66/E66,"")</f>
        <v>0.000205593103982949</v>
      </c>
      <c r="T66" s="11" t="n">
        <f aca="false">IFERROR(Q66/E66,"")</f>
        <v>-0.000280767017855638</v>
      </c>
      <c r="U66" s="16" t="n">
        <f aca="false">SUMIFS(Calc!$AG$5:$AG$1369,Calc!$A$5:$A$1369,A66)</f>
        <v>-0.0731213013740654</v>
      </c>
      <c r="V66" s="16" t="n">
        <f aca="false">SUMIFS(Calc!$AH$5:$AH$1369,Calc!$A$5:$A$1369,A66)</f>
        <v>-0.105152748344332</v>
      </c>
      <c r="W66" s="16" t="n">
        <f aca="false">SUMIFS(Calc!$Y$5:$Y$1369,Calc!$A$5:$A$1369,A66)</f>
        <v>0.640628939405332</v>
      </c>
      <c r="X66" s="7" t="n">
        <f aca="false">IFERROR(N66/W66*1000,"")</f>
        <v>33.7326960613976</v>
      </c>
      <c r="Y66" s="7" t="n">
        <f aca="false">IFERROR(P66/W66*1000,"")</f>
        <v>46.9667493876277</v>
      </c>
      <c r="Z66" s="7" t="n">
        <f aca="false">IFERROR(Q66/W66*1000,"")</f>
        <v>-64.1398661164773</v>
      </c>
      <c r="AA66" s="16" t="n">
        <f aca="false">SUMIFS(Calc!$AM$5:$AM$1369,Calc!$A$5:$A$1369,A66)</f>
        <v>-0.0223108356484643</v>
      </c>
      <c r="AB66" s="16" t="n">
        <f aca="false">SUMIFS(Calc!$AN$5:$AN$1369,Calc!$A$5:$A$1369,A66)</f>
        <v>6.26425070224255</v>
      </c>
      <c r="AC66" s="17" t="n">
        <f aca="false">Country_Data!DY66</f>
        <v>0.13</v>
      </c>
      <c r="AD66" s="12" t="str">
        <f aca="false">IF(Country_Data!BD66="","",Country_Data!BD66)</f>
        <v/>
      </c>
      <c r="AE66" s="7" t="str">
        <f aca="false">IF(Country_Data!BC66="","",Country_Data!BC66)</f>
        <v/>
      </c>
      <c r="AF66" s="12" t="str">
        <f aca="false">IF(Country_Data!BL66="","",Country_Data!BL66)</f>
        <v/>
      </c>
      <c r="AG66" s="7" t="n">
        <f aca="false">IF(Country_Data!BA66="","",Country_Data!BA66)</f>
        <v>59.701</v>
      </c>
    </row>
    <row r="67" customFormat="false" ht="15" hidden="false" customHeight="false" outlineLevel="0" collapsed="false">
      <c r="A67" s="14" t="str">
        <f aca="false">Country_Data!A67</f>
        <v>PRI</v>
      </c>
      <c r="B67" s="14" t="str">
        <f aca="false">Country_Data!B67</f>
        <v>Puerto Rico (US)</v>
      </c>
      <c r="C67" s="14" t="str">
        <f aca="false">Country_Data!E67</f>
        <v>AE</v>
      </c>
      <c r="D67" s="14" t="str">
        <f aca="false">Country_Data!D67</f>
        <v>High income</v>
      </c>
      <c r="E67" s="15" t="n">
        <f aca="false">Country_Data!BV67</f>
        <v>124.212334784911</v>
      </c>
      <c r="F67" s="16" t="n">
        <f aca="false">SUMIFS(Calc!$J$5:$J$1369,Calc!$A$5:$A$1369,A67)</f>
        <v>2.84950091537048</v>
      </c>
      <c r="G67" s="11" t="n">
        <f aca="false">IFERROR(F67/E67,"")</f>
        <v>0.0229405631920914</v>
      </c>
      <c r="H67" s="16" t="n">
        <f aca="false">SUMIFS(Calc!$L$5:$L$1369,Calc!$A$5:$A$1369,A67)</f>
        <v>1.08281034784078</v>
      </c>
      <c r="I67" s="11" t="n">
        <f aca="false">IFERROR(H67/E67,"")</f>
        <v>0.00871741401299475</v>
      </c>
      <c r="J67" s="17" t="n">
        <f aca="false">Country_Data!DW67</f>
        <v>0.055</v>
      </c>
      <c r="K67" s="14" t="str">
        <f aca="false">Country_Data!DV67</f>
        <v>Group default (IHLEG)</v>
      </c>
      <c r="L67" s="16" t="n">
        <f aca="false">SUMIFS(Calc!$W$5:$W$1369,Calc!$A$5:$A$1369,A67)</f>
        <v>0.143482500318156</v>
      </c>
      <c r="M67" s="16" t="n">
        <f aca="false">SUMIFS(Calc!$X$5:$X$1369,Calc!$A$5:$A$1369,A67)</f>
        <v>0.00801166341190683</v>
      </c>
      <c r="N67" s="18" t="n">
        <f aca="false">SUMIFS(Calc!$AC$5:$AC$1369,Calc!$A$5:$A$1369,A67)</f>
        <v>-0.0530810138711082</v>
      </c>
      <c r="O67" s="18" t="n">
        <f aca="false">SUMIFS(Calc!$AD$5:$AD$1369,Calc!$A$5:$A$1369,A67)</f>
        <v>-0.041014137287543</v>
      </c>
      <c r="P67" s="18" t="n">
        <f aca="false">SUMIFS(Calc!$AE$5:$AE$1369,Calc!$A$5:$A$1369,A67)</f>
        <v>-0.0491338660877431</v>
      </c>
      <c r="Q67" s="18" t="n">
        <f aca="false">SUMIFS(Calc!$AF$5:$AF$1369,Calc!$A$5:$A$1369,A67)</f>
        <v>-0.05714552949965</v>
      </c>
      <c r="R67" s="11" t="n">
        <f aca="false">IFERROR(N67/E67,"")</f>
        <v>-0.000427340923612976</v>
      </c>
      <c r="S67" s="11" t="n">
        <f aca="false">IFERROR(P67/E67,"")</f>
        <v>-0.000395563501586411</v>
      </c>
      <c r="T67" s="11" t="n">
        <f aca="false">IFERROR(Q67/E67,"")</f>
        <v>-0.000460063242500065</v>
      </c>
      <c r="U67" s="16" t="n">
        <f aca="false">SUMIFS(Calc!$AG$5:$AG$1369,Calc!$A$5:$A$1369,A67)</f>
        <v>-0.0919004487700979</v>
      </c>
      <c r="V67" s="16" t="n">
        <f aca="false">SUMIFS(Calc!$AH$5:$AH$1369,Calc!$A$5:$A$1369,A67)</f>
        <v>-0.126655368040546</v>
      </c>
      <c r="W67" s="16" t="n">
        <f aca="false">SUMIFS(Calc!$Y$5:$Y$1369,Calc!$A$5:$A$1369,A67)</f>
        <v>0.695098385408958</v>
      </c>
      <c r="X67" s="7" t="n">
        <f aca="false">IFERROR(N67/W67*1000,"")</f>
        <v>-76.3647492000405</v>
      </c>
      <c r="Y67" s="7" t="n">
        <f aca="false">IFERROR(P67/W67*1000,"")</f>
        <v>-70.6862037362314</v>
      </c>
      <c r="Z67" s="7" t="n">
        <f aca="false">IFERROR(Q67/W67*1000,"")</f>
        <v>-82.2121453584281</v>
      </c>
      <c r="AA67" s="16" t="n">
        <f aca="false">SUMIFS(Calc!$AM$5:$AM$1369,Calc!$A$5:$A$1369,A67)</f>
        <v>-0.0103872310088555</v>
      </c>
      <c r="AB67" s="16" t="n">
        <f aca="false">SUMIFS(Calc!$AN$5:$AN$1369,Calc!$A$5:$A$1369,A67)</f>
        <v>2.97723716330088</v>
      </c>
      <c r="AC67" s="17" t="n">
        <f aca="false">Country_Data!DY67</f>
        <v>0.13</v>
      </c>
      <c r="AD67" s="12" t="str">
        <f aca="false">IF(Country_Data!BD67="","",Country_Data!BD67)</f>
        <v/>
      </c>
      <c r="AE67" s="7" t="str">
        <f aca="false">IF(Country_Data!BC67="","",Country_Data!BC67)</f>
        <v/>
      </c>
      <c r="AF67" s="12" t="str">
        <f aca="false">IF(Country_Data!BL67="","",Country_Data!BL67)</f>
        <v/>
      </c>
      <c r="AG67" s="7" t="n">
        <f aca="false">IF(Country_Data!BA67="","",Country_Data!BA67)</f>
        <v>16.87</v>
      </c>
    </row>
    <row r="68" customFormat="false" ht="15" hidden="false" customHeight="false" outlineLevel="0" collapsed="false">
      <c r="A68" s="14" t="str">
        <f aca="false">Country_Data!A68</f>
        <v>DOM</v>
      </c>
      <c r="B68" s="14" t="str">
        <f aca="false">Country_Data!B68</f>
        <v>Dominican Republic</v>
      </c>
      <c r="C68" s="14" t="str">
        <f aca="false">Country_Data!E68</f>
        <v>EMDC</v>
      </c>
      <c r="D68" s="14" t="str">
        <f aca="false">Country_Data!D68</f>
        <v>Upper middle income</v>
      </c>
      <c r="E68" s="15" t="n">
        <f aca="false">Country_Data!BV68</f>
        <v>152.747439761884</v>
      </c>
      <c r="F68" s="16" t="n">
        <f aca="false">SUMIFS(Calc!$J$5:$J$1369,Calc!$A$5:$A$1369,A68)</f>
        <v>6.71174590757814</v>
      </c>
      <c r="G68" s="11" t="n">
        <f aca="false">IFERROR(F68/E68,"")</f>
        <v>0.0439401532231309</v>
      </c>
      <c r="H68" s="16" t="n">
        <f aca="false">SUMIFS(Calc!$L$5:$L$1369,Calc!$A$5:$A$1369,A68)</f>
        <v>1.61081901781875</v>
      </c>
      <c r="I68" s="11" t="n">
        <f aca="false">IFERROR(H68/E68,"")</f>
        <v>0.0105456367735514</v>
      </c>
      <c r="J68" s="17" t="n">
        <f aca="false">Country_Data!DW68</f>
        <v>0.0771200000000001</v>
      </c>
      <c r="K68" s="14" t="str">
        <f aca="false">Country_Data!DV68</f>
        <v>Observed (IRENA/Steffen)</v>
      </c>
      <c r="L68" s="16" t="n">
        <f aca="false">SUMIFS(Calc!$W$5:$W$1369,Calc!$A$5:$A$1369,A68)</f>
        <v>0.133923887991089</v>
      </c>
      <c r="M68" s="16" t="n">
        <f aca="false">SUMIFS(Calc!$X$5:$X$1369,Calc!$A$5:$A$1369,A68)</f>
        <v>0.128769703058291</v>
      </c>
      <c r="N68" s="18" t="n">
        <f aca="false">SUMIFS(Calc!$AC$5:$AC$1369,Calc!$A$5:$A$1369,A68)</f>
        <v>0.0178476885265775</v>
      </c>
      <c r="O68" s="18" t="n">
        <f aca="false">SUMIFS(Calc!$AD$5:$AD$1369,Calc!$A$5:$A$1369,A68)</f>
        <v>0.0793982131825877</v>
      </c>
      <c r="P68" s="18" t="n">
        <f aca="false">SUMIFS(Calc!$AE$5:$AE$1369,Calc!$A$5:$A$1369,A68)</f>
        <v>-0.00361817997211688</v>
      </c>
      <c r="Q68" s="18" t="n">
        <f aca="false">SUMIFS(Calc!$AF$5:$AF$1369,Calc!$A$5:$A$1369,A68)</f>
        <v>-0.132387883030408</v>
      </c>
      <c r="R68" s="11" t="n">
        <f aca="false">IFERROR(N68/E68,"")</f>
        <v>0.000116844436505123</v>
      </c>
      <c r="S68" s="11" t="n">
        <f aca="false">IFERROR(P68/E68,"")</f>
        <v>-2.36873362837191E-005</v>
      </c>
      <c r="T68" s="11" t="n">
        <f aca="false">IFERROR(Q68/E68,"")</f>
        <v>-0.000866710978833989</v>
      </c>
      <c r="U68" s="16" t="n">
        <f aca="false">SUMIFS(Calc!$AG$5:$AG$1369,Calc!$A$5:$A$1369,A68)</f>
        <v>-0.191980342875255</v>
      </c>
      <c r="V68" s="16" t="n">
        <f aca="false">SUMIFS(Calc!$AH$5:$AH$1369,Calc!$A$5:$A$1369,A68)</f>
        <v>-0.251572802720102</v>
      </c>
      <c r="W68" s="16" t="n">
        <f aca="false">SUMIFS(Calc!$Y$5:$Y$1369,Calc!$A$5:$A$1369,A68)</f>
        <v>1.19184919689694</v>
      </c>
      <c r="X68" s="7" t="n">
        <f aca="false">IFERROR(N68/W68*1000,"")</f>
        <v>14.9747875595714</v>
      </c>
      <c r="Y68" s="7" t="n">
        <f aca="false">IFERROR(P68/W68*1000,"")</f>
        <v>-3.03576994601083</v>
      </c>
      <c r="Z68" s="7" t="n">
        <f aca="false">IFERROR(Q68/W68*1000,"")</f>
        <v>-111.077712998498</v>
      </c>
      <c r="AA68" s="16" t="n">
        <f aca="false">SUMIFS(Calc!$AM$5:$AM$1369,Calc!$A$5:$A$1369,A68)</f>
        <v>0.0894411187445599</v>
      </c>
      <c r="AB68" s="16" t="n">
        <f aca="false">SUMIFS(Calc!$AN$5:$AN$1369,Calc!$A$5:$A$1369,A68)</f>
        <v>7.67969837860302</v>
      </c>
      <c r="AC68" s="17" t="n">
        <f aca="false">Country_Data!DY68</f>
        <v>0.265</v>
      </c>
      <c r="AD68" s="12" t="n">
        <f aca="false">IF(Country_Data!BD68="","",Country_Data!BD68)</f>
        <v>2.5</v>
      </c>
      <c r="AE68" s="7" t="n">
        <f aca="false">IF(Country_Data!BC68="","",Country_Data!BC68)</f>
        <v>72.615</v>
      </c>
      <c r="AF68" s="12" t="n">
        <f aca="false">IF(Country_Data!BL68="","",Country_Data!BL68)</f>
        <v>1.72</v>
      </c>
      <c r="AG68" s="7" t="n">
        <f aca="false">IF(Country_Data!BA68="","",Country_Data!BA68)</f>
        <v>58.792</v>
      </c>
    </row>
    <row r="69" customFormat="false" ht="15" hidden="false" customHeight="false" outlineLevel="0" collapsed="false">
      <c r="A69" s="14" t="str">
        <f aca="false">Country_Data!A69</f>
        <v>ECU</v>
      </c>
      <c r="B69" s="14" t="str">
        <f aca="false">Country_Data!B69</f>
        <v>Ecuador</v>
      </c>
      <c r="C69" s="14" t="str">
        <f aca="false">Country_Data!E69</f>
        <v>EMDC</v>
      </c>
      <c r="D69" s="14" t="str">
        <f aca="false">Country_Data!D69</f>
        <v>Upper middle income</v>
      </c>
      <c r="E69" s="15" t="n">
        <f aca="false">Country_Data!BV69</f>
        <v>145.360516932873</v>
      </c>
      <c r="F69" s="16" t="n">
        <f aca="false">SUMIFS(Calc!$J$5:$J$1369,Calc!$A$5:$A$1369,A69)</f>
        <v>8.54188145461048</v>
      </c>
      <c r="G69" s="11" t="n">
        <f aca="false">IFERROR(F69/E69,"")</f>
        <v>0.0587634223848772</v>
      </c>
      <c r="H69" s="16" t="n">
        <f aca="false">SUMIFS(Calc!$L$5:$L$1369,Calc!$A$5:$A$1369,A69)</f>
        <v>2.05005154910652</v>
      </c>
      <c r="I69" s="11" t="n">
        <f aca="false">IFERROR(H69/E69,"")</f>
        <v>0.0141032213723705</v>
      </c>
      <c r="J69" s="17" t="n">
        <f aca="false">Country_Data!DW69</f>
        <v>0.14444</v>
      </c>
      <c r="K69" s="14" t="str">
        <f aca="false">Country_Data!DV69</f>
        <v>Observed (IRENA/Steffen)</v>
      </c>
      <c r="L69" s="16" t="n">
        <f aca="false">SUMIFS(Calc!$W$5:$W$1369,Calc!$A$5:$A$1369,A69)</f>
        <v>0.13680687593975</v>
      </c>
      <c r="M69" s="16" t="n">
        <f aca="false">SUMIFS(Calc!$X$5:$X$1369,Calc!$A$5:$A$1369,A69)</f>
        <v>0.0897691384158754</v>
      </c>
      <c r="N69" s="18" t="n">
        <f aca="false">SUMIFS(Calc!$AC$5:$AC$1369,Calc!$A$5:$A$1369,A69)</f>
        <v>0.179138268569167</v>
      </c>
      <c r="O69" s="18" t="n">
        <f aca="false">SUMIFS(Calc!$AD$5:$AD$1369,Calc!$A$5:$A$1369,A69)</f>
        <v>0.264791229656805</v>
      </c>
      <c r="P69" s="18" t="n">
        <f aca="false">SUMIFS(Calc!$AE$5:$AE$1369,Calc!$A$5:$A$1369,A69)</f>
        <v>0.0333122329796847</v>
      </c>
      <c r="Q69" s="18" t="n">
        <f aca="false">SUMIFS(Calc!$AF$5:$AF$1369,Calc!$A$5:$A$1369,A69)</f>
        <v>-0.0564569054361907</v>
      </c>
      <c r="R69" s="11" t="n">
        <f aca="false">IFERROR(N69/E69,"")</f>
        <v>0.00123237225863673</v>
      </c>
      <c r="S69" s="11" t="n">
        <f aca="false">IFERROR(P69/E69,"")</f>
        <v>0.000229169747621827</v>
      </c>
      <c r="T69" s="11" t="n">
        <f aca="false">IFERROR(Q69/E69,"")</f>
        <v>-0.000388392299555886</v>
      </c>
      <c r="U69" s="16" t="n">
        <f aca="false">SUMIFS(Calc!$AG$5:$AG$1369,Calc!$A$5:$A$1369,A69)</f>
        <v>-0.112272807845157</v>
      </c>
      <c r="V69" s="16" t="n">
        <f aca="false">SUMIFS(Calc!$AH$5:$AH$1369,Calc!$A$5:$A$1369,A69)</f>
        <v>-0.168088710254123</v>
      </c>
      <c r="W69" s="16" t="n">
        <f aca="false">SUMIFS(Calc!$Y$5:$Y$1369,Calc!$A$5:$A$1369,A69)</f>
        <v>1.11631804817932</v>
      </c>
      <c r="X69" s="7" t="n">
        <f aca="false">IFERROR(N69/W69*1000,"")</f>
        <v>160.472428857829</v>
      </c>
      <c r="Y69" s="7" t="n">
        <f aca="false">IFERROR(P69/W69*1000,"")</f>
        <v>29.8411667123146</v>
      </c>
      <c r="Z69" s="7" t="n">
        <f aca="false">IFERROR(Q69/W69*1000,"")</f>
        <v>-50.5742118281346</v>
      </c>
      <c r="AA69" s="16" t="n">
        <f aca="false">SUMIFS(Calc!$AM$5:$AM$1369,Calc!$A$5:$A$1369,A69)</f>
        <v>0.607608481622842</v>
      </c>
      <c r="AB69" s="16" t="n">
        <f aca="false">SUMIFS(Calc!$AN$5:$AN$1369,Calc!$A$5:$A$1369,A69)</f>
        <v>9.80561186159395</v>
      </c>
      <c r="AC69" s="17" t="n">
        <f aca="false">Country_Data!DY69</f>
        <v>0.27</v>
      </c>
      <c r="AD69" s="12" t="str">
        <f aca="false">IF(Country_Data!BD69="","",Country_Data!BD69)</f>
        <v/>
      </c>
      <c r="AE69" s="7" t="n">
        <f aca="false">IF(Country_Data!BC69="","",Country_Data!BC69)</f>
        <v>67.671</v>
      </c>
      <c r="AF69" s="12" t="n">
        <f aca="false">IF(Country_Data!BL69="","",Country_Data!BL69)</f>
        <v>-0.36</v>
      </c>
      <c r="AG69" s="7" t="n">
        <f aca="false">IF(Country_Data!BA69="","",Country_Data!BA69)</f>
        <v>54.134</v>
      </c>
    </row>
    <row r="70" customFormat="false" ht="15" hidden="false" customHeight="false" outlineLevel="0" collapsed="false">
      <c r="A70" s="14" t="str">
        <f aca="false">Country_Data!A70</f>
        <v>UZB</v>
      </c>
      <c r="B70" s="14" t="str">
        <f aca="false">Country_Data!B70</f>
        <v>Uzbekistan</v>
      </c>
      <c r="C70" s="14" t="str">
        <f aca="false">Country_Data!E70</f>
        <v>EMDC</v>
      </c>
      <c r="D70" s="14" t="str">
        <f aca="false">Country_Data!D70</f>
        <v>Lower middle income</v>
      </c>
      <c r="E70" s="15" t="n">
        <f aca="false">Country_Data!BV70</f>
        <v>178.846518765824</v>
      </c>
      <c r="F70" s="16" t="n">
        <f aca="false">SUMIFS(Calc!$J$5:$J$1369,Calc!$A$5:$A$1369,A70)</f>
        <v>12.8801935832232</v>
      </c>
      <c r="G70" s="11" t="n">
        <f aca="false">IFERROR(F70/E70,"")</f>
        <v>0.0720181397552842</v>
      </c>
      <c r="H70" s="16" t="n">
        <f aca="false">SUMIFS(Calc!$L$5:$L$1369,Calc!$A$5:$A$1369,A70)</f>
        <v>3.09124645997356</v>
      </c>
      <c r="I70" s="11" t="n">
        <f aca="false">IFERROR(H70/E70,"")</f>
        <v>0.0172843535412682</v>
      </c>
      <c r="J70" s="17" t="n">
        <f aca="false">Country_Data!DW70</f>
        <v>0.105</v>
      </c>
      <c r="K70" s="14" t="str">
        <f aca="false">Country_Data!DV70</f>
        <v>Group default (IHLEG)</v>
      </c>
      <c r="L70" s="16" t="n">
        <f aca="false">SUMIFS(Calc!$W$5:$W$1369,Calc!$A$5:$A$1369,A70)</f>
        <v>0.310019893765972</v>
      </c>
      <c r="M70" s="16" t="n">
        <f aca="false">SUMIFS(Calc!$X$5:$X$1369,Calc!$A$5:$A$1369,A70)</f>
        <v>0.195369848385128</v>
      </c>
      <c r="N70" s="18" t="n">
        <f aca="false">SUMIFS(Calc!$AC$5:$AC$1369,Calc!$A$5:$A$1369,A70)</f>
        <v>0.0467579304379176</v>
      </c>
      <c r="O70" s="18" t="n">
        <f aca="false">SUMIFS(Calc!$AD$5:$AD$1369,Calc!$A$5:$A$1369,A70)</f>
        <v>0.172116421309487</v>
      </c>
      <c r="P70" s="18" t="n">
        <f aca="false">SUMIFS(Calc!$AE$5:$AE$1369,Calc!$A$5:$A$1369,A70)</f>
        <v>-0.0669286726380376</v>
      </c>
      <c r="Q70" s="18" t="n">
        <f aca="false">SUMIFS(Calc!$AF$5:$AF$1369,Calc!$A$5:$A$1369,A70)</f>
        <v>-0.262298521023166</v>
      </c>
      <c r="R70" s="11" t="n">
        <f aca="false">IFERROR(N70/E70,"")</f>
        <v>0.000261441658247433</v>
      </c>
      <c r="S70" s="11" t="n">
        <f aca="false">IFERROR(P70/E70,"")</f>
        <v>-0.000374224072684758</v>
      </c>
      <c r="T70" s="11" t="n">
        <f aca="false">IFERROR(Q70/E70,"")</f>
        <v>-0.00146661239387394</v>
      </c>
      <c r="U70" s="16" t="n">
        <f aca="false">SUMIFS(Calc!$AG$5:$AG$1369,Calc!$A$5:$A$1369,A70)</f>
        <v>-0.362303673859448</v>
      </c>
      <c r="V70" s="16" t="n">
        <f aca="false">SUMIFS(Calc!$AH$5:$AH$1369,Calc!$A$5:$A$1369,A70)</f>
        <v>-0.46230882669573</v>
      </c>
      <c r="W70" s="16" t="n">
        <f aca="false">SUMIFS(Calc!$Y$5:$Y$1369,Calc!$A$5:$A$1369,A70)</f>
        <v>2.00010305672564</v>
      </c>
      <c r="X70" s="7" t="n">
        <f aca="false">IFERROR(N70/W70*1000,"")</f>
        <v>23.3777606012286</v>
      </c>
      <c r="Y70" s="7" t="n">
        <f aca="false">IFERROR(P70/W70*1000,"")</f>
        <v>-33.4626120454044</v>
      </c>
      <c r="Z70" s="7" t="n">
        <f aca="false">IFERROR(Q70/W70*1000,"")</f>
        <v>-131.14250295311</v>
      </c>
      <c r="AA70" s="16" t="n">
        <f aca="false">SUMIFS(Calc!$AM$5:$AM$1369,Calc!$A$5:$A$1369,A70)</f>
        <v>0.473694179483147</v>
      </c>
      <c r="AB70" s="16" t="n">
        <f aca="false">SUMIFS(Calc!$AN$5:$AN$1369,Calc!$A$5:$A$1369,A70)</f>
        <v>14.3333436285099</v>
      </c>
      <c r="AC70" s="17" t="n">
        <f aca="false">Country_Data!DY70</f>
        <v>0.22</v>
      </c>
      <c r="AD70" s="12" t="n">
        <f aca="false">IF(Country_Data!BD70="","",Country_Data!BD70)</f>
        <v>3</v>
      </c>
      <c r="AE70" s="7" t="str">
        <f aca="false">IF(Country_Data!BC70="","",Country_Data!BC70)</f>
        <v/>
      </c>
      <c r="AF70" s="12" t="n">
        <f aca="false">IF(Country_Data!BL70="","",Country_Data!BL70)</f>
        <v>3.879</v>
      </c>
      <c r="AG70" s="7" t="n">
        <f aca="false">IF(Country_Data!BA70="","",Country_Data!BA70)</f>
        <v>30.936</v>
      </c>
    </row>
    <row r="71" customFormat="false" ht="15" hidden="false" customHeight="false" outlineLevel="0" collapsed="false">
      <c r="A71" s="14" t="str">
        <f aca="false">Country_Data!A71</f>
        <v>VEN</v>
      </c>
      <c r="B71" s="14" t="str">
        <f aca="false">Country_Data!B71</f>
        <v>Venezuela, RB</v>
      </c>
      <c r="C71" s="14" t="str">
        <f aca="false">Country_Data!E71</f>
        <v>EMDC</v>
      </c>
      <c r="D71" s="14" t="str">
        <f aca="false">Country_Data!D71</f>
        <v>Lower middle income</v>
      </c>
      <c r="E71" s="15" t="n">
        <f aca="false">Country_Data!BV71</f>
        <v>149.243835738638</v>
      </c>
      <c r="F71" s="16" t="n">
        <f aca="false">SUMIFS(Calc!$J$5:$J$1369,Calc!$A$5:$A$1369,A71)</f>
        <v>12.6460491743307</v>
      </c>
      <c r="G71" s="11" t="n">
        <f aca="false">IFERROR(F71/E71,"")</f>
        <v>0.0847341473886862</v>
      </c>
      <c r="H71" s="16" t="n">
        <f aca="false">SUMIFS(Calc!$L$5:$L$1369,Calc!$A$5:$A$1369,A71)</f>
        <v>3.03505180183936</v>
      </c>
      <c r="I71" s="11" t="n">
        <f aca="false">IFERROR(H71/E71,"")</f>
        <v>0.0203361953732847</v>
      </c>
      <c r="J71" s="17" t="n">
        <f aca="false">Country_Data!DW71</f>
        <v>0.105</v>
      </c>
      <c r="K71" s="14" t="str">
        <f aca="false">Country_Data!DV71</f>
        <v>Group default (IHLEG)</v>
      </c>
      <c r="L71" s="16" t="n">
        <f aca="false">SUMIFS(Calc!$W$5:$W$1369,Calc!$A$5:$A$1369,A71)</f>
        <v>0.0793192696942332</v>
      </c>
      <c r="M71" s="16" t="n">
        <f aca="false">SUMIFS(Calc!$X$5:$X$1369,Calc!$A$5:$A$1369,A71)</f>
        <v>0.0972923043262931</v>
      </c>
      <c r="N71" s="18" t="n">
        <f aca="false">SUMIFS(Calc!$AC$5:$AC$1369,Calc!$A$5:$A$1369,A71)</f>
        <v>0.271273526328067</v>
      </c>
      <c r="O71" s="18" t="n">
        <f aca="false">SUMIFS(Calc!$AD$5:$AD$1369,Calc!$A$5:$A$1369,A71)</f>
        <v>0.394649402532899</v>
      </c>
      <c r="P71" s="18" t="n">
        <f aca="false">SUMIFS(Calc!$AE$5:$AE$1369,Calc!$A$5:$A$1369,A71)</f>
        <v>0.159195362391941</v>
      </c>
      <c r="Q71" s="18" t="n">
        <f aca="false">SUMIFS(Calc!$AF$5:$AF$1369,Calc!$A$5:$A$1369,A71)</f>
        <v>0.0619030580656474</v>
      </c>
      <c r="R71" s="11" t="n">
        <f aca="false">IFERROR(N71/E71,"")</f>
        <v>0.00181765313780284</v>
      </c>
      <c r="S71" s="11" t="n">
        <f aca="false">IFERROR(P71/E71,"")</f>
        <v>0.00106667964947463</v>
      </c>
      <c r="T71" s="11" t="n">
        <f aca="false">IFERROR(Q71/E71,"")</f>
        <v>0.000414777989049105</v>
      </c>
      <c r="U71" s="16" t="n">
        <f aca="false">SUMIFS(Calc!$AG$5:$AG$1369,Calc!$A$5:$A$1369,A71)</f>
        <v>-0.010968927917658</v>
      </c>
      <c r="V71" s="16" t="n">
        <f aca="false">SUMIFS(Calc!$AH$5:$AH$1369,Calc!$A$5:$A$1369,A71)</f>
        <v>-0.0838409139009634</v>
      </c>
      <c r="W71" s="16" t="n">
        <f aca="false">SUMIFS(Calc!$Y$5:$Y$1369,Calc!$A$5:$A$1369,A71)</f>
        <v>1.45743971966611</v>
      </c>
      <c r="X71" s="7" t="n">
        <f aca="false">IFERROR(N71/W71*1000,"")</f>
        <v>186.130186152889</v>
      </c>
      <c r="Y71" s="7" t="n">
        <f aca="false">IFERROR(P71/W71*1000,"")</f>
        <v>109.229466058748</v>
      </c>
      <c r="Z71" s="7" t="n">
        <f aca="false">IFERROR(Q71/W71*1000,"")</f>
        <v>42.4738376691347</v>
      </c>
      <c r="AA71" s="16" t="n">
        <f aca="false">SUMIFS(Calc!$AM$5:$AM$1369,Calc!$A$5:$A$1369,A71)</f>
        <v>0.466992349733862</v>
      </c>
      <c r="AB71" s="16" t="n">
        <f aca="false">SUMIFS(Calc!$AN$5:$AN$1369,Calc!$A$5:$A$1369,A71)</f>
        <v>14.5169715179303</v>
      </c>
      <c r="AC71" s="17" t="n">
        <f aca="false">Country_Data!DY71</f>
        <v>0.27</v>
      </c>
      <c r="AD71" s="12" t="str">
        <f aca="false">IF(Country_Data!BD71="","",Country_Data!BD71)</f>
        <v/>
      </c>
      <c r="AE71" s="7" t="str">
        <f aca="false">IF(Country_Data!BC71="","",Country_Data!BC71)</f>
        <v/>
      </c>
      <c r="AF71" s="12" t="str">
        <f aca="false">IF(Country_Data!BL71="","",Country_Data!BL71)</f>
        <v/>
      </c>
      <c r="AG71" s="7" t="n">
        <f aca="false">IF(Country_Data!BA71="","",Country_Data!BA71)</f>
        <v>169.133</v>
      </c>
    </row>
    <row r="72" customFormat="false" ht="15" hidden="false" customHeight="false" outlineLevel="0" collapsed="false">
      <c r="A72" s="14" t="str">
        <f aca="false">Country_Data!A72</f>
        <v>AGO</v>
      </c>
      <c r="B72" s="14" t="str">
        <f aca="false">Country_Data!B72</f>
        <v>Angola</v>
      </c>
      <c r="C72" s="14" t="str">
        <f aca="false">Country_Data!E72</f>
        <v>EMDC</v>
      </c>
      <c r="D72" s="14" t="str">
        <f aca="false">Country_Data!D72</f>
        <v>Lower middle income</v>
      </c>
      <c r="E72" s="15" t="n">
        <f aca="false">Country_Data!BV72</f>
        <v>138.125092234716</v>
      </c>
      <c r="F72" s="16" t="n">
        <f aca="false">SUMIFS(Calc!$J$5:$J$1369,Calc!$A$5:$A$1369,A72)</f>
        <v>7.32598825276106</v>
      </c>
      <c r="G72" s="11" t="n">
        <f aca="false">IFERROR(F72/E72,"")</f>
        <v>0.0530387935619403</v>
      </c>
      <c r="H72" s="16" t="n">
        <f aca="false">SUMIFS(Calc!$L$5:$L$1369,Calc!$A$5:$A$1369,A72)</f>
        <v>1.75823718066265</v>
      </c>
      <c r="I72" s="11" t="n">
        <f aca="false">IFERROR(H72/E72,"")</f>
        <v>0.0127293104548657</v>
      </c>
      <c r="J72" s="17" t="n">
        <f aca="false">Country_Data!DW72</f>
        <v>0.105</v>
      </c>
      <c r="K72" s="14" t="str">
        <f aca="false">Country_Data!DV72</f>
        <v>Group default (IHLEG)</v>
      </c>
      <c r="L72" s="16" t="n">
        <f aca="false">SUMIFS(Calc!$W$5:$W$1369,Calc!$A$5:$A$1369,A72)</f>
        <v>0.10465922026866</v>
      </c>
      <c r="M72" s="16" t="n">
        <f aca="false">SUMIFS(Calc!$X$5:$X$1369,Calc!$A$5:$A$1369,A72)</f>
        <v>0.0751811517147101</v>
      </c>
      <c r="N72" s="18" t="n">
        <f aca="false">SUMIFS(Calc!$AC$5:$AC$1369,Calc!$A$5:$A$1369,A72)</f>
        <v>0.100590204813359</v>
      </c>
      <c r="O72" s="18" t="n">
        <f aca="false">SUMIFS(Calc!$AD$5:$AD$1369,Calc!$A$5:$A$1369,A72)</f>
        <v>0.171626121582352</v>
      </c>
      <c r="P72" s="18" t="n">
        <f aca="false">SUMIFS(Calc!$AE$5:$AE$1369,Calc!$A$5:$A$1369,A72)</f>
        <v>0.0361045478327207</v>
      </c>
      <c r="Q72" s="18" t="n">
        <f aca="false">SUMIFS(Calc!$AF$5:$AF$1369,Calc!$A$5:$A$1369,A72)</f>
        <v>-0.0390766038819894</v>
      </c>
      <c r="R72" s="11" t="n">
        <f aca="false">IFERROR(N72/E72,"")</f>
        <v>0.000728254390175728</v>
      </c>
      <c r="S72" s="11" t="n">
        <f aca="false">IFERROR(P72/E72,"")</f>
        <v>0.000261390217002486</v>
      </c>
      <c r="T72" s="11" t="n">
        <f aca="false">IFERROR(Q72/E72,"")</f>
        <v>-0.000282907350502156</v>
      </c>
      <c r="U72" s="16" t="n">
        <f aca="false">SUMIFS(Calc!$AG$5:$AG$1369,Calc!$A$5:$A$1369,A72)</f>
        <v>-0.0971562230612607</v>
      </c>
      <c r="V72" s="16" t="n">
        <f aca="false">SUMIFS(Calc!$AH$5:$AH$1369,Calc!$A$5:$A$1369,A72)</f>
        <v>-0.155235842240532</v>
      </c>
      <c r="W72" s="16" t="n">
        <f aca="false">SUMIFS(Calc!$Y$5:$Y$1369,Calc!$A$5:$A$1369,A72)</f>
        <v>1.16159238358543</v>
      </c>
      <c r="X72" s="7" t="n">
        <f aca="false">IFERROR(N72/W72*1000,"")</f>
        <v>86.5968185008864</v>
      </c>
      <c r="Y72" s="7" t="n">
        <f aca="false">IFERROR(P72/W72*1000,"")</f>
        <v>31.0819426357452</v>
      </c>
      <c r="Z72" s="7" t="n">
        <f aca="false">IFERROR(Q72/W72*1000,"")</f>
        <v>-33.6405476087693</v>
      </c>
      <c r="AA72" s="16" t="n">
        <f aca="false">SUMIFS(Calc!$AM$5:$AM$1369,Calc!$A$5:$A$1369,A72)</f>
        <v>0.268690237419327</v>
      </c>
      <c r="AB72" s="16" t="n">
        <f aca="false">SUMIFS(Calc!$AN$5:$AN$1369,Calc!$A$5:$A$1369,A72)</f>
        <v>8.40983309015585</v>
      </c>
      <c r="AC72" s="17" t="n">
        <f aca="false">Country_Data!DY72</f>
        <v>0.27</v>
      </c>
      <c r="AD72" s="12" t="str">
        <f aca="false">IF(Country_Data!BD72="","",Country_Data!BD72)</f>
        <v/>
      </c>
      <c r="AE72" s="7" t="n">
        <f aca="false">IF(Country_Data!BC72="","",Country_Data!BC72)</f>
        <v>113.01</v>
      </c>
      <c r="AF72" s="12" t="n">
        <f aca="false">IF(Country_Data!BL72="","",Country_Data!BL72)</f>
        <v>-1.088</v>
      </c>
      <c r="AG72" s="7" t="n">
        <f aca="false">IF(Country_Data!BA72="","",Country_Data!BA72)</f>
        <v>57.107</v>
      </c>
    </row>
    <row r="73" customFormat="false" ht="15" hidden="false" customHeight="false" outlineLevel="0" collapsed="false">
      <c r="A73" s="14" t="str">
        <f aca="false">Country_Data!A73</f>
        <v>KEN</v>
      </c>
      <c r="B73" s="14" t="str">
        <f aca="false">Country_Data!B73</f>
        <v>Kenya</v>
      </c>
      <c r="C73" s="14" t="str">
        <f aca="false">Country_Data!E73</f>
        <v>EMDC</v>
      </c>
      <c r="D73" s="14" t="str">
        <f aca="false">Country_Data!D73</f>
        <v>Lower middle income</v>
      </c>
      <c r="E73" s="15" t="n">
        <f aca="false">Country_Data!BV73</f>
        <v>155.739837947915</v>
      </c>
      <c r="F73" s="16" t="n">
        <f aca="false">SUMIFS(Calc!$J$5:$J$1369,Calc!$A$5:$A$1369,A73)</f>
        <v>7.24678565058438</v>
      </c>
      <c r="G73" s="11" t="n">
        <f aca="false">IFERROR(F73/E73,"")</f>
        <v>0.0465313547649121</v>
      </c>
      <c r="H73" s="16" t="n">
        <f aca="false">SUMIFS(Calc!$L$5:$L$1369,Calc!$A$5:$A$1369,A73)</f>
        <v>1.73922855614025</v>
      </c>
      <c r="I73" s="11" t="n">
        <f aca="false">IFERROR(H73/E73,"")</f>
        <v>0.0111675251435789</v>
      </c>
      <c r="J73" s="17" t="n">
        <f aca="false">Country_Data!DW73</f>
        <v>0.09659</v>
      </c>
      <c r="K73" s="14" t="str">
        <f aca="false">Country_Data!DV73</f>
        <v>Observed (IRENA/Steffen)</v>
      </c>
      <c r="L73" s="16" t="n">
        <f aca="false">SUMIFS(Calc!$W$5:$W$1369,Calc!$A$5:$A$1369,A73)</f>
        <v>0.0720989212277627</v>
      </c>
      <c r="M73" s="16" t="n">
        <f aca="false">SUMIFS(Calc!$X$5:$X$1369,Calc!$A$5:$A$1369,A73)</f>
        <v>0.0757659346463276</v>
      </c>
      <c r="N73" s="18" t="n">
        <f aca="false">SUMIFS(Calc!$AC$5:$AC$1369,Calc!$A$5:$A$1369,A73)</f>
        <v>0.119577800729588</v>
      </c>
      <c r="O73" s="18" t="n">
        <f aca="false">SUMIFS(Calc!$AD$5:$AD$1369,Calc!$A$5:$A$1369,A73)</f>
        <v>0.188729440722034</v>
      </c>
      <c r="P73" s="18" t="n">
        <f aca="false">SUMIFS(Calc!$AE$5:$AE$1369,Calc!$A$5:$A$1369,A73)</f>
        <v>0.0684328120405881</v>
      </c>
      <c r="Q73" s="18" t="n">
        <f aca="false">SUMIFS(Calc!$AF$5:$AF$1369,Calc!$A$5:$A$1369,A73)</f>
        <v>-0.00733312260573945</v>
      </c>
      <c r="R73" s="11" t="n">
        <f aca="false">IFERROR(N73/E73,"")</f>
        <v>0.000767804835969962</v>
      </c>
      <c r="S73" s="11" t="n">
        <f aca="false">IFERROR(P73/E73,"")</f>
        <v>0.000439404669622646</v>
      </c>
      <c r="T73" s="11" t="n">
        <f aca="false">IFERROR(Q73/E73,"")</f>
        <v>-4.70857213052443E-005</v>
      </c>
      <c r="U73" s="16" t="n">
        <f aca="false">SUMIFS(Calc!$AG$5:$AG$1369,Calc!$A$5:$A$1369,A73)</f>
        <v>-0.0618399845442625</v>
      </c>
      <c r="V73" s="16" t="n">
        <f aca="false">SUMIFS(Calc!$AH$5:$AH$1369,Calc!$A$5:$A$1369,A73)</f>
        <v>-0.116346846482786</v>
      </c>
      <c r="W73" s="16" t="n">
        <f aca="false">SUMIFS(Calc!$Y$5:$Y$1369,Calc!$A$5:$A$1369,A73)</f>
        <v>1.09013723877046</v>
      </c>
      <c r="X73" s="7" t="n">
        <f aca="false">IFERROR(N73/W73*1000,"")</f>
        <v>109.690593511379</v>
      </c>
      <c r="Y73" s="7" t="n">
        <f aca="false">IFERROR(P73/W73*1000,"")</f>
        <v>62.7744926113814</v>
      </c>
      <c r="Z73" s="7" t="n">
        <f aca="false">IFERROR(Q73/W73*1000,"")</f>
        <v>-6.72678846748717</v>
      </c>
      <c r="AA73" s="16" t="n">
        <f aca="false">SUMIFS(Calc!$AM$5:$AM$1369,Calc!$A$5:$A$1369,A73)</f>
        <v>0.213104119537498</v>
      </c>
      <c r="AB73" s="16" t="n">
        <f aca="false">SUMIFS(Calc!$AN$5:$AN$1369,Calc!$A$5:$A$1369,A73)</f>
        <v>8.29190031583872</v>
      </c>
      <c r="AC73" s="17" t="n">
        <f aca="false">Country_Data!DY73</f>
        <v>0.265</v>
      </c>
      <c r="AD73" s="12" t="n">
        <f aca="false">IF(Country_Data!BD73="","",Country_Data!BD73)</f>
        <v>2.5</v>
      </c>
      <c r="AE73" s="7" t="n">
        <f aca="false">IF(Country_Data!BC73="","",Country_Data!BC73)</f>
        <v>63.298</v>
      </c>
      <c r="AF73" s="12" t="n">
        <f aca="false">IF(Country_Data!BL73="","",Country_Data!BL73)</f>
        <v>6.256</v>
      </c>
      <c r="AG73" s="7" t="n">
        <f aca="false">IF(Country_Data!BA73="","",Country_Data!BA73)</f>
        <v>67.338</v>
      </c>
    </row>
    <row r="74" customFormat="false" ht="15" hidden="false" customHeight="false" outlineLevel="0" collapsed="false">
      <c r="A74" s="14" t="str">
        <f aca="false">Country_Data!A74</f>
        <v>BGR</v>
      </c>
      <c r="B74" s="14" t="str">
        <f aca="false">Country_Data!B74</f>
        <v>Bulgaria</v>
      </c>
      <c r="C74" s="14" t="str">
        <f aca="false">Country_Data!E74</f>
        <v>EMDC</v>
      </c>
      <c r="D74" s="14" t="str">
        <f aca="false">Country_Data!D74</f>
        <v>High income</v>
      </c>
      <c r="E74" s="15" t="n">
        <f aca="false">Country_Data!BV74</f>
        <v>134.002267396678</v>
      </c>
      <c r="F74" s="16" t="n">
        <f aca="false">SUMIFS(Calc!$J$5:$J$1369,Calc!$A$5:$A$1369,A74)</f>
        <v>7.30228531399956</v>
      </c>
      <c r="G74" s="11" t="n">
        <f aca="false">IFERROR(F74/E74,"")</f>
        <v>0.0544937444407795</v>
      </c>
      <c r="H74" s="16" t="n">
        <f aca="false">SUMIFS(Calc!$L$5:$L$1369,Calc!$A$5:$A$1369,A74)</f>
        <v>1.75254847535989</v>
      </c>
      <c r="I74" s="11" t="n">
        <f aca="false">IFERROR(H74/E74,"")</f>
        <v>0.0130784986657871</v>
      </c>
      <c r="J74" s="17" t="n">
        <f aca="false">Country_Data!DW74</f>
        <v>0.0911</v>
      </c>
      <c r="K74" s="14" t="str">
        <f aca="false">Country_Data!DV74</f>
        <v>Observed (IRENA/Steffen)</v>
      </c>
      <c r="L74" s="16" t="n">
        <f aca="false">SUMIFS(Calc!$W$5:$W$1369,Calc!$A$5:$A$1369,A74)</f>
        <v>0.088326899851623</v>
      </c>
      <c r="M74" s="16" t="n">
        <f aca="false">SUMIFS(Calc!$X$5:$X$1369,Calc!$A$5:$A$1369,A74)</f>
        <v>0.0837686000488456</v>
      </c>
      <c r="N74" s="18" t="n">
        <f aca="false">SUMIFS(Calc!$AC$5:$AC$1369,Calc!$A$5:$A$1369,A74)</f>
        <v>0.0963616437010747</v>
      </c>
      <c r="O74" s="18" t="n">
        <f aca="false">SUMIFS(Calc!$AD$5:$AD$1369,Calc!$A$5:$A$1369,A74)</f>
        <v>0.165381072883779</v>
      </c>
      <c r="P74" s="18" t="n">
        <f aca="false">SUMIFS(Calc!$AE$5:$AE$1369,Calc!$A$5:$A$1369,A74)</f>
        <v>0.0528856094316807</v>
      </c>
      <c r="Q74" s="18" t="n">
        <f aca="false">SUMIFS(Calc!$AF$5:$AF$1369,Calc!$A$5:$A$1369,A74)</f>
        <v>-0.0308829906171649</v>
      </c>
      <c r="R74" s="11" t="n">
        <f aca="false">IFERROR(N74/E74,"")</f>
        <v>0.000719104576162296</v>
      </c>
      <c r="S74" s="11" t="n">
        <f aca="false">IFERROR(P74/E74,"")</f>
        <v>0.00039466204907658</v>
      </c>
      <c r="T74" s="11" t="n">
        <f aca="false">IFERROR(Q74/E74,"")</f>
        <v>-0.000230466179544142</v>
      </c>
      <c r="U74" s="16" t="n">
        <f aca="false">SUMIFS(Calc!$AG$5:$AG$1369,Calc!$A$5:$A$1369,A74)</f>
        <v>-0.0749043314241367</v>
      </c>
      <c r="V74" s="16" t="n">
        <f aca="false">SUMIFS(Calc!$AH$5:$AH$1369,Calc!$A$5:$A$1369,A74)</f>
        <v>-0.118925672231108</v>
      </c>
      <c r="W74" s="16" t="n">
        <f aca="false">SUMIFS(Calc!$Y$5:$Y$1369,Calc!$A$5:$A$1369,A74)</f>
        <v>0.880426816139436</v>
      </c>
      <c r="X74" s="7" t="n">
        <f aca="false">IFERROR(N74/W74*1000,"")</f>
        <v>109.448783174971</v>
      </c>
      <c r="Y74" s="7" t="n">
        <f aca="false">IFERROR(P74/W74*1000,"")</f>
        <v>60.0681492910197</v>
      </c>
      <c r="Z74" s="7" t="n">
        <f aca="false">IFERROR(Q74/W74*1000,"")</f>
        <v>-35.0772943884002</v>
      </c>
      <c r="AA74" s="16" t="n">
        <f aca="false">SUMIFS(Calc!$AM$5:$AM$1369,Calc!$A$5:$A$1369,A74)</f>
        <v>0.181150142789142</v>
      </c>
      <c r="AB74" s="16" t="n">
        <f aca="false">SUMIFS(Calc!$AN$5:$AN$1369,Calc!$A$5:$A$1369,A74)</f>
        <v>8.38262341524881</v>
      </c>
      <c r="AC74" s="17" t="n">
        <f aca="false">Country_Data!DY74</f>
        <v>0.27</v>
      </c>
      <c r="AD74" s="12" t="str">
        <f aca="false">IF(Country_Data!BD74="","",Country_Data!BD74)</f>
        <v/>
      </c>
      <c r="AE74" s="7" t="n">
        <f aca="false">IF(Country_Data!BC74="","",Country_Data!BC74)</f>
        <v>59.428</v>
      </c>
      <c r="AF74" s="12" t="str">
        <f aca="false">IF(Country_Data!BL74="","",Country_Data!BL74)</f>
        <v/>
      </c>
      <c r="AG74" s="7" t="n">
        <f aca="false">IF(Country_Data!BA74="","",Country_Data!BA74)</f>
        <v>23.84</v>
      </c>
    </row>
    <row r="75" customFormat="false" ht="15" hidden="false" customHeight="false" outlineLevel="0" collapsed="false">
      <c r="A75" s="14" t="str">
        <f aca="false">Country_Data!A75</f>
        <v>GTM</v>
      </c>
      <c r="B75" s="14" t="str">
        <f aca="false">Country_Data!B75</f>
        <v>Guatemala</v>
      </c>
      <c r="C75" s="14" t="str">
        <f aca="false">Country_Data!E75</f>
        <v>EMDC</v>
      </c>
      <c r="D75" s="14" t="str">
        <f aca="false">Country_Data!D75</f>
        <v>Upper middle income</v>
      </c>
      <c r="E75" s="15" t="n">
        <f aca="false">Country_Data!BV75</f>
        <v>142.970830359677</v>
      </c>
      <c r="F75" s="16" t="n">
        <f aca="false">SUMIFS(Calc!$J$5:$J$1369,Calc!$A$5:$A$1369,A75)</f>
        <v>6.06286936692205</v>
      </c>
      <c r="G75" s="11" t="n">
        <f aca="false">IFERROR(F75/E75,"")</f>
        <v>0.0424063380737837</v>
      </c>
      <c r="H75" s="16" t="n">
        <f aca="false">SUMIFS(Calc!$L$5:$L$1369,Calc!$A$5:$A$1369,A75)</f>
        <v>1.45508864806129</v>
      </c>
      <c r="I75" s="11" t="n">
        <f aca="false">IFERROR(H75/E75,"")</f>
        <v>0.0101775211377081</v>
      </c>
      <c r="J75" s="17" t="n">
        <f aca="false">Country_Data!DW75</f>
        <v>0.085</v>
      </c>
      <c r="K75" s="14" t="str">
        <f aca="false">Country_Data!DV75</f>
        <v>Observed (IRENA/Steffen)</v>
      </c>
      <c r="L75" s="16" t="n">
        <f aca="false">SUMIFS(Calc!$W$5:$W$1369,Calc!$A$5:$A$1369,A75)</f>
        <v>0.078177583237951</v>
      </c>
      <c r="M75" s="16" t="n">
        <f aca="false">SUMIFS(Calc!$X$5:$X$1369,Calc!$A$5:$A$1369,A75)</f>
        <v>0.0517769091836048</v>
      </c>
      <c r="N75" s="18" t="n">
        <f aca="false">SUMIFS(Calc!$AC$5:$AC$1369,Calc!$A$5:$A$1369,A75)</f>
        <v>0.0697229738018906</v>
      </c>
      <c r="O75" s="18" t="n">
        <f aca="false">SUMIFS(Calc!$AD$5:$AD$1369,Calc!$A$5:$A$1369,A75)</f>
        <v>0.126049771997005</v>
      </c>
      <c r="P75" s="18" t="n">
        <f aca="false">SUMIFS(Calc!$AE$5:$AE$1369,Calc!$A$5:$A$1369,A75)</f>
        <v>0.0411332215571441</v>
      </c>
      <c r="Q75" s="18" t="n">
        <f aca="false">SUMIFS(Calc!$AF$5:$AF$1369,Calc!$A$5:$A$1369,A75)</f>
        <v>-0.0106436876264607</v>
      </c>
      <c r="R75" s="11" t="n">
        <f aca="false">IFERROR(N75/E75,"")</f>
        <v>0.000487672720557655</v>
      </c>
      <c r="S75" s="11" t="n">
        <f aca="false">IFERROR(P75/E75,"")</f>
        <v>0.000287703592779476</v>
      </c>
      <c r="T75" s="11" t="n">
        <f aca="false">IFERROR(Q75/E75,"")</f>
        <v>-7.44465678746076E-005</v>
      </c>
      <c r="U75" s="16" t="n">
        <f aca="false">SUMIFS(Calc!$AG$5:$AG$1369,Calc!$A$5:$A$1369,A75)</f>
        <v>-0.0545901238339589</v>
      </c>
      <c r="V75" s="16" t="n">
        <f aca="false">SUMIFS(Calc!$AH$5:$AH$1369,Calc!$A$5:$A$1369,A75)</f>
        <v>-0.098536560041457</v>
      </c>
      <c r="W75" s="16" t="n">
        <f aca="false">SUMIFS(Calc!$Y$5:$Y$1369,Calc!$A$5:$A$1369,A75)</f>
        <v>0.878928724149963</v>
      </c>
      <c r="X75" s="7" t="n">
        <f aca="false">IFERROR(N75/W75*1000,"")</f>
        <v>79.3272217486369</v>
      </c>
      <c r="Y75" s="7" t="n">
        <f aca="false">IFERROR(P75/W75*1000,"")</f>
        <v>46.7992687312901</v>
      </c>
      <c r="Z75" s="7" t="n">
        <f aca="false">IFERROR(Q75/W75*1000,"")</f>
        <v>-12.1098415992201</v>
      </c>
      <c r="AA75" s="16" t="n">
        <f aca="false">SUMIFS(Calc!$AM$5:$AM$1369,Calc!$A$5:$A$1369,A75)</f>
        <v>0.119123967686444</v>
      </c>
      <c r="AB75" s="16" t="n">
        <f aca="false">SUMIFS(Calc!$AN$5:$AN$1369,Calc!$A$5:$A$1369,A75)</f>
        <v>6.93724236405638</v>
      </c>
      <c r="AC75" s="17" t="n">
        <f aca="false">Country_Data!DY75</f>
        <v>0.265</v>
      </c>
      <c r="AD75" s="12" t="n">
        <f aca="false">IF(Country_Data!BD75="","",Country_Data!BD75)</f>
        <v>2.5</v>
      </c>
      <c r="AE75" s="7" t="n">
        <f aca="false">IF(Country_Data!BC75="","",Country_Data!BC75)</f>
        <v>60.358</v>
      </c>
      <c r="AF75" s="12" t="n">
        <f aca="false">IF(Country_Data!BL75="","",Country_Data!BL75)</f>
        <v>1.814</v>
      </c>
      <c r="AG75" s="7" t="n">
        <f aca="false">IF(Country_Data!BA75="","",Country_Data!BA75)</f>
        <v>26.322</v>
      </c>
    </row>
    <row r="76" customFormat="false" ht="15" hidden="false" customHeight="false" outlineLevel="0" collapsed="false">
      <c r="A76" s="14" t="str">
        <f aca="false">Country_Data!A76</f>
        <v>OMN</v>
      </c>
      <c r="B76" s="14" t="str">
        <f aca="false">Country_Data!B76</f>
        <v>Oman</v>
      </c>
      <c r="C76" s="14" t="str">
        <f aca="false">Country_Data!E76</f>
        <v>EMDC</v>
      </c>
      <c r="D76" s="14" t="str">
        <f aca="false">Country_Data!D76</f>
        <v>High income</v>
      </c>
      <c r="E76" s="15" t="n">
        <f aca="false">Country_Data!BV76</f>
        <v>129.992090696291</v>
      </c>
      <c r="F76" s="16" t="n">
        <f aca="false">SUMIFS(Calc!$J$5:$J$1369,Calc!$A$5:$A$1369,A76)</f>
        <v>10.0609425054958</v>
      </c>
      <c r="G76" s="11" t="n">
        <f aca="false">IFERROR(F76/E76,"")</f>
        <v>0.0773965742962153</v>
      </c>
      <c r="H76" s="16" t="n">
        <f aca="false">SUMIFS(Calc!$L$5:$L$1369,Calc!$A$5:$A$1369,A76)</f>
        <v>2.41462620131899</v>
      </c>
      <c r="I76" s="11" t="n">
        <f aca="false">IFERROR(H76/E76,"")</f>
        <v>0.0185751778310917</v>
      </c>
      <c r="J76" s="17" t="n">
        <f aca="false">Country_Data!DW76</f>
        <v>0.105</v>
      </c>
      <c r="K76" s="14" t="str">
        <f aca="false">Country_Data!DV76</f>
        <v>Group default (IHLEG)</v>
      </c>
      <c r="L76" s="16" t="n">
        <f aca="false">SUMIFS(Calc!$W$5:$W$1369,Calc!$A$5:$A$1369,A76)</f>
        <v>0.171005393644948</v>
      </c>
      <c r="M76" s="16" t="n">
        <f aca="false">SUMIFS(Calc!$X$5:$X$1369,Calc!$A$5:$A$1369,A76)</f>
        <v>0.067751814593007</v>
      </c>
      <c r="N76" s="18" t="n">
        <f aca="false">SUMIFS(Calc!$AC$5:$AC$1369,Calc!$A$5:$A$1369,A76)</f>
        <v>0.111330060254082</v>
      </c>
      <c r="O76" s="18" t="n">
        <f aca="false">SUMIFS(Calc!$AD$5:$AD$1369,Calc!$A$5:$A$1369,A76)</f>
        <v>0.208546934639519</v>
      </c>
      <c r="P76" s="18" t="n">
        <f aca="false">SUMIFS(Calc!$AE$5:$AE$1369,Calc!$A$5:$A$1369,A76)</f>
        <v>0.0231574266069948</v>
      </c>
      <c r="Q76" s="18" t="n">
        <f aca="false">SUMIFS(Calc!$AF$5:$AF$1369,Calc!$A$5:$A$1369,A76)</f>
        <v>-0.0445943879860121</v>
      </c>
      <c r="R76" s="11" t="n">
        <f aca="false">IFERROR(N76/E76,"")</f>
        <v>0.000856437185199136</v>
      </c>
      <c r="S76" s="11" t="n">
        <f aca="false">IFERROR(P76/E76,"")</f>
        <v>0.00017814488930022</v>
      </c>
      <c r="T76" s="11" t="n">
        <f aca="false">IFERROR(Q76/E76,"")</f>
        <v>-0.000343054625455645</v>
      </c>
      <c r="U76" s="16" t="n">
        <f aca="false">SUMIFS(Calc!$AG$5:$AG$1369,Calc!$A$5:$A$1369,A76)</f>
        <v>-0.121330021484125</v>
      </c>
      <c r="V76" s="16" t="n">
        <f aca="false">SUMIFS(Calc!$AH$5:$AH$1369,Calc!$A$5:$A$1369,A76)</f>
        <v>-0.198065654982237</v>
      </c>
      <c r="W76" s="16" t="n">
        <f aca="false">SUMIFS(Calc!$Y$5:$Y$1369,Calc!$A$5:$A$1369,A76)</f>
        <v>1.53471266996225</v>
      </c>
      <c r="X76" s="7" t="n">
        <f aca="false">IFERROR(N76/W76*1000,"")</f>
        <v>72.5413052443361</v>
      </c>
      <c r="Y76" s="7" t="n">
        <f aca="false">IFERROR(P76/W76*1000,"")</f>
        <v>15.0890958680653</v>
      </c>
      <c r="Z76" s="7" t="n">
        <f aca="false">IFERROR(Q76/W76*1000,"")</f>
        <v>-29.0571576418334</v>
      </c>
      <c r="AA76" s="16" t="n">
        <f aca="false">SUMIFS(Calc!$AM$5:$AM$1369,Calc!$A$5:$A$1369,A76)</f>
        <v>0.367385973529529</v>
      </c>
      <c r="AB76" s="16" t="n">
        <f aca="false">SUMIFS(Calc!$AN$5:$AN$1369,Calc!$A$5:$A$1369,A76)</f>
        <v>11.5494107117883</v>
      </c>
      <c r="AC76" s="17" t="n">
        <f aca="false">Country_Data!DY76</f>
        <v>0.27</v>
      </c>
      <c r="AD76" s="12" t="str">
        <f aca="false">IF(Country_Data!BD76="","",Country_Data!BD76)</f>
        <v/>
      </c>
      <c r="AE76" s="7" t="n">
        <f aca="false">IF(Country_Data!BC76="","",Country_Data!BC76)</f>
        <v>13.805</v>
      </c>
      <c r="AF76" s="12" t="str">
        <f aca="false">IF(Country_Data!BL76="","",Country_Data!BL76)</f>
        <v/>
      </c>
      <c r="AG76" s="7" t="n">
        <f aca="false">IF(Country_Data!BA76="","",Country_Data!BA76)</f>
        <v>35.451</v>
      </c>
    </row>
    <row r="77" customFormat="false" ht="15" hidden="false" customHeight="false" outlineLevel="0" collapsed="false">
      <c r="A77" s="14" t="str">
        <f aca="false">Country_Data!A77</f>
        <v>LKA</v>
      </c>
      <c r="B77" s="14" t="str">
        <f aca="false">Country_Data!B77</f>
        <v>Sri Lanka</v>
      </c>
      <c r="C77" s="14" t="str">
        <f aca="false">Country_Data!E77</f>
        <v>EMDC</v>
      </c>
      <c r="D77" s="14" t="str">
        <f aca="false">Country_Data!D77</f>
        <v>Upper middle income</v>
      </c>
      <c r="E77" s="15" t="n">
        <f aca="false">Country_Data!BV77</f>
        <v>98.964</v>
      </c>
      <c r="F77" s="16" t="n">
        <f aca="false">SUMIFS(Calc!$J$5:$J$1369,Calc!$A$5:$A$1369,A77)</f>
        <v>5.33256419148439</v>
      </c>
      <c r="G77" s="11" t="n">
        <f aca="false">IFERROR(F77/E77,"")</f>
        <v>0.0538838789002505</v>
      </c>
      <c r="H77" s="16" t="n">
        <f aca="false">SUMIFS(Calc!$L$5:$L$1369,Calc!$A$5:$A$1369,A77)</f>
        <v>1.27981540595625</v>
      </c>
      <c r="I77" s="11" t="n">
        <f aca="false">IFERROR(H77/E77,"")</f>
        <v>0.0129321309360601</v>
      </c>
      <c r="J77" s="17" t="n">
        <f aca="false">Country_Data!DW77</f>
        <v>0.12506</v>
      </c>
      <c r="K77" s="14" t="str">
        <f aca="false">Country_Data!DV77</f>
        <v>Observed (IRENA/Steffen)</v>
      </c>
      <c r="L77" s="16" t="n">
        <f aca="false">SUMIFS(Calc!$W$5:$W$1369,Calc!$A$5:$A$1369,A77)</f>
        <v>0.0770958226460807</v>
      </c>
      <c r="M77" s="16" t="n">
        <f aca="false">SUMIFS(Calc!$X$5:$X$1369,Calc!$A$5:$A$1369,A77)</f>
        <v>0.0901211952311036</v>
      </c>
      <c r="N77" s="18" t="n">
        <f aca="false">SUMIFS(Calc!$AC$5:$AC$1369,Calc!$A$5:$A$1369,A77)</f>
        <v>0.0965904974561866</v>
      </c>
      <c r="O77" s="18" t="n">
        <f aca="false">SUMIFS(Calc!$AD$5:$AD$1369,Calc!$A$5:$A$1369,A77)</f>
        <v>0.149295877551246</v>
      </c>
      <c r="P77" s="18" t="n">
        <f aca="false">SUMIFS(Calc!$AE$5:$AE$1369,Calc!$A$5:$A$1369,A77)</f>
        <v>0.027492024938064</v>
      </c>
      <c r="Q77" s="18" t="n">
        <f aca="false">SUMIFS(Calc!$AF$5:$AF$1369,Calc!$A$5:$A$1369,A77)</f>
        <v>-0.0626291702930395</v>
      </c>
      <c r="R77" s="11" t="n">
        <f aca="false">IFERROR(N77/E77,"")</f>
        <v>0.000976016505559462</v>
      </c>
      <c r="S77" s="11" t="n">
        <f aca="false">IFERROR(P77/E77,"")</f>
        <v>0.000277798239138111</v>
      </c>
      <c r="T77" s="11" t="n">
        <f aca="false">IFERROR(Q77/E77,"")</f>
        <v>-0.000632848008296346</v>
      </c>
      <c r="U77" s="16" t="n">
        <f aca="false">SUMIFS(Calc!$AG$5:$AG$1369,Calc!$A$5:$A$1369,A77)</f>
        <v>-0.105418165258594</v>
      </c>
      <c r="V77" s="16" t="n">
        <f aca="false">SUMIFS(Calc!$AH$5:$AH$1369,Calc!$A$5:$A$1369,A77)</f>
        <v>-0.148207160224148</v>
      </c>
      <c r="W77" s="16" t="n">
        <f aca="false">SUMIFS(Calc!$Y$5:$Y$1369,Calc!$A$5:$A$1369,A77)</f>
        <v>0.85577989931108</v>
      </c>
      <c r="X77" s="7" t="n">
        <f aca="false">IFERROR(N77/W77*1000,"")</f>
        <v>112.868387694013</v>
      </c>
      <c r="Y77" s="7" t="n">
        <f aca="false">IFERROR(P77/W77*1000,"")</f>
        <v>32.1251117959135</v>
      </c>
      <c r="Z77" s="7" t="n">
        <f aca="false">IFERROR(Q77/W77*1000,"")</f>
        <v>-73.1837360791686</v>
      </c>
      <c r="AA77" s="16" t="n">
        <f aca="false">SUMIFS(Calc!$AM$5:$AM$1369,Calc!$A$5:$A$1369,A77)</f>
        <v>0.287910302158844</v>
      </c>
      <c r="AB77" s="16" t="n">
        <f aca="false">SUMIFS(Calc!$AN$5:$AN$1369,Calc!$A$5:$A$1369,A77)</f>
        <v>6.12149149652592</v>
      </c>
      <c r="AC77" s="17" t="n">
        <f aca="false">Country_Data!DY77</f>
        <v>0.27</v>
      </c>
      <c r="AD77" s="12" t="str">
        <f aca="false">IF(Country_Data!BD77="","",Country_Data!BD77)</f>
        <v/>
      </c>
      <c r="AE77" s="7" t="str">
        <f aca="false">IF(Country_Data!BC77="","",Country_Data!BC77)</f>
        <v/>
      </c>
      <c r="AF77" s="12" t="n">
        <f aca="false">IF(Country_Data!BL77="","",Country_Data!BL77)</f>
        <v>0.955</v>
      </c>
      <c r="AG77" s="7" t="n">
        <f aca="false">IF(Country_Data!BA77="","",Country_Data!BA77)</f>
        <v>100.84</v>
      </c>
    </row>
    <row r="78" customFormat="false" ht="15" hidden="false" customHeight="false" outlineLevel="0" collapsed="false">
      <c r="A78" s="14" t="str">
        <f aca="false">Country_Data!A78</f>
        <v>CRI</v>
      </c>
      <c r="B78" s="14" t="str">
        <f aca="false">Country_Data!B78</f>
        <v>Costa Rica</v>
      </c>
      <c r="C78" s="14" t="str">
        <f aca="false">Country_Data!E78</f>
        <v>EMDC</v>
      </c>
      <c r="D78" s="14" t="str">
        <f aca="false">Country_Data!D78</f>
        <v>High income</v>
      </c>
      <c r="E78" s="15" t="n">
        <f aca="false">Country_Data!BV78</f>
        <v>120.472236030665</v>
      </c>
      <c r="F78" s="16" t="n">
        <f aca="false">SUMIFS(Calc!$J$5:$J$1369,Calc!$A$5:$A$1369,A78)</f>
        <v>4.03627704560656</v>
      </c>
      <c r="G78" s="11" t="n">
        <f aca="false">IFERROR(F78/E78,"")</f>
        <v>0.0335037945554456</v>
      </c>
      <c r="H78" s="16" t="n">
        <f aca="false">SUMIFS(Calc!$L$5:$L$1369,Calc!$A$5:$A$1369,A78)</f>
        <v>0.968706490945573</v>
      </c>
      <c r="I78" s="11" t="n">
        <f aca="false">IFERROR(H78/E78,"")</f>
        <v>0.00804091069330695</v>
      </c>
      <c r="J78" s="17" t="n">
        <f aca="false">Country_Data!DW78</f>
        <v>0.0679</v>
      </c>
      <c r="K78" s="14" t="str">
        <f aca="false">Country_Data!DV78</f>
        <v>Observed (IRENA/Steffen)</v>
      </c>
      <c r="L78" s="16" t="n">
        <f aca="false">SUMIFS(Calc!$W$5:$W$1369,Calc!$A$5:$A$1369,A78)</f>
        <v>0.122297011134814</v>
      </c>
      <c r="M78" s="16" t="n">
        <f aca="false">SUMIFS(Calc!$X$5:$X$1369,Calc!$A$5:$A$1369,A78)</f>
        <v>0.0707363266853761</v>
      </c>
      <c r="N78" s="18" t="n">
        <f aca="false">SUMIFS(Calc!$AC$5:$AC$1369,Calc!$A$5:$A$1369,A78)</f>
        <v>-0.0373457952317934</v>
      </c>
      <c r="O78" s="18" t="n">
        <f aca="false">SUMIFS(Calc!$AD$5:$AD$1369,Calc!$A$5:$A$1369,A78)</f>
        <v>-0.00123469102431126</v>
      </c>
      <c r="P78" s="18" t="n">
        <f aca="false">SUMIFS(Calc!$AE$5:$AE$1369,Calc!$A$5:$A$1369,A78)</f>
        <v>-0.0431940428680188</v>
      </c>
      <c r="Q78" s="18" t="n">
        <f aca="false">SUMIFS(Calc!$AF$5:$AF$1369,Calc!$A$5:$A$1369,A78)</f>
        <v>-0.113930369553395</v>
      </c>
      <c r="R78" s="11" t="n">
        <f aca="false">IFERROR(N78/E78,"")</f>
        <v>-0.000309995036717732</v>
      </c>
      <c r="S78" s="11" t="n">
        <f aca="false">IFERROR(P78/E78,"")</f>
        <v>-0.000358539397052646</v>
      </c>
      <c r="T78" s="11" t="n">
        <f aca="false">IFERROR(Q78/E78,"")</f>
        <v>-0.000945698140145708</v>
      </c>
      <c r="U78" s="16" t="n">
        <f aca="false">SUMIFS(Calc!$AG$5:$AG$1369,Calc!$A$5:$A$1369,A78)</f>
        <v>-0.13698357355411</v>
      </c>
      <c r="V78" s="16" t="n">
        <f aca="false">SUMIFS(Calc!$AH$5:$AH$1369,Calc!$A$5:$A$1369,A78)</f>
        <v>-0.160036777554825</v>
      </c>
      <c r="W78" s="16" t="n">
        <f aca="false">SUMIFS(Calc!$Y$5:$Y$1369,Calc!$A$5:$A$1369,A78)</f>
        <v>0.461064080014303</v>
      </c>
      <c r="X78" s="7" t="n">
        <f aca="false">IFERROR(N78/W78*1000,"")</f>
        <v>-80.9991427452663</v>
      </c>
      <c r="Y78" s="7" t="n">
        <f aca="false">IFERROR(P78/W78*1000,"")</f>
        <v>-93.6833831572367</v>
      </c>
      <c r="Z78" s="7" t="n">
        <f aca="false">IFERROR(Q78/W78*1000,"")</f>
        <v>-247.103113193855</v>
      </c>
      <c r="AA78" s="16" t="n">
        <f aca="false">SUMIFS(Calc!$AM$5:$AM$1369,Calc!$A$5:$A$1369,A78)</f>
        <v>0.0243676984842725</v>
      </c>
      <c r="AB78" s="16" t="n">
        <f aca="false">SUMIFS(Calc!$AN$5:$AN$1369,Calc!$A$5:$A$1369,A78)</f>
        <v>4.61837958551716</v>
      </c>
      <c r="AC78" s="17" t="n">
        <f aca="false">Country_Data!DY78</f>
        <v>0.265</v>
      </c>
      <c r="AD78" s="12" t="n">
        <f aca="false">IF(Country_Data!BD78="","",Country_Data!BD78)</f>
        <v>2.5</v>
      </c>
      <c r="AE78" s="7" t="n">
        <f aca="false">IF(Country_Data!BC78="","",Country_Data!BC78)</f>
        <v>100</v>
      </c>
      <c r="AF78" s="12" t="str">
        <f aca="false">IF(Country_Data!BL78="","",Country_Data!BL78)</f>
        <v/>
      </c>
      <c r="AG78" s="7" t="n">
        <f aca="false">IF(Country_Data!BA78="","",Country_Data!BA78)</f>
        <v>58.91</v>
      </c>
    </row>
    <row r="79" customFormat="false" ht="15" hidden="false" customHeight="false" outlineLevel="0" collapsed="false">
      <c r="A79" s="14" t="str">
        <f aca="false">Country_Data!A79</f>
        <v>LUX</v>
      </c>
      <c r="B79" s="14" t="str">
        <f aca="false">Country_Data!B79</f>
        <v>Luxembourg</v>
      </c>
      <c r="C79" s="14" t="str">
        <f aca="false">Country_Data!E79</f>
        <v>AE</v>
      </c>
      <c r="D79" s="14" t="str">
        <f aca="false">Country_Data!D79</f>
        <v>High income</v>
      </c>
      <c r="E79" s="15" t="n">
        <f aca="false">Country_Data!BV79</f>
        <v>101.558833348836</v>
      </c>
      <c r="F79" s="16" t="n">
        <f aca="false">SUMIFS(Calc!$J$5:$J$1369,Calc!$A$5:$A$1369,A79)</f>
        <v>2.47540997757888</v>
      </c>
      <c r="G79" s="11" t="n">
        <f aca="false">IFERROR(F79/E79,"")</f>
        <v>0.0243741474370456</v>
      </c>
      <c r="H79" s="16" t="n">
        <f aca="false">SUMIFS(Calc!$L$5:$L$1369,Calc!$A$5:$A$1369,A79)</f>
        <v>0.940655791479975</v>
      </c>
      <c r="I79" s="11" t="n">
        <f aca="false">IFERROR(H79/E79,"")</f>
        <v>0.00926217602607733</v>
      </c>
      <c r="J79" s="17" t="n">
        <f aca="false">Country_Data!DW79</f>
        <v>0.055</v>
      </c>
      <c r="K79" s="14" t="str">
        <f aca="false">Country_Data!DV79</f>
        <v>Group default (IHLEG)</v>
      </c>
      <c r="L79" s="16" t="n">
        <f aca="false">SUMIFS(Calc!$W$5:$W$1369,Calc!$A$5:$A$1369,A79)</f>
        <v>0.047992054653735</v>
      </c>
      <c r="M79" s="16" t="n">
        <f aca="false">SUMIFS(Calc!$X$5:$X$1369,Calc!$A$5:$A$1369,A79)</f>
        <v>0.00856923286486504</v>
      </c>
      <c r="N79" s="18" t="n">
        <f aca="false">SUMIFS(Calc!$AC$5:$AC$1369,Calc!$A$5:$A$1369,A79)</f>
        <v>0.0278296286372444</v>
      </c>
      <c r="O79" s="18" t="n">
        <f aca="false">SUMIFS(Calc!$AD$5:$AD$1369,Calc!$A$5:$A$1369,A79)</f>
        <v>0.0384324557385841</v>
      </c>
      <c r="P79" s="18" t="n">
        <f aca="false">SUMIFS(Calc!$AE$5:$AE$1369,Calc!$A$5:$A$1369,A79)</f>
        <v>0.0312963657423907</v>
      </c>
      <c r="Q79" s="18" t="n">
        <f aca="false">SUMIFS(Calc!$AF$5:$AF$1369,Calc!$A$5:$A$1369,A79)</f>
        <v>0.0227271328775256</v>
      </c>
      <c r="R79" s="11" t="n">
        <f aca="false">IFERROR(N79/E79,"")</f>
        <v>0.000274024697996033</v>
      </c>
      <c r="S79" s="11" t="n">
        <f aca="false">IFERROR(P79/E79,"")</f>
        <v>0.000308159957242649</v>
      </c>
      <c r="T79" s="11" t="n">
        <f aca="false">IFERROR(Q79/E79,"")</f>
        <v>0.000223782925897367</v>
      </c>
      <c r="U79" s="16" t="n">
        <f aca="false">SUMIFS(Calc!$AG$5:$AG$1369,Calc!$A$5:$A$1369,A79)</f>
        <v>0.00944563903314953</v>
      </c>
      <c r="V79" s="16" t="n">
        <f aca="false">SUMIFS(Calc!$AH$5:$AH$1369,Calc!$A$5:$A$1369,A79)</f>
        <v>-0.00383585481122657</v>
      </c>
      <c r="W79" s="16" t="n">
        <f aca="false">SUMIFS(Calc!$Y$5:$Y$1369,Calc!$A$5:$A$1369,A79)</f>
        <v>0.265629876887522</v>
      </c>
      <c r="X79" s="7" t="n">
        <f aca="false">IFERROR(N79/W79*1000,"")</f>
        <v>104.768443080778</v>
      </c>
      <c r="Y79" s="7" t="n">
        <f aca="false">IFERROR(P79/W79*1000,"")</f>
        <v>117.819449036009</v>
      </c>
      <c r="Z79" s="7" t="n">
        <f aca="false">IFERROR(Q79/W79*1000,"")</f>
        <v>85.559399958421</v>
      </c>
      <c r="AA79" s="16" t="n">
        <f aca="false">SUMIFS(Calc!$AM$5:$AM$1369,Calc!$A$5:$A$1369,A79)</f>
        <v>-0.00912299238196395</v>
      </c>
      <c r="AB79" s="16" t="n">
        <f aca="false">SUMIFS(Calc!$AN$5:$AN$1369,Calc!$A$5:$A$1369,A79)</f>
        <v>2.58637663174621</v>
      </c>
      <c r="AC79" s="17" t="n">
        <f aca="false">Country_Data!DY79</f>
        <v>0.13</v>
      </c>
      <c r="AD79" s="12" t="str">
        <f aca="false">IF(Country_Data!BD79="","",Country_Data!BD79)</f>
        <v/>
      </c>
      <c r="AE79" s="7" t="str">
        <f aca="false">IF(Country_Data!BC79="","",Country_Data!BC79)</f>
        <v/>
      </c>
      <c r="AF79" s="12" t="str">
        <f aca="false">IF(Country_Data!BL79="","",Country_Data!BL79)</f>
        <v/>
      </c>
      <c r="AG79" s="7" t="n">
        <f aca="false">IF(Country_Data!BA79="","",Country_Data!BA79)</f>
        <v>26.281</v>
      </c>
    </row>
    <row r="80" customFormat="false" ht="15" hidden="false" customHeight="false" outlineLevel="0" collapsed="false">
      <c r="A80" s="14" t="str">
        <f aca="false">Country_Data!A80</f>
        <v>HRV</v>
      </c>
      <c r="B80" s="14" t="str">
        <f aca="false">Country_Data!B80</f>
        <v>Croatia</v>
      </c>
      <c r="C80" s="14" t="str">
        <f aca="false">Country_Data!E80</f>
        <v>AE</v>
      </c>
      <c r="D80" s="14" t="str">
        <f aca="false">Country_Data!D80</f>
        <v>High income</v>
      </c>
      <c r="E80" s="15" t="n">
        <f aca="false">Country_Data!BV80</f>
        <v>109.219386442786</v>
      </c>
      <c r="F80" s="16" t="n">
        <f aca="false">SUMIFS(Calc!$J$5:$J$1369,Calc!$A$5:$A$1369,A80)</f>
        <v>4.03094399176489</v>
      </c>
      <c r="G80" s="11" t="n">
        <f aca="false">IFERROR(F80/E80,"")</f>
        <v>0.0369068543877645</v>
      </c>
      <c r="H80" s="16" t="n">
        <f aca="false">SUMIFS(Calc!$L$5:$L$1369,Calc!$A$5:$A$1369,A80)</f>
        <v>1.53175871687066</v>
      </c>
      <c r="I80" s="11" t="n">
        <f aca="false">IFERROR(H80/E80,"")</f>
        <v>0.0140246046673505</v>
      </c>
      <c r="J80" s="17" t="n">
        <f aca="false">Country_Data!DW80</f>
        <v>0.06638</v>
      </c>
      <c r="K80" s="14" t="str">
        <f aca="false">Country_Data!DV80</f>
        <v>Observed (IRENA/Steffen)</v>
      </c>
      <c r="L80" s="16" t="n">
        <f aca="false">SUMIFS(Calc!$W$5:$W$1369,Calc!$A$5:$A$1369,A80)</f>
        <v>0.11411527388779</v>
      </c>
      <c r="M80" s="16" t="n">
        <f aca="false">SUMIFS(Calc!$X$5:$X$1369,Calc!$A$5:$A$1369,A80)</f>
        <v>0.0218525216530482</v>
      </c>
      <c r="N80" s="18" t="n">
        <f aca="false">SUMIFS(Calc!$AC$5:$AC$1369,Calc!$A$5:$A$1369,A80)</f>
        <v>0.0189151011510671</v>
      </c>
      <c r="O80" s="18" t="n">
        <f aca="false">SUMIFS(Calc!$AD$5:$AD$1369,Calc!$A$5:$A$1369,A80)</f>
        <v>0.0370487233281751</v>
      </c>
      <c r="P80" s="18" t="n">
        <f aca="false">SUMIFS(Calc!$AE$5:$AE$1369,Calc!$A$5:$A$1369,A80)</f>
        <v>0.0114864751671594</v>
      </c>
      <c r="Q80" s="18" t="n">
        <f aca="false">SUMIFS(Calc!$AF$5:$AF$1369,Calc!$A$5:$A$1369,A80)</f>
        <v>-0.0103660464858888</v>
      </c>
      <c r="R80" s="11" t="n">
        <f aca="false">IFERROR(N80/E80,"")</f>
        <v>0.000173184466303293</v>
      </c>
      <c r="S80" s="11" t="n">
        <f aca="false">IFERROR(P80/E80,"")</f>
        <v>0.000105168830747612</v>
      </c>
      <c r="T80" s="11" t="n">
        <f aca="false">IFERROR(Q80/E80,"")</f>
        <v>-9.49103160483232E-005</v>
      </c>
      <c r="U80" s="16" t="n">
        <f aca="false">SUMIFS(Calc!$AG$5:$AG$1369,Calc!$A$5:$A$1369,A80)</f>
        <v>-0.0347468006942643</v>
      </c>
      <c r="V80" s="16" t="n">
        <f aca="false">SUMIFS(Calc!$AH$5:$AH$1369,Calc!$A$5:$A$1369,A80)</f>
        <v>-0.0591275549026398</v>
      </c>
      <c r="W80" s="16" t="n">
        <f aca="false">SUMIFS(Calc!$Y$5:$Y$1369,Calc!$A$5:$A$1369,A80)</f>
        <v>0.48761508416751</v>
      </c>
      <c r="X80" s="7" t="n">
        <f aca="false">IFERROR(N80/W80*1000,"")</f>
        <v>38.7910500827927</v>
      </c>
      <c r="Y80" s="7" t="n">
        <f aca="false">IFERROR(P80/W80*1000,"")</f>
        <v>23.5564393721943</v>
      </c>
      <c r="Z80" s="7" t="n">
        <f aca="false">IFERROR(Q80/W80*1000,"")</f>
        <v>-21.2586665639895</v>
      </c>
      <c r="AA80" s="16" t="n">
        <f aca="false">SUMIFS(Calc!$AM$5:$AM$1369,Calc!$A$5:$A$1369,A80)</f>
        <v>0.0195490157471254</v>
      </c>
      <c r="AB80" s="16" t="n">
        <f aca="false">SUMIFS(Calc!$AN$5:$AN$1369,Calc!$A$5:$A$1369,A80)</f>
        <v>4.2116414810509</v>
      </c>
      <c r="AC80" s="17" t="n">
        <f aca="false">Country_Data!DY80</f>
        <v>0.13</v>
      </c>
      <c r="AD80" s="12" t="str">
        <f aca="false">IF(Country_Data!BD80="","",Country_Data!BD80)</f>
        <v/>
      </c>
      <c r="AE80" s="7" t="n">
        <f aca="false">IF(Country_Data!BC80="","",Country_Data!BC80)</f>
        <v>99.991</v>
      </c>
      <c r="AF80" s="12" t="str">
        <f aca="false">IF(Country_Data!BL80="","",Country_Data!BL80)</f>
        <v/>
      </c>
      <c r="AG80" s="7" t="n">
        <f aca="false">IF(Country_Data!BA80="","",Country_Data!BA80)</f>
        <v>57.369</v>
      </c>
    </row>
    <row r="81" customFormat="false" ht="15" hidden="false" customHeight="false" outlineLevel="0" collapsed="false">
      <c r="A81" s="14" t="str">
        <f aca="false">Country_Data!A81</f>
        <v>SRB</v>
      </c>
      <c r="B81" s="14" t="str">
        <f aca="false">Country_Data!B81</f>
        <v>Serbia</v>
      </c>
      <c r="C81" s="14" t="str">
        <f aca="false">Country_Data!E81</f>
        <v>EMDC</v>
      </c>
      <c r="D81" s="14" t="str">
        <f aca="false">Country_Data!D81</f>
        <v>Upper middle income</v>
      </c>
      <c r="E81" s="15" t="n">
        <f aca="false">Country_Data!BV81</f>
        <v>105.705989056018</v>
      </c>
      <c r="F81" s="16" t="n">
        <f aca="false">SUMIFS(Calc!$J$5:$J$1369,Calc!$A$5:$A$1369,A81)</f>
        <v>6.28516075243677</v>
      </c>
      <c r="G81" s="11" t="n">
        <f aca="false">IFERROR(F81/E81,"")</f>
        <v>0.0594588897806537</v>
      </c>
      <c r="H81" s="16" t="n">
        <f aca="false">SUMIFS(Calc!$L$5:$L$1369,Calc!$A$5:$A$1369,A81)</f>
        <v>1.50843858058482</v>
      </c>
      <c r="I81" s="11" t="n">
        <f aca="false">IFERROR(H81/E81,"")</f>
        <v>0.0142701335473569</v>
      </c>
      <c r="J81" s="17" t="n">
        <f aca="false">Country_Data!DW81</f>
        <v>0.105</v>
      </c>
      <c r="K81" s="14" t="str">
        <f aca="false">Country_Data!DV81</f>
        <v>Group default (IHLEG)</v>
      </c>
      <c r="L81" s="16" t="n">
        <f aca="false">SUMIFS(Calc!$W$5:$W$1369,Calc!$A$5:$A$1369,A81)</f>
        <v>0.0716838059245138</v>
      </c>
      <c r="M81" s="16" t="n">
        <f aca="false">SUMIFS(Calc!$X$5:$X$1369,Calc!$A$5:$A$1369,A81)</f>
        <v>0.0853875419254832</v>
      </c>
      <c r="N81" s="18" t="n">
        <f aca="false">SUMIFS(Calc!$AC$5:$AC$1369,Calc!$A$5:$A$1369,A81)</f>
        <v>0.104943774141681</v>
      </c>
      <c r="O81" s="18" t="n">
        <f aca="false">SUMIFS(Calc!$AD$5:$AD$1369,Calc!$A$5:$A$1369,A81)</f>
        <v>0.165765761310759</v>
      </c>
      <c r="P81" s="18" t="n">
        <f aca="false">SUMIFS(Calc!$AE$5:$AE$1369,Calc!$A$5:$A$1369,A81)</f>
        <v>0.0496867181911772</v>
      </c>
      <c r="Q81" s="18" t="n">
        <f aca="false">SUMIFS(Calc!$AF$5:$AF$1369,Calc!$A$5:$A$1369,A81)</f>
        <v>-0.035700823734306</v>
      </c>
      <c r="R81" s="11" t="n">
        <f aca="false">IFERROR(N81/E81,"")</f>
        <v>0.000992789293008427</v>
      </c>
      <c r="S81" s="11" t="n">
        <f aca="false">IFERROR(P81/E81,"")</f>
        <v>0.000470046386537721</v>
      </c>
      <c r="T81" s="11" t="n">
        <f aca="false">IFERROR(Q81/E81,"")</f>
        <v>-0.000337737001026372</v>
      </c>
      <c r="U81" s="16" t="n">
        <f aca="false">SUMIFS(Calc!$AG$5:$AG$1369,Calc!$A$5:$A$1369,A81)</f>
        <v>-0.0948665488086036</v>
      </c>
      <c r="V81" s="16" t="n">
        <f aca="false">SUMIFS(Calc!$AH$5:$AH$1369,Calc!$A$5:$A$1369,A81)</f>
        <v>-0.154032273882901</v>
      </c>
      <c r="W81" s="16" t="n">
        <f aca="false">SUMIFS(Calc!$Y$5:$Y$1369,Calc!$A$5:$A$1369,A81)</f>
        <v>1.18331450148595</v>
      </c>
      <c r="X81" s="7" t="n">
        <f aca="false">IFERROR(N81/W81*1000,"")</f>
        <v>88.6862909310224</v>
      </c>
      <c r="Y81" s="7" t="n">
        <f aca="false">IFERROR(P81/W81*1000,"")</f>
        <v>41.9894441661815</v>
      </c>
      <c r="Z81" s="7" t="n">
        <f aca="false">IFERROR(Q81/W81*1000,"")</f>
        <v>-30.1701903335712</v>
      </c>
      <c r="AA81" s="16" t="n">
        <f aca="false">SUMIFS(Calc!$AM$5:$AM$1369,Calc!$A$5:$A$1369,A81)</f>
        <v>0.230237733127098</v>
      </c>
      <c r="AB81" s="16" t="n">
        <f aca="false">SUMIFS(Calc!$AN$5:$AN$1369,Calc!$A$5:$A$1369,A81)</f>
        <v>7.66887056150036</v>
      </c>
      <c r="AC81" s="17" t="n">
        <f aca="false">Country_Data!DY81</f>
        <v>0.355</v>
      </c>
      <c r="AD81" s="12" t="n">
        <f aca="false">IF(Country_Data!BD81="","",Country_Data!BD81)</f>
        <v>1.5</v>
      </c>
      <c r="AE81" s="7" t="n">
        <f aca="false">IF(Country_Data!BC81="","",Country_Data!BC81)</f>
        <v>92.818</v>
      </c>
      <c r="AF81" s="12" t="n">
        <f aca="false">IF(Country_Data!BL81="","",Country_Data!BL81)</f>
        <v>-0.421</v>
      </c>
      <c r="AG81" s="7" t="n">
        <f aca="false">IF(Country_Data!BA81="","",Country_Data!BA81)</f>
        <v>44.064</v>
      </c>
    </row>
    <row r="82" customFormat="false" ht="15" hidden="false" customHeight="false" outlineLevel="0" collapsed="false">
      <c r="A82" s="14" t="str">
        <f aca="false">Country_Data!A82</f>
        <v>CIV</v>
      </c>
      <c r="B82" s="14" t="str">
        <f aca="false">Country_Data!B82</f>
        <v>Côte d'Ivoire</v>
      </c>
      <c r="C82" s="14" t="str">
        <f aca="false">Country_Data!E82</f>
        <v>EMDC</v>
      </c>
      <c r="D82" s="14" t="str">
        <f aca="false">Country_Data!D82</f>
        <v>Lower middle income</v>
      </c>
      <c r="E82" s="15" t="n">
        <f aca="false">Country_Data!BV82</f>
        <v>125.357370651527</v>
      </c>
      <c r="F82" s="16" t="n">
        <f aca="false">SUMIFS(Calc!$J$5:$J$1369,Calc!$A$5:$A$1369,A82)</f>
        <v>4.56143859120918</v>
      </c>
      <c r="G82" s="11" t="n">
        <f aca="false">IFERROR(F82/E82,"")</f>
        <v>0.0363874781953527</v>
      </c>
      <c r="H82" s="16" t="n">
        <f aca="false">SUMIFS(Calc!$L$5:$L$1369,Calc!$A$5:$A$1369,A82)</f>
        <v>1.0947452618902</v>
      </c>
      <c r="I82" s="11" t="n">
        <f aca="false">IFERROR(H82/E82,"")</f>
        <v>0.00873299476688464</v>
      </c>
      <c r="J82" s="17" t="n">
        <f aca="false">Country_Data!DW82</f>
        <v>0.105</v>
      </c>
      <c r="K82" s="14" t="str">
        <f aca="false">Country_Data!DV82</f>
        <v>Group default (IHLEG)</v>
      </c>
      <c r="L82" s="16" t="n">
        <f aca="false">SUMIFS(Calc!$W$5:$W$1369,Calc!$A$5:$A$1369,A82)</f>
        <v>0.070065350473864</v>
      </c>
      <c r="M82" s="16" t="n">
        <f aca="false">SUMIFS(Calc!$X$5:$X$1369,Calc!$A$5:$A$1369,A82)</f>
        <v>0.0333949590617208</v>
      </c>
      <c r="N82" s="18" t="n">
        <f aca="false">SUMIFS(Calc!$AC$5:$AC$1369,Calc!$A$5:$A$1369,A82)</f>
        <v>0.0591566751847666</v>
      </c>
      <c r="O82" s="18" t="n">
        <f aca="false">SUMIFS(Calc!$AD$5:$AD$1369,Calc!$A$5:$A$1369,A82)</f>
        <v>0.103101574216532</v>
      </c>
      <c r="P82" s="18" t="n">
        <f aca="false">SUMIFS(Calc!$AE$5:$AE$1369,Calc!$A$5:$A$1369,A82)</f>
        <v>0.0192476118690228</v>
      </c>
      <c r="Q82" s="18" t="n">
        <f aca="false">SUMIFS(Calc!$AF$5:$AF$1369,Calc!$A$5:$A$1369,A82)</f>
        <v>-0.0141473471926981</v>
      </c>
      <c r="R82" s="11" t="n">
        <f aca="false">IFERROR(N82/E82,"")</f>
        <v>0.000471904243662007</v>
      </c>
      <c r="S82" s="11" t="n">
        <f aca="false">IFERROR(P82/E82,"")</f>
        <v>0.000153541923933041</v>
      </c>
      <c r="T82" s="11" t="n">
        <f aca="false">IFERROR(Q82/E82,"")</f>
        <v>-0.000112856125803926</v>
      </c>
      <c r="U82" s="16" t="n">
        <f aca="false">SUMIFS(Calc!$AG$5:$AG$1369,Calc!$A$5:$A$1369,A82)</f>
        <v>-0.0483632026865649</v>
      </c>
      <c r="V82" s="16" t="n">
        <f aca="false">SUMIFS(Calc!$AH$5:$AH$1369,Calc!$A$5:$A$1369,A82)</f>
        <v>-0.0825790581804317</v>
      </c>
      <c r="W82" s="16" t="n">
        <f aca="false">SUMIFS(Calc!$Y$5:$Y$1369,Calc!$A$5:$A$1369,A82)</f>
        <v>0.684317109877337</v>
      </c>
      <c r="X82" s="7" t="n">
        <f aca="false">IFERROR(N82/W82*1000,"")</f>
        <v>86.4462897842353</v>
      </c>
      <c r="Y82" s="7" t="n">
        <f aca="false">IFERROR(P82/W82*1000,"")</f>
        <v>28.1267435684502</v>
      </c>
      <c r="Z82" s="7" t="n">
        <f aca="false">IFERROR(Q82/W82*1000,"")</f>
        <v>-20.6736715895266</v>
      </c>
      <c r="AA82" s="16" t="n">
        <f aca="false">SUMIFS(Calc!$AM$5:$AM$1369,Calc!$A$5:$A$1369,A82)</f>
        <v>0.166287763815599</v>
      </c>
      <c r="AB82" s="16" t="n">
        <f aca="false">SUMIFS(Calc!$AN$5:$AN$1369,Calc!$A$5:$A$1369,A82)</f>
        <v>5.38117538151343</v>
      </c>
      <c r="AC82" s="17" t="n">
        <f aca="false">Country_Data!DY82</f>
        <v>0.31</v>
      </c>
      <c r="AD82" s="12" t="n">
        <f aca="false">IF(Country_Data!BD82="","",Country_Data!BD82)</f>
        <v>2</v>
      </c>
      <c r="AE82" s="7" t="str">
        <f aca="false">IF(Country_Data!BC82="","",Country_Data!BC82)</f>
        <v/>
      </c>
      <c r="AF82" s="12" t="n">
        <f aca="false">IF(Country_Data!BL82="","",Country_Data!BL82)</f>
        <v>2.822</v>
      </c>
      <c r="AG82" s="7" t="n">
        <f aca="false">IF(Country_Data!BA82="","",Country_Data!BA82)</f>
        <v>59.459</v>
      </c>
    </row>
    <row r="83" customFormat="false" ht="15" hidden="false" customHeight="false" outlineLevel="0" collapsed="false">
      <c r="A83" s="14" t="str">
        <f aca="false">Country_Data!A83</f>
        <v>PAN</v>
      </c>
      <c r="B83" s="14" t="str">
        <f aca="false">Country_Data!B83</f>
        <v>Panama</v>
      </c>
      <c r="C83" s="14" t="str">
        <f aca="false">Country_Data!E83</f>
        <v>EMDC</v>
      </c>
      <c r="D83" s="14" t="str">
        <f aca="false">Country_Data!D83</f>
        <v>High income</v>
      </c>
      <c r="E83" s="15" t="n">
        <f aca="false">Country_Data!BV83</f>
        <v>109.006511009235</v>
      </c>
      <c r="F83" s="16" t="n">
        <f aca="false">SUMIFS(Calc!$J$5:$J$1369,Calc!$A$5:$A$1369,A83)</f>
        <v>4.26342915568363</v>
      </c>
      <c r="G83" s="11" t="n">
        <f aca="false">IFERROR(F83/E83,"")</f>
        <v>0.0391116926522163</v>
      </c>
      <c r="H83" s="16" t="n">
        <f aca="false">SUMIFS(Calc!$L$5:$L$1369,Calc!$A$5:$A$1369,A83)</f>
        <v>1.02322299736407</v>
      </c>
      <c r="I83" s="11" t="n">
        <f aca="false">IFERROR(H83/E83,"")</f>
        <v>0.00938680623653191</v>
      </c>
      <c r="J83" s="17" t="n">
        <f aca="false">Country_Data!DW83</f>
        <v>0.105</v>
      </c>
      <c r="K83" s="14" t="str">
        <f aca="false">Country_Data!DV83</f>
        <v>Group default (IHLEG)</v>
      </c>
      <c r="L83" s="16" t="n">
        <f aca="false">SUMIFS(Calc!$W$5:$W$1369,Calc!$A$5:$A$1369,A83)</f>
        <v>0.0565066762187851</v>
      </c>
      <c r="M83" s="16" t="n">
        <f aca="false">SUMIFS(Calc!$X$5:$X$1369,Calc!$A$5:$A$1369,A83)</f>
        <v>0.0400783592785072</v>
      </c>
      <c r="N83" s="18" t="n">
        <f aca="false">SUMIFS(Calc!$AC$5:$AC$1369,Calc!$A$5:$A$1369,A83)</f>
        <v>0.0645961675167552</v>
      </c>
      <c r="O83" s="18" t="n">
        <f aca="false">SUMIFS(Calc!$AD$5:$AD$1369,Calc!$A$5:$A$1369,A83)</f>
        <v>0.105624824376073</v>
      </c>
      <c r="P83" s="18" t="n">
        <f aca="false">SUMIFS(Calc!$AE$5:$AE$1369,Calc!$A$5:$A$1369,A83)</f>
        <v>0.0273180814966037</v>
      </c>
      <c r="Q83" s="18" t="n">
        <f aca="false">SUMIFS(Calc!$AF$5:$AF$1369,Calc!$A$5:$A$1369,A83)</f>
        <v>-0.0127602777819035</v>
      </c>
      <c r="R83" s="11" t="n">
        <f aca="false">IFERROR(N83/E83,"")</f>
        <v>0.000592589992273788</v>
      </c>
      <c r="S83" s="11" t="n">
        <f aca="false">IFERROR(P83/E83,"")</f>
        <v>0.000250609630963138</v>
      </c>
      <c r="T83" s="11" t="n">
        <f aca="false">IFERROR(Q83/E83,"")</f>
        <v>-0.000117059776189172</v>
      </c>
      <c r="U83" s="16" t="n">
        <f aca="false">SUMIFS(Calc!$AG$5:$AG$1369,Calc!$A$5:$A$1369,A83)</f>
        <v>-0.0391764139166297</v>
      </c>
      <c r="V83" s="16" t="n">
        <f aca="false">SUMIFS(Calc!$AH$5:$AH$1369,Calc!$A$5:$A$1369,A83)</f>
        <v>-0.0655925500513559</v>
      </c>
      <c r="W83" s="16" t="n">
        <f aca="false">SUMIFS(Calc!$Y$5:$Y$1369,Calc!$A$5:$A$1369,A83)</f>
        <v>0.528322722694524</v>
      </c>
      <c r="X83" s="7" t="n">
        <f aca="false">IFERROR(N83/W83*1000,"")</f>
        <v>122.266494969789</v>
      </c>
      <c r="Y83" s="7" t="n">
        <f aca="false">IFERROR(P83/W83*1000,"")</f>
        <v>51.7071863903135</v>
      </c>
      <c r="Z83" s="7" t="n">
        <f aca="false">IFERROR(Q83/W83*1000,"")</f>
        <v>-24.152430387291</v>
      </c>
      <c r="AA83" s="16" t="n">
        <f aca="false">SUMIFS(Calc!$AM$5:$AM$1369,Calc!$A$5:$A$1369,A83)</f>
        <v>0.155325358417298</v>
      </c>
      <c r="AB83" s="16" t="n">
        <f aca="false">SUMIFS(Calc!$AN$5:$AN$1369,Calc!$A$5:$A$1369,A83)</f>
        <v>4.89418305816833</v>
      </c>
      <c r="AC83" s="17" t="n">
        <f aca="false">Country_Data!DY83</f>
        <v>0.27</v>
      </c>
      <c r="AD83" s="12" t="str">
        <f aca="false">IF(Country_Data!BD83="","",Country_Data!BD83)</f>
        <v/>
      </c>
      <c r="AE83" s="7" t="n">
        <f aca="false">IF(Country_Data!BC83="","",Country_Data!BC83)</f>
        <v>99.632</v>
      </c>
      <c r="AF83" s="12" t="str">
        <f aca="false">IF(Country_Data!BL83="","",Country_Data!BL83)</f>
        <v/>
      </c>
      <c r="AG83" s="7" t="n">
        <f aca="false">IF(Country_Data!BA83="","",Country_Data!BA83)</f>
        <v>57.814</v>
      </c>
    </row>
    <row r="84" customFormat="false" ht="15" hidden="false" customHeight="false" outlineLevel="0" collapsed="false">
      <c r="A84" s="14" t="str">
        <f aca="false">Country_Data!A84</f>
        <v>LTU</v>
      </c>
      <c r="B84" s="14" t="str">
        <f aca="false">Country_Data!B84</f>
        <v>Lithuania</v>
      </c>
      <c r="C84" s="14" t="str">
        <f aca="false">Country_Data!E84</f>
        <v>AE</v>
      </c>
      <c r="D84" s="14" t="str">
        <f aca="false">Country_Data!D84</f>
        <v>High income</v>
      </c>
      <c r="E84" s="15" t="n">
        <f aca="false">Country_Data!BV84</f>
        <v>101.494578003495</v>
      </c>
      <c r="F84" s="16" t="n">
        <f aca="false">SUMIFS(Calc!$J$5:$J$1369,Calc!$A$5:$A$1369,A84)</f>
        <v>3.03998380564614</v>
      </c>
      <c r="G84" s="11" t="n">
        <f aca="false">IFERROR(F84/E84,"")</f>
        <v>0.0299521793720001</v>
      </c>
      <c r="H84" s="16" t="n">
        <f aca="false">SUMIFS(Calc!$L$5:$L$1369,Calc!$A$5:$A$1369,A84)</f>
        <v>1.15519384614553</v>
      </c>
      <c r="I84" s="11" t="n">
        <f aca="false">IFERROR(H84/E84,"")</f>
        <v>0.0113818281613601</v>
      </c>
      <c r="J84" s="17" t="n">
        <f aca="false">Country_Data!DW84</f>
        <v>0.095</v>
      </c>
      <c r="K84" s="14" t="str">
        <f aca="false">Country_Data!DV84</f>
        <v>Observed (IRENA/Steffen)</v>
      </c>
      <c r="L84" s="16" t="n">
        <f aca="false">SUMIFS(Calc!$W$5:$W$1369,Calc!$A$5:$A$1369,A84)</f>
        <v>0.075787006135598</v>
      </c>
      <c r="M84" s="16" t="n">
        <f aca="false">SUMIFS(Calc!$X$5:$X$1369,Calc!$A$5:$A$1369,A84)</f>
        <v>0.0281497939848871</v>
      </c>
      <c r="N84" s="18" t="n">
        <f aca="false">SUMIFS(Calc!$AC$5:$AC$1369,Calc!$A$5:$A$1369,A84)</f>
        <v>0.0523186633411044</v>
      </c>
      <c r="O84" s="18" t="n">
        <f aca="false">SUMIFS(Calc!$AD$5:$AD$1369,Calc!$A$5:$A$1369,A84)</f>
        <v>0.067002676800515</v>
      </c>
      <c r="P84" s="18" t="n">
        <f aca="false">SUMIFS(Calc!$AE$5:$AE$1369,Calc!$A$5:$A$1369,A84)</f>
        <v>0.0202557656075371</v>
      </c>
      <c r="Q84" s="18" t="n">
        <f aca="false">SUMIFS(Calc!$AF$5:$AF$1369,Calc!$A$5:$A$1369,A84)</f>
        <v>-0.00789402837735005</v>
      </c>
      <c r="R84" s="11" t="n">
        <f aca="false">IFERROR(N84/E84,"")</f>
        <v>0.000515482347631446</v>
      </c>
      <c r="S84" s="11" t="n">
        <f aca="false">IFERROR(P84/E84,"")</f>
        <v>0.000199574854203932</v>
      </c>
      <c r="T84" s="11" t="n">
        <f aca="false">IFERROR(Q84/E84,"")</f>
        <v>-7.77778333841462E-005</v>
      </c>
      <c r="U84" s="16" t="n">
        <f aca="false">SUMIFS(Calc!$AG$5:$AG$1369,Calc!$A$5:$A$1369,A84)</f>
        <v>-0.0270079567325633</v>
      </c>
      <c r="V84" s="16" t="n">
        <f aca="false">SUMIFS(Calc!$AH$5:$AH$1369,Calc!$A$5:$A$1369,A84)</f>
        <v>-0.0461218850877767</v>
      </c>
      <c r="W84" s="16" t="n">
        <f aca="false">SUMIFS(Calc!$Y$5:$Y$1369,Calc!$A$5:$A$1369,A84)</f>
        <v>0.382278567104266</v>
      </c>
      <c r="X84" s="7" t="n">
        <f aca="false">IFERROR(N84/W84*1000,"")</f>
        <v>136.860048779127</v>
      </c>
      <c r="Y84" s="7" t="n">
        <f aca="false">IFERROR(P84/W84*1000,"")</f>
        <v>52.9869245900264</v>
      </c>
      <c r="Z84" s="7" t="n">
        <f aca="false">IFERROR(Q84/W84*1000,"")</f>
        <v>-20.6499371313092</v>
      </c>
      <c r="AA84" s="16" t="n">
        <f aca="false">SUMIFS(Calc!$AM$5:$AM$1369,Calc!$A$5:$A$1369,A84)</f>
        <v>0.0843760466672825</v>
      </c>
      <c r="AB84" s="16" t="n">
        <f aca="false">SUMIFS(Calc!$AN$5:$AN$1369,Calc!$A$5:$A$1369,A84)</f>
        <v>3.17625894176131</v>
      </c>
      <c r="AC84" s="17" t="n">
        <f aca="false">Country_Data!DY84</f>
        <v>0.13</v>
      </c>
      <c r="AD84" s="12" t="str">
        <f aca="false">IF(Country_Data!BD84="","",Country_Data!BD84)</f>
        <v/>
      </c>
      <c r="AE84" s="7" t="n">
        <f aca="false">IF(Country_Data!BC84="","",Country_Data!BC84)</f>
        <v>90.093</v>
      </c>
      <c r="AF84" s="12" t="str">
        <f aca="false">IF(Country_Data!BL84="","",Country_Data!BL84)</f>
        <v/>
      </c>
      <c r="AG84" s="7" t="n">
        <f aca="false">IF(Country_Data!BA84="","",Country_Data!BA84)</f>
        <v>37.965</v>
      </c>
    </row>
    <row r="85" customFormat="false" ht="15" hidden="false" customHeight="false" outlineLevel="0" collapsed="false">
      <c r="A85" s="14" t="str">
        <f aca="false">Country_Data!A85</f>
        <v>GHA</v>
      </c>
      <c r="B85" s="14" t="str">
        <f aca="false">Country_Data!B85</f>
        <v>Ghana</v>
      </c>
      <c r="C85" s="14" t="str">
        <f aca="false">Country_Data!E85</f>
        <v>EMDC</v>
      </c>
      <c r="D85" s="14" t="str">
        <f aca="false">Country_Data!D85</f>
        <v>Lower middle income</v>
      </c>
      <c r="E85" s="15" t="n">
        <f aca="false">Country_Data!BV85</f>
        <v>111.294874206792</v>
      </c>
      <c r="F85" s="16" t="n">
        <f aca="false">SUMIFS(Calc!$J$5:$J$1369,Calc!$A$5:$A$1369,A85)</f>
        <v>4.94441615756689</v>
      </c>
      <c r="G85" s="11" t="n">
        <f aca="false">IFERROR(F85/E85,"")</f>
        <v>0.0444262702375663</v>
      </c>
      <c r="H85" s="16" t="n">
        <f aca="false">SUMIFS(Calc!$L$5:$L$1369,Calc!$A$5:$A$1369,A85)</f>
        <v>1.18665987781605</v>
      </c>
      <c r="I85" s="11" t="n">
        <f aca="false">IFERROR(H85/E85,"")</f>
        <v>0.0106623048570159</v>
      </c>
      <c r="J85" s="17" t="n">
        <f aca="false">Country_Data!DW85</f>
        <v>0.1169</v>
      </c>
      <c r="K85" s="14" t="str">
        <f aca="false">Country_Data!DV85</f>
        <v>Observed (IRENA/Steffen)</v>
      </c>
      <c r="L85" s="16" t="n">
        <f aca="false">SUMIFS(Calc!$W$5:$W$1369,Calc!$A$5:$A$1369,A85)</f>
        <v>0.056670003581758</v>
      </c>
      <c r="M85" s="16" t="n">
        <f aca="false">SUMIFS(Calc!$X$5:$X$1369,Calc!$A$5:$A$1369,A85)</f>
        <v>0.0364404113435349</v>
      </c>
      <c r="N85" s="18" t="n">
        <f aca="false">SUMIFS(Calc!$AC$5:$AC$1369,Calc!$A$5:$A$1369,A85)</f>
        <v>0.0964905068395352</v>
      </c>
      <c r="O85" s="18" t="n">
        <f aca="false">SUMIFS(Calc!$AD$5:$AD$1369,Calc!$A$5:$A$1369,A85)</f>
        <v>0.144763764451182</v>
      </c>
      <c r="P85" s="18" t="n">
        <f aca="false">SUMIFS(Calc!$AE$5:$AE$1369,Calc!$A$5:$A$1369,A85)</f>
        <v>0.0411240272877166</v>
      </c>
      <c r="Q85" s="18" t="n">
        <f aca="false">SUMIFS(Calc!$AF$5:$AF$1369,Calc!$A$5:$A$1369,A85)</f>
        <v>0.00468361594418175</v>
      </c>
      <c r="R85" s="11" t="n">
        <f aca="false">IFERROR(N85/E85,"")</f>
        <v>0.000866980690056314</v>
      </c>
      <c r="S85" s="11" t="n">
        <f aca="false">IFERROR(P85/E85,"")</f>
        <v>0.000369505132925582</v>
      </c>
      <c r="T85" s="11" t="n">
        <f aca="false">IFERROR(Q85/E85,"")</f>
        <v>4.20829438692687E-005</v>
      </c>
      <c r="U85" s="16" t="n">
        <f aca="false">SUMIFS(Calc!$AG$5:$AG$1369,Calc!$A$5:$A$1369,A85)</f>
        <v>-0.0319833468861081</v>
      </c>
      <c r="V85" s="16" t="n">
        <f aca="false">SUMIFS(Calc!$AH$5:$AH$1369,Calc!$A$5:$A$1369,A85)</f>
        <v>-0.0686503097163979</v>
      </c>
      <c r="W85" s="16" t="n">
        <f aca="false">SUMIFS(Calc!$Y$5:$Y$1369,Calc!$A$5:$A$1369,A85)</f>
        <v>0.733339256605797</v>
      </c>
      <c r="X85" s="7" t="n">
        <f aca="false">IFERROR(N85/W85*1000,"")</f>
        <v>131.5769011005</v>
      </c>
      <c r="Y85" s="7" t="n">
        <f aca="false">IFERROR(P85/W85*1000,"")</f>
        <v>56.0777660779486</v>
      </c>
      <c r="Z85" s="7" t="n">
        <f aca="false">IFERROR(Q85/W85*1000,"")</f>
        <v>6.38669742822647</v>
      </c>
      <c r="AA85" s="16" t="n">
        <f aca="false">SUMIFS(Calc!$AM$5:$AM$1369,Calc!$A$5:$A$1369,A85)</f>
        <v>0.230693664799244</v>
      </c>
      <c r="AB85" s="16" t="n">
        <f aca="false">SUMIFS(Calc!$AN$5:$AN$1369,Calc!$A$5:$A$1369,A85)</f>
        <v>6.26292713291806</v>
      </c>
      <c r="AC85" s="17" t="n">
        <f aca="false">Country_Data!DY85</f>
        <v>0.4</v>
      </c>
      <c r="AD85" s="12" t="n">
        <f aca="false">IF(Country_Data!BD85="","",Country_Data!BD85)</f>
        <v>1</v>
      </c>
      <c r="AE85" s="7" t="n">
        <f aca="false">IF(Country_Data!BC85="","",Country_Data!BC85)</f>
        <v>50.151</v>
      </c>
      <c r="AF85" s="12" t="n">
        <f aca="false">IF(Country_Data!BL85="","",Country_Data!BL85)</f>
        <v>0.035</v>
      </c>
      <c r="AG85" s="7" t="n">
        <f aca="false">IF(Country_Data!BA85="","",Country_Data!BA85)</f>
        <v>70.342</v>
      </c>
    </row>
    <row r="86" customFormat="false" ht="15" hidden="false" customHeight="false" outlineLevel="0" collapsed="false">
      <c r="A86" s="14" t="str">
        <f aca="false">Country_Data!A86</f>
        <v>URY</v>
      </c>
      <c r="B86" s="14" t="str">
        <f aca="false">Country_Data!B86</f>
        <v>Uruguay</v>
      </c>
      <c r="C86" s="14" t="str">
        <f aca="false">Country_Data!E86</f>
        <v>EMDC</v>
      </c>
      <c r="D86" s="14" t="str">
        <f aca="false">Country_Data!D86</f>
        <v>High income</v>
      </c>
      <c r="E86" s="15" t="n">
        <f aca="false">Country_Data!BV86</f>
        <v>91.6102059537938</v>
      </c>
      <c r="F86" s="16" t="n">
        <f aca="false">SUMIFS(Calc!$J$5:$J$1369,Calc!$A$5:$A$1369,A86)</f>
        <v>4.09115771155463</v>
      </c>
      <c r="G86" s="11" t="n">
        <f aca="false">IFERROR(F86/E86,"")</f>
        <v>0.0446583180221003</v>
      </c>
      <c r="H86" s="16" t="n">
        <f aca="false">SUMIFS(Calc!$L$5:$L$1369,Calc!$A$5:$A$1369,A86)</f>
        <v>0.981877850773111</v>
      </c>
      <c r="I86" s="11" t="n">
        <f aca="false">IFERROR(H86/E86,"")</f>
        <v>0.0107179963253041</v>
      </c>
      <c r="J86" s="17" t="n">
        <f aca="false">Country_Data!DW86</f>
        <v>0.042</v>
      </c>
      <c r="K86" s="14" t="str">
        <f aca="false">Country_Data!DV86</f>
        <v>Observed (IRENA/Steffen)</v>
      </c>
      <c r="L86" s="16" t="n">
        <f aca="false">SUMIFS(Calc!$W$5:$W$1369,Calc!$A$5:$A$1369,A86)</f>
        <v>0.034277382262524</v>
      </c>
      <c r="M86" s="16" t="n">
        <f aca="false">SUMIFS(Calc!$X$5:$X$1369,Calc!$A$5:$A$1369,A86)</f>
        <v>0.0435884129218178</v>
      </c>
      <c r="N86" s="18" t="n">
        <f aca="false">SUMIFS(Calc!$AC$5:$AC$1369,Calc!$A$5:$A$1369,A86)</f>
        <v>0.0314471388480068</v>
      </c>
      <c r="O86" s="18" t="n">
        <f aca="false">SUMIFS(Calc!$AD$5:$AD$1369,Calc!$A$5:$A$1369,A86)</f>
        <v>0.0653793599274567</v>
      </c>
      <c r="P86" s="18" t="n">
        <f aca="false">SUMIFS(Calc!$AE$5:$AE$1369,Calc!$A$5:$A$1369,A86)</f>
        <v>0.0443053939133765</v>
      </c>
      <c r="Q86" s="18" t="n">
        <f aca="false">SUMIFS(Calc!$AF$5:$AF$1369,Calc!$A$5:$A$1369,A86)</f>
        <v>0.000716980991558723</v>
      </c>
      <c r="R86" s="11" t="n">
        <f aca="false">IFERROR(N86/E86,"")</f>
        <v>0.000343271129243701</v>
      </c>
      <c r="S86" s="11" t="n">
        <f aca="false">IFERROR(P86/E86,"")</f>
        <v>0.00048362945429599</v>
      </c>
      <c r="T86" s="11" t="n">
        <f aca="false">IFERROR(Q86/E86,"")</f>
        <v>7.82643139041029E-006</v>
      </c>
      <c r="U86" s="16" t="n">
        <f aca="false">SUMIFS(Calc!$AG$5:$AG$1369,Calc!$A$5:$A$1369,A86)</f>
        <v>-0.0253602360115356</v>
      </c>
      <c r="V86" s="16" t="n">
        <f aca="false">SUMIFS(Calc!$AH$5:$AH$1369,Calc!$A$5:$A$1369,A86)</f>
        <v>-0.0514374530146299</v>
      </c>
      <c r="W86" s="16" t="n">
        <f aca="false">SUMIFS(Calc!$Y$5:$Y$1369,Calc!$A$5:$A$1369,A86)</f>
        <v>0.521544340061886</v>
      </c>
      <c r="X86" s="7" t="n">
        <f aca="false">IFERROR(N86/W86*1000,"")</f>
        <v>60.2961942684976</v>
      </c>
      <c r="Y86" s="7" t="n">
        <f aca="false">IFERROR(P86/W86*1000,"")</f>
        <v>84.9503877429084</v>
      </c>
      <c r="Z86" s="7" t="n">
        <f aca="false">IFERROR(Q86/W86*1000,"")</f>
        <v>1.3747268189578</v>
      </c>
      <c r="AA86" s="16" t="n">
        <f aca="false">SUMIFS(Calc!$AM$5:$AM$1369,Calc!$A$5:$A$1369,A86)</f>
        <v>-0.0535760627723736</v>
      </c>
      <c r="AB86" s="16" t="n">
        <f aca="false">SUMIFS(Calc!$AN$5:$AN$1369,Calc!$A$5:$A$1369,A86)</f>
        <v>4.69642487983942</v>
      </c>
      <c r="AC86" s="17" t="n">
        <f aca="false">Country_Data!DY86</f>
        <v>0.27</v>
      </c>
      <c r="AD86" s="12" t="str">
        <f aca="false">IF(Country_Data!BD86="","",Country_Data!BD86)</f>
        <v/>
      </c>
      <c r="AE86" s="7" t="n">
        <f aca="false">IF(Country_Data!BC86="","",Country_Data!BC86)</f>
        <v>150.73</v>
      </c>
      <c r="AF86" s="12" t="str">
        <f aca="false">IF(Country_Data!BL86="","",Country_Data!BL86)</f>
        <v/>
      </c>
      <c r="AG86" s="7" t="n">
        <f aca="false">IF(Country_Data!BA86="","",Country_Data!BA86)</f>
        <v>67.553</v>
      </c>
    </row>
    <row r="87" customFormat="false" ht="15" hidden="false" customHeight="false" outlineLevel="0" collapsed="false">
      <c r="A87" s="14" t="str">
        <f aca="false">Country_Data!A87</f>
        <v>TZA</v>
      </c>
      <c r="B87" s="14" t="str">
        <f aca="false">Country_Data!B87</f>
        <v>Tanzania</v>
      </c>
      <c r="C87" s="14" t="str">
        <f aca="false">Country_Data!E87</f>
        <v>EMDC</v>
      </c>
      <c r="D87" s="14" t="str">
        <f aca="false">Country_Data!D87</f>
        <v>Lower middle income</v>
      </c>
      <c r="E87" s="15" t="n">
        <f aca="false">Country_Data!BV87</f>
        <v>111.948920878512</v>
      </c>
      <c r="F87" s="16" t="n">
        <f aca="false">SUMIFS(Calc!$J$5:$J$1369,Calc!$A$5:$A$1369,A87)</f>
        <v>5.98771789122448</v>
      </c>
      <c r="G87" s="11" t="n">
        <f aca="false">IFERROR(F87/E87,"")</f>
        <v>0.0534861599757838</v>
      </c>
      <c r="H87" s="16" t="n">
        <f aca="false">SUMIFS(Calc!$L$5:$L$1369,Calc!$A$5:$A$1369,A87)</f>
        <v>1.43705229389387</v>
      </c>
      <c r="I87" s="11" t="n">
        <f aca="false">IFERROR(H87/E87,"")</f>
        <v>0.0128366783941881</v>
      </c>
      <c r="J87" s="17" t="n">
        <f aca="false">Country_Data!DW87</f>
        <v>0.105</v>
      </c>
      <c r="K87" s="14" t="str">
        <f aca="false">Country_Data!DV87</f>
        <v>Group default (IHLEG)</v>
      </c>
      <c r="L87" s="16" t="n">
        <f aca="false">SUMIFS(Calc!$W$5:$W$1369,Calc!$A$5:$A$1369,A87)</f>
        <v>0.0681830960586399</v>
      </c>
      <c r="M87" s="16" t="n">
        <f aca="false">SUMIFS(Calc!$X$5:$X$1369,Calc!$A$5:$A$1369,A87)</f>
        <v>0.0803934652481962</v>
      </c>
      <c r="N87" s="18" t="n">
        <f aca="false">SUMIFS(Calc!$AC$5:$AC$1369,Calc!$A$5:$A$1369,A87)</f>
        <v>0.0996060309609994</v>
      </c>
      <c r="O87" s="18" t="n">
        <f aca="false">SUMIFS(Calc!$AD$5:$AD$1369,Calc!$A$5:$A$1369,A87)</f>
        <v>0.157719310188677</v>
      </c>
      <c r="P87" s="18" t="n">
        <f aca="false">SUMIFS(Calc!$AE$5:$AE$1369,Calc!$A$5:$A$1369,A87)</f>
        <v>0.0468485736914748</v>
      </c>
      <c r="Q87" s="18" t="n">
        <f aca="false">SUMIFS(Calc!$AF$5:$AF$1369,Calc!$A$5:$A$1369,A87)</f>
        <v>-0.0335448915567214</v>
      </c>
      <c r="R87" s="11" t="n">
        <f aca="false">IFERROR(N87/E87,"")</f>
        <v>0.000889745342602207</v>
      </c>
      <c r="S87" s="11" t="n">
        <f aca="false">IFERROR(P87/E87,"")</f>
        <v>0.000418481690791063</v>
      </c>
      <c r="T87" s="11" t="n">
        <f aca="false">IFERROR(Q87/E87,"")</f>
        <v>-0.000299644617326187</v>
      </c>
      <c r="U87" s="16" t="n">
        <f aca="false">SUMIFS(Calc!$AG$5:$AG$1369,Calc!$A$5:$A$1369,A87)</f>
        <v>-0.0943495974271256</v>
      </c>
      <c r="V87" s="16" t="n">
        <f aca="false">SUMIFS(Calc!$AH$5:$AH$1369,Calc!$A$5:$A$1369,A87)</f>
        <v>-0.15515430329753</v>
      </c>
      <c r="W87" s="16" t="n">
        <f aca="false">SUMIFS(Calc!$Y$5:$Y$1369,Calc!$A$5:$A$1369,A87)</f>
        <v>1.21609411740808</v>
      </c>
      <c r="X87" s="7" t="n">
        <f aca="false">IFERROR(N87/W87*1000,"")</f>
        <v>81.9065149112753</v>
      </c>
      <c r="Y87" s="7" t="n">
        <f aca="false">IFERROR(P87/W87*1000,"")</f>
        <v>38.5238058640767</v>
      </c>
      <c r="Z87" s="7" t="n">
        <f aca="false">IFERROR(Q87/W87*1000,"")</f>
        <v>-27.5841245151462</v>
      </c>
      <c r="AA87" s="16" t="n">
        <f aca="false">SUMIFS(Calc!$AM$5:$AM$1369,Calc!$A$5:$A$1369,A87)</f>
        <v>0.219822738623019</v>
      </c>
      <c r="AB87" s="16" t="n">
        <f aca="false">SUMIFS(Calc!$AN$5:$AN$1369,Calc!$A$5:$A$1369,A87)</f>
        <v>7.30594415564909</v>
      </c>
      <c r="AC87" s="17" t="n">
        <f aca="false">Country_Data!DY87</f>
        <v>0.355</v>
      </c>
      <c r="AD87" s="12" t="n">
        <f aca="false">IF(Country_Data!BD87="","",Country_Data!BD87)</f>
        <v>1.5</v>
      </c>
      <c r="AE87" s="7" t="n">
        <f aca="false">IF(Country_Data!BC87="","",Country_Data!BC87)</f>
        <v>87.952</v>
      </c>
      <c r="AF87" s="12" t="n">
        <f aca="false">IF(Country_Data!BL87="","",Country_Data!BL87)</f>
        <v>3.017</v>
      </c>
      <c r="AG87" s="7" t="n">
        <f aca="false">IF(Country_Data!BA87="","",Country_Data!BA87)</f>
        <v>49.86</v>
      </c>
    </row>
    <row r="88" customFormat="false" ht="15" hidden="false" customHeight="false" outlineLevel="0" collapsed="false">
      <c r="A88" s="14" t="str">
        <f aca="false">Country_Data!A88</f>
        <v>BLR</v>
      </c>
      <c r="B88" s="14" t="str">
        <f aca="false">Country_Data!B88</f>
        <v>Belarus</v>
      </c>
      <c r="C88" s="14" t="str">
        <f aca="false">Country_Data!E88</f>
        <v>EMDC</v>
      </c>
      <c r="D88" s="14" t="str">
        <f aca="false">Country_Data!D88</f>
        <v>Upper middle income</v>
      </c>
      <c r="E88" s="15" t="n">
        <f aca="false">Country_Data!BV88</f>
        <v>84.8335474737877</v>
      </c>
      <c r="F88" s="16" t="n">
        <f aca="false">SUMIFS(Calc!$J$5:$J$1369,Calc!$A$5:$A$1369,A88)</f>
        <v>6.21396887012414</v>
      </c>
      <c r="G88" s="11" t="n">
        <f aca="false">IFERROR(F88/E88,"")</f>
        <v>0.0732489569889101</v>
      </c>
      <c r="H88" s="16" t="n">
        <f aca="false">SUMIFS(Calc!$L$5:$L$1369,Calc!$A$5:$A$1369,A88)</f>
        <v>1.49135252882979</v>
      </c>
      <c r="I88" s="11" t="n">
        <f aca="false">IFERROR(H88/E88,"")</f>
        <v>0.0175797496773384</v>
      </c>
      <c r="J88" s="17" t="n">
        <f aca="false">Country_Data!DW88</f>
        <v>0.105</v>
      </c>
      <c r="K88" s="14" t="str">
        <f aca="false">Country_Data!DV88</f>
        <v>Group default (IHLEG)</v>
      </c>
      <c r="L88" s="16" t="n">
        <f aca="false">SUMIFS(Calc!$W$5:$W$1369,Calc!$A$5:$A$1369,A88)</f>
        <v>0.0864001740463292</v>
      </c>
      <c r="M88" s="16" t="n">
        <f aca="false">SUMIFS(Calc!$X$5:$X$1369,Calc!$A$5:$A$1369,A88)</f>
        <v>0.0958697662565642</v>
      </c>
      <c r="N88" s="18" t="n">
        <f aca="false">SUMIFS(Calc!$AC$5:$AC$1369,Calc!$A$5:$A$1369,A88)</f>
        <v>0.0889539992740084</v>
      </c>
      <c r="O88" s="18" t="n">
        <f aca="false">SUMIFS(Calc!$AD$5:$AD$1369,Calc!$A$5:$A$1369,A88)</f>
        <v>0.148906373770524</v>
      </c>
      <c r="P88" s="18" t="n">
        <f aca="false">SUMIFS(Calc!$AE$5:$AE$1369,Calc!$A$5:$A$1369,A88)</f>
        <v>0.0345188747710981</v>
      </c>
      <c r="Q88" s="18" t="n">
        <f aca="false">SUMIFS(Calc!$AF$5:$AF$1369,Calc!$A$5:$A$1369,A88)</f>
        <v>-0.0613508914854661</v>
      </c>
      <c r="R88" s="11" t="n">
        <f aca="false">IFERROR(N88/E88,"")</f>
        <v>0.00104857101845816</v>
      </c>
      <c r="S88" s="11" t="n">
        <f aca="false">IFERROR(P88/E88,"")</f>
        <v>0.000406901229513759</v>
      </c>
      <c r="T88" s="11" t="n">
        <f aca="false">IFERROR(Q88/E88,"")</f>
        <v>-0.000723191394352838</v>
      </c>
      <c r="U88" s="16" t="n">
        <f aca="false">SUMIFS(Calc!$AG$5:$AG$1369,Calc!$A$5:$A$1369,A88)</f>
        <v>-0.103958650114804</v>
      </c>
      <c r="V88" s="16" t="n">
        <f aca="false">SUMIFS(Calc!$AH$5:$AH$1369,Calc!$A$5:$A$1369,A88)</f>
        <v>-0.146566408744142</v>
      </c>
      <c r="W88" s="16" t="n">
        <f aca="false">SUMIFS(Calc!$Y$5:$Y$1369,Calc!$A$5:$A$1369,A88)</f>
        <v>0.852155172586762</v>
      </c>
      <c r="X88" s="7" t="n">
        <f aca="false">IFERROR(N88/W88*1000,"")</f>
        <v>104.387090679722</v>
      </c>
      <c r="Y88" s="7" t="n">
        <f aca="false">IFERROR(P88/W88*1000,"")</f>
        <v>40.5077336634761</v>
      </c>
      <c r="Z88" s="7" t="n">
        <f aca="false">IFERROR(Q88/W88*1000,"")</f>
        <v>-71.9949763365659</v>
      </c>
      <c r="AA88" s="16" t="n">
        <f aca="false">SUMIFS(Calc!$AM$5:$AM$1369,Calc!$A$5:$A$1369,A88)</f>
        <v>0.226813018762126</v>
      </c>
      <c r="AB88" s="16" t="n">
        <f aca="false">SUMIFS(Calc!$AN$5:$AN$1369,Calc!$A$5:$A$1369,A88)</f>
        <v>7.13329577145757</v>
      </c>
      <c r="AC88" s="17" t="n">
        <f aca="false">Country_Data!DY88</f>
        <v>0.27</v>
      </c>
      <c r="AD88" s="12" t="str">
        <f aca="false">IF(Country_Data!BD88="","",Country_Data!BD88)</f>
        <v/>
      </c>
      <c r="AE88" s="7" t="str">
        <f aca="false">IF(Country_Data!BC88="","",Country_Data!BC88)</f>
        <v/>
      </c>
      <c r="AF88" s="12" t="n">
        <f aca="false">IF(Country_Data!BL88="","",Country_Data!BL88)</f>
        <v>3.653</v>
      </c>
      <c r="AG88" s="7" t="n">
        <f aca="false">IF(Country_Data!BA88="","",Country_Data!BA88)</f>
        <v>38.699</v>
      </c>
    </row>
    <row r="89" customFormat="false" ht="15" hidden="false" customHeight="false" outlineLevel="0" collapsed="false">
      <c r="A89" s="14" t="str">
        <f aca="false">Country_Data!A89</f>
        <v>MMR</v>
      </c>
      <c r="B89" s="14" t="str">
        <f aca="false">Country_Data!B89</f>
        <v>Myanmar</v>
      </c>
      <c r="C89" s="14" t="str">
        <f aca="false">Country_Data!E89</f>
        <v>EMDC</v>
      </c>
      <c r="D89" s="14" t="str">
        <f aca="false">Country_Data!D89</f>
        <v>Lower middle income</v>
      </c>
      <c r="E89" s="15" t="n">
        <f aca="false">Country_Data!BV89</f>
        <v>87.2158868067666</v>
      </c>
      <c r="F89" s="16" t="n">
        <f aca="false">SUMIFS(Calc!$J$5:$J$1369,Calc!$A$5:$A$1369,A89)</f>
        <v>8.49611086519651</v>
      </c>
      <c r="G89" s="11" t="n">
        <f aca="false">IFERROR(F89/E89,"")</f>
        <v>0.0974147162433868</v>
      </c>
      <c r="H89" s="16" t="n">
        <f aca="false">SUMIFS(Calc!$L$5:$L$1369,Calc!$A$5:$A$1369,A89)</f>
        <v>2.03906660764716</v>
      </c>
      <c r="I89" s="11" t="n">
        <f aca="false">IFERROR(H89/E89,"")</f>
        <v>0.0233795318984128</v>
      </c>
      <c r="J89" s="17" t="n">
        <f aca="false">Country_Data!DW89</f>
        <v>0.105</v>
      </c>
      <c r="K89" s="14" t="str">
        <f aca="false">Country_Data!DV89</f>
        <v>Group default (IHLEG)</v>
      </c>
      <c r="L89" s="16" t="n">
        <f aca="false">SUMIFS(Calc!$W$5:$W$1369,Calc!$A$5:$A$1369,A89)</f>
        <v>0.0597413849042237</v>
      </c>
      <c r="M89" s="16" t="n">
        <f aca="false">SUMIFS(Calc!$X$5:$X$1369,Calc!$A$5:$A$1369,A89)</f>
        <v>0.147399674050677</v>
      </c>
      <c r="N89" s="18" t="n">
        <f aca="false">SUMIFS(Calc!$AC$5:$AC$1369,Calc!$A$5:$A$1369,A89)</f>
        <v>0.177168507343999</v>
      </c>
      <c r="O89" s="18" t="n">
        <f aca="false">SUMIFS(Calc!$AD$5:$AD$1369,Calc!$A$5:$A$1369,A89)</f>
        <v>0.259907818461833</v>
      </c>
      <c r="P89" s="18" t="n">
        <f aca="false">SUMIFS(Calc!$AE$5:$AE$1369,Calc!$A$5:$A$1369,A89)</f>
        <v>0.102048417111583</v>
      </c>
      <c r="Q89" s="18" t="n">
        <f aca="false">SUMIFS(Calc!$AF$5:$AF$1369,Calc!$A$5:$A$1369,A89)</f>
        <v>-0.0453512569390937</v>
      </c>
      <c r="R89" s="11" t="n">
        <f aca="false">IFERROR(N89/E89,"")</f>
        <v>0.00203137884427558</v>
      </c>
      <c r="S89" s="11" t="n">
        <f aca="false">IFERROR(P89/E89,"")</f>
        <v>0.00117006684043332</v>
      </c>
      <c r="T89" s="11" t="n">
        <f aca="false">IFERROR(Q89/E89,"")</f>
        <v>-0.000519988486037789</v>
      </c>
      <c r="U89" s="16" t="n">
        <f aca="false">SUMIFS(Calc!$AG$5:$AG$1369,Calc!$A$5:$A$1369,A89)</f>
        <v>-0.13695394954354</v>
      </c>
      <c r="V89" s="16" t="n">
        <f aca="false">SUMIFS(Calc!$AH$5:$AH$1369,Calc!$A$5:$A$1369,A89)</f>
        <v>-0.228556642147987</v>
      </c>
      <c r="W89" s="16" t="n">
        <f aca="false">SUMIFS(Calc!$Y$5:$Y$1369,Calc!$A$5:$A$1369,A89)</f>
        <v>1.83205385208893</v>
      </c>
      <c r="X89" s="7" t="n">
        <f aca="false">IFERROR(N89/W89*1000,"")</f>
        <v>96.7048578522894</v>
      </c>
      <c r="Y89" s="7" t="n">
        <f aca="false">IFERROR(P89/W89*1000,"")</f>
        <v>55.7016470859883</v>
      </c>
      <c r="Z89" s="7" t="n">
        <f aca="false">IFERROR(Q89/W89*1000,"")</f>
        <v>-24.7543252548956</v>
      </c>
      <c r="AA89" s="16" t="n">
        <f aca="false">SUMIFS(Calc!$AM$5:$AM$1369,Calc!$A$5:$A$1369,A89)</f>
        <v>0.3130003759684</v>
      </c>
      <c r="AB89" s="16" t="n">
        <f aca="false">SUMIFS(Calc!$AN$5:$AN$1369,Calc!$A$5:$A$1369,A89)</f>
        <v>10.7617404292489</v>
      </c>
      <c r="AC89" s="17" t="n">
        <f aca="false">Country_Data!DY89</f>
        <v>0.4</v>
      </c>
      <c r="AD89" s="12" t="n">
        <f aca="false">IF(Country_Data!BD89="","",Country_Data!BD89)</f>
        <v>1</v>
      </c>
      <c r="AE89" s="7" t="n">
        <f aca="false">IF(Country_Data!BC89="","",Country_Data!BC89)</f>
        <v>114.131</v>
      </c>
      <c r="AF89" s="12" t="n">
        <f aca="false">IF(Country_Data!BL89="","",Country_Data!BL89)</f>
        <v>1.519</v>
      </c>
      <c r="AG89" s="7" t="n">
        <f aca="false">IF(Country_Data!BA89="","",Country_Data!BA89)</f>
        <v>50.643</v>
      </c>
    </row>
    <row r="90" customFormat="false" ht="15" hidden="false" customHeight="false" outlineLevel="0" collapsed="false">
      <c r="A90" s="14" t="str">
        <f aca="false">Country_Data!A90</f>
        <v>COD</v>
      </c>
      <c r="B90" s="14" t="str">
        <f aca="false">Country_Data!B90</f>
        <v>Congo, Dem. Rep.</v>
      </c>
      <c r="C90" s="14" t="str">
        <f aca="false">Country_Data!E90</f>
        <v>EMDC</v>
      </c>
      <c r="D90" s="14" t="str">
        <f aca="false">Country_Data!D90</f>
        <v>Low income</v>
      </c>
      <c r="E90" s="15" t="n">
        <f aca="false">Country_Data!BV90</f>
        <v>108.077455670596</v>
      </c>
      <c r="F90" s="16" t="n">
        <f aca="false">SUMIFS(Calc!$J$5:$J$1369,Calc!$A$5:$A$1369,A90)</f>
        <v>13.8098324990928</v>
      </c>
      <c r="G90" s="11" t="n">
        <f aca="false">IFERROR(F90/E90,"")</f>
        <v>0.127777179925323</v>
      </c>
      <c r="H90" s="16" t="n">
        <f aca="false">SUMIFS(Calc!$L$5:$L$1369,Calc!$A$5:$A$1369,A90)</f>
        <v>3.31435979978228</v>
      </c>
      <c r="I90" s="11" t="n">
        <f aca="false">IFERROR(H90/E90,"")</f>
        <v>0.0306665231820774</v>
      </c>
      <c r="J90" s="17" t="n">
        <f aca="false">Country_Data!DW90</f>
        <v>0.105</v>
      </c>
      <c r="K90" s="14" t="str">
        <f aca="false">Country_Data!DV90</f>
        <v>Group default (IHLEG)</v>
      </c>
      <c r="L90" s="16" t="n">
        <f aca="false">SUMIFS(Calc!$W$5:$W$1369,Calc!$A$5:$A$1369,A90)</f>
        <v>0.118562271371773</v>
      </c>
      <c r="M90" s="16" t="n">
        <f aca="false">SUMIFS(Calc!$X$5:$X$1369,Calc!$A$5:$A$1369,A90)</f>
        <v>0.346498524858277</v>
      </c>
      <c r="N90" s="18" t="n">
        <f aca="false">SUMIFS(Calc!$AC$5:$AC$1369,Calc!$A$5:$A$1369,A90)</f>
        <v>0.253443931831755</v>
      </c>
      <c r="O90" s="18" t="n">
        <f aca="false">SUMIFS(Calc!$AD$5:$AD$1369,Calc!$A$5:$A$1369,A90)</f>
        <v>0.390663702310477</v>
      </c>
      <c r="P90" s="18" t="n">
        <f aca="false">SUMIFS(Calc!$AE$5:$AE$1369,Calc!$A$5:$A$1369,A90)</f>
        <v>0.128937162508156</v>
      </c>
      <c r="Q90" s="18" t="n">
        <f aca="false">SUMIFS(Calc!$AF$5:$AF$1369,Calc!$A$5:$A$1369,A90)</f>
        <v>-0.217561362350121</v>
      </c>
      <c r="R90" s="11" t="n">
        <f aca="false">IFERROR(N90/E90,"")</f>
        <v>0.00234502126515833</v>
      </c>
      <c r="S90" s="11" t="n">
        <f aca="false">IFERROR(P90/E90,"")</f>
        <v>0.00119300701249978</v>
      </c>
      <c r="T90" s="11" t="n">
        <f aca="false">IFERROR(Q90/E90,"")</f>
        <v>-0.00201301336157667</v>
      </c>
      <c r="U90" s="16" t="n">
        <f aca="false">SUMIFS(Calc!$AG$5:$AG$1369,Calc!$A$5:$A$1369,A90)</f>
        <v>-0.414334411013641</v>
      </c>
      <c r="V90" s="16" t="n">
        <f aca="false">SUMIFS(Calc!$AH$5:$AH$1369,Calc!$A$5:$A$1369,A90)</f>
        <v>-0.611107459677161</v>
      </c>
      <c r="W90" s="16" t="n">
        <f aca="false">SUMIFS(Calc!$Y$5:$Y$1369,Calc!$A$5:$A$1369,A90)</f>
        <v>3.9354609732704</v>
      </c>
      <c r="X90" s="7" t="n">
        <f aca="false">IFERROR(N90/W90*1000,"")</f>
        <v>64.4000622933737</v>
      </c>
      <c r="Y90" s="7" t="n">
        <f aca="false">IFERROR(P90/W90*1000,"")</f>
        <v>32.7629122443076</v>
      </c>
      <c r="Z90" s="7" t="n">
        <f aca="false">IFERROR(Q90/W90*1000,"")</f>
        <v>-55.2823071624378</v>
      </c>
      <c r="AA90" s="16" t="n">
        <f aca="false">SUMIFS(Calc!$AM$5:$AM$1369,Calc!$A$5:$A$1369,A90)</f>
        <v>0.518778205514998</v>
      </c>
      <c r="AB90" s="16" t="n">
        <f aca="false">SUMIFS(Calc!$AN$5:$AN$1369,Calc!$A$5:$A$1369,A90)</f>
        <v>17.4924544988509</v>
      </c>
      <c r="AC90" s="17" t="n">
        <f aca="false">Country_Data!DY90</f>
        <v>0.4</v>
      </c>
      <c r="AD90" s="12" t="n">
        <f aca="false">IF(Country_Data!BD90="","",Country_Data!BD90)</f>
        <v>1</v>
      </c>
      <c r="AE90" s="7" t="n">
        <f aca="false">IF(Country_Data!BC90="","",Country_Data!BC90)</f>
        <v>25.041</v>
      </c>
      <c r="AF90" s="12" t="n">
        <f aca="false">IF(Country_Data!BL90="","",Country_Data!BL90)</f>
        <v>4.505</v>
      </c>
      <c r="AG90" s="7" t="n">
        <f aca="false">IF(Country_Data!BA90="","",Country_Data!BA90)</f>
        <v>15.841</v>
      </c>
    </row>
    <row r="91" customFormat="false" ht="15" hidden="false" customHeight="false" outlineLevel="0" collapsed="false">
      <c r="A91" s="14" t="str">
        <f aca="false">Country_Data!A91</f>
        <v>AZE</v>
      </c>
      <c r="B91" s="14" t="str">
        <f aca="false">Country_Data!B91</f>
        <v>Azerbaijan</v>
      </c>
      <c r="C91" s="14" t="str">
        <f aca="false">Country_Data!E91</f>
        <v>EMDC</v>
      </c>
      <c r="D91" s="14" t="str">
        <f aca="false">Country_Data!D91</f>
        <v>Upper middle income</v>
      </c>
      <c r="E91" s="15" t="n">
        <f aca="false">Country_Data!BV91</f>
        <v>84.2128346885473</v>
      </c>
      <c r="F91" s="16" t="n">
        <f aca="false">SUMIFS(Calc!$J$5:$J$1369,Calc!$A$5:$A$1369,A91)</f>
        <v>5.47147690928311</v>
      </c>
      <c r="G91" s="11" t="n">
        <f aca="false">IFERROR(F91/E91,"")</f>
        <v>0.0649720072898486</v>
      </c>
      <c r="H91" s="16" t="n">
        <f aca="false">SUMIFS(Calc!$L$5:$L$1369,Calc!$A$5:$A$1369,A91)</f>
        <v>1.31315445822795</v>
      </c>
      <c r="I91" s="11" t="n">
        <f aca="false">IFERROR(H91/E91,"")</f>
        <v>0.0155932817495637</v>
      </c>
      <c r="J91" s="17" t="n">
        <f aca="false">Country_Data!DW91</f>
        <v>0.0914000000000002</v>
      </c>
      <c r="K91" s="14" t="str">
        <f aca="false">Country_Data!DV91</f>
        <v>Observed (IRENA/Steffen)</v>
      </c>
      <c r="L91" s="16" t="n">
        <f aca="false">SUMIFS(Calc!$W$5:$W$1369,Calc!$A$5:$A$1369,A91)</f>
        <v>0.0790655799385203</v>
      </c>
      <c r="M91" s="16" t="n">
        <f aca="false">SUMIFS(Calc!$X$5:$X$1369,Calc!$A$5:$A$1369,A91)</f>
        <v>0.0595254868680237</v>
      </c>
      <c r="N91" s="18" t="n">
        <f aca="false">SUMIFS(Calc!$AC$5:$AC$1369,Calc!$A$5:$A$1369,A91)</f>
        <v>0.0594571575292157</v>
      </c>
      <c r="O91" s="18" t="n">
        <f aca="false">SUMIFS(Calc!$AD$5:$AD$1369,Calc!$A$5:$A$1369,A91)</f>
        <v>0.11117059221461</v>
      </c>
      <c r="P91" s="18" t="n">
        <f aca="false">SUMIFS(Calc!$AE$5:$AE$1369,Calc!$A$5:$A$1369,A91)</f>
        <v>0.026602179228793</v>
      </c>
      <c r="Q91" s="18" t="n">
        <f aca="false">SUMIFS(Calc!$AF$5:$AF$1369,Calc!$A$5:$A$1369,A91)</f>
        <v>-0.0329233076392307</v>
      </c>
      <c r="R91" s="11" t="n">
        <f aca="false">IFERROR(N91/E91,"")</f>
        <v>0.00070603439189658</v>
      </c>
      <c r="S91" s="11" t="n">
        <f aca="false">IFERROR(P91/E91,"")</f>
        <v>0.000315892219127624</v>
      </c>
      <c r="T91" s="11" t="n">
        <f aca="false">IFERROR(Q91/E91,"")</f>
        <v>-0.000390953561425574</v>
      </c>
      <c r="U91" s="16" t="n">
        <f aca="false">SUMIFS(Calc!$AG$5:$AG$1369,Calc!$A$5:$A$1369,A91)</f>
        <v>-0.0759135058257681</v>
      </c>
      <c r="V91" s="16" t="n">
        <f aca="false">SUMIFS(Calc!$AH$5:$AH$1369,Calc!$A$5:$A$1369,A91)</f>
        <v>-0.118903704012306</v>
      </c>
      <c r="W91" s="16" t="n">
        <f aca="false">SUMIFS(Calc!$Y$5:$Y$1369,Calc!$A$5:$A$1369,A91)</f>
        <v>0.859803963730749</v>
      </c>
      <c r="X91" s="7" t="n">
        <f aca="false">IFERROR(N91/W91*1000,"")</f>
        <v>69.1519928231396</v>
      </c>
      <c r="Y91" s="7" t="n">
        <f aca="false">IFERROR(P91/W91*1000,"")</f>
        <v>30.9398192506165</v>
      </c>
      <c r="Z91" s="7" t="n">
        <f aca="false">IFERROR(Q91/W91*1000,"")</f>
        <v>-38.2916444073765</v>
      </c>
      <c r="AA91" s="16" t="n">
        <f aca="false">SUMIFS(Calc!$AM$5:$AM$1369,Calc!$A$5:$A$1369,A91)</f>
        <v>0.136895742918428</v>
      </c>
      <c r="AB91" s="16" t="n">
        <f aca="false">SUMIFS(Calc!$AN$5:$AN$1369,Calc!$A$5:$A$1369,A91)</f>
        <v>6.28095568490307</v>
      </c>
      <c r="AC91" s="17" t="n">
        <f aca="false">Country_Data!DY91</f>
        <v>0.27</v>
      </c>
      <c r="AD91" s="12" t="str">
        <f aca="false">IF(Country_Data!BD91="","",Country_Data!BD91)</f>
        <v/>
      </c>
      <c r="AE91" s="7" t="n">
        <f aca="false">IF(Country_Data!BC91="","",Country_Data!BC91)</f>
        <v>99.354</v>
      </c>
      <c r="AF91" s="12" t="n">
        <f aca="false">IF(Country_Data!BL91="","",Country_Data!BL91)</f>
        <v>2.041</v>
      </c>
      <c r="AG91" s="7" t="n">
        <f aca="false">IF(Country_Data!BA91="","",Country_Data!BA91)</f>
        <v>21.64</v>
      </c>
    </row>
    <row r="92" customFormat="false" ht="15" hidden="false" customHeight="false" outlineLevel="0" collapsed="false">
      <c r="A92" s="14" t="str">
        <f aca="false">Country_Data!A92</f>
        <v>SVN</v>
      </c>
      <c r="B92" s="14" t="str">
        <f aca="false">Country_Data!B92</f>
        <v>Slovenia</v>
      </c>
      <c r="C92" s="14" t="str">
        <f aca="false">Country_Data!E92</f>
        <v>AE</v>
      </c>
      <c r="D92" s="14" t="str">
        <f aca="false">Country_Data!D92</f>
        <v>High income</v>
      </c>
      <c r="E92" s="15" t="n">
        <f aca="false">Country_Data!BV92</f>
        <v>81.3964471561305</v>
      </c>
      <c r="F92" s="16" t="n">
        <f aca="false">SUMIFS(Calc!$J$5:$J$1369,Calc!$A$5:$A$1369,A92)</f>
        <v>3.00683612187892</v>
      </c>
      <c r="G92" s="11" t="n">
        <f aca="false">IFERROR(F92/E92,"")</f>
        <v>0.0369406310340715</v>
      </c>
      <c r="H92" s="16" t="n">
        <f aca="false">SUMIFS(Calc!$L$5:$L$1369,Calc!$A$5:$A$1369,A92)</f>
        <v>1.14259772631399</v>
      </c>
      <c r="I92" s="11" t="n">
        <f aca="false">IFERROR(H92/E92,"")</f>
        <v>0.0140374397929472</v>
      </c>
      <c r="J92" s="17" t="n">
        <f aca="false">Country_Data!DW92</f>
        <v>0.045</v>
      </c>
      <c r="K92" s="14" t="str">
        <f aca="false">Country_Data!DV92</f>
        <v>Observed (IRENA/Steffen)</v>
      </c>
      <c r="L92" s="16" t="n">
        <f aca="false">SUMIFS(Calc!$W$5:$W$1369,Calc!$A$5:$A$1369,A92)</f>
        <v>0.0624268985054968</v>
      </c>
      <c r="M92" s="16" t="n">
        <f aca="false">SUMIFS(Calc!$X$5:$X$1369,Calc!$A$5:$A$1369,A92)</f>
        <v>0.010081888177331</v>
      </c>
      <c r="N92" s="18" t="n">
        <f aca="false">SUMIFS(Calc!$AC$5:$AC$1369,Calc!$A$5:$A$1369,A92)</f>
        <v>0.0196093481843101</v>
      </c>
      <c r="O92" s="18" t="n">
        <f aca="false">SUMIFS(Calc!$AD$5:$AD$1369,Calc!$A$5:$A$1369,A92)</f>
        <v>0.0320542911513455</v>
      </c>
      <c r="P92" s="18" t="n">
        <f aca="false">SUMIFS(Calc!$AE$5:$AE$1369,Calc!$A$5:$A$1369,A92)</f>
        <v>0.0320542911513454</v>
      </c>
      <c r="Q92" s="18" t="n">
        <f aca="false">SUMIFS(Calc!$AF$5:$AF$1369,Calc!$A$5:$A$1369,A92)</f>
        <v>0.0219724029740144</v>
      </c>
      <c r="R92" s="11" t="n">
        <f aca="false">IFERROR(N92/E92,"")</f>
        <v>0.000240911598348961</v>
      </c>
      <c r="S92" s="11" t="n">
        <f aca="false">IFERROR(P92/E92,"")</f>
        <v>0.000393804548862686</v>
      </c>
      <c r="T92" s="11" t="n">
        <f aca="false">IFERROR(Q92/E92,"")</f>
        <v>0.000269943022597388</v>
      </c>
      <c r="U92" s="16" t="n">
        <f aca="false">SUMIFS(Calc!$AG$5:$AG$1369,Calc!$A$5:$A$1369,A92)</f>
        <v>0.00241438083056943</v>
      </c>
      <c r="V92" s="16" t="n">
        <f aca="false">SUMIFS(Calc!$AH$5:$AH$1369,Calc!$A$5:$A$1369,A92)</f>
        <v>-0.0171436413128756</v>
      </c>
      <c r="W92" s="16" t="n">
        <f aca="false">SUMIFS(Calc!$Y$5:$Y$1369,Calc!$A$5:$A$1369,A92)</f>
        <v>0.3911604428689</v>
      </c>
      <c r="X92" s="7" t="n">
        <f aca="false">IFERROR(N92/W92*1000,"")</f>
        <v>50.1312148040551</v>
      </c>
      <c r="Y92" s="7" t="n">
        <f aca="false">IFERROR(P92/W92*1000,"")</f>
        <v>81.9466582976762</v>
      </c>
      <c r="Z92" s="7" t="n">
        <f aca="false">IFERROR(Q92/W92*1000,"")</f>
        <v>56.1723542719749</v>
      </c>
      <c r="AA92" s="16" t="n">
        <f aca="false">SUMIFS(Calc!$AM$5:$AM$1369,Calc!$A$5:$A$1369,A92)</f>
        <v>-0.0327498499132508</v>
      </c>
      <c r="AB92" s="16" t="n">
        <f aca="false">SUMIFS(Calc!$AN$5:$AN$1369,Calc!$A$5:$A$1369,A92)</f>
        <v>3.14162532734245</v>
      </c>
      <c r="AC92" s="17" t="n">
        <f aca="false">Country_Data!DY92</f>
        <v>0.13</v>
      </c>
      <c r="AD92" s="12" t="str">
        <f aca="false">IF(Country_Data!BD92="","",Country_Data!BD92)</f>
        <v/>
      </c>
      <c r="AE92" s="7" t="str">
        <f aca="false">IF(Country_Data!BC92="","",Country_Data!BC92)</f>
        <v/>
      </c>
      <c r="AF92" s="12" t="str">
        <f aca="false">IF(Country_Data!BL92="","",Country_Data!BL92)</f>
        <v/>
      </c>
      <c r="AG92" s="7" t="n">
        <f aca="false">IF(Country_Data!BA92="","",Country_Data!BA92)</f>
        <v>66.606</v>
      </c>
    </row>
    <row r="93" customFormat="false" ht="15" hidden="false" customHeight="false" outlineLevel="0" collapsed="false">
      <c r="A93" s="14" t="str">
        <f aca="false">Country_Data!A93</f>
        <v>TKM</v>
      </c>
      <c r="B93" s="14" t="str">
        <f aca="false">Country_Data!B93</f>
        <v>Turkmenistan</v>
      </c>
      <c r="C93" s="14" t="str">
        <f aca="false">Country_Data!E93</f>
        <v>EMDC</v>
      </c>
      <c r="D93" s="14" t="str">
        <f aca="false">Country_Data!D93</f>
        <v>Upper middle income</v>
      </c>
      <c r="E93" s="15" t="n">
        <f aca="false">Country_Data!BV93</f>
        <v>80.8713339927671</v>
      </c>
      <c r="F93" s="16" t="n">
        <f aca="false">SUMIFS(Calc!$J$5:$J$1369,Calc!$A$5:$A$1369,A93)</f>
        <v>7.36518940096734</v>
      </c>
      <c r="G93" s="11" t="n">
        <f aca="false">IFERROR(F93/E93,"")</f>
        <v>0.0910729307572206</v>
      </c>
      <c r="H93" s="16" t="n">
        <f aca="false">SUMIFS(Calc!$L$5:$L$1369,Calc!$A$5:$A$1369,A93)</f>
        <v>1.76764545623216</v>
      </c>
      <c r="I93" s="11" t="n">
        <f aca="false">IFERROR(H93/E93,"")</f>
        <v>0.0218575033817329</v>
      </c>
      <c r="J93" s="17" t="n">
        <f aca="false">Country_Data!DW93</f>
        <v>0.105</v>
      </c>
      <c r="K93" s="14" t="str">
        <f aca="false">Country_Data!DV93</f>
        <v>Group default (IHLEG)</v>
      </c>
      <c r="L93" s="16" t="n">
        <f aca="false">SUMIFS(Calc!$W$5:$W$1369,Calc!$A$5:$A$1369,A93)</f>
        <v>0.194683559360621</v>
      </c>
      <c r="M93" s="16" t="n">
        <f aca="false">SUMIFS(Calc!$X$5:$X$1369,Calc!$A$5:$A$1369,A93)</f>
        <v>0.0707834523829048</v>
      </c>
      <c r="N93" s="18" t="n">
        <f aca="false">SUMIFS(Calc!$AC$5:$AC$1369,Calc!$A$5:$A$1369,A93)</f>
        <v>0.0127546862218836</v>
      </c>
      <c r="O93" s="18" t="n">
        <f aca="false">SUMIFS(Calc!$AD$5:$AD$1369,Calc!$A$5:$A$1369,A93)</f>
        <v>0.0835208051607079</v>
      </c>
      <c r="P93" s="18" t="n">
        <f aca="false">SUMIFS(Calc!$AE$5:$AE$1369,Calc!$A$5:$A$1369,A93)</f>
        <v>-0.051251016403146</v>
      </c>
      <c r="Q93" s="18" t="n">
        <f aca="false">SUMIFS(Calc!$AF$5:$AF$1369,Calc!$A$5:$A$1369,A93)</f>
        <v>-0.122034468786051</v>
      </c>
      <c r="R93" s="11" t="n">
        <f aca="false">IFERROR(N93/E93,"")</f>
        <v>0.000157715788675186</v>
      </c>
      <c r="S93" s="11" t="n">
        <f aca="false">IFERROR(P93/E93,"")</f>
        <v>-0.000633735266537457</v>
      </c>
      <c r="T93" s="11" t="n">
        <f aca="false">IFERROR(Q93/E93,"")</f>
        <v>-0.00150899537278519</v>
      </c>
      <c r="U93" s="16" t="n">
        <f aca="false">SUMIFS(Calc!$AG$5:$AG$1369,Calc!$A$5:$A$1369,A93)</f>
        <v>-0.181169571072506</v>
      </c>
      <c r="V93" s="16" t="n">
        <f aca="false">SUMIFS(Calc!$AH$5:$AH$1369,Calc!$A$5:$A$1369,A93)</f>
        <v>-0.240304673358961</v>
      </c>
      <c r="W93" s="16" t="n">
        <f aca="false">SUMIFS(Calc!$Y$5:$Y$1369,Calc!$A$5:$A$1369,A93)</f>
        <v>1.1827020457291</v>
      </c>
      <c r="X93" s="7" t="n">
        <f aca="false">IFERROR(N93/W93*1000,"")</f>
        <v>10.784361342692</v>
      </c>
      <c r="Y93" s="7" t="n">
        <f aca="false">IFERROR(P93/W93*1000,"")</f>
        <v>-43.3338359295314</v>
      </c>
      <c r="Z93" s="7" t="n">
        <f aca="false">IFERROR(Q93/W93*1000,"")</f>
        <v>-103.182766299199</v>
      </c>
      <c r="AA93" s="16" t="n">
        <f aca="false">SUMIFS(Calc!$AM$5:$AM$1369,Calc!$A$5:$A$1369,A93)</f>
        <v>0.26669042760429</v>
      </c>
      <c r="AB93" s="16" t="n">
        <f aca="false">SUMIFS(Calc!$AN$5:$AN$1369,Calc!$A$5:$A$1369,A93)</f>
        <v>8.45483386028854</v>
      </c>
      <c r="AC93" s="17" t="n">
        <f aca="false">Country_Data!DY93</f>
        <v>0.27</v>
      </c>
      <c r="AD93" s="12" t="str">
        <f aca="false">IF(Country_Data!BD93="","",Country_Data!BD93)</f>
        <v/>
      </c>
      <c r="AE93" s="7" t="str">
        <f aca="false">IF(Country_Data!BC93="","",Country_Data!BC93)</f>
        <v/>
      </c>
      <c r="AF93" s="12" t="n">
        <f aca="false">IF(Country_Data!BL93="","",Country_Data!BL93)</f>
        <v>6.254</v>
      </c>
      <c r="AG93" s="7" t="n">
        <f aca="false">IF(Country_Data!BA93="","",Country_Data!BA93)</f>
        <v>4.112</v>
      </c>
    </row>
    <row r="94" customFormat="false" ht="15" hidden="false" customHeight="false" outlineLevel="0" collapsed="false">
      <c r="A94" s="14" t="str">
        <f aca="false">Country_Data!A94</f>
        <v>JOR</v>
      </c>
      <c r="B94" s="14" t="str">
        <f aca="false">Country_Data!B94</f>
        <v>Jordan</v>
      </c>
      <c r="C94" s="14" t="str">
        <f aca="false">Country_Data!E94</f>
        <v>EMDC</v>
      </c>
      <c r="D94" s="14" t="str">
        <f aca="false">Country_Data!D94</f>
        <v>Upper middle income</v>
      </c>
      <c r="E94" s="15" t="n">
        <f aca="false">Country_Data!BV94</f>
        <v>69.0257181131773</v>
      </c>
      <c r="F94" s="16" t="n">
        <f aca="false">SUMIFS(Calc!$J$5:$J$1369,Calc!$A$5:$A$1369,A94)</f>
        <v>4.2959678541303</v>
      </c>
      <c r="G94" s="11" t="n">
        <f aca="false">IFERROR(F94/E94,"")</f>
        <v>0.0622372062408168</v>
      </c>
      <c r="H94" s="16" t="n">
        <f aca="false">SUMIFS(Calc!$L$5:$L$1369,Calc!$A$5:$A$1369,A94)</f>
        <v>1.03103228499127</v>
      </c>
      <c r="I94" s="11" t="n">
        <f aca="false">IFERROR(H94/E94,"")</f>
        <v>0.014936929497796</v>
      </c>
      <c r="J94" s="17" t="n">
        <f aca="false">Country_Data!DW94</f>
        <v>0.0966200000000001</v>
      </c>
      <c r="K94" s="14" t="str">
        <f aca="false">Country_Data!DV94</f>
        <v>Observed (IRENA/Steffen)</v>
      </c>
      <c r="L94" s="16" t="n">
        <f aca="false">SUMIFS(Calc!$W$5:$W$1369,Calc!$A$5:$A$1369,A94)</f>
        <v>0.0873445339462219</v>
      </c>
      <c r="M94" s="16" t="n">
        <f aca="false">SUMIFS(Calc!$X$5:$X$1369,Calc!$A$5:$A$1369,A94)</f>
        <v>0.0270597683047242</v>
      </c>
      <c r="N94" s="18" t="n">
        <f aca="false">SUMIFS(Calc!$AC$5:$AC$1369,Calc!$A$5:$A$1369,A94)</f>
        <v>0.0273804713293362</v>
      </c>
      <c r="O94" s="18" t="n">
        <f aca="false">SUMIFS(Calc!$AD$5:$AD$1369,Calc!$A$5:$A$1369,A94)</f>
        <v>0.068163498412848</v>
      </c>
      <c r="P94" s="18" t="n">
        <f aca="false">SUMIFS(Calc!$AE$5:$AE$1369,Calc!$A$5:$A$1369,A94)</f>
        <v>-0.00283278689200475</v>
      </c>
      <c r="Q94" s="18" t="n">
        <f aca="false">SUMIFS(Calc!$AF$5:$AF$1369,Calc!$A$5:$A$1369,A94)</f>
        <v>-0.029892555196729</v>
      </c>
      <c r="R94" s="11" t="n">
        <f aca="false">IFERROR(N94/E94,"")</f>
        <v>0.000396670575515666</v>
      </c>
      <c r="S94" s="11" t="n">
        <f aca="false">IFERROR(P94/E94,"")</f>
        <v>-4.10395859606995E-005</v>
      </c>
      <c r="T94" s="11" t="n">
        <f aca="false">IFERROR(Q94/E94,"")</f>
        <v>-0.000433064023292245</v>
      </c>
      <c r="U94" s="16" t="n">
        <f aca="false">SUMIFS(Calc!$AG$5:$AG$1369,Calc!$A$5:$A$1369,A94)</f>
        <v>-0.0607023316488957</v>
      </c>
      <c r="V94" s="16" t="n">
        <f aca="false">SUMIFS(Calc!$AH$5:$AH$1369,Calc!$A$5:$A$1369,A94)</f>
        <v>-0.0915121081010625</v>
      </c>
      <c r="W94" s="16" t="n">
        <f aca="false">SUMIFS(Calc!$Y$5:$Y$1369,Calc!$A$5:$A$1369,A94)</f>
        <v>0.616195529043335</v>
      </c>
      <c r="X94" s="7" t="n">
        <f aca="false">IFERROR(N94/W94*1000,"")</f>
        <v>44.4347127475029</v>
      </c>
      <c r="Y94" s="7" t="n">
        <f aca="false">IFERROR(P94/W94*1000,"")</f>
        <v>-4.59722078218054</v>
      </c>
      <c r="Z94" s="7" t="n">
        <f aca="false">IFERROR(Q94/W94*1000,"")</f>
        <v>-48.5114769383968</v>
      </c>
      <c r="AA94" s="16" t="n">
        <f aca="false">SUMIFS(Calc!$AM$5:$AM$1369,Calc!$A$5:$A$1369,A94)</f>
        <v>0.125888575922254</v>
      </c>
      <c r="AB94" s="16" t="n">
        <f aca="false">SUMIFS(Calc!$AN$5:$AN$1369,Calc!$A$5:$A$1369,A94)</f>
        <v>5.44155928189838</v>
      </c>
      <c r="AC94" s="17" t="n">
        <f aca="false">Country_Data!DY94</f>
        <v>0.4</v>
      </c>
      <c r="AD94" s="12" t="n">
        <f aca="false">IF(Country_Data!BD94="","",Country_Data!BD94)</f>
        <v>1</v>
      </c>
      <c r="AE94" s="7" t="n">
        <f aca="false">IF(Country_Data!BC94="","",Country_Data!BC94)</f>
        <v>58.327</v>
      </c>
      <c r="AF94" s="12" t="n">
        <f aca="false">IF(Country_Data!BL94="","",Country_Data!BL94)</f>
        <v>-0.943</v>
      </c>
      <c r="AG94" s="7" t="n">
        <f aca="false">IF(Country_Data!BA94="","",Country_Data!BA94)</f>
        <v>82.122</v>
      </c>
    </row>
    <row r="95" customFormat="false" ht="15" hidden="false" customHeight="false" outlineLevel="0" collapsed="false">
      <c r="A95" s="14" t="str">
        <f aca="false">Country_Data!A95</f>
        <v>UGA</v>
      </c>
      <c r="B95" s="14" t="str">
        <f aca="false">Country_Data!B95</f>
        <v>Uganda</v>
      </c>
      <c r="C95" s="14" t="str">
        <f aca="false">Country_Data!E95</f>
        <v>EMDC</v>
      </c>
      <c r="D95" s="14" t="str">
        <f aca="false">Country_Data!D95</f>
        <v>Low income</v>
      </c>
      <c r="E95" s="15" t="n">
        <f aca="false">Country_Data!BV95</f>
        <v>87.4599963959086</v>
      </c>
      <c r="F95" s="16" t="n">
        <f aca="false">SUMIFS(Calc!$J$5:$J$1369,Calc!$A$5:$A$1369,A95)</f>
        <v>3.49792769940145</v>
      </c>
      <c r="G95" s="11" t="n">
        <f aca="false">IFERROR(F95/E95,"")</f>
        <v>0.0399946014583313</v>
      </c>
      <c r="H95" s="16" t="n">
        <f aca="false">SUMIFS(Calc!$L$5:$L$1369,Calc!$A$5:$A$1369,A95)</f>
        <v>0.839502647856349</v>
      </c>
      <c r="I95" s="11" t="n">
        <f aca="false">IFERROR(H95/E95,"")</f>
        <v>0.00959870434999951</v>
      </c>
      <c r="J95" s="17" t="n">
        <f aca="false">Country_Data!DW95</f>
        <v>0.08504</v>
      </c>
      <c r="K95" s="14" t="str">
        <f aca="false">Country_Data!DV95</f>
        <v>Observed (IRENA/Steffen)</v>
      </c>
      <c r="L95" s="16" t="n">
        <f aca="false">SUMIFS(Calc!$W$5:$W$1369,Calc!$A$5:$A$1369,A95)</f>
        <v>0.0284361498923483</v>
      </c>
      <c r="M95" s="16" t="n">
        <f aca="false">SUMIFS(Calc!$X$5:$X$1369,Calc!$A$5:$A$1369,A95)</f>
        <v>0.0425918570592021</v>
      </c>
      <c r="N95" s="18" t="n">
        <f aca="false">SUMIFS(Calc!$AC$5:$AC$1369,Calc!$A$5:$A$1369,A95)</f>
        <v>0.055692732750419</v>
      </c>
      <c r="O95" s="18" t="n">
        <f aca="false">SUMIFS(Calc!$AD$5:$AD$1369,Calc!$A$5:$A$1369,A95)</f>
        <v>0.0884311273456886</v>
      </c>
      <c r="P95" s="18" t="n">
        <f aca="false">SUMIFS(Calc!$AE$5:$AE$1369,Calc!$A$5:$A$1369,A95)</f>
        <v>0.0390640293048051</v>
      </c>
      <c r="Q95" s="18" t="n">
        <f aca="false">SUMIFS(Calc!$AF$5:$AF$1369,Calc!$A$5:$A$1369,A95)</f>
        <v>-0.00352782775439698</v>
      </c>
      <c r="R95" s="11" t="n">
        <f aca="false">IFERROR(N95/E95,"")</f>
        <v>0.000636779499719078</v>
      </c>
      <c r="S95" s="11" t="n">
        <f aca="false">IFERROR(P95/E95,"")</f>
        <v>0.000446650250566813</v>
      </c>
      <c r="T95" s="11" t="n">
        <f aca="false">IFERROR(Q95/E95,"")</f>
        <v>-4.03364726706302E-005</v>
      </c>
      <c r="U95" s="16" t="n">
        <f aca="false">SUMIFS(Calc!$AG$5:$AG$1369,Calc!$A$5:$A$1369,A95)</f>
        <v>-0.0326046677882752</v>
      </c>
      <c r="V95" s="16" t="n">
        <f aca="false">SUMIFS(Calc!$AH$5:$AH$1369,Calc!$A$5:$A$1369,A95)</f>
        <v>-0.0616815078221534</v>
      </c>
      <c r="W95" s="16" t="n">
        <f aca="false">SUMIFS(Calc!$Y$5:$Y$1369,Calc!$A$5:$A$1369,A95)</f>
        <v>0.581536800677565</v>
      </c>
      <c r="X95" s="7" t="n">
        <f aca="false">IFERROR(N95/W95*1000,"")</f>
        <v>95.7682001990758</v>
      </c>
      <c r="Y95" s="7" t="n">
        <f aca="false">IFERROR(P95/W95*1000,"")</f>
        <v>67.1737872122462</v>
      </c>
      <c r="Z95" s="7" t="n">
        <f aca="false">IFERROR(Q95/W95*1000,"")</f>
        <v>-6.06638780260616</v>
      </c>
      <c r="AA95" s="16" t="n">
        <f aca="false">SUMIFS(Calc!$AM$5:$AM$1369,Calc!$A$5:$A$1369,A95)</f>
        <v>0.0692862643567245</v>
      </c>
      <c r="AB95" s="16" t="n">
        <f aca="false">SUMIFS(Calc!$AN$5:$AN$1369,Calc!$A$5:$A$1369,A95)</f>
        <v>4.26801410764177</v>
      </c>
      <c r="AC95" s="17" t="n">
        <f aca="false">Country_Data!DY95</f>
        <v>0.355</v>
      </c>
      <c r="AD95" s="12" t="n">
        <f aca="false">IF(Country_Data!BD95="","",Country_Data!BD95)</f>
        <v>1.5</v>
      </c>
      <c r="AE95" s="7" t="n">
        <f aca="false">IF(Country_Data!BC95="","",Country_Data!BC95)</f>
        <v>99.041</v>
      </c>
      <c r="AF95" s="12" t="n">
        <f aca="false">IF(Country_Data!BL95="","",Country_Data!BL95)</f>
        <v>5.649</v>
      </c>
      <c r="AG95" s="7" t="n">
        <f aca="false">IF(Country_Data!BA95="","",Country_Data!BA95)</f>
        <v>51.773</v>
      </c>
    </row>
    <row r="96" customFormat="false" ht="15" hidden="false" customHeight="false" outlineLevel="0" collapsed="false">
      <c r="A96" s="14" t="str">
        <f aca="false">Country_Data!A96</f>
        <v>BOL</v>
      </c>
      <c r="B96" s="14" t="str">
        <f aca="false">Country_Data!B96</f>
        <v>Bolivia</v>
      </c>
      <c r="C96" s="14" t="str">
        <f aca="false">Country_Data!E96</f>
        <v>EMDC</v>
      </c>
      <c r="D96" s="14" t="str">
        <f aca="false">Country_Data!D96</f>
        <v>Lower middle income</v>
      </c>
      <c r="E96" s="15" t="n">
        <f aca="false">Country_Data!BV96</f>
        <v>46.2170281389243</v>
      </c>
      <c r="F96" s="16" t="n">
        <f aca="false">SUMIFS(Calc!$J$5:$J$1369,Calc!$A$5:$A$1369,A96)</f>
        <v>4.79099298791063</v>
      </c>
      <c r="G96" s="11" t="n">
        <f aca="false">IFERROR(F96/E96,"")</f>
        <v>0.103662939415086</v>
      </c>
      <c r="H96" s="16" t="n">
        <f aca="false">SUMIFS(Calc!$L$5:$L$1369,Calc!$A$5:$A$1369,A96)</f>
        <v>1.14983831709855</v>
      </c>
      <c r="I96" s="11" t="n">
        <f aca="false">IFERROR(H96/E96,"")</f>
        <v>0.0248791054596206</v>
      </c>
      <c r="J96" s="17" t="n">
        <f aca="false">Country_Data!DW96</f>
        <v>0.105</v>
      </c>
      <c r="K96" s="14" t="str">
        <f aca="false">Country_Data!DV96</f>
        <v>Group default (IHLEG)</v>
      </c>
      <c r="L96" s="16" t="n">
        <f aca="false">SUMIFS(Calc!$W$5:$W$1369,Calc!$A$5:$A$1369,A96)</f>
        <v>0.0670944973496527</v>
      </c>
      <c r="M96" s="16" t="n">
        <f aca="false">SUMIFS(Calc!$X$5:$X$1369,Calc!$A$5:$A$1369,A96)</f>
        <v>0.0636517711634612</v>
      </c>
      <c r="N96" s="18" t="n">
        <f aca="false">SUMIFS(Calc!$AC$5:$AC$1369,Calc!$A$5:$A$1369,A96)</f>
        <v>0.0676893816174478</v>
      </c>
      <c r="O96" s="18" t="n">
        <f aca="false">SUMIFS(Calc!$AD$5:$AD$1369,Calc!$A$5:$A$1369,A96)</f>
        <v>0.114067226346018</v>
      </c>
      <c r="P96" s="18" t="n">
        <f aca="false">SUMIFS(Calc!$AE$5:$AE$1369,Calc!$A$5:$A$1369,A96)</f>
        <v>0.0255933160180555</v>
      </c>
      <c r="Q96" s="18" t="n">
        <f aca="false">SUMIFS(Calc!$AF$5:$AF$1369,Calc!$A$5:$A$1369,A96)</f>
        <v>-0.0380584551454057</v>
      </c>
      <c r="R96" s="11" t="n">
        <f aca="false">IFERROR(N96/E96,"")</f>
        <v>0.00146459831674982</v>
      </c>
      <c r="S96" s="11" t="n">
        <f aca="false">IFERROR(P96/E96,"")</f>
        <v>0.000553763776007497</v>
      </c>
      <c r="T96" s="11" t="n">
        <f aca="false">IFERROR(Q96/E96,"")</f>
        <v>-0.000823472574459036</v>
      </c>
      <c r="U96" s="16" t="n">
        <f aca="false">SUMIFS(Calc!$AG$5:$AG$1369,Calc!$A$5:$A$1369,A96)</f>
        <v>-0.0852758367589279</v>
      </c>
      <c r="V96" s="16" t="n">
        <f aca="false">SUMIFS(Calc!$AH$5:$AH$1369,Calc!$A$5:$A$1369,A96)</f>
        <v>-0.13249321837245</v>
      </c>
      <c r="W96" s="16" t="n">
        <f aca="false">SUMIFS(Calc!$Y$5:$Y$1369,Calc!$A$5:$A$1369,A96)</f>
        <v>0.944347632270443</v>
      </c>
      <c r="X96" s="7" t="n">
        <f aca="false">IFERROR(N96/W96*1000,"")</f>
        <v>71.6784574920847</v>
      </c>
      <c r="Y96" s="7" t="n">
        <f aca="false">IFERROR(P96/W96*1000,"")</f>
        <v>27.1015832977977</v>
      </c>
      <c r="Z96" s="7" t="n">
        <f aca="false">IFERROR(Q96/W96*1000,"")</f>
        <v>-40.3013189686343</v>
      </c>
      <c r="AA96" s="16" t="n">
        <f aca="false">SUMIFS(Calc!$AM$5:$AM$1369,Calc!$A$5:$A$1369,A96)</f>
        <v>0.175400273330801</v>
      </c>
      <c r="AB96" s="16" t="n">
        <f aca="false">SUMIFS(Calc!$AN$5:$AN$1369,Calc!$A$5:$A$1369,A96)</f>
        <v>5.84575423486149</v>
      </c>
      <c r="AC96" s="17" t="n">
        <f aca="false">Country_Data!DY96</f>
        <v>0.355</v>
      </c>
      <c r="AD96" s="12" t="n">
        <f aca="false">IF(Country_Data!BD96="","",Country_Data!BD96)</f>
        <v>1.5</v>
      </c>
      <c r="AE96" s="7" t="str">
        <f aca="false">IF(Country_Data!BC96="","",Country_Data!BC96)</f>
        <v/>
      </c>
      <c r="AF96" s="12" t="n">
        <f aca="false">IF(Country_Data!BL96="","",Country_Data!BL96)</f>
        <v>0.561</v>
      </c>
      <c r="AG96" s="7" t="n">
        <f aca="false">IF(Country_Data!BA96="","",Country_Data!BA96)</f>
        <v>83.219</v>
      </c>
    </row>
    <row r="97" customFormat="false" ht="15" hidden="false" customHeight="false" outlineLevel="0" collapsed="false">
      <c r="A97" s="14" t="str">
        <f aca="false">Country_Data!A97</f>
        <v>CMR</v>
      </c>
      <c r="B97" s="14" t="str">
        <f aca="false">Country_Data!B97</f>
        <v>Cameroon</v>
      </c>
      <c r="C97" s="14" t="str">
        <f aca="false">Country_Data!E97</f>
        <v>EMDC</v>
      </c>
      <c r="D97" s="14" t="str">
        <f aca="false">Country_Data!D97</f>
        <v>Lower middle income</v>
      </c>
      <c r="E97" s="15" t="n">
        <f aca="false">Country_Data!BV97</f>
        <v>64.7684705459062</v>
      </c>
      <c r="F97" s="16" t="n">
        <f aca="false">SUMIFS(Calc!$J$5:$J$1369,Calc!$A$5:$A$1369,A97)</f>
        <v>3.46477590709988</v>
      </c>
      <c r="G97" s="11" t="n">
        <f aca="false">IFERROR(F97/E97,"")</f>
        <v>0.0534947927270282</v>
      </c>
      <c r="H97" s="16" t="n">
        <f aca="false">SUMIFS(Calc!$L$5:$L$1369,Calc!$A$5:$A$1369,A97)</f>
        <v>0.831546217703971</v>
      </c>
      <c r="I97" s="11" t="n">
        <f aca="false">IFERROR(H97/E97,"")</f>
        <v>0.0128387502544868</v>
      </c>
      <c r="J97" s="17" t="n">
        <f aca="false">Country_Data!DW97</f>
        <v>0.105</v>
      </c>
      <c r="K97" s="14" t="str">
        <f aca="false">Country_Data!DV97</f>
        <v>Group default (IHLEG)</v>
      </c>
      <c r="L97" s="16" t="n">
        <f aca="false">SUMIFS(Calc!$W$5:$W$1369,Calc!$A$5:$A$1369,A97)</f>
        <v>0.0306620313753653</v>
      </c>
      <c r="M97" s="16" t="n">
        <f aca="false">SUMIFS(Calc!$X$5:$X$1369,Calc!$A$5:$A$1369,A97)</f>
        <v>0.0446229970746898</v>
      </c>
      <c r="N97" s="18" t="n">
        <f aca="false">SUMIFS(Calc!$AC$5:$AC$1369,Calc!$A$5:$A$1369,A97)</f>
        <v>0.0656195257411128</v>
      </c>
      <c r="O97" s="18" t="n">
        <f aca="false">SUMIFS(Calc!$AD$5:$AD$1369,Calc!$A$5:$A$1369,A97)</f>
        <v>0.099404092533423</v>
      </c>
      <c r="P97" s="18" t="n">
        <f aca="false">SUMIFS(Calc!$AE$5:$AE$1369,Calc!$A$5:$A$1369,A97)</f>
        <v>0.0349443304296595</v>
      </c>
      <c r="Q97" s="18" t="n">
        <f aca="false">SUMIFS(Calc!$AF$5:$AF$1369,Calc!$A$5:$A$1369,A97)</f>
        <v>-0.00967866664503029</v>
      </c>
      <c r="R97" s="11" t="n">
        <f aca="false">IFERROR(N97/E97,"")</f>
        <v>0.00101313996128106</v>
      </c>
      <c r="S97" s="11" t="n">
        <f aca="false">IFERROR(P97/E97,"")</f>
        <v>0.000539526873726189</v>
      </c>
      <c r="T97" s="11" t="n">
        <f aca="false">IFERROR(Q97/E97,"")</f>
        <v>-0.000149434849448395</v>
      </c>
      <c r="U97" s="16" t="n">
        <f aca="false">SUMIFS(Calc!$AG$5:$AG$1369,Calc!$A$5:$A$1369,A97)</f>
        <v>-0.0408032159529483</v>
      </c>
      <c r="V97" s="16" t="n">
        <f aca="false">SUMIFS(Calc!$AH$5:$AH$1369,Calc!$A$5:$A$1369,A97)</f>
        <v>-0.0719277652608663</v>
      </c>
      <c r="W97" s="16" t="n">
        <f aca="false">SUMIFS(Calc!$Y$5:$Y$1369,Calc!$A$5:$A$1369,A97)</f>
        <v>0.62249098615836</v>
      </c>
      <c r="X97" s="7" t="n">
        <f aca="false">IFERROR(N97/W97*1000,"")</f>
        <v>105.414419164649</v>
      </c>
      <c r="Y97" s="7" t="n">
        <f aca="false">IFERROR(P97/W97*1000,"")</f>
        <v>56.1362834268732</v>
      </c>
      <c r="Z97" s="7" t="n">
        <f aca="false">IFERROR(Q97/W97*1000,"")</f>
        <v>-15.548284007711</v>
      </c>
      <c r="AA97" s="16" t="n">
        <f aca="false">SUMIFS(Calc!$AM$5:$AM$1369,Calc!$A$5:$A$1369,A97)</f>
        <v>0.127813313797722</v>
      </c>
      <c r="AB97" s="16" t="n">
        <f aca="false">SUMIFS(Calc!$AN$5:$AN$1369,Calc!$A$5:$A$1369,A97)</f>
        <v>4.22756378122109</v>
      </c>
      <c r="AC97" s="17" t="n">
        <f aca="false">Country_Data!DY97</f>
        <v>0.355</v>
      </c>
      <c r="AD97" s="12" t="n">
        <f aca="false">IF(Country_Data!BD97="","",Country_Data!BD97)</f>
        <v>1.5</v>
      </c>
      <c r="AE97" s="7" t="n">
        <f aca="false">IF(Country_Data!BC97="","",Country_Data!BC97)</f>
        <v>83.775</v>
      </c>
      <c r="AF97" s="12" t="n">
        <f aca="false">IF(Country_Data!BL97="","",Country_Data!BL97)</f>
        <v>4.227</v>
      </c>
      <c r="AG97" s="7" t="n">
        <f aca="false">IF(Country_Data!BA97="","",Country_Data!BA97)</f>
        <v>43.413</v>
      </c>
    </row>
    <row r="98" customFormat="false" ht="15" hidden="false" customHeight="false" outlineLevel="0" collapsed="false">
      <c r="A98" s="14" t="str">
        <f aca="false">Country_Data!A98</f>
        <v>TUN</v>
      </c>
      <c r="B98" s="14" t="str">
        <f aca="false">Country_Data!B98</f>
        <v>Tunisia</v>
      </c>
      <c r="C98" s="14" t="str">
        <f aca="false">Country_Data!E98</f>
        <v>EMDC</v>
      </c>
      <c r="D98" s="14" t="str">
        <f aca="false">Country_Data!D98</f>
        <v>Lower middle income</v>
      </c>
      <c r="E98" s="15" t="n">
        <f aca="false">Country_Data!BV98</f>
        <v>58.4089108873949</v>
      </c>
      <c r="F98" s="16" t="n">
        <f aca="false">SUMIFS(Calc!$J$5:$J$1369,Calc!$A$5:$A$1369,A98)</f>
        <v>3.96174035172196</v>
      </c>
      <c r="G98" s="11" t="n">
        <f aca="false">IFERROR(F98/E98,"")</f>
        <v>0.0678276703251616</v>
      </c>
      <c r="H98" s="16" t="n">
        <f aca="false">SUMIFS(Calc!$L$5:$L$1369,Calc!$A$5:$A$1369,A98)</f>
        <v>0.95081768441327</v>
      </c>
      <c r="I98" s="11" t="n">
        <f aca="false">IFERROR(H98/E98,"")</f>
        <v>0.0162786408780388</v>
      </c>
      <c r="J98" s="17" t="n">
        <f aca="false">Country_Data!DW98</f>
        <v>0.11118</v>
      </c>
      <c r="K98" s="14" t="str">
        <f aca="false">Country_Data!DV98</f>
        <v>Observed (IRENA/Steffen)</v>
      </c>
      <c r="L98" s="16" t="n">
        <f aca="false">SUMIFS(Calc!$W$5:$W$1369,Calc!$A$5:$A$1369,A98)</f>
        <v>0.0739535501897625</v>
      </c>
      <c r="M98" s="16" t="n">
        <f aca="false">SUMIFS(Calc!$X$5:$X$1369,Calc!$A$5:$A$1369,A98)</f>
        <v>0.033036726012992</v>
      </c>
      <c r="N98" s="18" t="n">
        <f aca="false">SUMIFS(Calc!$AC$5:$AC$1369,Calc!$A$5:$A$1369,A98)</f>
        <v>0.0433092255425995</v>
      </c>
      <c r="O98" s="18" t="n">
        <f aca="false">SUMIFS(Calc!$AD$5:$AD$1369,Calc!$A$5:$A$1369,A98)</f>
        <v>0.0818095735546457</v>
      </c>
      <c r="P98" s="18" t="n">
        <f aca="false">SUMIFS(Calc!$AE$5:$AE$1369,Calc!$A$5:$A$1369,A98)</f>
        <v>0.00357564539660081</v>
      </c>
      <c r="Q98" s="18" t="n">
        <f aca="false">SUMIFS(Calc!$AF$5:$AF$1369,Calc!$A$5:$A$1369,A98)</f>
        <v>-0.0294610806163912</v>
      </c>
      <c r="R98" s="11" t="n">
        <f aca="false">IFERROR(N98/E98,"")</f>
        <v>0.000741483189544388</v>
      </c>
      <c r="S98" s="11" t="n">
        <f aca="false">IFERROR(P98/E98,"")</f>
        <v>6.12174639498793E-005</v>
      </c>
      <c r="T98" s="11" t="n">
        <f aca="false">IFERROR(Q98/E98,"")</f>
        <v>-0.000504393596264592</v>
      </c>
      <c r="U98" s="16" t="n">
        <f aca="false">SUMIFS(Calc!$AG$5:$AG$1369,Calc!$A$5:$A$1369,A98)</f>
        <v>-0.0597224003293907</v>
      </c>
      <c r="V98" s="16" t="n">
        <f aca="false">SUMIFS(Calc!$AH$5:$AH$1369,Calc!$A$5:$A$1369,A98)</f>
        <v>-0.0899837200423901</v>
      </c>
      <c r="W98" s="16" t="n">
        <f aca="false">SUMIFS(Calc!$Y$5:$Y$1369,Calc!$A$5:$A$1369,A98)</f>
        <v>0.605226394259989</v>
      </c>
      <c r="X98" s="7" t="n">
        <f aca="false">IFERROR(N98/W98*1000,"")</f>
        <v>71.5587191063498</v>
      </c>
      <c r="Y98" s="7" t="n">
        <f aca="false">IFERROR(P98/W98*1000,"")</f>
        <v>5.90794689476944</v>
      </c>
      <c r="Z98" s="7" t="n">
        <f aca="false">IFERROR(Q98/W98*1000,"")</f>
        <v>-48.6777855291874</v>
      </c>
      <c r="AA98" s="16" t="n">
        <f aca="false">SUMIFS(Calc!$AM$5:$AM$1369,Calc!$A$5:$A$1369,A98)</f>
        <v>0.165556583941661</v>
      </c>
      <c r="AB98" s="16" t="n">
        <f aca="false">SUMIFS(Calc!$AN$5:$AN$1369,Calc!$A$5:$A$1369,A98)</f>
        <v>4.67370528449518</v>
      </c>
      <c r="AC98" s="17" t="n">
        <f aca="false">Country_Data!DY98</f>
        <v>0.31</v>
      </c>
      <c r="AD98" s="12" t="n">
        <f aca="false">IF(Country_Data!BD98="","",Country_Data!BD98)</f>
        <v>2</v>
      </c>
      <c r="AE98" s="7" t="n">
        <f aca="false">IF(Country_Data!BC98="","",Country_Data!BC98)</f>
        <v>93.859</v>
      </c>
      <c r="AF98" s="12" t="n">
        <f aca="false">IF(Country_Data!BL98="","",Country_Data!BL98)</f>
        <v>-2.657</v>
      </c>
      <c r="AG98" s="7" t="n">
        <f aca="false">IF(Country_Data!BA98="","",Country_Data!BA98)</f>
        <v>85.66</v>
      </c>
    </row>
    <row r="99" customFormat="false" ht="15" hidden="false" customHeight="false" outlineLevel="0" collapsed="false">
      <c r="A99" s="14" t="str">
        <f aca="false">Country_Data!A99</f>
        <v>MAC</v>
      </c>
      <c r="B99" s="14" t="str">
        <f aca="false">Country_Data!B99</f>
        <v>Macao SAR, China</v>
      </c>
      <c r="C99" s="14" t="str">
        <f aca="false">Country_Data!E99</f>
        <v>AE</v>
      </c>
      <c r="D99" s="14" t="str">
        <f aca="false">Country_Data!D99</f>
        <v>High income</v>
      </c>
      <c r="E99" s="15" t="n">
        <f aca="false">Country_Data!BV99</f>
        <v>60.0040395681137</v>
      </c>
      <c r="F99" s="16" t="n">
        <f aca="false">SUMIFS(Calc!$J$5:$J$1369,Calc!$A$5:$A$1369,A99)</f>
        <v>1.5611100769273</v>
      </c>
      <c r="G99" s="11" t="n">
        <f aca="false">IFERROR(F99/E99,"")</f>
        <v>0.0260167496749148</v>
      </c>
      <c r="H99" s="16" t="n">
        <f aca="false">SUMIFS(Calc!$L$5:$L$1369,Calc!$A$5:$A$1369,A99)</f>
        <v>0.593221829232373</v>
      </c>
      <c r="I99" s="11" t="n">
        <f aca="false">IFERROR(H99/E99,"")</f>
        <v>0.00988636487646763</v>
      </c>
      <c r="J99" s="17" t="n">
        <f aca="false">Country_Data!DW99</f>
        <v>0.055</v>
      </c>
      <c r="K99" s="14" t="str">
        <f aca="false">Country_Data!DV99</f>
        <v>Group default (IHLEG)</v>
      </c>
      <c r="L99" s="16" t="n">
        <f aca="false">SUMIFS(Calc!$W$5:$W$1369,Calc!$A$5:$A$1369,A99)</f>
        <v>0.045307625021031</v>
      </c>
      <c r="M99" s="16" t="n">
        <f aca="false">SUMIFS(Calc!$X$5:$X$1369,Calc!$A$5:$A$1369,A99)</f>
        <v>0.00377130125949984</v>
      </c>
      <c r="N99" s="18" t="n">
        <f aca="false">SUMIFS(Calc!$AC$5:$AC$1369,Calc!$A$5:$A$1369,A99)</f>
        <v>5.36437118609852E-005</v>
      </c>
      <c r="O99" s="18" t="n">
        <f aca="false">SUMIFS(Calc!$AD$5:$AD$1369,Calc!$A$5:$A$1369,A99)</f>
        <v>0.00685232074980994</v>
      </c>
      <c r="P99" s="18" t="n">
        <f aca="false">SUMIFS(Calc!$AE$5:$AE$1369,Calc!$A$5:$A$1369,A99)</f>
        <v>0.00227521596921952</v>
      </c>
      <c r="Q99" s="18" t="n">
        <f aca="false">SUMIFS(Calc!$AF$5:$AF$1369,Calc!$A$5:$A$1369,A99)</f>
        <v>-0.00149608529028033</v>
      </c>
      <c r="R99" s="11" t="n">
        <f aca="false">IFERROR(N99/E99,"")</f>
        <v>8.94001674672111E-007</v>
      </c>
      <c r="S99" s="11" t="n">
        <f aca="false">IFERROR(P99/E99,"")</f>
        <v>3.79177133005654E-005</v>
      </c>
      <c r="T99" s="11" t="n">
        <f aca="false">IFERROR(Q99/E99,"")</f>
        <v>-2.49330761903462E-005</v>
      </c>
      <c r="U99" s="16" t="n">
        <f aca="false">SUMIFS(Calc!$AG$5:$AG$1369,Calc!$A$5:$A$1369,A99)</f>
        <v>-0.014805531508533</v>
      </c>
      <c r="V99" s="16" t="n">
        <f aca="false">SUMIFS(Calc!$AH$5:$AH$1369,Calc!$A$5:$A$1369,A99)</f>
        <v>-0.0281149777267857</v>
      </c>
      <c r="W99" s="16" t="n">
        <f aca="false">SUMIFS(Calc!$Y$5:$Y$1369,Calc!$A$5:$A$1369,A99)</f>
        <v>0.266188924365053</v>
      </c>
      <c r="X99" s="7" t="n">
        <f aca="false">IFERROR(N99/W99*1000,"")</f>
        <v>0.20152495821884</v>
      </c>
      <c r="Y99" s="7" t="n">
        <f aca="false">IFERROR(P99/W99*1000,"")</f>
        <v>8.54737279038428</v>
      </c>
      <c r="Z99" s="7" t="n">
        <f aca="false">IFERROR(Q99/W99*1000,"")</f>
        <v>-5.62038895438258</v>
      </c>
      <c r="AA99" s="16" t="n">
        <f aca="false">SUMIFS(Calc!$AM$5:$AM$1369,Calc!$A$5:$A$1369,A99)</f>
        <v>-0.00584624278252244</v>
      </c>
      <c r="AB99" s="16" t="n">
        <f aca="false">SUMIFS(Calc!$AN$5:$AN$1369,Calc!$A$5:$A$1369,A99)</f>
        <v>1.63109087347921</v>
      </c>
      <c r="AC99" s="17" t="n">
        <f aca="false">Country_Data!DY99</f>
        <v>0.13</v>
      </c>
      <c r="AD99" s="12" t="str">
        <f aca="false">IF(Country_Data!BD99="","",Country_Data!BD99)</f>
        <v/>
      </c>
      <c r="AE99" s="7" t="str">
        <f aca="false">IF(Country_Data!BC99="","",Country_Data!BC99)</f>
        <v/>
      </c>
      <c r="AF99" s="12" t="str">
        <f aca="false">IF(Country_Data!BL99="","",Country_Data!BL99)</f>
        <v/>
      </c>
      <c r="AG99" s="7" t="str">
        <f aca="false">IF(Country_Data!BA99="","",Country_Data!BA99)</f>
        <v/>
      </c>
    </row>
    <row r="100" customFormat="false" ht="15" hidden="false" customHeight="false" outlineLevel="0" collapsed="false">
      <c r="A100" s="14" t="str">
        <f aca="false">Country_Data!A100</f>
        <v>LBY</v>
      </c>
      <c r="B100" s="14" t="str">
        <f aca="false">Country_Data!B100</f>
        <v>Libya</v>
      </c>
      <c r="C100" s="14" t="str">
        <f aca="false">Country_Data!E100</f>
        <v>EMDC</v>
      </c>
      <c r="D100" s="14" t="str">
        <f aca="false">Country_Data!D100</f>
        <v>Upper middle income</v>
      </c>
      <c r="E100" s="15" t="n">
        <f aca="false">Country_Data!BV100</f>
        <v>79.1557001263235</v>
      </c>
      <c r="F100" s="16" t="n">
        <f aca="false">SUMIFS(Calc!$J$5:$J$1369,Calc!$A$5:$A$1369,A100)</f>
        <v>6.3002586098268</v>
      </c>
      <c r="G100" s="11" t="n">
        <f aca="false">IFERROR(F100/E100,"")</f>
        <v>0.0795932396501111</v>
      </c>
      <c r="H100" s="16" t="n">
        <f aca="false">SUMIFS(Calc!$L$5:$L$1369,Calc!$A$5:$A$1369,A100)</f>
        <v>1.51206206635843</v>
      </c>
      <c r="I100" s="11" t="n">
        <f aca="false">IFERROR(H100/E100,"")</f>
        <v>0.0191023775160267</v>
      </c>
      <c r="J100" s="17" t="n">
        <f aca="false">Country_Data!DW100</f>
        <v>0.105</v>
      </c>
      <c r="K100" s="14" t="str">
        <f aca="false">Country_Data!DV100</f>
        <v>Group default (IHLEG)</v>
      </c>
      <c r="L100" s="16" t="n">
        <f aca="false">SUMIFS(Calc!$W$5:$W$1369,Calc!$A$5:$A$1369,A100)</f>
        <v>0.143071001003352</v>
      </c>
      <c r="M100" s="16" t="n">
        <f aca="false">SUMIFS(Calc!$X$5:$X$1369,Calc!$A$5:$A$1369,A100)</f>
        <v>0.0387442388672645</v>
      </c>
      <c r="N100" s="18" t="n">
        <f aca="false">SUMIFS(Calc!$AC$5:$AC$1369,Calc!$A$5:$A$1369,A100)</f>
        <v>0.0356953702285908</v>
      </c>
      <c r="O100" s="18" t="n">
        <f aca="false">SUMIFS(Calc!$AD$5:$AD$1369,Calc!$A$5:$A$1369,A100)</f>
        <v>0.0963368855090196</v>
      </c>
      <c r="P100" s="18" t="n">
        <f aca="false">SUMIFS(Calc!$AE$5:$AE$1369,Calc!$A$5:$A$1369,A100)</f>
        <v>-0.0193988037355125</v>
      </c>
      <c r="Q100" s="18" t="n">
        <f aca="false">SUMIFS(Calc!$AF$5:$AF$1369,Calc!$A$5:$A$1369,A100)</f>
        <v>-0.058143042602777</v>
      </c>
      <c r="R100" s="11" t="n">
        <f aca="false">IFERROR(N100/E100,"")</f>
        <v>0.000450951355008231</v>
      </c>
      <c r="S100" s="11" t="n">
        <f aca="false">IFERROR(P100/E100,"")</f>
        <v>-0.000245071469326331</v>
      </c>
      <c r="T100" s="11" t="n">
        <f aca="false">IFERROR(Q100/E100,"")</f>
        <v>-0.000734540184850709</v>
      </c>
      <c r="U100" s="16" t="n">
        <f aca="false">SUMIFS(Calc!$AG$5:$AG$1369,Calc!$A$5:$A$1369,A100)</f>
        <v>-0.111114462557343</v>
      </c>
      <c r="V100" s="16" t="n">
        <f aca="false">SUMIFS(Calc!$AH$5:$AH$1369,Calc!$A$5:$A$1369,A100)</f>
        <v>-0.16408588251191</v>
      </c>
      <c r="W100" s="16" t="n">
        <f aca="false">SUMIFS(Calc!$Y$5:$Y$1369,Calc!$A$5:$A$1369,A100)</f>
        <v>1.05942839909133</v>
      </c>
      <c r="X100" s="7" t="n">
        <f aca="false">IFERROR(N100/W100*1000,"")</f>
        <v>33.6930464193774</v>
      </c>
      <c r="Y100" s="7" t="n">
        <f aca="false">IFERROR(P100/W100*1000,"")</f>
        <v>-18.3106321787776</v>
      </c>
      <c r="Z100" s="7" t="n">
        <f aca="false">IFERROR(Q100/W100*1000,"")</f>
        <v>-54.8815216324635</v>
      </c>
      <c r="AA100" s="16" t="n">
        <f aca="false">SUMIFS(Calc!$AM$5:$AM$1369,Calc!$A$5:$A$1369,A100)</f>
        <v>0.229559058183764</v>
      </c>
      <c r="AB100" s="16" t="n">
        <f aca="false">SUMIFS(Calc!$AN$5:$AN$1369,Calc!$A$5:$A$1369,A100)</f>
        <v>7.23235166443131</v>
      </c>
      <c r="AC100" s="17" t="n">
        <f aca="false">Country_Data!DY100</f>
        <v>0.27</v>
      </c>
      <c r="AD100" s="12" t="str">
        <f aca="false">IF(Country_Data!BD100="","",Country_Data!BD100)</f>
        <v/>
      </c>
      <c r="AE100" s="7" t="str">
        <f aca="false">IF(Country_Data!BC100="","",Country_Data!BC100)</f>
        <v/>
      </c>
      <c r="AF100" s="12" t="str">
        <f aca="false">IF(Country_Data!BL100="","",Country_Data!BL100)</f>
        <v/>
      </c>
      <c r="AG100" s="7" t="str">
        <f aca="false">IF(Country_Data!BA100="","",Country_Data!BA100)</f>
        <v/>
      </c>
    </row>
    <row r="101" customFormat="false" ht="15" hidden="false" customHeight="false" outlineLevel="0" collapsed="false">
      <c r="A101" s="14" t="str">
        <f aca="false">Country_Data!A101</f>
        <v>ZWE</v>
      </c>
      <c r="B101" s="14" t="str">
        <f aca="false">Country_Data!B101</f>
        <v>Zimbabwe</v>
      </c>
      <c r="C101" s="14" t="str">
        <f aca="false">Country_Data!E101</f>
        <v>EMDC</v>
      </c>
      <c r="D101" s="14" t="str">
        <f aca="false">Country_Data!D101</f>
        <v>Lower middle income</v>
      </c>
      <c r="E101" s="15" t="n">
        <f aca="false">Country_Data!BV101</f>
        <v>67.3746087322956</v>
      </c>
      <c r="F101" s="16" t="n">
        <f aca="false">SUMIFS(Calc!$J$5:$J$1369,Calc!$A$5:$A$1369,A101)</f>
        <v>4.10344363987854</v>
      </c>
      <c r="G101" s="11" t="n">
        <f aca="false">IFERROR(F101/E101,"")</f>
        <v>0.0609048975138846</v>
      </c>
      <c r="H101" s="16" t="n">
        <f aca="false">SUMIFS(Calc!$L$5:$L$1369,Calc!$A$5:$A$1369,A101)</f>
        <v>0.98482647357085</v>
      </c>
      <c r="I101" s="11" t="n">
        <f aca="false">IFERROR(H101/E101,"")</f>
        <v>0.0146171754033323</v>
      </c>
      <c r="J101" s="17" t="n">
        <f aca="false">Country_Data!DW101</f>
        <v>0.105</v>
      </c>
      <c r="K101" s="14" t="str">
        <f aca="false">Country_Data!DV101</f>
        <v>Group default (IHLEG)</v>
      </c>
      <c r="L101" s="16" t="n">
        <f aca="false">SUMIFS(Calc!$W$5:$W$1369,Calc!$A$5:$A$1369,A101)</f>
        <v>0.02066711882338</v>
      </c>
      <c r="M101" s="16" t="n">
        <f aca="false">SUMIFS(Calc!$X$5:$X$1369,Calc!$A$5:$A$1369,A101)</f>
        <v>0.0616171786546784</v>
      </c>
      <c r="N101" s="18" t="n">
        <f aca="false">SUMIFS(Calc!$AC$5:$AC$1369,Calc!$A$5:$A$1369,A101)</f>
        <v>0.0924119723653264</v>
      </c>
      <c r="O101" s="18" t="n">
        <f aca="false">SUMIFS(Calc!$AD$5:$AD$1369,Calc!$A$5:$A$1369,A101)</f>
        <v>0.132629334932075</v>
      </c>
      <c r="P101" s="18" t="n">
        <f aca="false">SUMIFS(Calc!$AE$5:$AE$1369,Calc!$A$5:$A$1369,A101)</f>
        <v>0.0558978964099129</v>
      </c>
      <c r="Q101" s="18" t="n">
        <f aca="false">SUMIFS(Calc!$AF$5:$AF$1369,Calc!$A$5:$A$1369,A101)</f>
        <v>-0.00571928224476549</v>
      </c>
      <c r="R101" s="11" t="n">
        <f aca="false">IFERROR(N101/E101,"")</f>
        <v>0.00137161423426611</v>
      </c>
      <c r="S101" s="11" t="n">
        <f aca="false">IFERROR(P101/E101,"")</f>
        <v>0.000829658197081575</v>
      </c>
      <c r="T101" s="11" t="n">
        <f aca="false">IFERROR(Q101/E101,"")</f>
        <v>-8.48877990147643E-005</v>
      </c>
      <c r="U101" s="16" t="n">
        <f aca="false">SUMIFS(Calc!$AG$5:$AG$1369,Calc!$A$5:$A$1369,A101)</f>
        <v>-0.0521739899073372</v>
      </c>
      <c r="V101" s="16" t="n">
        <f aca="false">SUMIFS(Calc!$AH$5:$AH$1369,Calc!$A$5:$A$1369,A101)</f>
        <v>-0.0986286975699088</v>
      </c>
      <c r="W101" s="16" t="n">
        <f aca="false">SUMIFS(Calc!$Y$5:$Y$1369,Calc!$A$5:$A$1369,A101)</f>
        <v>0.929094153251434</v>
      </c>
      <c r="X101" s="7" t="n">
        <f aca="false">IFERROR(N101/W101*1000,"")</f>
        <v>99.464593595734</v>
      </c>
      <c r="Y101" s="7" t="n">
        <f aca="false">IFERROR(P101/W101*1000,"")</f>
        <v>60.1638662930922</v>
      </c>
      <c r="Z101" s="7" t="n">
        <f aca="false">IFERROR(Q101/W101*1000,"")</f>
        <v>-6.1557617435762</v>
      </c>
      <c r="AA101" s="16" t="n">
        <f aca="false">SUMIFS(Calc!$AM$5:$AM$1369,Calc!$A$5:$A$1369,A101)</f>
        <v>0.152141983147556</v>
      </c>
      <c r="AB101" s="16" t="n">
        <f aca="false">SUMIFS(Calc!$AN$5:$AN$1369,Calc!$A$5:$A$1369,A101)</f>
        <v>5.0068374334642</v>
      </c>
      <c r="AC101" s="17" t="n">
        <f aca="false">Country_Data!DY101</f>
        <v>0.355</v>
      </c>
      <c r="AD101" s="12" t="n">
        <f aca="false">IF(Country_Data!BD101="","",Country_Data!BD101)</f>
        <v>1.5</v>
      </c>
      <c r="AE101" s="7" t="n">
        <f aca="false">IF(Country_Data!BC101="","",Country_Data!BC101)</f>
        <v>23.938</v>
      </c>
      <c r="AF101" s="12" t="n">
        <f aca="false">IF(Country_Data!BL101="","",Country_Data!BL101)</f>
        <v>-4.071</v>
      </c>
      <c r="AG101" s="7" t="n">
        <f aca="false">IF(Country_Data!BA101="","",Country_Data!BA101)</f>
        <v>70.38</v>
      </c>
    </row>
    <row r="102" customFormat="false" ht="15" hidden="false" customHeight="false" outlineLevel="0" collapsed="false">
      <c r="A102" s="14" t="str">
        <f aca="false">Country_Data!A102</f>
        <v>BHR</v>
      </c>
      <c r="B102" s="14" t="str">
        <f aca="false">Country_Data!B102</f>
        <v>Bahrain</v>
      </c>
      <c r="C102" s="14" t="str">
        <f aca="false">Country_Data!E102</f>
        <v>EMDC</v>
      </c>
      <c r="D102" s="14" t="str">
        <f aca="false">Country_Data!D102</f>
        <v>High income</v>
      </c>
      <c r="E102" s="15" t="n">
        <f aca="false">Country_Data!BV102</f>
        <v>47.4753092939978</v>
      </c>
      <c r="F102" s="16" t="n">
        <f aca="false">SUMIFS(Calc!$J$5:$J$1369,Calc!$A$5:$A$1369,A102)</f>
        <v>5.24666802838117</v>
      </c>
      <c r="G102" s="11" t="n">
        <f aca="false">IFERROR(F102/E102,"")</f>
        <v>0.11051361447464</v>
      </c>
      <c r="H102" s="16" t="n">
        <f aca="false">SUMIFS(Calc!$L$5:$L$1369,Calc!$A$5:$A$1369,A102)</f>
        <v>1.25920032681148</v>
      </c>
      <c r="I102" s="11" t="n">
        <f aca="false">IFERROR(H102/E102,"")</f>
        <v>0.0265232674739136</v>
      </c>
      <c r="J102" s="17" t="n">
        <f aca="false">Country_Data!DW102</f>
        <v>0.105</v>
      </c>
      <c r="K102" s="14" t="str">
        <f aca="false">Country_Data!DV102</f>
        <v>Group default (IHLEG)</v>
      </c>
      <c r="L102" s="16" t="n">
        <f aca="false">SUMIFS(Calc!$W$5:$W$1369,Calc!$A$5:$A$1369,A102)</f>
        <v>0.0381177747319035</v>
      </c>
      <c r="M102" s="16" t="n">
        <f aca="false">SUMIFS(Calc!$X$5:$X$1369,Calc!$A$5:$A$1369,A102)</f>
        <v>0.0313226681852069</v>
      </c>
      <c r="N102" s="18" t="n">
        <f aca="false">SUMIFS(Calc!$AC$5:$AC$1369,Calc!$A$5:$A$1369,A102)</f>
        <v>0.106435362201836</v>
      </c>
      <c r="O102" s="18" t="n">
        <f aca="false">SUMIFS(Calc!$AD$5:$AD$1369,Calc!$A$5:$A$1369,A102)</f>
        <v>0.157799630808909</v>
      </c>
      <c r="P102" s="18" t="n">
        <f aca="false">SUMIFS(Calc!$AE$5:$AE$1369,Calc!$A$5:$A$1369,A102)</f>
        <v>0.0597549690486163</v>
      </c>
      <c r="Q102" s="18" t="n">
        <f aca="false">SUMIFS(Calc!$AF$5:$AF$1369,Calc!$A$5:$A$1369,A102)</f>
        <v>0.0284323008634094</v>
      </c>
      <c r="R102" s="11" t="n">
        <f aca="false">IFERROR(N102/E102,"")</f>
        <v>0.00224190982185539</v>
      </c>
      <c r="S102" s="11" t="n">
        <f aca="false">IFERROR(P102/E102,"")</f>
        <v>0.00125865360199288</v>
      </c>
      <c r="T102" s="11" t="n">
        <f aca="false">IFERROR(Q102/E102,"")</f>
        <v>0.000598886058589701</v>
      </c>
      <c r="U102" s="16" t="n">
        <f aca="false">SUMIFS(Calc!$AG$5:$AG$1369,Calc!$A$5:$A$1369,A102)</f>
        <v>-0.0152161103900295</v>
      </c>
      <c r="V102" s="16" t="n">
        <f aca="false">SUMIFS(Calc!$AH$5:$AH$1369,Calc!$A$5:$A$1369,A102)</f>
        <v>-0.0588645216434683</v>
      </c>
      <c r="W102" s="16" t="n">
        <f aca="false">SUMIFS(Calc!$Y$5:$Y$1369,Calc!$A$5:$A$1369,A102)</f>
        <v>0.872968225068777</v>
      </c>
      <c r="X102" s="7" t="n">
        <f aca="false">IFERROR(N102/W102*1000,"")</f>
        <v>121.923523841261</v>
      </c>
      <c r="Y102" s="7" t="n">
        <f aca="false">IFERROR(P102/W102*1000,"")</f>
        <v>68.4503368308834</v>
      </c>
      <c r="Z102" s="7" t="n">
        <f aca="false">IFERROR(Q102/W102*1000,"")</f>
        <v>32.5696858681991</v>
      </c>
      <c r="AA102" s="16" t="n">
        <f aca="false">SUMIFS(Calc!$AM$5:$AM$1369,Calc!$A$5:$A$1369,A102)</f>
        <v>0.194501638138417</v>
      </c>
      <c r="AB102" s="16" t="n">
        <f aca="false">SUMIFS(Calc!$AN$5:$AN$1369,Calc!$A$5:$A$1369,A102)</f>
        <v>6.0228874079225</v>
      </c>
      <c r="AC102" s="17" t="n">
        <f aca="false">Country_Data!DY102</f>
        <v>0.27</v>
      </c>
      <c r="AD102" s="12" t="str">
        <f aca="false">IF(Country_Data!BD102="","",Country_Data!BD102)</f>
        <v/>
      </c>
      <c r="AE102" s="7" t="str">
        <f aca="false">IF(Country_Data!BC102="","",Country_Data!BC102)</f>
        <v/>
      </c>
      <c r="AF102" s="12" t="str">
        <f aca="false">IF(Country_Data!BL102="","",Country_Data!BL102)</f>
        <v/>
      </c>
      <c r="AG102" s="7" t="n">
        <f aca="false">IF(Country_Data!BA102="","",Country_Data!BA102)</f>
        <v>133.672</v>
      </c>
    </row>
    <row r="103" customFormat="false" ht="15" hidden="false" customHeight="false" outlineLevel="0" collapsed="false">
      <c r="A103" s="14" t="str">
        <f aca="false">Country_Data!A103</f>
        <v>KHM</v>
      </c>
      <c r="B103" s="14" t="str">
        <f aca="false">Country_Data!B103</f>
        <v>Cambodia</v>
      </c>
      <c r="C103" s="14" t="str">
        <f aca="false">Country_Data!E103</f>
        <v>EMDC</v>
      </c>
      <c r="D103" s="14" t="str">
        <f aca="false">Country_Data!D103</f>
        <v>Lower middle income</v>
      </c>
      <c r="E103" s="15" t="n">
        <f aca="false">Country_Data!BV103</f>
        <v>58.9591409284299</v>
      </c>
      <c r="F103" s="16" t="n">
        <f aca="false">SUMIFS(Calc!$J$5:$J$1369,Calc!$A$5:$A$1369,A103)</f>
        <v>3.96925000689</v>
      </c>
      <c r="G103" s="11" t="n">
        <f aca="false">IFERROR(F103/E103,"")</f>
        <v>0.0673220461557987</v>
      </c>
      <c r="H103" s="16" t="n">
        <f aca="false">SUMIFS(Calc!$L$5:$L$1369,Calc!$A$5:$A$1369,A103)</f>
        <v>0.952620001653599</v>
      </c>
      <c r="I103" s="11" t="n">
        <f aca="false">IFERROR(H103/E103,"")</f>
        <v>0.0161572910773917</v>
      </c>
      <c r="J103" s="17" t="n">
        <f aca="false">Country_Data!DW103</f>
        <v>0.1</v>
      </c>
      <c r="K103" s="14" t="str">
        <f aca="false">Country_Data!DV103</f>
        <v>Observed (IRENA/Steffen)</v>
      </c>
      <c r="L103" s="16" t="n">
        <f aca="false">SUMIFS(Calc!$W$5:$W$1369,Calc!$A$5:$A$1369,A103)</f>
        <v>0.0429359254421602</v>
      </c>
      <c r="M103" s="16" t="n">
        <f aca="false">SUMIFS(Calc!$X$5:$X$1369,Calc!$A$5:$A$1369,A103)</f>
        <v>0.0478324379746681</v>
      </c>
      <c r="N103" s="18" t="n">
        <f aca="false">SUMIFS(Calc!$AC$5:$AC$1369,Calc!$A$5:$A$1369,A103)</f>
        <v>0.0645255644499205</v>
      </c>
      <c r="O103" s="18" t="n">
        <f aca="false">SUMIFS(Calc!$AD$5:$AD$1369,Calc!$A$5:$A$1369,A103)</f>
        <v>0.102688148544666</v>
      </c>
      <c r="P103" s="18" t="n">
        <f aca="false">SUMIFS(Calc!$AE$5:$AE$1369,Calc!$A$5:$A$1369,A103)</f>
        <v>0.033688184183453</v>
      </c>
      <c r="Q103" s="18" t="n">
        <f aca="false">SUMIFS(Calc!$AF$5:$AF$1369,Calc!$A$5:$A$1369,A103)</f>
        <v>-0.0141442537912152</v>
      </c>
      <c r="R103" s="11" t="n">
        <f aca="false">IFERROR(N103/E103,"")</f>
        <v>0.00109441154389016</v>
      </c>
      <c r="S103" s="11" t="n">
        <f aca="false">IFERROR(P103/E103,"")</f>
        <v>0.000571381869765484</v>
      </c>
      <c r="T103" s="11" t="n">
        <f aca="false">IFERROR(Q103/E103,"")</f>
        <v>-0.000239899251727307</v>
      </c>
      <c r="U103" s="16" t="n">
        <f aca="false">SUMIFS(Calc!$AG$5:$AG$1369,Calc!$A$5:$A$1369,A103)</f>
        <v>-0.055415546984245</v>
      </c>
      <c r="V103" s="16" t="n">
        <f aca="false">SUMIFS(Calc!$AH$5:$AH$1369,Calc!$A$5:$A$1369,A103)</f>
        <v>-0.0966868401772748</v>
      </c>
      <c r="W103" s="16" t="n">
        <f aca="false">SUMIFS(Calc!$Y$5:$Y$1369,Calc!$A$5:$A$1369,A103)</f>
        <v>0.825425863860596</v>
      </c>
      <c r="X103" s="7" t="n">
        <f aca="false">IFERROR(N103/W103*1000,"")</f>
        <v>78.1724528816292</v>
      </c>
      <c r="Y103" s="7" t="n">
        <f aca="false">IFERROR(P103/W103*1000,"")</f>
        <v>40.813094983346</v>
      </c>
      <c r="Z103" s="7" t="n">
        <f aca="false">IFERROR(Q103/W103*1000,"")</f>
        <v>-17.1357046228975</v>
      </c>
      <c r="AA103" s="16" t="n">
        <f aca="false">SUMIFS(Calc!$AM$5:$AM$1369,Calc!$A$5:$A$1369,A103)</f>
        <v>0.128489084443615</v>
      </c>
      <c r="AB103" s="16" t="n">
        <f aca="false">SUMIFS(Calc!$AN$5:$AN$1369,Calc!$A$5:$A$1369,A103)</f>
        <v>4.84310039600376</v>
      </c>
      <c r="AC103" s="17" t="n">
        <f aca="false">Country_Data!DY103</f>
        <v>0.355</v>
      </c>
      <c r="AD103" s="12" t="n">
        <f aca="false">IF(Country_Data!BD103="","",Country_Data!BD103)</f>
        <v>1.5</v>
      </c>
      <c r="AE103" s="7" t="str">
        <f aca="false">IF(Country_Data!BC103="","",Country_Data!BC103)</f>
        <v/>
      </c>
      <c r="AF103" s="12" t="str">
        <f aca="false">IF(Country_Data!BL103="","",Country_Data!BL103)</f>
        <v/>
      </c>
      <c r="AG103" s="7" t="n">
        <f aca="false">IF(Country_Data!BA103="","",Country_Data!BA103)</f>
        <v>26.138</v>
      </c>
    </row>
    <row r="104" customFormat="false" ht="15" hidden="false" customHeight="false" outlineLevel="0" collapsed="false">
      <c r="A104" s="14" t="str">
        <f aca="false">Country_Data!A104</f>
        <v>PRY</v>
      </c>
      <c r="B104" s="14" t="str">
        <f aca="false">Country_Data!B104</f>
        <v>Paraguay</v>
      </c>
      <c r="C104" s="14" t="str">
        <f aca="false">Country_Data!E104</f>
        <v>EMDC</v>
      </c>
      <c r="D104" s="14" t="str">
        <f aca="false">Country_Data!D104</f>
        <v>Upper middle income</v>
      </c>
      <c r="E104" s="15" t="n">
        <f aca="false">Country_Data!BV104</f>
        <v>58.2546681546409</v>
      </c>
      <c r="F104" s="16" t="n">
        <f aca="false">SUMIFS(Calc!$J$5:$J$1369,Calc!$A$5:$A$1369,A104)</f>
        <v>4.45995602549204</v>
      </c>
      <c r="G104" s="11" t="n">
        <f aca="false">IFERROR(F104/E104,"")</f>
        <v>0.0765596331894432</v>
      </c>
      <c r="H104" s="16" t="n">
        <f aca="false">SUMIFS(Calc!$L$5:$L$1369,Calc!$A$5:$A$1369,A104)</f>
        <v>1.07038944611809</v>
      </c>
      <c r="I104" s="11" t="n">
        <f aca="false">IFERROR(H104/E104,"")</f>
        <v>0.0183743119654664</v>
      </c>
      <c r="J104" s="17" t="n">
        <f aca="false">Country_Data!DW104</f>
        <v>0.105</v>
      </c>
      <c r="K104" s="14" t="str">
        <f aca="false">Country_Data!DV104</f>
        <v>Group default (IHLEG)</v>
      </c>
      <c r="L104" s="16" t="n">
        <f aca="false">SUMIFS(Calc!$W$5:$W$1369,Calc!$A$5:$A$1369,A104)</f>
        <v>0.0766522309864477</v>
      </c>
      <c r="M104" s="16" t="n">
        <f aca="false">SUMIFS(Calc!$X$5:$X$1369,Calc!$A$5:$A$1369,A104)</f>
        <v>0.0613634019586987</v>
      </c>
      <c r="N104" s="18" t="n">
        <f aca="false">SUMIFS(Calc!$AC$5:$AC$1369,Calc!$A$5:$A$1369,A104)</f>
        <v>0.0478351285188911</v>
      </c>
      <c r="O104" s="18" t="n">
        <f aca="false">SUMIFS(Calc!$AD$5:$AD$1369,Calc!$A$5:$A$1369,A104)</f>
        <v>0.0912248597672171</v>
      </c>
      <c r="P104" s="18" t="n">
        <f aca="false">SUMIFS(Calc!$AE$5:$AE$1369,Calc!$A$5:$A$1369,A104)</f>
        <v>0.00842326345889542</v>
      </c>
      <c r="Q104" s="18" t="n">
        <f aca="false">SUMIFS(Calc!$AF$5:$AF$1369,Calc!$A$5:$A$1369,A104)</f>
        <v>-0.0529401384998032</v>
      </c>
      <c r="R104" s="11" t="n">
        <f aca="false">IFERROR(N104/E104,"")</f>
        <v>0.000821138117067452</v>
      </c>
      <c r="S104" s="11" t="n">
        <f aca="false">IFERROR(P104/E104,"")</f>
        <v>0.000144593793522869</v>
      </c>
      <c r="T104" s="11" t="n">
        <f aca="false">IFERROR(Q104/E104,"")</f>
        <v>-0.000908770750513421</v>
      </c>
      <c r="U104" s="16" t="n">
        <f aca="false">SUMIFS(Calc!$AG$5:$AG$1369,Calc!$A$5:$A$1369,A104)</f>
        <v>-0.0890617713845847</v>
      </c>
      <c r="V104" s="16" t="n">
        <f aca="false">SUMIFS(Calc!$AH$5:$AH$1369,Calc!$A$5:$A$1369,A104)</f>
        <v>-0.125183404269366</v>
      </c>
      <c r="W104" s="16" t="n">
        <f aca="false">SUMIFS(Calc!$Y$5:$Y$1369,Calc!$A$5:$A$1369,A104)</f>
        <v>0.722432657695629</v>
      </c>
      <c r="X104" s="7" t="n">
        <f aca="false">IFERROR(N104/W104*1000,"")</f>
        <v>66.213961964943</v>
      </c>
      <c r="Y104" s="7" t="n">
        <f aca="false">IFERROR(P104/W104*1000,"")</f>
        <v>11.6595828956064</v>
      </c>
      <c r="Z104" s="7" t="n">
        <f aca="false">IFERROR(Q104/W104*1000,"")</f>
        <v>-73.280378365879</v>
      </c>
      <c r="AA104" s="16" t="n">
        <f aca="false">SUMIFS(Calc!$AM$5:$AM$1369,Calc!$A$5:$A$1369,A104)</f>
        <v>0.164216104416649</v>
      </c>
      <c r="AB104" s="16" t="n">
        <f aca="false">SUMIFS(Calc!$AN$5:$AN$1369,Calc!$A$5:$A$1369,A104)</f>
        <v>5.44183781715076</v>
      </c>
      <c r="AC104" s="17" t="n">
        <f aca="false">Country_Data!DY104</f>
        <v>0.355</v>
      </c>
      <c r="AD104" s="12" t="n">
        <f aca="false">IF(Country_Data!BD104="","",Country_Data!BD104)</f>
        <v>1.5</v>
      </c>
      <c r="AE104" s="7" t="n">
        <f aca="false">IF(Country_Data!BC104="","",Country_Data!BC104)</f>
        <v>89.48</v>
      </c>
      <c r="AF104" s="12" t="n">
        <f aca="false">IF(Country_Data!BL104="","",Country_Data!BL104)</f>
        <v>0.283</v>
      </c>
      <c r="AG104" s="7" t="n">
        <f aca="false">IF(Country_Data!BA104="","",Country_Data!BA104)</f>
        <v>44.633</v>
      </c>
    </row>
    <row r="105" customFormat="false" ht="15" hidden="false" customHeight="false" outlineLevel="0" collapsed="false">
      <c r="A105" s="14" t="str">
        <f aca="false">Country_Data!A105</f>
        <v>LVA</v>
      </c>
      <c r="B105" s="14" t="str">
        <f aca="false">Country_Data!B105</f>
        <v>Latvia</v>
      </c>
      <c r="C105" s="14" t="str">
        <f aca="false">Country_Data!E105</f>
        <v>AE</v>
      </c>
      <c r="D105" s="14" t="str">
        <f aca="false">Country_Data!D105</f>
        <v>High income</v>
      </c>
      <c r="E105" s="15" t="n">
        <f aca="false">Country_Data!BV105</f>
        <v>50.1370136693317</v>
      </c>
      <c r="F105" s="16" t="n">
        <f aca="false">SUMIFS(Calc!$J$5:$J$1369,Calc!$A$5:$A$1369,A105)</f>
        <v>1.64397655280878</v>
      </c>
      <c r="G105" s="11" t="n">
        <f aca="false">IFERROR(F105/E105,"")</f>
        <v>0.0327896783731733</v>
      </c>
      <c r="H105" s="16" t="n">
        <f aca="false">SUMIFS(Calc!$L$5:$L$1369,Calc!$A$5:$A$1369,A105)</f>
        <v>0.624711090067337</v>
      </c>
      <c r="I105" s="11" t="n">
        <f aca="false">IFERROR(H105/E105,"")</f>
        <v>0.0124600777818059</v>
      </c>
      <c r="J105" s="17" t="n">
        <f aca="false">Country_Data!DW105</f>
        <v>0.1059</v>
      </c>
      <c r="K105" s="14" t="str">
        <f aca="false">Country_Data!DV105</f>
        <v>Observed (IRENA/Steffen)</v>
      </c>
      <c r="L105" s="16" t="n">
        <f aca="false">SUMIFS(Calc!$W$5:$W$1369,Calc!$A$5:$A$1369,A105)</f>
        <v>0.0575495269987723</v>
      </c>
      <c r="M105" s="16" t="n">
        <f aca="false">SUMIFS(Calc!$X$5:$X$1369,Calc!$A$5:$A$1369,A105)</f>
        <v>0.00686387955405689</v>
      </c>
      <c r="N105" s="18" t="n">
        <f aca="false">SUMIFS(Calc!$AC$5:$AC$1369,Calc!$A$5:$A$1369,A105)</f>
        <v>0.0176320807723495</v>
      </c>
      <c r="O105" s="18" t="n">
        <f aca="false">SUMIFS(Calc!$AD$5:$AD$1369,Calc!$A$5:$A$1369,A105)</f>
        <v>0.0257416477793327</v>
      </c>
      <c r="P105" s="18" t="n">
        <f aca="false">SUMIFS(Calc!$AE$5:$AE$1369,Calc!$A$5:$A$1369,A105)</f>
        <v>-0.00544085211357889</v>
      </c>
      <c r="Q105" s="18" t="n">
        <f aca="false">SUMIFS(Calc!$AF$5:$AF$1369,Calc!$A$5:$A$1369,A105)</f>
        <v>-0.0123047316676358</v>
      </c>
      <c r="R105" s="11" t="n">
        <f aca="false">IFERROR(N105/E105,"")</f>
        <v>0.000351677921797223</v>
      </c>
      <c r="S105" s="11" t="n">
        <f aca="false">IFERROR(P105/E105,"")</f>
        <v>-0.000108519668711481</v>
      </c>
      <c r="T105" s="11" t="n">
        <f aca="false">IFERROR(Q105/E105,"")</f>
        <v>-0.000245422109677076</v>
      </c>
      <c r="U105" s="16" t="n">
        <f aca="false">SUMIFS(Calc!$AG$5:$AG$1369,Calc!$A$5:$A$1369,A105)</f>
        <v>-0.0225672111439253</v>
      </c>
      <c r="V105" s="16" t="n">
        <f aca="false">SUMIFS(Calc!$AH$5:$AH$1369,Calc!$A$5:$A$1369,A105)</f>
        <v>-0.0328296906202148</v>
      </c>
      <c r="W105" s="16" t="n">
        <f aca="false">SUMIFS(Calc!$Y$5:$Y$1369,Calc!$A$5:$A$1369,A105)</f>
        <v>0.205249589525791</v>
      </c>
      <c r="X105" s="7" t="n">
        <f aca="false">IFERROR(N105/W105*1000,"")</f>
        <v>85.9055592417346</v>
      </c>
      <c r="Y105" s="7" t="n">
        <f aca="false">IFERROR(P105/W105*1000,"")</f>
        <v>-26.5084676960838</v>
      </c>
      <c r="Z105" s="7" t="n">
        <f aca="false">IFERROR(Q105/W105*1000,"")</f>
        <v>-59.9500914767463</v>
      </c>
      <c r="AA105" s="16" t="n">
        <f aca="false">SUMIFS(Calc!$AM$5:$AM$1369,Calc!$A$5:$A$1369,A105)</f>
        <v>0.0607182444366537</v>
      </c>
      <c r="AB105" s="16" t="n">
        <f aca="false">SUMIFS(Calc!$AN$5:$AN$1369,Calc!$A$5:$A$1369,A105)</f>
        <v>1.71767205345193</v>
      </c>
      <c r="AC105" s="17" t="n">
        <f aca="false">Country_Data!DY105</f>
        <v>0.13</v>
      </c>
      <c r="AD105" s="12" t="str">
        <f aca="false">IF(Country_Data!BD105="","",Country_Data!BD105)</f>
        <v/>
      </c>
      <c r="AE105" s="7" t="str">
        <f aca="false">IF(Country_Data!BC105="","",Country_Data!BC105)</f>
        <v/>
      </c>
      <c r="AF105" s="12" t="str">
        <f aca="false">IF(Country_Data!BL105="","",Country_Data!BL105)</f>
        <v/>
      </c>
      <c r="AG105" s="7" t="n">
        <f aca="false">IF(Country_Data!BA105="","",Country_Data!BA105)</f>
        <v>46.25</v>
      </c>
    </row>
    <row r="106" customFormat="false" ht="15" hidden="false" customHeight="false" outlineLevel="0" collapsed="false">
      <c r="A106" s="14" t="str">
        <f aca="false">Country_Data!A106</f>
        <v>EST</v>
      </c>
      <c r="B106" s="14" t="str">
        <f aca="false">Country_Data!B106</f>
        <v>Estonia</v>
      </c>
      <c r="C106" s="14" t="str">
        <f aca="false">Country_Data!E106</f>
        <v>AE</v>
      </c>
      <c r="D106" s="14" t="str">
        <f aca="false">Country_Data!D106</f>
        <v>High income</v>
      </c>
      <c r="E106" s="15" t="n">
        <f aca="false">Country_Data!BV106</f>
        <v>46.5573397517597</v>
      </c>
      <c r="F106" s="16" t="n">
        <f aca="false">SUMIFS(Calc!$J$5:$J$1369,Calc!$A$5:$A$1369,A106)</f>
        <v>1.56383786016743</v>
      </c>
      <c r="G106" s="11" t="n">
        <f aca="false">IFERROR(F106/E106,"")</f>
        <v>0.0335895020743388</v>
      </c>
      <c r="H106" s="16" t="n">
        <f aca="false">SUMIFS(Calc!$L$5:$L$1369,Calc!$A$5:$A$1369,A106)</f>
        <v>0.594258386863622</v>
      </c>
      <c r="I106" s="11" t="n">
        <f aca="false">IFERROR(H106/E106,"")</f>
        <v>0.0127640107882487</v>
      </c>
      <c r="J106" s="17" t="n">
        <f aca="false">Country_Data!DW106</f>
        <v>0.07635</v>
      </c>
      <c r="K106" s="14" t="str">
        <f aca="false">Country_Data!DV106</f>
        <v>Observed (IRENA/Steffen)</v>
      </c>
      <c r="L106" s="16" t="n">
        <f aca="false">SUMIFS(Calc!$W$5:$W$1369,Calc!$A$5:$A$1369,A106)</f>
        <v>0.0455333843722364</v>
      </c>
      <c r="M106" s="16" t="n">
        <f aca="false">SUMIFS(Calc!$X$5:$X$1369,Calc!$A$5:$A$1369,A106)</f>
        <v>0.0137905178744428</v>
      </c>
      <c r="N106" s="18" t="n">
        <f aca="false">SUMIFS(Calc!$AC$5:$AC$1369,Calc!$A$5:$A$1369,A106)</f>
        <v>0.0108697046583902</v>
      </c>
      <c r="O106" s="18" t="n">
        <f aca="false">SUMIFS(Calc!$AD$5:$AD$1369,Calc!$A$5:$A$1369,A106)</f>
        <v>0.0181149085592316</v>
      </c>
      <c r="P106" s="18" t="n">
        <f aca="false">SUMIFS(Calc!$AE$5:$AE$1369,Calc!$A$5:$A$1369,A106)</f>
        <v>0.00335623571194287</v>
      </c>
      <c r="Q106" s="18" t="n">
        <f aca="false">SUMIFS(Calc!$AF$5:$AF$1369,Calc!$A$5:$A$1369,A106)</f>
        <v>-0.0104342821624999</v>
      </c>
      <c r="R106" s="11" t="n">
        <f aca="false">IFERROR(N106/E106,"")</f>
        <v>0.000233469195541384</v>
      </c>
      <c r="S106" s="11" t="n">
        <f aca="false">IFERROR(P106/E106,"")</f>
        <v>7.20882191688372E-005</v>
      </c>
      <c r="T106" s="11" t="n">
        <f aca="false">IFERROR(Q106/E106,"")</f>
        <v>-0.000224116803454294</v>
      </c>
      <c r="U106" s="16" t="n">
        <f aca="false">SUMIFS(Calc!$AG$5:$AG$1369,Calc!$A$5:$A$1369,A106)</f>
        <v>-0.0244208221389543</v>
      </c>
      <c r="V106" s="16" t="n">
        <f aca="false">SUMIFS(Calc!$AH$5:$AH$1369,Calc!$A$5:$A$1369,A106)</f>
        <v>-0.0384073621154088</v>
      </c>
      <c r="W106" s="16" t="n">
        <f aca="false">SUMIFS(Calc!$Y$5:$Y$1369,Calc!$A$5:$A$1369,A106)</f>
        <v>0.279730799529089</v>
      </c>
      <c r="X106" s="7" t="n">
        <f aca="false">IFERROR(N106/W106*1000,"")</f>
        <v>38.8577327798325</v>
      </c>
      <c r="Y106" s="7" t="n">
        <f aca="false">IFERROR(P106/W106*1000,"")</f>
        <v>11.9980914421755</v>
      </c>
      <c r="Z106" s="7" t="n">
        <f aca="false">IFERROR(Q106/W106*1000,"")</f>
        <v>-37.3011558972607</v>
      </c>
      <c r="AA106" s="16" t="n">
        <f aca="false">SUMIFS(Calc!$AM$5:$AM$1369,Calc!$A$5:$A$1369,A106)</f>
        <v>0.0197722867011773</v>
      </c>
      <c r="AB106" s="16" t="n">
        <f aca="false">SUMIFS(Calc!$AN$5:$AN$1369,Calc!$A$5:$A$1369,A106)</f>
        <v>1.63394093665769</v>
      </c>
      <c r="AC106" s="17" t="n">
        <f aca="false">Country_Data!DY106</f>
        <v>0.13</v>
      </c>
      <c r="AD106" s="12" t="str">
        <f aca="false">IF(Country_Data!BD106="","",Country_Data!BD106)</f>
        <v/>
      </c>
      <c r="AE106" s="7" t="str">
        <f aca="false">IF(Country_Data!BC106="","",Country_Data!BC106)</f>
        <v/>
      </c>
      <c r="AF106" s="12" t="str">
        <f aca="false">IF(Country_Data!BL106="","",Country_Data!BL106)</f>
        <v/>
      </c>
      <c r="AG106" s="7" t="n">
        <f aca="false">IF(Country_Data!BA106="","",Country_Data!BA106)</f>
        <v>23.472</v>
      </c>
    </row>
    <row r="107" customFormat="false" ht="15" hidden="false" customHeight="false" outlineLevel="0" collapsed="false">
      <c r="A107" s="14" t="str">
        <f aca="false">Country_Data!A107</f>
        <v>NPL</v>
      </c>
      <c r="B107" s="14" t="str">
        <f aca="false">Country_Data!B107</f>
        <v>Nepal</v>
      </c>
      <c r="C107" s="14" t="str">
        <f aca="false">Country_Data!E107</f>
        <v>EMDC</v>
      </c>
      <c r="D107" s="14" t="str">
        <f aca="false">Country_Data!D107</f>
        <v>Lower middle income</v>
      </c>
      <c r="E107" s="15" t="n">
        <f aca="false">Country_Data!BV107</f>
        <v>51.9284781371703</v>
      </c>
      <c r="F107" s="16" t="n">
        <f aca="false">SUMIFS(Calc!$J$5:$J$1369,Calc!$A$5:$A$1369,A107)</f>
        <v>3.34406388193726</v>
      </c>
      <c r="G107" s="11" t="n">
        <f aca="false">IFERROR(F107/E107,"")</f>
        <v>0.0643974944365564</v>
      </c>
      <c r="H107" s="16" t="n">
        <f aca="false">SUMIFS(Calc!$L$5:$L$1369,Calc!$A$5:$A$1369,A107)</f>
        <v>0.802575331664943</v>
      </c>
      <c r="I107" s="11" t="n">
        <f aca="false">IFERROR(H107/E107,"")</f>
        <v>0.0154553986647735</v>
      </c>
      <c r="J107" s="17" t="n">
        <f aca="false">Country_Data!DW107</f>
        <v>0.105</v>
      </c>
      <c r="K107" s="14" t="str">
        <f aca="false">Country_Data!DV107</f>
        <v>Group default (IHLEG)</v>
      </c>
      <c r="L107" s="16" t="n">
        <f aca="false">SUMIFS(Calc!$W$5:$W$1369,Calc!$A$5:$A$1369,A107)</f>
        <v>0.0633420109751393</v>
      </c>
      <c r="M107" s="16" t="n">
        <f aca="false">SUMIFS(Calc!$X$5:$X$1369,Calc!$A$5:$A$1369,A107)</f>
        <v>0.109716989509057</v>
      </c>
      <c r="N107" s="18" t="n">
        <f aca="false">SUMIFS(Calc!$AC$5:$AC$1369,Calc!$A$5:$A$1369,A107)</f>
        <v>0.0309334585798169</v>
      </c>
      <c r="O107" s="18" t="n">
        <f aca="false">SUMIFS(Calc!$AD$5:$AD$1369,Calc!$A$5:$A$1369,A107)</f>
        <v>0.0632515278589514</v>
      </c>
      <c r="P107" s="18" t="n">
        <f aca="false">SUMIFS(Calc!$AE$5:$AE$1369,Calc!$A$5:$A$1369,A107)</f>
        <v>0.00158722581624971</v>
      </c>
      <c r="Q107" s="18" t="n">
        <f aca="false">SUMIFS(Calc!$AF$5:$AF$1369,Calc!$A$5:$A$1369,A107)</f>
        <v>-0.108129763692808</v>
      </c>
      <c r="R107" s="11" t="n">
        <f aca="false">IFERROR(N107/E107,"")</f>
        <v>0.000595693532518041</v>
      </c>
      <c r="S107" s="11" t="n">
        <f aca="false">IFERROR(P107/E107,"")</f>
        <v>3.05656139595891E-005</v>
      </c>
      <c r="T107" s="11" t="n">
        <f aca="false">IFERROR(Q107/E107,"")</f>
        <v>-0.00208228254652833</v>
      </c>
      <c r="U107" s="16" t="n">
        <f aca="false">SUMIFS(Calc!$AG$5:$AG$1369,Calc!$A$5:$A$1369,A107)</f>
        <v>-0.132299283912173</v>
      </c>
      <c r="V107" s="16" t="n">
        <f aca="false">SUMIFS(Calc!$AH$5:$AH$1369,Calc!$A$5:$A$1369,A107)</f>
        <v>-0.156468804131538</v>
      </c>
      <c r="W107" s="16" t="n">
        <f aca="false">SUMIFS(Calc!$Y$5:$Y$1369,Calc!$A$5:$A$1369,A107)</f>
        <v>0.483390404387309</v>
      </c>
      <c r="X107" s="7" t="n">
        <f aca="false">IFERROR(N107/W107*1000,"")</f>
        <v>63.992702997538</v>
      </c>
      <c r="Y107" s="7" t="n">
        <f aca="false">IFERROR(P107/W107*1000,"")</f>
        <v>3.28352776936376</v>
      </c>
      <c r="Z107" s="7" t="n">
        <f aca="false">IFERROR(Q107/W107*1000,"")</f>
        <v>-223.690339550411</v>
      </c>
      <c r="AA107" s="16" t="n">
        <f aca="false">SUMIFS(Calc!$AM$5:$AM$1369,Calc!$A$5:$A$1369,A107)</f>
        <v>0.122275969848196</v>
      </c>
      <c r="AB107" s="16" t="n">
        <f aca="false">SUMIFS(Calc!$AN$5:$AN$1369,Calc!$A$5:$A$1369,A107)</f>
        <v>3.82633704042073</v>
      </c>
      <c r="AC107" s="17" t="n">
        <f aca="false">Country_Data!DY107</f>
        <v>0.265</v>
      </c>
      <c r="AD107" s="12" t="n">
        <f aca="false">IF(Country_Data!BD107="","",Country_Data!BD107)</f>
        <v>2.5</v>
      </c>
      <c r="AE107" s="7" t="str">
        <f aca="false">IF(Country_Data!BC107="","",Country_Data!BC107)</f>
        <v/>
      </c>
      <c r="AF107" s="12" t="str">
        <f aca="false">IF(Country_Data!BL107="","",Country_Data!BL107)</f>
        <v/>
      </c>
      <c r="AG107" s="7" t="n">
        <f aca="false">IF(Country_Data!BA107="","",Country_Data!BA107)</f>
        <v>48.333</v>
      </c>
    </row>
    <row r="108" customFormat="false" ht="15" hidden="false" customHeight="false" outlineLevel="0" collapsed="false">
      <c r="A108" s="14" t="str">
        <f aca="false">Country_Data!A108</f>
        <v>CYP</v>
      </c>
      <c r="B108" s="14" t="str">
        <f aca="false">Country_Data!B108</f>
        <v>Cyprus</v>
      </c>
      <c r="C108" s="14" t="str">
        <f aca="false">Country_Data!E108</f>
        <v>AE</v>
      </c>
      <c r="D108" s="14" t="str">
        <f aca="false">Country_Data!D108</f>
        <v>High income</v>
      </c>
      <c r="E108" s="15" t="n">
        <f aca="false">Country_Data!BV108</f>
        <v>45.15519425865</v>
      </c>
      <c r="F108" s="16" t="n">
        <f aca="false">SUMIFS(Calc!$J$5:$J$1369,Calc!$A$5:$A$1369,A108)</f>
        <v>1.28650182852676</v>
      </c>
      <c r="G108" s="11" t="n">
        <f aca="false">IFERROR(F108/E108,"")</f>
        <v>0.028490671995732</v>
      </c>
      <c r="H108" s="16" t="n">
        <f aca="false">SUMIFS(Calc!$L$5:$L$1369,Calc!$A$5:$A$1369,A108)</f>
        <v>0.488870694840168</v>
      </c>
      <c r="I108" s="11" t="n">
        <f aca="false">IFERROR(H108/E108,"")</f>
        <v>0.0108264553583782</v>
      </c>
      <c r="J108" s="17" t="n">
        <f aca="false">Country_Data!DW108</f>
        <v>0.051</v>
      </c>
      <c r="K108" s="14" t="str">
        <f aca="false">Country_Data!DV108</f>
        <v>Observed (IRENA/Steffen)</v>
      </c>
      <c r="L108" s="16" t="n">
        <f aca="false">SUMIFS(Calc!$W$5:$W$1369,Calc!$A$5:$A$1369,A108)</f>
        <v>0.0566964979726817</v>
      </c>
      <c r="M108" s="16" t="n">
        <f aca="false">SUMIFS(Calc!$X$5:$X$1369,Calc!$A$5:$A$1369,A108)</f>
        <v>0.00693143334149967</v>
      </c>
      <c r="N108" s="18" t="n">
        <f aca="false">SUMIFS(Calc!$AC$5:$AC$1369,Calc!$A$5:$A$1369,A108)</f>
        <v>-0.0193399800951884</v>
      </c>
      <c r="O108" s="18" t="n">
        <f aca="false">SUMIFS(Calc!$AD$5:$AD$1369,Calc!$A$5:$A$1369,A108)</f>
        <v>-0.0138923878145369</v>
      </c>
      <c r="P108" s="18" t="n">
        <f aca="false">SUMIFS(Calc!$AE$5:$AE$1369,Calc!$A$5:$A$1369,A108)</f>
        <v>-0.0161109311733708</v>
      </c>
      <c r="Q108" s="18" t="n">
        <f aca="false">SUMIFS(Calc!$AF$5:$AF$1369,Calc!$A$5:$A$1369,A108)</f>
        <v>-0.0230423645148705</v>
      </c>
      <c r="R108" s="11" t="n">
        <f aca="false">IFERROR(N108/E108,"")</f>
        <v>-0.000428300230188548</v>
      </c>
      <c r="S108" s="11" t="n">
        <f aca="false">IFERROR(P108/E108,"")</f>
        <v>-0.00035679020847717</v>
      </c>
      <c r="T108" s="11" t="n">
        <f aca="false">IFERROR(Q108/E108,"")</f>
        <v>-0.000510292667170986</v>
      </c>
      <c r="U108" s="16" t="n">
        <f aca="false">SUMIFS(Calc!$AG$5:$AG$1369,Calc!$A$5:$A$1369,A108)</f>
        <v>-0.0387159373530861</v>
      </c>
      <c r="V108" s="16" t="n">
        <f aca="false">SUMIFS(Calc!$AH$5:$AH$1369,Calc!$A$5:$A$1369,A108)</f>
        <v>-0.0543895101913017</v>
      </c>
      <c r="W108" s="16" t="n">
        <f aca="false">SUMIFS(Calc!$Y$5:$Y$1369,Calc!$A$5:$A$1369,A108)</f>
        <v>0.313471456764312</v>
      </c>
      <c r="X108" s="7" t="n">
        <f aca="false">IFERROR(N108/W108*1000,"")</f>
        <v>-61.6961438684654</v>
      </c>
      <c r="Y108" s="7" t="n">
        <f aca="false">IFERROR(P108/W108*1000,"")</f>
        <v>-51.3952094384276</v>
      </c>
      <c r="Z108" s="7" t="n">
        <f aca="false">IFERROR(Q108/W108*1000,"")</f>
        <v>-73.5070578760708</v>
      </c>
      <c r="AA108" s="16" t="n">
        <f aca="false">SUMIFS(Calc!$AM$5:$AM$1369,Calc!$A$5:$A$1369,A108)</f>
        <v>-0.00849749716267784</v>
      </c>
      <c r="AB108" s="16" t="n">
        <f aca="false">SUMIFS(Calc!$AN$5:$AN$1369,Calc!$A$5:$A$1369,A108)</f>
        <v>1.34417260015037</v>
      </c>
      <c r="AC108" s="17" t="n">
        <f aca="false">Country_Data!DY108</f>
        <v>0.13</v>
      </c>
      <c r="AD108" s="12" t="str">
        <f aca="false">IF(Country_Data!BD108="","",Country_Data!BD108)</f>
        <v/>
      </c>
      <c r="AE108" s="7" t="str">
        <f aca="false">IF(Country_Data!BC108="","",Country_Data!BC108)</f>
        <v/>
      </c>
      <c r="AF108" s="12" t="str">
        <f aca="false">IF(Country_Data!BL108="","",Country_Data!BL108)</f>
        <v/>
      </c>
      <c r="AG108" s="7" t="n">
        <f aca="false">IF(Country_Data!BA108="","",Country_Data!BA108)</f>
        <v>62.836</v>
      </c>
    </row>
    <row r="109" customFormat="false" ht="15" hidden="false" customHeight="false" outlineLevel="0" collapsed="false">
      <c r="A109" s="14" t="str">
        <f aca="false">Country_Data!A109</f>
        <v>HND</v>
      </c>
      <c r="B109" s="14" t="str">
        <f aca="false">Country_Data!B109</f>
        <v>Honduras</v>
      </c>
      <c r="C109" s="14" t="str">
        <f aca="false">Country_Data!E109</f>
        <v>EMDC</v>
      </c>
      <c r="D109" s="14" t="str">
        <f aca="false">Country_Data!D109</f>
        <v>Lower middle income</v>
      </c>
      <c r="E109" s="15" t="n">
        <f aca="false">Country_Data!BV109</f>
        <v>45.2537187707575</v>
      </c>
      <c r="F109" s="16" t="n">
        <f aca="false">SUMIFS(Calc!$J$5:$J$1369,Calc!$A$5:$A$1369,A109)</f>
        <v>2.49505186995777</v>
      </c>
      <c r="G109" s="11" t="n">
        <f aca="false">IFERROR(F109/E109,"")</f>
        <v>0.0551347367184782</v>
      </c>
      <c r="H109" s="16" t="n">
        <f aca="false">SUMIFS(Calc!$L$5:$L$1369,Calc!$A$5:$A$1369,A109)</f>
        <v>0.598812448789865</v>
      </c>
      <c r="I109" s="11" t="n">
        <f aca="false">IFERROR(H109/E109,"")</f>
        <v>0.0132323368124348</v>
      </c>
      <c r="J109" s="17" t="n">
        <f aca="false">Country_Data!DW109</f>
        <v>0.0669200000000001</v>
      </c>
      <c r="K109" s="14" t="str">
        <f aca="false">Country_Data!DV109</f>
        <v>Observed (IRENA/Steffen)</v>
      </c>
      <c r="L109" s="16" t="n">
        <f aca="false">SUMIFS(Calc!$W$5:$W$1369,Calc!$A$5:$A$1369,A109)</f>
        <v>0.043676249282382</v>
      </c>
      <c r="M109" s="16" t="n">
        <f aca="false">SUMIFS(Calc!$X$5:$X$1369,Calc!$A$5:$A$1369,A109)</f>
        <v>0.0232177856301467</v>
      </c>
      <c r="N109" s="18" t="n">
        <f aca="false">SUMIFS(Calc!$AC$5:$AC$1369,Calc!$A$5:$A$1369,A109)</f>
        <v>0.00859254385349221</v>
      </c>
      <c r="O109" s="18" t="n">
        <f aca="false">SUMIFS(Calc!$AD$5:$AD$1369,Calc!$A$5:$A$1369,A109)</f>
        <v>0.0308281445612892</v>
      </c>
      <c r="P109" s="18" t="n">
        <f aca="false">SUMIFS(Calc!$AE$5:$AE$1369,Calc!$A$5:$A$1369,A109)</f>
        <v>0.00543598534273579</v>
      </c>
      <c r="Q109" s="18" t="n">
        <f aca="false">SUMIFS(Calc!$AF$5:$AF$1369,Calc!$A$5:$A$1369,A109)</f>
        <v>-0.0177818002874109</v>
      </c>
      <c r="R109" s="11" t="n">
        <f aca="false">IFERROR(N109/E109,"")</f>
        <v>0.000189874867456078</v>
      </c>
      <c r="S109" s="11" t="n">
        <f aca="false">IFERROR(P109/E109,"")</f>
        <v>0.000120122400774905</v>
      </c>
      <c r="T109" s="11" t="n">
        <f aca="false">IFERROR(Q109/E109,"")</f>
        <v>-0.000392935669607364</v>
      </c>
      <c r="U109" s="16" t="n">
        <f aca="false">SUMIFS(Calc!$AG$5:$AG$1369,Calc!$A$5:$A$1369,A109)</f>
        <v>-0.0383671757120763</v>
      </c>
      <c r="V109" s="16" t="n">
        <f aca="false">SUMIFS(Calc!$AH$5:$AH$1369,Calc!$A$5:$A$1369,A109)</f>
        <v>-0.0589525511367417</v>
      </c>
      <c r="W109" s="16" t="n">
        <f aca="false">SUMIFS(Calc!$Y$5:$Y$1369,Calc!$A$5:$A$1369,A109)</f>
        <v>0.411707508493307</v>
      </c>
      <c r="X109" s="7" t="n">
        <f aca="false">IFERROR(N109/W109*1000,"")</f>
        <v>20.8705055803758</v>
      </c>
      <c r="Y109" s="7" t="n">
        <f aca="false">IFERROR(P109/W109*1000,"")</f>
        <v>13.2035127623235</v>
      </c>
      <c r="Z109" s="7" t="n">
        <f aca="false">IFERROR(Q109/W109*1000,"")</f>
        <v>-43.1903716123262</v>
      </c>
      <c r="AA109" s="16" t="n">
        <f aca="false">SUMIFS(Calc!$AM$5:$AM$1369,Calc!$A$5:$A$1369,A109)</f>
        <v>0.0131523271281517</v>
      </c>
      <c r="AB109" s="16" t="n">
        <f aca="false">SUMIFS(Calc!$AN$5:$AN$1369,Calc!$A$5:$A$1369,A109)</f>
        <v>2.86418283154056</v>
      </c>
      <c r="AC109" s="17" t="n">
        <f aca="false">Country_Data!DY109</f>
        <v>0.27</v>
      </c>
      <c r="AD109" s="12" t="str">
        <f aca="false">IF(Country_Data!BD109="","",Country_Data!BD109)</f>
        <v/>
      </c>
      <c r="AE109" s="7" t="n">
        <f aca="false">IF(Country_Data!BC109="","",Country_Data!BC109)</f>
        <v>82.578</v>
      </c>
      <c r="AF109" s="12" t="n">
        <f aca="false">IF(Country_Data!BL109="","",Country_Data!BL109)</f>
        <v>3.27</v>
      </c>
      <c r="AG109" s="7" t="n">
        <f aca="false">IF(Country_Data!BA109="","",Country_Data!BA109)</f>
        <v>41.503</v>
      </c>
    </row>
    <row r="110" customFormat="false" ht="15" hidden="false" customHeight="false" outlineLevel="0" collapsed="false">
      <c r="A110" s="14" t="str">
        <f aca="false">Country_Data!A110</f>
        <v>SLV</v>
      </c>
      <c r="B110" s="14" t="str">
        <f aca="false">Country_Data!B110</f>
        <v>El Salvador</v>
      </c>
      <c r="C110" s="14" t="str">
        <f aca="false">Country_Data!E110</f>
        <v>EMDC</v>
      </c>
      <c r="D110" s="14" t="str">
        <f aca="false">Country_Data!D110</f>
        <v>Upper middle income</v>
      </c>
      <c r="E110" s="15" t="n">
        <f aca="false">Country_Data!BV110</f>
        <v>43.1374060465725</v>
      </c>
      <c r="F110" s="16" t="n">
        <f aca="false">SUMIFS(Calc!$J$5:$J$1369,Calc!$A$5:$A$1369,A110)</f>
        <v>2.27830059724726</v>
      </c>
      <c r="G110" s="11" t="n">
        <f aca="false">IFERROR(F110/E110,"")</f>
        <v>0.052814965155474</v>
      </c>
      <c r="H110" s="16" t="n">
        <f aca="false">SUMIFS(Calc!$L$5:$L$1369,Calc!$A$5:$A$1369,A110)</f>
        <v>0.546792143339342</v>
      </c>
      <c r="I110" s="11" t="n">
        <f aca="false">IFERROR(H110/E110,"")</f>
        <v>0.0126755916373138</v>
      </c>
      <c r="J110" s="17" t="n">
        <f aca="false">Country_Data!DW110</f>
        <v>0.048</v>
      </c>
      <c r="K110" s="14" t="str">
        <f aca="false">Country_Data!DV110</f>
        <v>Observed (IRENA/Steffen)</v>
      </c>
      <c r="L110" s="16" t="n">
        <f aca="false">SUMIFS(Calc!$W$5:$W$1369,Calc!$A$5:$A$1369,A110)</f>
        <v>0.0267492738087465</v>
      </c>
      <c r="M110" s="16" t="n">
        <f aca="false">SUMIFS(Calc!$X$5:$X$1369,Calc!$A$5:$A$1369,A110)</f>
        <v>0.0167125560648701</v>
      </c>
      <c r="N110" s="18" t="n">
        <f aca="false">SUMIFS(Calc!$AC$5:$AC$1369,Calc!$A$5:$A$1369,A110)</f>
        <v>0.0134345169822356</v>
      </c>
      <c r="O110" s="18" t="n">
        <f aca="false">SUMIFS(Calc!$AD$5:$AD$1369,Calc!$A$5:$A$1369,A110)</f>
        <v>0.03258376954371</v>
      </c>
      <c r="P110" s="18" t="n">
        <f aca="false">SUMIFS(Calc!$AE$5:$AE$1369,Calc!$A$5:$A$1369,A110)</f>
        <v>0.0182385340623933</v>
      </c>
      <c r="Q110" s="18" t="n">
        <f aca="false">SUMIFS(Calc!$AF$5:$AF$1369,Calc!$A$5:$A$1369,A110)</f>
        <v>0.00152597799752315</v>
      </c>
      <c r="R110" s="11" t="n">
        <f aca="false">IFERROR(N110/E110,"")</f>
        <v>0.000311435438833093</v>
      </c>
      <c r="S110" s="11" t="n">
        <f aca="false">IFERROR(P110/E110,"")</f>
        <v>0.000422800899124588</v>
      </c>
      <c r="T110" s="11" t="n">
        <f aca="false">IFERROR(Q110/E110,"")</f>
        <v>3.53748205414961E-005</v>
      </c>
      <c r="U110" s="16" t="n">
        <f aca="false">SUMIFS(Calc!$AG$5:$AG$1369,Calc!$A$5:$A$1369,A110)</f>
        <v>-0.00999062499265336</v>
      </c>
      <c r="V110" s="16" t="n">
        <f aca="false">SUMIFS(Calc!$AH$5:$AH$1369,Calc!$A$5:$A$1369,A110)</f>
        <v>-0.0215072279828299</v>
      </c>
      <c r="W110" s="16" t="n">
        <f aca="false">SUMIFS(Calc!$Y$5:$Y$1369,Calc!$A$5:$A$1369,A110)</f>
        <v>0.23033205980353</v>
      </c>
      <c r="X110" s="7" t="n">
        <f aca="false">IFERROR(N110/W110*1000,"")</f>
        <v>58.3267348613783</v>
      </c>
      <c r="Y110" s="7" t="n">
        <f aca="false">IFERROR(P110/W110*1000,"")</f>
        <v>79.183653712603</v>
      </c>
      <c r="Z110" s="7" t="n">
        <f aca="false">IFERROR(Q110/W110*1000,"")</f>
        <v>6.6251220035317</v>
      </c>
      <c r="AA110" s="16" t="n">
        <f aca="false">SUMIFS(Calc!$AM$5:$AM$1369,Calc!$A$5:$A$1369,A110)</f>
        <v>-0.0200167378339902</v>
      </c>
      <c r="AB110" s="16" t="n">
        <f aca="false">SUMIFS(Calc!$AN$5:$AN$1369,Calc!$A$5:$A$1369,A110)</f>
        <v>2.60687183984346</v>
      </c>
      <c r="AC110" s="17" t="n">
        <f aca="false">Country_Data!DY110</f>
        <v>0.265</v>
      </c>
      <c r="AD110" s="12" t="n">
        <f aca="false">IF(Country_Data!BD110="","",Country_Data!BD110)</f>
        <v>2.5</v>
      </c>
      <c r="AE110" s="7" t="n">
        <f aca="false">IF(Country_Data!BC110="","",Country_Data!BC110)</f>
        <v>52.336</v>
      </c>
      <c r="AF110" s="12" t="n">
        <f aca="false">IF(Country_Data!BL110="","",Country_Data!BL110)</f>
        <v>2.449</v>
      </c>
      <c r="AG110" s="7" t="n">
        <f aca="false">IF(Country_Data!BA110="","",Country_Data!BA110)</f>
        <v>87.369</v>
      </c>
    </row>
    <row r="111" customFormat="false" ht="15" hidden="false" customHeight="false" outlineLevel="0" collapsed="false">
      <c r="A111" s="14" t="str">
        <f aca="false">Country_Data!A111</f>
        <v>GEO</v>
      </c>
      <c r="B111" s="14" t="str">
        <f aca="false">Country_Data!B111</f>
        <v>Georgia</v>
      </c>
      <c r="C111" s="14" t="str">
        <f aca="false">Country_Data!E111</f>
        <v>EMDC</v>
      </c>
      <c r="D111" s="14" t="str">
        <f aca="false">Country_Data!D111</f>
        <v>Upper middle income</v>
      </c>
      <c r="E111" s="15" t="n">
        <f aca="false">Country_Data!BV111</f>
        <v>47.5808619342698</v>
      </c>
      <c r="F111" s="16" t="n">
        <f aca="false">SUMIFS(Calc!$J$5:$J$1369,Calc!$A$5:$A$1369,A111)</f>
        <v>2.58373729767571</v>
      </c>
      <c r="G111" s="11" t="n">
        <f aca="false">IFERROR(F111/E111,"")</f>
        <v>0.054302028013805</v>
      </c>
      <c r="H111" s="16" t="n">
        <f aca="false">SUMIFS(Calc!$L$5:$L$1369,Calc!$A$5:$A$1369,A111)</f>
        <v>0.62009695144217</v>
      </c>
      <c r="I111" s="11" t="n">
        <f aca="false">IFERROR(H111/E111,"")</f>
        <v>0.0130324867233132</v>
      </c>
      <c r="J111" s="17" t="n">
        <f aca="false">Country_Data!DW111</f>
        <v>0.105</v>
      </c>
      <c r="K111" s="14" t="str">
        <f aca="false">Country_Data!DV111</f>
        <v>Group default (IHLEG)</v>
      </c>
      <c r="L111" s="16" t="n">
        <f aca="false">SUMIFS(Calc!$W$5:$W$1369,Calc!$A$5:$A$1369,A111)</f>
        <v>0.031534383235537</v>
      </c>
      <c r="M111" s="16" t="n">
        <f aca="false">SUMIFS(Calc!$X$5:$X$1369,Calc!$A$5:$A$1369,A111)</f>
        <v>0.0254421101999969</v>
      </c>
      <c r="N111" s="18" t="n">
        <f aca="false">SUMIFS(Calc!$AC$5:$AC$1369,Calc!$A$5:$A$1369,A111)</f>
        <v>0.0409297096735914</v>
      </c>
      <c r="O111" s="18" t="n">
        <f aca="false">SUMIFS(Calc!$AD$5:$AD$1369,Calc!$A$5:$A$1369,A111)</f>
        <v>0.0659560936066137</v>
      </c>
      <c r="P111" s="18" t="n">
        <f aca="false">SUMIFS(Calc!$AE$5:$AE$1369,Calc!$A$5:$A$1369,A111)</f>
        <v>0.0181982978913348</v>
      </c>
      <c r="Q111" s="18" t="n">
        <f aca="false">SUMIFS(Calc!$AF$5:$AF$1369,Calc!$A$5:$A$1369,A111)</f>
        <v>-0.0072438123086621</v>
      </c>
      <c r="R111" s="11" t="n">
        <f aca="false">IFERROR(N111/E111,"")</f>
        <v>0.000860213707984808</v>
      </c>
      <c r="S111" s="11" t="n">
        <f aca="false">IFERROR(P111/E111,"")</f>
        <v>0.000382470958943003</v>
      </c>
      <c r="T111" s="11" t="n">
        <f aca="false">IFERROR(Q111/E111,"")</f>
        <v>-0.000152242141360722</v>
      </c>
      <c r="U111" s="16" t="n">
        <f aca="false">SUMIFS(Calc!$AG$5:$AG$1369,Calc!$A$5:$A$1369,A111)</f>
        <v>-0.0196934364340395</v>
      </c>
      <c r="V111" s="16" t="n">
        <f aca="false">SUMIFS(Calc!$AH$5:$AH$1369,Calc!$A$5:$A$1369,A111)</f>
        <v>-0.032143060559417</v>
      </c>
      <c r="W111" s="16" t="n">
        <f aca="false">SUMIFS(Calc!$Y$5:$Y$1369,Calc!$A$5:$A$1369,A111)</f>
        <v>0.248992482507549</v>
      </c>
      <c r="X111" s="7" t="n">
        <f aca="false">IFERROR(N111/W111*1000,"")</f>
        <v>164.381306862751</v>
      </c>
      <c r="Y111" s="7" t="n">
        <f aca="false">IFERROR(P111/W111*1000,"")</f>
        <v>73.0877402725727</v>
      </c>
      <c r="Z111" s="7" t="n">
        <f aca="false">IFERROR(Q111/W111*1000,"")</f>
        <v>-29.0924940211498</v>
      </c>
      <c r="AA111" s="16" t="n">
        <f aca="false">SUMIFS(Calc!$AM$5:$AM$1369,Calc!$A$5:$A$1369,A111)</f>
        <v>0.0947142157594026</v>
      </c>
      <c r="AB111" s="16" t="n">
        <f aca="false">SUMIFS(Calc!$AN$5:$AN$1369,Calc!$A$5:$A$1369,A111)</f>
        <v>2.73816757293908</v>
      </c>
      <c r="AC111" s="17" t="n">
        <f aca="false">Country_Data!DY111</f>
        <v>0.13</v>
      </c>
      <c r="AD111" s="12" t="n">
        <f aca="false">IF(Country_Data!BD111="","",Country_Data!BD111)</f>
        <v>4</v>
      </c>
      <c r="AE111" s="7" t="n">
        <f aca="false">IF(Country_Data!BC111="","",Country_Data!BC111)</f>
        <v>93.941</v>
      </c>
      <c r="AF111" s="12" t="n">
        <f aca="false">IF(Country_Data!BL111="","",Country_Data!BL111)</f>
        <v>0.867</v>
      </c>
      <c r="AG111" s="7" t="n">
        <f aca="false">IF(Country_Data!BA111="","",Country_Data!BA111)</f>
        <v>35.656</v>
      </c>
    </row>
    <row r="112" customFormat="false" ht="15" hidden="false" customHeight="false" outlineLevel="0" collapsed="false">
      <c r="A112" s="14" t="str">
        <f aca="false">Country_Data!A112</f>
        <v>ISL</v>
      </c>
      <c r="B112" s="14" t="str">
        <f aca="false">Country_Data!B112</f>
        <v>Iceland</v>
      </c>
      <c r="C112" s="14" t="str">
        <f aca="false">Country_Data!E112</f>
        <v>AE</v>
      </c>
      <c r="D112" s="14" t="str">
        <f aca="false">Country_Data!D112</f>
        <v>High income</v>
      </c>
      <c r="E112" s="15" t="n">
        <f aca="false">Country_Data!BV112</f>
        <v>36.931839474415</v>
      </c>
      <c r="F112" s="16" t="n">
        <f aca="false">SUMIFS(Calc!$J$5:$J$1369,Calc!$A$5:$A$1369,A112)</f>
        <v>2.55011043198816</v>
      </c>
      <c r="G112" s="11" t="n">
        <f aca="false">IFERROR(F112/E112,"")</f>
        <v>0.0690491041951697</v>
      </c>
      <c r="H112" s="16" t="n">
        <f aca="false">SUMIFS(Calc!$L$5:$L$1369,Calc!$A$5:$A$1369,A112)</f>
        <v>0.969041964155501</v>
      </c>
      <c r="I112" s="11" t="n">
        <f aca="false">IFERROR(H112/E112,"")</f>
        <v>0.0262386595941645</v>
      </c>
      <c r="J112" s="17" t="n">
        <f aca="false">Country_Data!DW112</f>
        <v>0.055</v>
      </c>
      <c r="K112" s="14" t="str">
        <f aca="false">Country_Data!DV112</f>
        <v>Group default (IHLEG)</v>
      </c>
      <c r="L112" s="16" t="n">
        <f aca="false">SUMIFS(Calc!$W$5:$W$1369,Calc!$A$5:$A$1369,A112)</f>
        <v>0.0687151450434338</v>
      </c>
      <c r="M112" s="16" t="n">
        <f aca="false">SUMIFS(Calc!$X$5:$X$1369,Calc!$A$5:$A$1369,A112)</f>
        <v>0.0236800329626119</v>
      </c>
      <c r="N112" s="18" t="n">
        <f aca="false">SUMIFS(Calc!$AC$5:$AC$1369,Calc!$A$5:$A$1369,A112)</f>
        <v>0.00235058487636066</v>
      </c>
      <c r="O112" s="18" t="n">
        <f aca="false">SUMIFS(Calc!$AD$5:$AD$1369,Calc!$A$5:$A$1369,A112)</f>
        <v>0.0136247657128002</v>
      </c>
      <c r="P112" s="18" t="n">
        <f aca="false">SUMIFS(Calc!$AE$5:$AE$1369,Calc!$A$5:$A$1369,A112)</f>
        <v>0.00603299516097426</v>
      </c>
      <c r="Q112" s="18" t="n">
        <f aca="false">SUMIFS(Calc!$AF$5:$AF$1369,Calc!$A$5:$A$1369,A112)</f>
        <v>-0.0176470378016377</v>
      </c>
      <c r="R112" s="11" t="n">
        <f aca="false">IFERROR(N112/E112,"")</f>
        <v>6.36465691883304E-005</v>
      </c>
      <c r="S112" s="11" t="n">
        <f aca="false">IFERROR(P112/E112,"")</f>
        <v>0.000163354851716869</v>
      </c>
      <c r="T112" s="11" t="n">
        <f aca="false">IFERROR(Q112/E112,"")</f>
        <v>-0.00047782720960495</v>
      </c>
      <c r="U112" s="16" t="n">
        <f aca="false">SUMIFS(Calc!$AG$5:$AG$1369,Calc!$A$5:$A$1369,A112)</f>
        <v>-0.031547704171612</v>
      </c>
      <c r="V112" s="16" t="n">
        <f aca="false">SUMIFS(Calc!$AH$5:$AH$1369,Calc!$A$5:$A$1369,A112)</f>
        <v>-0.0454483705415863</v>
      </c>
      <c r="W112" s="16" t="n">
        <f aca="false">SUMIFS(Calc!$Y$5:$Y$1369,Calc!$A$5:$A$1369,A112)</f>
        <v>0.278013327399486</v>
      </c>
      <c r="X112" s="7" t="n">
        <f aca="false">IFERROR(N112/W112*1000,"")</f>
        <v>8.45493594982602</v>
      </c>
      <c r="Y112" s="7" t="n">
        <f aca="false">IFERROR(P112/W112*1000,"")</f>
        <v>21.700381119878</v>
      </c>
      <c r="Z112" s="7" t="n">
        <f aca="false">IFERROR(Q112/W112*1000,"")</f>
        <v>-63.4755102091925</v>
      </c>
      <c r="AA112" s="16" t="n">
        <f aca="false">SUMIFS(Calc!$AM$5:$AM$1369,Calc!$A$5:$A$1369,A112)</f>
        <v>-0.00969055338056207</v>
      </c>
      <c r="AB112" s="16" t="n">
        <f aca="false">SUMIFS(Calc!$AN$5:$AN$1369,Calc!$A$5:$A$1369,A112)</f>
        <v>2.66442572721522</v>
      </c>
      <c r="AC112" s="17" t="n">
        <f aca="false">Country_Data!DY112</f>
        <v>0.13</v>
      </c>
      <c r="AD112" s="12" t="str">
        <f aca="false">IF(Country_Data!BD112="","",Country_Data!BD112)</f>
        <v/>
      </c>
      <c r="AE112" s="7" t="str">
        <f aca="false">IF(Country_Data!BC112="","",Country_Data!BC112)</f>
        <v/>
      </c>
      <c r="AF112" s="12" t="str">
        <f aca="false">IF(Country_Data!BL112="","",Country_Data!BL112)</f>
        <v/>
      </c>
      <c r="AG112" s="7" t="n">
        <f aca="false">IF(Country_Data!BA112="","",Country_Data!BA112)</f>
        <v>60.449</v>
      </c>
    </row>
    <row r="113" customFormat="false" ht="15" hidden="false" customHeight="false" outlineLevel="0" collapsed="false">
      <c r="A113" s="14" t="str">
        <f aca="false">Country_Data!A113</f>
        <v>SEN</v>
      </c>
      <c r="B113" s="14" t="str">
        <f aca="false">Country_Data!B113</f>
        <v>Senegal</v>
      </c>
      <c r="C113" s="14" t="str">
        <f aca="false">Country_Data!E113</f>
        <v>EMDC</v>
      </c>
      <c r="D113" s="14" t="str">
        <f aca="false">Country_Data!D113</f>
        <v>Lower middle income</v>
      </c>
      <c r="E113" s="15" t="n">
        <f aca="false">Country_Data!BV113</f>
        <v>39.4351360946718</v>
      </c>
      <c r="F113" s="16" t="n">
        <f aca="false">SUMIFS(Calc!$J$5:$J$1369,Calc!$A$5:$A$1369,A113)</f>
        <v>2.20287106504952</v>
      </c>
      <c r="G113" s="11" t="n">
        <f aca="false">IFERROR(F113/E113,"")</f>
        <v>0.055860617794271</v>
      </c>
      <c r="H113" s="16" t="n">
        <f aca="false">SUMIFS(Calc!$L$5:$L$1369,Calc!$A$5:$A$1369,A113)</f>
        <v>0.528689055611885</v>
      </c>
      <c r="I113" s="11" t="n">
        <f aca="false">IFERROR(H113/E113,"")</f>
        <v>0.013406548270625</v>
      </c>
      <c r="J113" s="17" t="n">
        <f aca="false">Country_Data!DW113</f>
        <v>0.07693</v>
      </c>
      <c r="K113" s="14" t="str">
        <f aca="false">Country_Data!DV113</f>
        <v>Observed (IRENA/Steffen)</v>
      </c>
      <c r="L113" s="16" t="n">
        <f aca="false">SUMIFS(Calc!$W$5:$W$1369,Calc!$A$5:$A$1369,A113)</f>
        <v>0.0513969318940339</v>
      </c>
      <c r="M113" s="16" t="n">
        <f aca="false">SUMIFS(Calc!$X$5:$X$1369,Calc!$A$5:$A$1369,A113)</f>
        <v>0.0195190581664122</v>
      </c>
      <c r="N113" s="18" t="n">
        <f aca="false">SUMIFS(Calc!$AC$5:$AC$1369,Calc!$A$5:$A$1369,A113)</f>
        <v>-0.00140294780001698</v>
      </c>
      <c r="O113" s="18" t="n">
        <f aca="false">SUMIFS(Calc!$AD$5:$AD$1369,Calc!$A$5:$A$1369,A113)</f>
        <v>0.0187577409635246</v>
      </c>
      <c r="P113" s="18" t="n">
        <f aca="false">SUMIFS(Calc!$AE$5:$AE$1369,Calc!$A$5:$A$1369,A113)</f>
        <v>-0.00835660948096886</v>
      </c>
      <c r="Q113" s="18" t="n">
        <f aca="false">SUMIFS(Calc!$AF$5:$AF$1369,Calc!$A$5:$A$1369,A113)</f>
        <v>-0.027875667647381</v>
      </c>
      <c r="R113" s="11" t="n">
        <f aca="false">IFERROR(N113/E113,"")</f>
        <v>-3.55760861747486E-005</v>
      </c>
      <c r="S113" s="11" t="n">
        <f aca="false">IFERROR(P113/E113,"")</f>
        <v>-0.000211907712475169</v>
      </c>
      <c r="T113" s="11" t="n">
        <f aca="false">IFERROR(Q113/E113,"")</f>
        <v>-0.000706873879690944</v>
      </c>
      <c r="U113" s="16" t="n">
        <f aca="false">SUMIFS(Calc!$AG$5:$AG$1369,Calc!$A$5:$A$1369,A113)</f>
        <v>-0.0506319001770317</v>
      </c>
      <c r="V113" s="16" t="n">
        <f aca="false">SUMIFS(Calc!$AH$5:$AH$1369,Calc!$A$5:$A$1369,A113)</f>
        <v>-0.0733881327066825</v>
      </c>
      <c r="W113" s="16" t="n">
        <f aca="false">SUMIFS(Calc!$Y$5:$Y$1369,Calc!$A$5:$A$1369,A113)</f>
        <v>0.455124650593014</v>
      </c>
      <c r="X113" s="7" t="n">
        <f aca="false">IFERROR(N113/W113*1000,"")</f>
        <v>-3.0825572690668</v>
      </c>
      <c r="Y113" s="7" t="n">
        <f aca="false">IFERROR(P113/W113*1000,"")</f>
        <v>-18.3611445130042</v>
      </c>
      <c r="Z113" s="7" t="n">
        <f aca="false">IFERROR(Q113/W113*1000,"")</f>
        <v>-61.2484241648081</v>
      </c>
      <c r="AA113" s="16" t="n">
        <f aca="false">SUMIFS(Calc!$AM$5:$AM$1369,Calc!$A$5:$A$1369,A113)</f>
        <v>0.0289735903372995</v>
      </c>
      <c r="AB113" s="16" t="n">
        <f aca="false">SUMIFS(Calc!$AN$5:$AN$1369,Calc!$A$5:$A$1369,A113)</f>
        <v>2.6878442297581</v>
      </c>
      <c r="AC113" s="17" t="n">
        <f aca="false">Country_Data!DY113</f>
        <v>0.355</v>
      </c>
      <c r="AD113" s="12" t="n">
        <f aca="false">IF(Country_Data!BD113="","",Country_Data!BD113)</f>
        <v>1.5</v>
      </c>
      <c r="AE113" s="7" t="n">
        <f aca="false">IF(Country_Data!BC113="","",Country_Data!BC113)</f>
        <v>100</v>
      </c>
      <c r="AF113" s="12" t="n">
        <f aca="false">IF(Country_Data!BL113="","",Country_Data!BL113)</f>
        <v>3.959</v>
      </c>
      <c r="AG113" s="7" t="n">
        <f aca="false">IF(Country_Data!BA113="","",Country_Data!BA113)</f>
        <v>132.395</v>
      </c>
    </row>
    <row r="114" customFormat="false" ht="15" hidden="false" customHeight="false" outlineLevel="0" collapsed="false">
      <c r="A114" s="14" t="str">
        <f aca="false">Country_Data!A114</f>
        <v>PNG</v>
      </c>
      <c r="B114" s="14" t="str">
        <f aca="false">Country_Data!B114</f>
        <v>Papua New Guinea</v>
      </c>
      <c r="C114" s="14" t="str">
        <f aca="false">Country_Data!E114</f>
        <v>EMDC</v>
      </c>
      <c r="D114" s="14" t="str">
        <f aca="false">Country_Data!D114</f>
        <v>Lower middle income</v>
      </c>
      <c r="E114" s="15" t="n">
        <f aca="false">Country_Data!BV114</f>
        <v>39.0615279110619</v>
      </c>
      <c r="F114" s="16" t="n">
        <f aca="false">SUMIFS(Calc!$J$5:$J$1369,Calc!$A$5:$A$1369,A114)</f>
        <v>2.25736192550568</v>
      </c>
      <c r="G114" s="11" t="n">
        <f aca="false">IFERROR(F114/E114,"")</f>
        <v>0.0577899034222472</v>
      </c>
      <c r="H114" s="16" t="n">
        <f aca="false">SUMIFS(Calc!$L$5:$L$1369,Calc!$A$5:$A$1369,A114)</f>
        <v>0.541766862121363</v>
      </c>
      <c r="I114" s="11" t="n">
        <f aca="false">IFERROR(H114/E114,"")</f>
        <v>0.0138695768213393</v>
      </c>
      <c r="J114" s="17" t="n">
        <f aca="false">Country_Data!DW114</f>
        <v>0.105</v>
      </c>
      <c r="K114" s="14" t="str">
        <f aca="false">Country_Data!DV114</f>
        <v>Group default (IHLEG)</v>
      </c>
      <c r="L114" s="16" t="n">
        <f aca="false">SUMIFS(Calc!$W$5:$W$1369,Calc!$A$5:$A$1369,A114)</f>
        <v>0.0472216887256596</v>
      </c>
      <c r="M114" s="16" t="n">
        <f aca="false">SUMIFS(Calc!$X$5:$X$1369,Calc!$A$5:$A$1369,A114)</f>
        <v>0.0290712737896631</v>
      </c>
      <c r="N114" s="18" t="n">
        <f aca="false">SUMIFS(Calc!$AC$5:$AC$1369,Calc!$A$5:$A$1369,A114)</f>
        <v>0.0161371776070771</v>
      </c>
      <c r="O114" s="18" t="n">
        <f aca="false">SUMIFS(Calc!$AD$5:$AD$1369,Calc!$A$5:$A$1369,A114)</f>
        <v>0.0380269918793966</v>
      </c>
      <c r="P114" s="18" t="n">
        <f aca="false">SUMIFS(Calc!$AE$5:$AE$1369,Calc!$A$5:$A$1369,A114)</f>
        <v>-0.00373779230275387</v>
      </c>
      <c r="Q114" s="18" t="n">
        <f aca="false">SUMIFS(Calc!$AF$5:$AF$1369,Calc!$A$5:$A$1369,A114)</f>
        <v>-0.0328090660924169</v>
      </c>
      <c r="R114" s="11" t="n">
        <f aca="false">IFERROR(N114/E114,"")</f>
        <v>0.000413122027479811</v>
      </c>
      <c r="S114" s="11" t="n">
        <f aca="false">IFERROR(P114/E114,"")</f>
        <v>-9.56898642383971E-005</v>
      </c>
      <c r="T114" s="11" t="n">
        <f aca="false">IFERROR(Q114/E114,"")</f>
        <v>-0.000839932994098925</v>
      </c>
      <c r="U114" s="16" t="n">
        <f aca="false">SUMIFS(Calc!$AG$5:$AG$1369,Calc!$A$5:$A$1369,A114)</f>
        <v>-0.0579060168091102</v>
      </c>
      <c r="V114" s="16" t="n">
        <f aca="false">SUMIFS(Calc!$AH$5:$AH$1369,Calc!$A$5:$A$1369,A114)</f>
        <v>-0.0830029675258035</v>
      </c>
      <c r="W114" s="16" t="n">
        <f aca="false">SUMIFS(Calc!$Y$5:$Y$1369,Calc!$A$5:$A$1369,A114)</f>
        <v>0.501939014333866</v>
      </c>
      <c r="X114" s="7" t="n">
        <f aca="false">IFERROR(N114/W114*1000,"")</f>
        <v>32.1496778418253</v>
      </c>
      <c r="Y114" s="7" t="n">
        <f aca="false">IFERROR(P114/W114*1000,"")</f>
        <v>-7.44670606590399</v>
      </c>
      <c r="Z114" s="7" t="n">
        <f aca="false">IFERROR(Q114/W114*1000,"")</f>
        <v>-65.3646462129638</v>
      </c>
      <c r="AA114" s="16" t="n">
        <f aca="false">SUMIFS(Calc!$AM$5:$AM$1369,Calc!$A$5:$A$1369,A114)</f>
        <v>0.0828123746242957</v>
      </c>
      <c r="AB114" s="16" t="n">
        <f aca="false">SUMIFS(Calc!$AN$5:$AN$1369,Calc!$A$5:$A$1369,A114)</f>
        <v>2.59132779941611</v>
      </c>
      <c r="AC114" s="17" t="n">
        <f aca="false">Country_Data!DY114</f>
        <v>0.27</v>
      </c>
      <c r="AD114" s="12" t="str">
        <f aca="false">IF(Country_Data!BD114="","",Country_Data!BD114)</f>
        <v/>
      </c>
      <c r="AE114" s="7" t="n">
        <f aca="false">IF(Country_Data!BC114="","",Country_Data!BC114)</f>
        <v>71.654</v>
      </c>
      <c r="AF114" s="12" t="n">
        <f aca="false">IF(Country_Data!BL114="","",Country_Data!BL114)</f>
        <v>2.443</v>
      </c>
      <c r="AG114" s="7" t="n">
        <f aca="false">IF(Country_Data!BA114="","",Country_Data!BA114)</f>
        <v>53.335</v>
      </c>
    </row>
    <row r="115" customFormat="false" ht="15" hidden="false" customHeight="false" outlineLevel="0" collapsed="false">
      <c r="A115" s="14" t="str">
        <f aca="false">Country_Data!A115</f>
        <v>BIH</v>
      </c>
      <c r="B115" s="14" t="str">
        <f aca="false">Country_Data!B115</f>
        <v>Bosnia and Herzegovina</v>
      </c>
      <c r="C115" s="14" t="str">
        <f aca="false">Country_Data!E115</f>
        <v>EMDC</v>
      </c>
      <c r="D115" s="14" t="str">
        <f aca="false">Country_Data!D115</f>
        <v>Upper middle income</v>
      </c>
      <c r="E115" s="15" t="n">
        <f aca="false">Country_Data!BV115</f>
        <v>33.8194396751638</v>
      </c>
      <c r="F115" s="16" t="n">
        <f aca="false">SUMIFS(Calc!$J$5:$J$1369,Calc!$A$5:$A$1369,A115)</f>
        <v>2.38351584140615</v>
      </c>
      <c r="G115" s="11" t="n">
        <f aca="false">IFERROR(F115/E115,"")</f>
        <v>0.0704776857422788</v>
      </c>
      <c r="H115" s="16" t="n">
        <f aca="false">SUMIFS(Calc!$L$5:$L$1369,Calc!$A$5:$A$1369,A115)</f>
        <v>0.572043801937476</v>
      </c>
      <c r="I115" s="11" t="n">
        <f aca="false">IFERROR(H115/E115,"")</f>
        <v>0.0169146445781469</v>
      </c>
      <c r="J115" s="17" t="n">
        <f aca="false">Country_Data!DW115</f>
        <v>0.12608</v>
      </c>
      <c r="K115" s="14" t="str">
        <f aca="false">Country_Data!DV115</f>
        <v>Observed (IRENA/Steffen)</v>
      </c>
      <c r="L115" s="16" t="n">
        <f aca="false">SUMIFS(Calc!$W$5:$W$1369,Calc!$A$5:$A$1369,A115)</f>
        <v>0.0242020589083155</v>
      </c>
      <c r="M115" s="16" t="n">
        <f aca="false">SUMIFS(Calc!$X$5:$X$1369,Calc!$A$5:$A$1369,A115)</f>
        <v>0.0214467203297992</v>
      </c>
      <c r="N115" s="18" t="n">
        <f aca="false">SUMIFS(Calc!$AC$5:$AC$1369,Calc!$A$5:$A$1369,A115)</f>
        <v>0.0537773776005375</v>
      </c>
      <c r="O115" s="18" t="n">
        <f aca="false">SUMIFS(Calc!$AD$5:$AD$1369,Calc!$A$5:$A$1369,A115)</f>
        <v>0.0773944981379736</v>
      </c>
      <c r="P115" s="18" t="n">
        <f aca="false">SUMIFS(Calc!$AE$5:$AE$1369,Calc!$A$5:$A$1369,A115)</f>
        <v>0.0223158128017087</v>
      </c>
      <c r="Q115" s="18" t="n">
        <f aca="false">SUMIFS(Calc!$AF$5:$AF$1369,Calc!$A$5:$A$1369,A115)</f>
        <v>0.00086909247190951</v>
      </c>
      <c r="R115" s="11" t="n">
        <f aca="false">IFERROR(N115/E115,"")</f>
        <v>0.00159013212865352</v>
      </c>
      <c r="S115" s="11" t="n">
        <f aca="false">IFERROR(P115/E115,"")</f>
        <v>0.000659851642015728</v>
      </c>
      <c r="T115" s="11" t="n">
        <f aca="false">IFERROR(Q115/E115,"")</f>
        <v>2.56980151137084E-005</v>
      </c>
      <c r="U115" s="16" t="n">
        <f aca="false">SUMIFS(Calc!$AG$5:$AG$1369,Calc!$A$5:$A$1369,A115)</f>
        <v>-0.019482401274316</v>
      </c>
      <c r="V115" s="16" t="n">
        <f aca="false">SUMIFS(Calc!$AH$5:$AH$1369,Calc!$A$5:$A$1369,A115)</f>
        <v>-0.0398338950205416</v>
      </c>
      <c r="W115" s="16" t="n">
        <f aca="false">SUMIFS(Calc!$Y$5:$Y$1369,Calc!$A$5:$A$1369,A115)</f>
        <v>0.407029874924511</v>
      </c>
      <c r="X115" s="7" t="n">
        <f aca="false">IFERROR(N115/W115*1000,"")</f>
        <v>132.121450816138</v>
      </c>
      <c r="Y115" s="7" t="n">
        <f aca="false">IFERROR(P115/W115*1000,"")</f>
        <v>54.8259825052091</v>
      </c>
      <c r="Z115" s="7" t="n">
        <f aca="false">IFERROR(Q115/W115*1000,"")</f>
        <v>2.1352056088529</v>
      </c>
      <c r="AA115" s="16" t="n">
        <f aca="false">SUMIFS(Calc!$AM$5:$AM$1369,Calc!$A$5:$A$1369,A115)</f>
        <v>0.131089853328453</v>
      </c>
      <c r="AB115" s="16" t="n">
        <f aca="false">SUMIFS(Calc!$AN$5:$AN$1369,Calc!$A$5:$A$1369,A115)</f>
        <v>2.90825886385526</v>
      </c>
      <c r="AC115" s="17" t="n">
        <f aca="false">Country_Data!DY115</f>
        <v>0.355</v>
      </c>
      <c r="AD115" s="12" t="n">
        <f aca="false">IF(Country_Data!BD115="","",Country_Data!BD115)</f>
        <v>1.5</v>
      </c>
      <c r="AE115" s="7" t="str">
        <f aca="false">IF(Country_Data!BC115="","",Country_Data!BC115)</f>
        <v/>
      </c>
      <c r="AF115" s="12" t="n">
        <f aca="false">IF(Country_Data!BL115="","",Country_Data!BL115)</f>
        <v>0.421</v>
      </c>
      <c r="AG115" s="7" t="n">
        <f aca="false">IF(Country_Data!BA115="","",Country_Data!BA115)</f>
        <v>29.403</v>
      </c>
    </row>
    <row r="116" customFormat="false" ht="15" hidden="false" customHeight="false" outlineLevel="0" collapsed="false">
      <c r="A116" s="14" t="str">
        <f aca="false">Country_Data!A116</f>
        <v>LBN</v>
      </c>
      <c r="B116" s="14" t="str">
        <f aca="false">Country_Data!B116</f>
        <v>Lebanon</v>
      </c>
      <c r="C116" s="14" t="str">
        <f aca="false">Country_Data!E116</f>
        <v>EMDC</v>
      </c>
      <c r="D116" s="14" t="str">
        <f aca="false">Country_Data!D116</f>
        <v>Lower middle income</v>
      </c>
      <c r="E116" s="15" t="n">
        <f aca="false">Country_Data!BV116</f>
        <v>30.51256</v>
      </c>
      <c r="F116" s="16" t="n">
        <f aca="false">SUMIFS(Calc!$J$5:$J$1369,Calc!$A$5:$A$1369,A116)</f>
        <v>3.32052480827429</v>
      </c>
      <c r="G116" s="11" t="n">
        <f aca="false">IFERROR(F116/E116,"")</f>
        <v>0.108824851414443</v>
      </c>
      <c r="H116" s="16" t="n">
        <f aca="false">SUMIFS(Calc!$L$5:$L$1369,Calc!$A$5:$A$1369,A116)</f>
        <v>0.79692595398583</v>
      </c>
      <c r="I116" s="11" t="n">
        <f aca="false">IFERROR(H116/E116,"")</f>
        <v>0.0261179643394664</v>
      </c>
      <c r="J116" s="17" t="n">
        <f aca="false">Country_Data!DW116</f>
        <v>0.2342</v>
      </c>
      <c r="K116" s="14" t="str">
        <f aca="false">Country_Data!DV116</f>
        <v>Observed (IRENA/Steffen)</v>
      </c>
      <c r="L116" s="16" t="n">
        <f aca="false">SUMIFS(Calc!$W$5:$W$1369,Calc!$A$5:$A$1369,A116)</f>
        <v>0.0712797924504565</v>
      </c>
      <c r="M116" s="16" t="n">
        <f aca="false">SUMIFS(Calc!$X$5:$X$1369,Calc!$A$5:$A$1369,A116)</f>
        <v>0.0132877419632907</v>
      </c>
      <c r="N116" s="18" t="n">
        <f aca="false">SUMIFS(Calc!$AC$5:$AC$1369,Calc!$A$5:$A$1369,A116)</f>
        <v>0.118455464865933</v>
      </c>
      <c r="O116" s="18" t="n">
        <f aca="false">SUMIFS(Calc!$AD$5:$AD$1369,Calc!$A$5:$A$1369,A116)</f>
        <v>0.153383135063122</v>
      </c>
      <c r="P116" s="18" t="n">
        <f aca="false">SUMIFS(Calc!$AE$5:$AE$1369,Calc!$A$5:$A$1369,A116)</f>
        <v>-0.0061277121111711</v>
      </c>
      <c r="Q116" s="18" t="n">
        <f aca="false">SUMIFS(Calc!$AF$5:$AF$1369,Calc!$A$5:$A$1369,A116)</f>
        <v>-0.0194154540744618</v>
      </c>
      <c r="R116" s="11" t="n">
        <f aca="false">IFERROR(N116/E116,"")</f>
        <v>0.0038821870359594</v>
      </c>
      <c r="S116" s="11" t="n">
        <f aca="false">IFERROR(P116/E116,"")</f>
        <v>-0.000200825893047686</v>
      </c>
      <c r="T116" s="11" t="n">
        <f aca="false">IFERROR(Q116/E116,"")</f>
        <v>-0.000636310230097435</v>
      </c>
      <c r="U116" s="16" t="n">
        <f aca="false">SUMIFS(Calc!$AG$5:$AG$1369,Calc!$A$5:$A$1369,A116)</f>
        <v>-0.0442745289369313</v>
      </c>
      <c r="V116" s="16" t="n">
        <f aca="false">SUMIFS(Calc!$AH$5:$AH$1369,Calc!$A$5:$A$1369,A116)</f>
        <v>-0.0691336037994009</v>
      </c>
      <c r="W116" s="16" t="n">
        <f aca="false">SUMIFS(Calc!$Y$5:$Y$1369,Calc!$A$5:$A$1369,A116)</f>
        <v>0.497181497249391</v>
      </c>
      <c r="X116" s="7" t="n">
        <f aca="false">IFERROR(N116/W116*1000,"")</f>
        <v>238.253968663912</v>
      </c>
      <c r="Y116" s="7" t="n">
        <f aca="false">IFERROR(P116/W116*1000,"")</f>
        <v>-12.3248997500351</v>
      </c>
      <c r="Z116" s="7" t="n">
        <f aca="false">IFERROR(Q116/W116*1000,"")</f>
        <v>-39.0510390709951</v>
      </c>
      <c r="AA116" s="16" t="n">
        <f aca="false">SUMIFS(Calc!$AM$5:$AM$1369,Calc!$A$5:$A$1369,A116)</f>
        <v>0.519096570737935</v>
      </c>
      <c r="AB116" s="16" t="n">
        <f aca="false">SUMIFS(Calc!$AN$5:$AN$1369,Calc!$A$5:$A$1369,A116)</f>
        <v>3.81178053333405</v>
      </c>
      <c r="AC116" s="17" t="n">
        <f aca="false">Country_Data!DY116</f>
        <v>0.27</v>
      </c>
      <c r="AD116" s="12" t="str">
        <f aca="false">IF(Country_Data!BD116="","",Country_Data!BD116)</f>
        <v/>
      </c>
      <c r="AE116" s="7" t="n">
        <f aca="false">IF(Country_Data!BC116="","",Country_Data!BC116)</f>
        <v>23.219</v>
      </c>
      <c r="AF116" s="12" t="n">
        <f aca="false">IF(Country_Data!BL116="","",Country_Data!BL116)</f>
        <v>5.217</v>
      </c>
      <c r="AG116" s="7" t="n">
        <f aca="false">IF(Country_Data!BA116="","",Country_Data!BA116)</f>
        <v>157.852</v>
      </c>
    </row>
    <row r="117" customFormat="false" ht="15" hidden="false" customHeight="false" outlineLevel="0" collapsed="false">
      <c r="A117" s="14" t="str">
        <f aca="false">Country_Data!A117</f>
        <v>SDN</v>
      </c>
      <c r="B117" s="14" t="str">
        <f aca="false">Country_Data!B117</f>
        <v>Sudan</v>
      </c>
      <c r="C117" s="14" t="str">
        <f aca="false">Country_Data!E117</f>
        <v>EMDC</v>
      </c>
      <c r="D117" s="14" t="str">
        <f aca="false">Country_Data!D117</f>
        <v>Low income</v>
      </c>
      <c r="E117" s="15" t="n">
        <f aca="false">Country_Data!BV117</f>
        <v>31.184622912499</v>
      </c>
      <c r="F117" s="16" t="n">
        <f aca="false">SUMIFS(Calc!$J$5:$J$1369,Calc!$A$5:$A$1369,A117)</f>
        <v>4.15576767716351</v>
      </c>
      <c r="G117" s="11" t="n">
        <f aca="false">IFERROR(F117/E117,"")</f>
        <v>0.133263361523536</v>
      </c>
      <c r="H117" s="16" t="n">
        <f aca="false">SUMIFS(Calc!$L$5:$L$1369,Calc!$A$5:$A$1369,A117)</f>
        <v>0.997384242519241</v>
      </c>
      <c r="I117" s="11" t="n">
        <f aca="false">IFERROR(H117/E117,"")</f>
        <v>0.0319832067656487</v>
      </c>
      <c r="J117" s="17" t="n">
        <f aca="false">Country_Data!DW117</f>
        <v>0.105</v>
      </c>
      <c r="K117" s="14" t="str">
        <f aca="false">Country_Data!DV117</f>
        <v>Group default (IHLEG)</v>
      </c>
      <c r="L117" s="16" t="n">
        <f aca="false">SUMIFS(Calc!$W$5:$W$1369,Calc!$A$5:$A$1369,A117)</f>
        <v>0.0434357110918597</v>
      </c>
      <c r="M117" s="16" t="n">
        <f aca="false">SUMIFS(Calc!$X$5:$X$1369,Calc!$A$5:$A$1369,A117)</f>
        <v>0.0657366599823556</v>
      </c>
      <c r="N117" s="18" t="n">
        <f aca="false">SUMIFS(Calc!$AC$5:$AC$1369,Calc!$A$5:$A$1369,A117)</f>
        <v>0.0734020729227162</v>
      </c>
      <c r="O117" s="18" t="n">
        <f aca="false">SUMIFS(Calc!$AD$5:$AD$1369,Calc!$A$5:$A$1369,A117)</f>
        <v>0.113688282731628</v>
      </c>
      <c r="P117" s="18" t="n">
        <f aca="false">SUMIFS(Calc!$AE$5:$AE$1369,Calc!$A$5:$A$1369,A117)</f>
        <v>0.0368283976228917</v>
      </c>
      <c r="Q117" s="18" t="n">
        <f aca="false">SUMIFS(Calc!$AF$5:$AF$1369,Calc!$A$5:$A$1369,A117)</f>
        <v>-0.028908262359464</v>
      </c>
      <c r="R117" s="11" t="n">
        <f aca="false">IFERROR(N117/E117,"")</f>
        <v>0.00235379062073879</v>
      </c>
      <c r="S117" s="11" t="n">
        <f aca="false">IFERROR(P117/E117,"")</f>
        <v>0.00118097941175138</v>
      </c>
      <c r="T117" s="11" t="n">
        <f aca="false">IFERROR(Q117/E117,"")</f>
        <v>-0.0009270037492702</v>
      </c>
      <c r="U117" s="16" t="n">
        <f aca="false">SUMIFS(Calc!$AG$5:$AG$1369,Calc!$A$5:$A$1369,A117)</f>
        <v>-0.0726399379043279</v>
      </c>
      <c r="V117" s="16" t="n">
        <f aca="false">SUMIFS(Calc!$AH$5:$AH$1369,Calc!$A$5:$A$1369,A117)</f>
        <v>-0.116371613449192</v>
      </c>
      <c r="W117" s="16" t="n">
        <f aca="false">SUMIFS(Calc!$Y$5:$Y$1369,Calc!$A$5:$A$1369,A117)</f>
        <v>0.874633510897279</v>
      </c>
      <c r="X117" s="7" t="n">
        <f aca="false">IFERROR(N117/W117*1000,"")</f>
        <v>83.9232341411361</v>
      </c>
      <c r="Y117" s="7" t="n">
        <f aca="false">IFERROR(P117/W117*1000,"")</f>
        <v>42.1072336744904</v>
      </c>
      <c r="Z117" s="7" t="n">
        <f aca="false">IFERROR(Q117/W117*1000,"")</f>
        <v>-33.0518577201636</v>
      </c>
      <c r="AA117" s="16" t="n">
        <f aca="false">SUMIFS(Calc!$AM$5:$AM$1369,Calc!$A$5:$A$1369,A117)</f>
        <v>0.152390313749269</v>
      </c>
      <c r="AB117" s="16" t="n">
        <f aca="false">SUMIFS(Calc!$AN$5:$AN$1369,Calc!$A$5:$A$1369,A117)</f>
        <v>5.26397239107377</v>
      </c>
      <c r="AC117" s="17" t="n">
        <f aca="false">Country_Data!DY117</f>
        <v>0.4</v>
      </c>
      <c r="AD117" s="12" t="str">
        <f aca="false">IF(Country_Data!BD117="","",Country_Data!BD117)</f>
        <v/>
      </c>
      <c r="AE117" s="7" t="str">
        <f aca="false">IF(Country_Data!BC117="","",Country_Data!BC117)</f>
        <v/>
      </c>
      <c r="AF117" s="12" t="str">
        <f aca="false">IF(Country_Data!BL117="","",Country_Data!BL117)</f>
        <v/>
      </c>
      <c r="AG117" s="7" t="n">
        <f aca="false">IF(Country_Data!BA117="","",Country_Data!BA117)</f>
        <v>262.573</v>
      </c>
    </row>
    <row r="118" customFormat="false" ht="15" hidden="false" customHeight="false" outlineLevel="0" collapsed="false">
      <c r="A118" s="14" t="str">
        <f aca="false">Country_Data!A118</f>
        <v>ALB</v>
      </c>
      <c r="B118" s="14" t="str">
        <f aca="false">Country_Data!B118</f>
        <v>Albania</v>
      </c>
      <c r="C118" s="14" t="str">
        <f aca="false">Country_Data!E118</f>
        <v>EMDC</v>
      </c>
      <c r="D118" s="14" t="str">
        <f aca="false">Country_Data!D118</f>
        <v>Upper middle income</v>
      </c>
      <c r="E118" s="15" t="n">
        <f aca="false">Country_Data!BV118</f>
        <v>33.2127007773801</v>
      </c>
      <c r="F118" s="16" t="n">
        <f aca="false">SUMIFS(Calc!$J$5:$J$1369,Calc!$A$5:$A$1369,A118)</f>
        <v>1.58405922981968</v>
      </c>
      <c r="G118" s="11" t="n">
        <f aca="false">IFERROR(F118/E118,"")</f>
        <v>0.0476943817498432</v>
      </c>
      <c r="H118" s="16" t="n">
        <f aca="false">SUMIFS(Calc!$L$5:$L$1369,Calc!$A$5:$A$1369,A118)</f>
        <v>0.380174215156723</v>
      </c>
      <c r="I118" s="11" t="n">
        <f aca="false">IFERROR(H118/E118,"")</f>
        <v>0.0114466516199624</v>
      </c>
      <c r="J118" s="17" t="n">
        <f aca="false">Country_Data!DW118</f>
        <v>0.105</v>
      </c>
      <c r="K118" s="14" t="str">
        <f aca="false">Country_Data!DV118</f>
        <v>Group default (IHLEG)</v>
      </c>
      <c r="L118" s="16" t="n">
        <f aca="false">SUMIFS(Calc!$W$5:$W$1369,Calc!$A$5:$A$1369,A118)</f>
        <v>0.0394917925083774</v>
      </c>
      <c r="M118" s="16" t="n">
        <f aca="false">SUMIFS(Calc!$X$5:$X$1369,Calc!$A$5:$A$1369,A118)</f>
        <v>0.027909431994915</v>
      </c>
      <c r="N118" s="18" t="n">
        <f aca="false">SUMIFS(Calc!$AC$5:$AC$1369,Calc!$A$5:$A$1369,A118)</f>
        <v>0.00497548517926839</v>
      </c>
      <c r="O118" s="18" t="n">
        <f aca="false">SUMIFS(Calc!$AD$5:$AD$1369,Calc!$A$5:$A$1369,A118)</f>
        <v>0.020320752209405</v>
      </c>
      <c r="P118" s="18" t="n">
        <f aca="false">SUMIFS(Calc!$AE$5:$AE$1369,Calc!$A$5:$A$1369,A118)</f>
        <v>-0.00896752035297853</v>
      </c>
      <c r="Q118" s="18" t="n">
        <f aca="false">SUMIFS(Calc!$AF$5:$AF$1369,Calc!$A$5:$A$1369,A118)</f>
        <v>-0.0368769523478935</v>
      </c>
      <c r="R118" s="11" t="n">
        <f aca="false">IFERROR(N118/E118,"")</f>
        <v>0.000149806702340118</v>
      </c>
      <c r="S118" s="11" t="n">
        <f aca="false">IFERROR(P118/E118,"")</f>
        <v>-0.00027000274422386</v>
      </c>
      <c r="T118" s="11" t="n">
        <f aca="false">IFERROR(Q118/E118,"")</f>
        <v>-0.00111032681729422</v>
      </c>
      <c r="U118" s="16" t="n">
        <f aca="false">SUMIFS(Calc!$AG$5:$AG$1369,Calc!$A$5:$A$1369,A118)</f>
        <v>-0.0453021714688198</v>
      </c>
      <c r="V118" s="16" t="n">
        <f aca="false">SUMIFS(Calc!$AH$5:$AH$1369,Calc!$A$5:$A$1369,A118)</f>
        <v>-0.0537273905897461</v>
      </c>
      <c r="W118" s="16" t="n">
        <f aca="false">SUMIFS(Calc!$Y$5:$Y$1369,Calc!$A$5:$A$1369,A118)</f>
        <v>0.168504382418526</v>
      </c>
      <c r="X118" s="7" t="n">
        <f aca="false">IFERROR(N118/W118*1000,"")</f>
        <v>29.5273339948538</v>
      </c>
      <c r="Y118" s="7" t="n">
        <f aca="false">IFERROR(P118/W118*1000,"")</f>
        <v>-53.2183212345497</v>
      </c>
      <c r="Z118" s="7" t="n">
        <f aca="false">IFERROR(Q118/W118*1000,"")</f>
        <v>-218.848624698079</v>
      </c>
      <c r="AA118" s="16" t="n">
        <f aca="false">SUMIFS(Calc!$AM$5:$AM$1369,Calc!$A$5:$A$1369,A118)</f>
        <v>0.0580958563843622</v>
      </c>
      <c r="AB118" s="16" t="n">
        <f aca="false">SUMIFS(Calc!$AN$5:$AN$1369,Calc!$A$5:$A$1369,A118)</f>
        <v>1.762773604466</v>
      </c>
      <c r="AC118" s="17" t="n">
        <f aca="false">Country_Data!DY118</f>
        <v>0.22</v>
      </c>
      <c r="AD118" s="12" t="n">
        <f aca="false">IF(Country_Data!BD118="","",Country_Data!BD118)</f>
        <v>3</v>
      </c>
      <c r="AE118" s="7" t="n">
        <f aca="false">IF(Country_Data!BC118="","",Country_Data!BC118)</f>
        <v>100.792</v>
      </c>
      <c r="AF118" s="12" t="n">
        <f aca="false">IF(Country_Data!BL118="","",Country_Data!BL118)</f>
        <v>1.982</v>
      </c>
      <c r="AG118" s="7" t="n">
        <f aca="false">IF(Country_Data!BA118="","",Country_Data!BA118)</f>
        <v>54.505</v>
      </c>
    </row>
    <row r="119" customFormat="false" ht="15" hidden="false" customHeight="false" outlineLevel="0" collapsed="false">
      <c r="A119" s="14" t="str">
        <f aca="false">Country_Data!A119</f>
        <v>MLI</v>
      </c>
      <c r="B119" s="14" t="str">
        <f aca="false">Country_Data!B119</f>
        <v>Mali</v>
      </c>
      <c r="C119" s="14" t="str">
        <f aca="false">Country_Data!E119</f>
        <v>EMDC</v>
      </c>
      <c r="D119" s="14" t="str">
        <f aca="false">Country_Data!D119</f>
        <v>Low income</v>
      </c>
      <c r="E119" s="15" t="n">
        <f aca="false">Country_Data!BV119</f>
        <v>36.7112950281134</v>
      </c>
      <c r="F119" s="16" t="n">
        <f aca="false">SUMIFS(Calc!$J$5:$J$1369,Calc!$A$5:$A$1369,A119)</f>
        <v>2.08424096762527</v>
      </c>
      <c r="G119" s="11" t="n">
        <f aca="false">IFERROR(F119/E119,"")</f>
        <v>0.0567738339393685</v>
      </c>
      <c r="H119" s="16" t="n">
        <f aca="false">SUMIFS(Calc!$L$5:$L$1369,Calc!$A$5:$A$1369,A119)</f>
        <v>0.500217832230065</v>
      </c>
      <c r="I119" s="11" t="n">
        <f aca="false">IFERROR(H119/E119,"")</f>
        <v>0.0136257201454484</v>
      </c>
      <c r="J119" s="17" t="n">
        <f aca="false">Country_Data!DW119</f>
        <v>0.105</v>
      </c>
      <c r="K119" s="14" t="str">
        <f aca="false">Country_Data!DV119</f>
        <v>Group default (IHLEG)</v>
      </c>
      <c r="L119" s="16" t="n">
        <f aca="false">SUMIFS(Calc!$W$5:$W$1369,Calc!$A$5:$A$1369,A119)</f>
        <v>0.0331984348408963</v>
      </c>
      <c r="M119" s="16" t="n">
        <f aca="false">SUMIFS(Calc!$X$5:$X$1369,Calc!$A$5:$A$1369,A119)</f>
        <v>0.0264383263687508</v>
      </c>
      <c r="N119" s="18" t="n">
        <f aca="false">SUMIFS(Calc!$AC$5:$AC$1369,Calc!$A$5:$A$1369,A119)</f>
        <v>0.0256515680156586</v>
      </c>
      <c r="O119" s="18" t="n">
        <f aca="false">SUMIFS(Calc!$AD$5:$AD$1369,Calc!$A$5:$A$1369,A119)</f>
        <v>0.0457954482583928</v>
      </c>
      <c r="P119" s="18" t="n">
        <f aca="false">SUMIFS(Calc!$AE$5:$AE$1369,Calc!$A$5:$A$1369,A119)</f>
        <v>0.00736098645715591</v>
      </c>
      <c r="Q119" s="18" t="n">
        <f aca="false">SUMIFS(Calc!$AF$5:$AF$1369,Calc!$A$5:$A$1369,A119)</f>
        <v>-0.0190773399115949</v>
      </c>
      <c r="R119" s="11" t="n">
        <f aca="false">IFERROR(N119/E119,"")</f>
        <v>0.000698737758938078</v>
      </c>
      <c r="S119" s="11" t="n">
        <f aca="false">IFERROR(P119/E119,"")</f>
        <v>0.000200510127782713</v>
      </c>
      <c r="T119" s="11" t="n">
        <f aca="false">IFERROR(Q119/E119,"")</f>
        <v>-0.000519658592729718</v>
      </c>
      <c r="U119" s="16" t="n">
        <f aca="false">SUMIFS(Calc!$AG$5:$AG$1369,Calc!$A$5:$A$1369,A119)</f>
        <v>-0.0428147479578837</v>
      </c>
      <c r="V119" s="16" t="n">
        <f aca="false">SUMIFS(Calc!$AH$5:$AH$1369,Calc!$A$5:$A$1369,A119)</f>
        <v>-0.0665521560041724</v>
      </c>
      <c r="W119" s="16" t="n">
        <f aca="false">SUMIFS(Calc!$Y$5:$Y$1369,Calc!$A$5:$A$1369,A119)</f>
        <v>0.474748160925775</v>
      </c>
      <c r="X119" s="7" t="n">
        <f aca="false">IFERROR(N119/W119*1000,"")</f>
        <v>54.0319481504407</v>
      </c>
      <c r="Y119" s="7" t="n">
        <f aca="false">IFERROR(P119/W119*1000,"")</f>
        <v>15.505034169699</v>
      </c>
      <c r="Z119" s="7" t="n">
        <f aca="false">IFERROR(Q119/W119*1000,"")</f>
        <v>-40.1841259888051</v>
      </c>
      <c r="AA119" s="16" t="n">
        <f aca="false">SUMIFS(Calc!$AM$5:$AM$1369,Calc!$A$5:$A$1369,A119)</f>
        <v>0.0762107564937611</v>
      </c>
      <c r="AB119" s="16" t="n">
        <f aca="false">SUMIFS(Calc!$AN$5:$AN$1369,Calc!$A$5:$A$1369,A119)</f>
        <v>2.38482537928279</v>
      </c>
      <c r="AC119" s="17" t="n">
        <f aca="false">Country_Data!DY119</f>
        <v>0.265</v>
      </c>
      <c r="AD119" s="12" t="n">
        <f aca="false">IF(Country_Data!BD119="","",Country_Data!BD119)</f>
        <v>2.5</v>
      </c>
      <c r="AE119" s="7" t="n">
        <f aca="false">IF(Country_Data!BC119="","",Country_Data!BC119)</f>
        <v>60.247</v>
      </c>
      <c r="AF119" s="12" t="str">
        <f aca="false">IF(Country_Data!BL119="","",Country_Data!BL119)</f>
        <v/>
      </c>
      <c r="AG119" s="7" t="n">
        <f aca="false">IF(Country_Data!BA119="","",Country_Data!BA119)</f>
        <v>44.027</v>
      </c>
    </row>
    <row r="120" customFormat="false" ht="15" hidden="false" customHeight="false" outlineLevel="0" collapsed="false">
      <c r="A120" s="14" t="str">
        <f aca="false">Country_Data!A120</f>
        <v>ARM</v>
      </c>
      <c r="B120" s="14" t="str">
        <f aca="false">Country_Data!B120</f>
        <v>Armenia</v>
      </c>
      <c r="C120" s="14" t="str">
        <f aca="false">Country_Data!E120</f>
        <v>EMDC</v>
      </c>
      <c r="D120" s="14" t="str">
        <f aca="false">Country_Data!D120</f>
        <v>Upper middle income</v>
      </c>
      <c r="E120" s="15" t="n">
        <f aca="false">Country_Data!BV120</f>
        <v>36.008389653404</v>
      </c>
      <c r="F120" s="16" t="n">
        <f aca="false">SUMIFS(Calc!$J$5:$J$1369,Calc!$A$5:$A$1369,A120)</f>
        <v>1.52598753437405</v>
      </c>
      <c r="G120" s="11" t="n">
        <f aca="false">IFERROR(F120/E120,"")</f>
        <v>0.0423786664458569</v>
      </c>
      <c r="H120" s="16" t="n">
        <f aca="false">SUMIFS(Calc!$L$5:$L$1369,Calc!$A$5:$A$1369,A120)</f>
        <v>0.366237008249772</v>
      </c>
      <c r="I120" s="11" t="n">
        <f aca="false">IFERROR(H120/E120,"")</f>
        <v>0.0101708799470057</v>
      </c>
      <c r="J120" s="17" t="n">
        <f aca="false">Country_Data!DW120</f>
        <v>0.105</v>
      </c>
      <c r="K120" s="14" t="str">
        <f aca="false">Country_Data!DV120</f>
        <v>Group default (IHLEG)</v>
      </c>
      <c r="L120" s="16" t="n">
        <f aca="false">SUMIFS(Calc!$W$5:$W$1369,Calc!$A$5:$A$1369,A120)</f>
        <v>0.0172711721575503</v>
      </c>
      <c r="M120" s="16" t="n">
        <f aca="false">SUMIFS(Calc!$X$5:$X$1369,Calc!$A$5:$A$1369,A120)</f>
        <v>0.0187153263868023</v>
      </c>
      <c r="N120" s="18" t="n">
        <f aca="false">SUMIFS(Calc!$AC$5:$AC$1369,Calc!$A$5:$A$1369,A120)</f>
        <v>0.0253721273264364</v>
      </c>
      <c r="O120" s="18" t="n">
        <f aca="false">SUMIFS(Calc!$AD$5:$AD$1369,Calc!$A$5:$A$1369,A120)</f>
        <v>0.0401719413731962</v>
      </c>
      <c r="P120" s="18" t="n">
        <f aca="false">SUMIFS(Calc!$AE$5:$AE$1369,Calc!$A$5:$A$1369,A120)</f>
        <v>0.0119366876434267</v>
      </c>
      <c r="Q120" s="18" t="n">
        <f aca="false">SUMIFS(Calc!$AF$5:$AF$1369,Calc!$A$5:$A$1369,A120)</f>
        <v>-0.00677863874337562</v>
      </c>
      <c r="R120" s="11" t="n">
        <f aca="false">IFERROR(N120/E120,"")</f>
        <v>0.00070461710647585</v>
      </c>
      <c r="S120" s="11" t="n">
        <f aca="false">IFERROR(P120/E120,"")</f>
        <v>0.00033149740264206</v>
      </c>
      <c r="T120" s="11" t="n">
        <f aca="false">IFERROR(Q120/E120,"")</f>
        <v>-0.000188251649369019</v>
      </c>
      <c r="U120" s="16" t="n">
        <f aca="false">SUMIFS(Calc!$AG$5:$AG$1369,Calc!$A$5:$A$1369,A120)</f>
        <v>-0.0155295014552232</v>
      </c>
      <c r="V120" s="16" t="n">
        <f aca="false">SUMIFS(Calc!$AH$5:$AH$1369,Calc!$A$5:$A$1369,A120)</f>
        <v>-0.0242803641670708</v>
      </c>
      <c r="W120" s="16" t="n">
        <f aca="false">SUMIFS(Calc!$Y$5:$Y$1369,Calc!$A$5:$A$1369,A120)</f>
        <v>0.175017254236951</v>
      </c>
      <c r="X120" s="7" t="n">
        <f aca="false">IFERROR(N120/W120*1000,"")</f>
        <v>144.96929138247</v>
      </c>
      <c r="Y120" s="7" t="n">
        <f aca="false">IFERROR(P120/W120*1000,"")</f>
        <v>68.2029191662776</v>
      </c>
      <c r="Z120" s="7" t="n">
        <f aca="false">IFERROR(Q120/W120*1000,"")</f>
        <v>-38.7312598002377</v>
      </c>
      <c r="AA120" s="16" t="n">
        <f aca="false">SUMIFS(Calc!$AM$5:$AM$1369,Calc!$A$5:$A$1369,A120)</f>
        <v>0.0559809986792075</v>
      </c>
      <c r="AB120" s="16" t="n">
        <f aca="false">SUMIFS(Calc!$AN$5:$AN$1369,Calc!$A$5:$A$1369,A120)</f>
        <v>1.93291754354047</v>
      </c>
      <c r="AC120" s="17" t="n">
        <f aca="false">Country_Data!DY120</f>
        <v>0.4</v>
      </c>
      <c r="AD120" s="12" t="n">
        <f aca="false">IF(Country_Data!BD120="","",Country_Data!BD120)</f>
        <v>1</v>
      </c>
      <c r="AE120" s="7" t="n">
        <f aca="false">IF(Country_Data!BC120="","",Country_Data!BC120)</f>
        <v>107.426</v>
      </c>
      <c r="AF120" s="12" t="n">
        <f aca="false">IF(Country_Data!BL120="","",Country_Data!BL120)</f>
        <v>-0.421</v>
      </c>
      <c r="AG120" s="7" t="n">
        <f aca="false">IF(Country_Data!BA120="","",Country_Data!BA120)</f>
        <v>49.961</v>
      </c>
    </row>
    <row r="121" customFormat="false" ht="15" hidden="false" customHeight="false" outlineLevel="0" collapsed="false">
      <c r="A121" s="14" t="str">
        <f aca="false">Country_Data!A121</f>
        <v>TTO</v>
      </c>
      <c r="B121" s="14" t="str">
        <f aca="false">Country_Data!B121</f>
        <v>Trinidad and Tobago</v>
      </c>
      <c r="C121" s="14" t="str">
        <f aca="false">Country_Data!E121</f>
        <v>EMDC</v>
      </c>
      <c r="D121" s="14" t="str">
        <f aca="false">Country_Data!D121</f>
        <v>High income</v>
      </c>
      <c r="E121" s="15" t="n">
        <f aca="false">Country_Data!BV121</f>
        <v>26.8391926996583</v>
      </c>
      <c r="F121" s="16" t="n">
        <f aca="false">SUMIFS(Calc!$J$5:$J$1369,Calc!$A$5:$A$1369,A121)</f>
        <v>2.00219816404127</v>
      </c>
      <c r="G121" s="11" t="n">
        <f aca="false">IFERROR(F121/E121,"")</f>
        <v>0.0745997909268993</v>
      </c>
      <c r="H121" s="16" t="n">
        <f aca="false">SUMIFS(Calc!$L$5:$L$1369,Calc!$A$5:$A$1369,A121)</f>
        <v>0.480527559369906</v>
      </c>
      <c r="I121" s="11" t="n">
        <f aca="false">IFERROR(H121/E121,"")</f>
        <v>0.0179039498224558</v>
      </c>
      <c r="J121" s="17" t="n">
        <f aca="false">Country_Data!DW121</f>
        <v>0.105</v>
      </c>
      <c r="K121" s="14" t="str">
        <f aca="false">Country_Data!DV121</f>
        <v>Group default (IHLEG)</v>
      </c>
      <c r="L121" s="16" t="n">
        <f aca="false">SUMIFS(Calc!$W$5:$W$1369,Calc!$A$5:$A$1369,A121)</f>
        <v>0.0302103879851512</v>
      </c>
      <c r="M121" s="16" t="n">
        <f aca="false">SUMIFS(Calc!$X$5:$X$1369,Calc!$A$5:$A$1369,A121)</f>
        <v>0.0157460949420335</v>
      </c>
      <c r="N121" s="18" t="n">
        <f aca="false">SUMIFS(Calc!$AC$5:$AC$1369,Calc!$A$5:$A$1369,A121)</f>
        <v>0.0256855384076828</v>
      </c>
      <c r="O121" s="18" t="n">
        <f aca="false">SUMIFS(Calc!$AD$5:$AD$1369,Calc!$A$5:$A$1369,A121)</f>
        <v>0.0451269128242362</v>
      </c>
      <c r="P121" s="18" t="n">
        <f aca="false">SUMIFS(Calc!$AE$5:$AE$1369,Calc!$A$5:$A$1369,A121)</f>
        <v>0.00803406298260777</v>
      </c>
      <c r="Q121" s="18" t="n">
        <f aca="false">SUMIFS(Calc!$AF$5:$AF$1369,Calc!$A$5:$A$1369,A121)</f>
        <v>-0.00771203195942576</v>
      </c>
      <c r="R121" s="11" t="n">
        <f aca="false">IFERROR(N121/E121,"")</f>
        <v>0.000957016058385758</v>
      </c>
      <c r="S121" s="11" t="n">
        <f aca="false">IFERROR(P121/E121,"")</f>
        <v>0.000299340709406287</v>
      </c>
      <c r="T121" s="11" t="n">
        <f aca="false">IFERROR(Q121/E121,"")</f>
        <v>-0.00028734217328094</v>
      </c>
      <c r="U121" s="16" t="n">
        <f aca="false">SUMIFS(Calc!$AG$5:$AG$1369,Calc!$A$5:$A$1369,A121)</f>
        <v>-0.0251589902640489</v>
      </c>
      <c r="V121" s="16" t="n">
        <f aca="false">SUMIFS(Calc!$AH$5:$AH$1369,Calc!$A$5:$A$1369,A121)</f>
        <v>-0.042605948568672</v>
      </c>
      <c r="W121" s="16" t="n">
        <f aca="false">SUMIFS(Calc!$Y$5:$Y$1369,Calc!$A$5:$A$1369,A121)</f>
        <v>0.348939166092462</v>
      </c>
      <c r="X121" s="7" t="n">
        <f aca="false">IFERROR(N121/W121*1000,"")</f>
        <v>73.6103622167673</v>
      </c>
      <c r="Y121" s="7" t="n">
        <f aca="false">IFERROR(P121/W121*1000,"")</f>
        <v>23.0242511110917</v>
      </c>
      <c r="Z121" s="7" t="n">
        <f aca="false">IFERROR(Q121/W121*1000,"")</f>
        <v>-22.1013652488131</v>
      </c>
      <c r="AA121" s="16" t="n">
        <f aca="false">SUMIFS(Calc!$AM$5:$AM$1369,Calc!$A$5:$A$1369,A121)</f>
        <v>0.0735478142711461</v>
      </c>
      <c r="AB121" s="16" t="n">
        <f aca="false">SUMIFS(Calc!$AN$5:$AN$1369,Calc!$A$5:$A$1369,A121)</f>
        <v>2.29841378283094</v>
      </c>
      <c r="AC121" s="17" t="n">
        <f aca="false">Country_Data!DY121</f>
        <v>0.27</v>
      </c>
      <c r="AD121" s="12" t="str">
        <f aca="false">IF(Country_Data!BD121="","",Country_Data!BD121)</f>
        <v/>
      </c>
      <c r="AE121" s="7" t="n">
        <f aca="false">IF(Country_Data!BC121="","",Country_Data!BC121)</f>
        <v>75.968</v>
      </c>
      <c r="AF121" s="12" t="str">
        <f aca="false">IF(Country_Data!BL121="","",Country_Data!BL121)</f>
        <v/>
      </c>
      <c r="AG121" s="7" t="n">
        <f aca="false">IF(Country_Data!BA121="","",Country_Data!BA121)</f>
        <v>81.786</v>
      </c>
    </row>
    <row r="122" customFormat="false" ht="15" hidden="false" customHeight="false" outlineLevel="0" collapsed="false">
      <c r="A122" s="14" t="str">
        <f aca="false">Country_Data!A122</f>
        <v>ZMB</v>
      </c>
      <c r="B122" s="14" t="str">
        <f aca="false">Country_Data!B122</f>
        <v>Zambia</v>
      </c>
      <c r="C122" s="14" t="str">
        <f aca="false">Country_Data!E122</f>
        <v>EMDC</v>
      </c>
      <c r="D122" s="14" t="str">
        <f aca="false">Country_Data!D122</f>
        <v>Lower middle income</v>
      </c>
      <c r="E122" s="15" t="n">
        <f aca="false">Country_Data!BV122</f>
        <v>32.3850430940525</v>
      </c>
      <c r="F122" s="16" t="n">
        <f aca="false">SUMIFS(Calc!$J$5:$J$1369,Calc!$A$5:$A$1369,A122)</f>
        <v>3.0709754996374</v>
      </c>
      <c r="G122" s="11" t="n">
        <f aca="false">IFERROR(F122/E122,"")</f>
        <v>0.094826969682229</v>
      </c>
      <c r="H122" s="16" t="n">
        <f aca="false">SUMIFS(Calc!$L$5:$L$1369,Calc!$A$5:$A$1369,A122)</f>
        <v>0.737034119912976</v>
      </c>
      <c r="I122" s="11" t="n">
        <f aca="false">IFERROR(H122/E122,"")</f>
        <v>0.022758472723735</v>
      </c>
      <c r="J122" s="17" t="n">
        <f aca="false">Country_Data!DW122</f>
        <v>0.038</v>
      </c>
      <c r="K122" s="14" t="str">
        <f aca="false">Country_Data!DV122</f>
        <v>Observed (IRENA/Steffen)</v>
      </c>
      <c r="L122" s="16" t="n">
        <f aca="false">SUMIFS(Calc!$W$5:$W$1369,Calc!$A$5:$A$1369,A122)</f>
        <v>0.0176681307096836</v>
      </c>
      <c r="M122" s="16" t="n">
        <f aca="false">SUMIFS(Calc!$X$5:$X$1369,Calc!$A$5:$A$1369,A122)</f>
        <v>0.0362936975519604</v>
      </c>
      <c r="N122" s="18" t="n">
        <f aca="false">SUMIFS(Calc!$AC$5:$AC$1369,Calc!$A$5:$A$1369,A122)</f>
        <v>0.0285046282118356</v>
      </c>
      <c r="O122" s="18" t="n">
        <f aca="false">SUMIFS(Calc!$AD$5:$AD$1369,Calc!$A$5:$A$1369,A122)</f>
        <v>0.0537275017439973</v>
      </c>
      <c r="P122" s="18" t="n">
        <f aca="false">SUMIFS(Calc!$AE$5:$AE$1369,Calc!$A$5:$A$1369,A122)</f>
        <v>0.0402505525670589</v>
      </c>
      <c r="Q122" s="18" t="n">
        <f aca="false">SUMIFS(Calc!$AF$5:$AF$1369,Calc!$A$5:$A$1369,A122)</f>
        <v>0.00395685501509848</v>
      </c>
      <c r="R122" s="11" t="n">
        <f aca="false">IFERROR(N122/E122,"")</f>
        <v>0.000880178795163328</v>
      </c>
      <c r="S122" s="11" t="n">
        <f aca="false">IFERROR(P122/E122,"")</f>
        <v>0.00124287475703408</v>
      </c>
      <c r="T122" s="11" t="n">
        <f aca="false">IFERROR(Q122/E122,"")</f>
        <v>0.000122181557813803</v>
      </c>
      <c r="U122" s="16" t="n">
        <f aca="false">SUMIFS(Calc!$AG$5:$AG$1369,Calc!$A$5:$A$1369,A122)</f>
        <v>-0.0217732522754381</v>
      </c>
      <c r="V122" s="16" t="n">
        <f aca="false">SUMIFS(Calc!$AH$5:$AH$1369,Calc!$A$5:$A$1369,A122)</f>
        <v>-0.0475033595659746</v>
      </c>
      <c r="W122" s="16" t="n">
        <f aca="false">SUMIFS(Calc!$Y$5:$Y$1369,Calc!$A$5:$A$1369,A122)</f>
        <v>0.514602145810731</v>
      </c>
      <c r="X122" s="7" t="n">
        <f aca="false">IFERROR(N122/W122*1000,"")</f>
        <v>55.3915844383586</v>
      </c>
      <c r="Y122" s="7" t="n">
        <f aca="false">IFERROR(P122/W122*1000,"")</f>
        <v>78.2168377934882</v>
      </c>
      <c r="Z122" s="7" t="n">
        <f aca="false">IFERROR(Q122/W122*1000,"")</f>
        <v>7.68915374199352</v>
      </c>
      <c r="AA122" s="16" t="n">
        <f aca="false">SUMIFS(Calc!$AM$5:$AM$1369,Calc!$A$5:$A$1369,A122)</f>
        <v>-0.048941351480097</v>
      </c>
      <c r="AB122" s="16" t="n">
        <f aca="false">SUMIFS(Calc!$AN$5:$AN$1369,Calc!$A$5:$A$1369,A122)</f>
        <v>3.51386448325858</v>
      </c>
      <c r="AC122" s="17" t="n">
        <f aca="false">Country_Data!DY122</f>
        <v>0.265</v>
      </c>
      <c r="AD122" s="12" t="n">
        <f aca="false">IF(Country_Data!BD122="","",Country_Data!BD122)</f>
        <v>2.5</v>
      </c>
      <c r="AE122" s="7" t="str">
        <f aca="false">IF(Country_Data!BC122="","",Country_Data!BC122)</f>
        <v/>
      </c>
      <c r="AF122" s="12" t="n">
        <f aca="false">IF(Country_Data!BL122="","",Country_Data!BL122)</f>
        <v>6.215</v>
      </c>
      <c r="AG122" s="7" t="n">
        <f aca="false">IF(Country_Data!BA122="","",Country_Data!BA122)</f>
        <v>125.203</v>
      </c>
    </row>
    <row r="123" customFormat="false" ht="15" hidden="false" customHeight="false" outlineLevel="0" collapsed="false">
      <c r="A123" s="14" t="str">
        <f aca="false">Country_Data!A123</f>
        <v>HTI</v>
      </c>
      <c r="B123" s="14" t="str">
        <f aca="false">Country_Data!B123</f>
        <v>Haiti</v>
      </c>
      <c r="C123" s="14" t="str">
        <f aca="false">Country_Data!E123</f>
        <v>EMDC</v>
      </c>
      <c r="D123" s="14" t="str">
        <f aca="false">Country_Data!D123</f>
        <v>Lower middle income</v>
      </c>
      <c r="E123" s="15" t="n">
        <f aca="false">Country_Data!BV123</f>
        <v>22.5779942741194</v>
      </c>
      <c r="F123" s="16" t="n">
        <f aca="false">SUMIFS(Calc!$J$5:$J$1369,Calc!$A$5:$A$1369,A123)</f>
        <v>1.10227601863766</v>
      </c>
      <c r="G123" s="11" t="n">
        <f aca="false">IFERROR(F123/E123,"")</f>
        <v>0.0488208122145365</v>
      </c>
      <c r="H123" s="16" t="n">
        <f aca="false">SUMIFS(Calc!$L$5:$L$1369,Calc!$A$5:$A$1369,A123)</f>
        <v>0.26454624447304</v>
      </c>
      <c r="I123" s="11" t="n">
        <f aca="false">IFERROR(H123/E123,"")</f>
        <v>0.0117169949314888</v>
      </c>
      <c r="J123" s="17" t="n">
        <f aca="false">Country_Data!DW123</f>
        <v>0.105</v>
      </c>
      <c r="K123" s="14" t="str">
        <f aca="false">Country_Data!DV123</f>
        <v>Group default (IHLEG)</v>
      </c>
      <c r="L123" s="16" t="n">
        <f aca="false">SUMIFS(Calc!$W$5:$W$1369,Calc!$A$5:$A$1369,A123)</f>
        <v>0.0168882695702366</v>
      </c>
      <c r="M123" s="16" t="n">
        <f aca="false">SUMIFS(Calc!$X$5:$X$1369,Calc!$A$5:$A$1369,A123)</f>
        <v>0.0126802467109835</v>
      </c>
      <c r="N123" s="18" t="n">
        <f aca="false">SUMIFS(Calc!$AC$5:$AC$1369,Calc!$A$5:$A$1369,A123)</f>
        <v>0.0144919058699347</v>
      </c>
      <c r="O123" s="18" t="n">
        <f aca="false">SUMIFS(Calc!$AD$5:$AD$1369,Calc!$A$5:$A$1369,A123)</f>
        <v>0.0250879663136017</v>
      </c>
      <c r="P123" s="18" t="n">
        <f aca="false">SUMIFS(Calc!$AE$5:$AE$1369,Calc!$A$5:$A$1369,A123)</f>
        <v>0.00487227918776267</v>
      </c>
      <c r="Q123" s="18" t="n">
        <f aca="false">SUMIFS(Calc!$AF$5:$AF$1369,Calc!$A$5:$A$1369,A123)</f>
        <v>-0.00780796752322082</v>
      </c>
      <c r="R123" s="11" t="n">
        <f aca="false">IFERROR(N123/E123,"")</f>
        <v>0.000641859754856365</v>
      </c>
      <c r="S123" s="11" t="n">
        <f aca="false">IFERROR(P123/E123,"")</f>
        <v>0.000215797697909227</v>
      </c>
      <c r="T123" s="11" t="n">
        <f aca="false">IFERROR(Q123/E123,"")</f>
        <v>-0.000345822017156364</v>
      </c>
      <c r="U123" s="16" t="n">
        <f aca="false">SUMIFS(Calc!$AG$5:$AG$1369,Calc!$A$5:$A$1369,A123)</f>
        <v>-0.0195972418159518</v>
      </c>
      <c r="V123" s="16" t="n">
        <f aca="false">SUMIFS(Calc!$AH$5:$AH$1369,Calc!$A$5:$A$1369,A123)</f>
        <v>-0.0313865161086828</v>
      </c>
      <c r="W123" s="16" t="n">
        <f aca="false">SUMIFS(Calc!$Y$5:$Y$1369,Calc!$A$5:$A$1369,A123)</f>
        <v>0.235785485854619</v>
      </c>
      <c r="X123" s="7" t="n">
        <f aca="false">IFERROR(N123/W123*1000,"")</f>
        <v>61.4622474212434</v>
      </c>
      <c r="Y123" s="7" t="n">
        <f aca="false">IFERROR(P123/W123*1000,"")</f>
        <v>20.6640335392265</v>
      </c>
      <c r="Z123" s="7" t="n">
        <f aca="false">IFERROR(Q123/W123*1000,"")</f>
        <v>-33.1147080360793</v>
      </c>
      <c r="AA123" s="16" t="n">
        <f aca="false">SUMIFS(Calc!$AM$5:$AM$1369,Calc!$A$5:$A$1369,A123)</f>
        <v>0.0400817778423834</v>
      </c>
      <c r="AB123" s="16" t="n">
        <f aca="false">SUMIFS(Calc!$AN$5:$AN$1369,Calc!$A$5:$A$1369,A123)</f>
        <v>1.26535247071009</v>
      </c>
      <c r="AC123" s="17" t="n">
        <f aca="false">Country_Data!DY123</f>
        <v>0.27</v>
      </c>
      <c r="AD123" s="12" t="str">
        <f aca="false">IF(Country_Data!BD123="","",Country_Data!BD123)</f>
        <v/>
      </c>
      <c r="AE123" s="7" t="n">
        <f aca="false">IF(Country_Data!BC123="","",Country_Data!BC123)</f>
        <v>16.661</v>
      </c>
      <c r="AF123" s="12" t="str">
        <f aca="false">IF(Country_Data!BL123="","",Country_Data!BL123)</f>
        <v/>
      </c>
      <c r="AG123" s="7" t="n">
        <f aca="false">IF(Country_Data!BA123="","",Country_Data!BA123)</f>
        <v>15.506</v>
      </c>
    </row>
    <row r="124" customFormat="false" ht="15" hidden="false" customHeight="false" outlineLevel="0" collapsed="false">
      <c r="A124" s="14" t="str">
        <f aca="false">Country_Data!A124</f>
        <v>MLT</v>
      </c>
      <c r="B124" s="14" t="str">
        <f aca="false">Country_Data!B124</f>
        <v>Malta</v>
      </c>
      <c r="C124" s="14" t="str">
        <f aca="false">Country_Data!E124</f>
        <v>AE</v>
      </c>
      <c r="D124" s="14" t="str">
        <f aca="false">Country_Data!D124</f>
        <v>High income</v>
      </c>
      <c r="E124" s="15" t="n">
        <f aca="false">Country_Data!BV124</f>
        <v>31.2115979150305</v>
      </c>
      <c r="F124" s="16" t="n">
        <f aca="false">SUMIFS(Calc!$J$5:$J$1369,Calc!$A$5:$A$1369,A124)</f>
        <v>0.807148582369118</v>
      </c>
      <c r="G124" s="11" t="n">
        <f aca="false">IFERROR(F124/E124,"")</f>
        <v>0.0258605337851165</v>
      </c>
      <c r="H124" s="16" t="n">
        <f aca="false">SUMIFS(Calc!$L$5:$L$1369,Calc!$A$5:$A$1369,A124)</f>
        <v>0.306716461300265</v>
      </c>
      <c r="I124" s="11" t="n">
        <f aca="false">IFERROR(H124/E124,"")</f>
        <v>0.00982700283834428</v>
      </c>
      <c r="J124" s="17" t="n">
        <f aca="false">Country_Data!DW124</f>
        <v>0.055</v>
      </c>
      <c r="K124" s="14" t="str">
        <f aca="false">Country_Data!DV124</f>
        <v>Group default (IHLEG)</v>
      </c>
      <c r="L124" s="16" t="n">
        <f aca="false">SUMIFS(Calc!$W$5:$W$1369,Calc!$A$5:$A$1369,A124)</f>
        <v>0.0319776490367137</v>
      </c>
      <c r="M124" s="16" t="n">
        <f aca="false">SUMIFS(Calc!$X$5:$X$1369,Calc!$A$5:$A$1369,A124)</f>
        <v>0.00221534991776973</v>
      </c>
      <c r="N124" s="18" t="n">
        <f aca="false">SUMIFS(Calc!$AC$5:$AC$1369,Calc!$A$5:$A$1369,A124)</f>
        <v>-0.00814930569835114</v>
      </c>
      <c r="O124" s="18" t="n">
        <f aca="false">SUMIFS(Calc!$AD$5:$AD$1369,Calc!$A$5:$A$1369,A124)</f>
        <v>-0.00465157063096824</v>
      </c>
      <c r="P124" s="18" t="n">
        <f aca="false">SUMIFS(Calc!$AE$5:$AE$1369,Calc!$A$5:$A$1369,A124)</f>
        <v>-0.00700616335843771</v>
      </c>
      <c r="Q124" s="18" t="n">
        <f aca="false">SUMIFS(Calc!$AF$5:$AF$1369,Calc!$A$5:$A$1369,A124)</f>
        <v>-0.00922151327620744</v>
      </c>
      <c r="R124" s="11" t="n">
        <f aca="false">IFERROR(N124/E124,"")</f>
        <v>-0.000261098637773579</v>
      </c>
      <c r="S124" s="11" t="n">
        <f aca="false">IFERROR(P124/E124,"")</f>
        <v>-0.000224473074961144</v>
      </c>
      <c r="T124" s="11" t="n">
        <f aca="false">IFERROR(Q124/E124,"")</f>
        <v>-0.000295451495348358</v>
      </c>
      <c r="U124" s="16" t="n">
        <f aca="false">SUMIFS(Calc!$AG$5:$AG$1369,Calc!$A$5:$A$1369,A124)</f>
        <v>-0.0166862354569021</v>
      </c>
      <c r="V124" s="16" t="n">
        <f aca="false">SUMIFS(Calc!$AH$5:$AH$1369,Calc!$A$5:$A$1369,A124)</f>
        <v>-0.0241509576375968</v>
      </c>
      <c r="W124" s="16" t="n">
        <f aca="false">SUMIFS(Calc!$Y$5:$Y$1369,Calc!$A$5:$A$1369,A124)</f>
        <v>0.149294443613894</v>
      </c>
      <c r="X124" s="7" t="n">
        <f aca="false">IFERROR(N124/W124*1000,"")</f>
        <v>-54.5854587825581</v>
      </c>
      <c r="Y124" s="7" t="n">
        <f aca="false">IFERROR(P124/W124*1000,"")</f>
        <v>-46.9284937124459</v>
      </c>
      <c r="Z124" s="7" t="n">
        <f aca="false">IFERROR(Q124/W124*1000,"")</f>
        <v>-61.7672905500501</v>
      </c>
      <c r="AA124" s="16" t="n">
        <f aca="false">SUMIFS(Calc!$AM$5:$AM$1369,Calc!$A$5:$A$1369,A124)</f>
        <v>-0.00300826931556164</v>
      </c>
      <c r="AB124" s="16" t="n">
        <f aca="false">SUMIFS(Calc!$AN$5:$AN$1369,Calc!$A$5:$A$1369,A124)</f>
        <v>0.843331105027044</v>
      </c>
      <c r="AC124" s="17" t="n">
        <f aca="false">Country_Data!DY124</f>
        <v>0.13</v>
      </c>
      <c r="AD124" s="12" t="str">
        <f aca="false">IF(Country_Data!BD124="","",Country_Data!BD124)</f>
        <v/>
      </c>
      <c r="AE124" s="7" t="str">
        <f aca="false">IF(Country_Data!BC124="","",Country_Data!BC124)</f>
        <v/>
      </c>
      <c r="AF124" s="12" t="str">
        <f aca="false">IF(Country_Data!BL124="","",Country_Data!BL124)</f>
        <v/>
      </c>
      <c r="AG124" s="7" t="n">
        <f aca="false">IF(Country_Data!BA124="","",Country_Data!BA124)</f>
        <v>46.042</v>
      </c>
    </row>
    <row r="125" customFormat="false" ht="15" hidden="false" customHeight="false" outlineLevel="0" collapsed="false">
      <c r="A125" s="14" t="str">
        <f aca="false">Country_Data!A125</f>
        <v>GUY</v>
      </c>
      <c r="B125" s="14" t="str">
        <f aca="false">Country_Data!B125</f>
        <v>Guyana</v>
      </c>
      <c r="C125" s="14" t="str">
        <f aca="false">Country_Data!E125</f>
        <v>EMDC</v>
      </c>
      <c r="D125" s="14" t="str">
        <f aca="false">Country_Data!D125</f>
        <v>High income</v>
      </c>
      <c r="E125" s="15" t="n">
        <f aca="false">Country_Data!BV125</f>
        <v>62.2416688063884</v>
      </c>
      <c r="F125" s="16" t="n">
        <f aca="false">SUMIFS(Calc!$J$5:$J$1369,Calc!$A$5:$A$1369,A125)</f>
        <v>1.2982848441791</v>
      </c>
      <c r="G125" s="11" t="n">
        <f aca="false">IFERROR(F125/E125,"")</f>
        <v>0.0208587730547135</v>
      </c>
      <c r="H125" s="16" t="n">
        <f aca="false">SUMIFS(Calc!$L$5:$L$1369,Calc!$A$5:$A$1369,A125)</f>
        <v>0.311588362602983</v>
      </c>
      <c r="I125" s="11" t="n">
        <f aca="false">IFERROR(H125/E125,"")</f>
        <v>0.00500610553313125</v>
      </c>
      <c r="J125" s="17" t="n">
        <f aca="false">Country_Data!DW125</f>
        <v>0.105</v>
      </c>
      <c r="K125" s="14" t="str">
        <f aca="false">Country_Data!DV125</f>
        <v>Group default (IHLEG)</v>
      </c>
      <c r="L125" s="16" t="n">
        <f aca="false">SUMIFS(Calc!$W$5:$W$1369,Calc!$A$5:$A$1369,A125)</f>
        <v>0.029022039988121</v>
      </c>
      <c r="M125" s="16" t="n">
        <f aca="false">SUMIFS(Calc!$X$5:$X$1369,Calc!$A$5:$A$1369,A125)</f>
        <v>0.0179640032599085</v>
      </c>
      <c r="N125" s="18" t="n">
        <f aca="false">SUMIFS(Calc!$AC$5:$AC$1369,Calc!$A$5:$A$1369,A125)</f>
        <v>0.00752675469097194</v>
      </c>
      <c r="O125" s="18" t="n">
        <f aca="false">SUMIFS(Calc!$AD$5:$AD$1369,Calc!$A$5:$A$1369,A125)</f>
        <v>0.0200870320835858</v>
      </c>
      <c r="P125" s="18" t="n">
        <f aca="false">SUMIFS(Calc!$AE$5:$AE$1369,Calc!$A$5:$A$1369,A125)</f>
        <v>-0.00387705623026479</v>
      </c>
      <c r="Q125" s="18" t="n">
        <f aca="false">SUMIFS(Calc!$AF$5:$AF$1369,Calc!$A$5:$A$1369,A125)</f>
        <v>-0.0218410594901733</v>
      </c>
      <c r="R125" s="11" t="n">
        <f aca="false">IFERROR(N125/E125,"")</f>
        <v>0.000120927906261399</v>
      </c>
      <c r="S125" s="11" t="n">
        <f aca="false">IFERROR(P125/E125,"")</f>
        <v>-6.22903643911755E-005</v>
      </c>
      <c r="T125" s="11" t="n">
        <f aca="false">IFERROR(Q125/E125,"")</f>
        <v>-0.000350907356904472</v>
      </c>
      <c r="U125" s="16" t="n">
        <f aca="false">SUMIFS(Calc!$AG$5:$AG$1369,Calc!$A$5:$A$1369,A125)</f>
        <v>-0.0369120882242721</v>
      </c>
      <c r="V125" s="16" t="n">
        <f aca="false">SUMIFS(Calc!$AH$5:$AH$1369,Calc!$A$5:$A$1369,A125)</f>
        <v>-0.0519831169583709</v>
      </c>
      <c r="W125" s="16" t="n">
        <f aca="false">SUMIFS(Calc!$Y$5:$Y$1369,Calc!$A$5:$A$1369,A125)</f>
        <v>0.301420574681977</v>
      </c>
      <c r="X125" s="7" t="n">
        <f aca="false">IFERROR(N125/W125*1000,"")</f>
        <v>24.9709386922684</v>
      </c>
      <c r="Y125" s="7" t="n">
        <f aca="false">IFERROR(P125/W125*1000,"")</f>
        <v>-12.8626130925382</v>
      </c>
      <c r="Z125" s="7" t="n">
        <f aca="false">IFERROR(Q125/W125*1000,"")</f>
        <v>-72.4604135375209</v>
      </c>
      <c r="AA125" s="16" t="n">
        <f aca="false">SUMIFS(Calc!$AM$5:$AM$1369,Calc!$A$5:$A$1369,A125)</f>
        <v>0.0475158788384864</v>
      </c>
      <c r="AB125" s="16" t="n">
        <f aca="false">SUMIFS(Calc!$AN$5:$AN$1369,Calc!$A$5:$A$1369,A125)</f>
        <v>1.49035986222203</v>
      </c>
      <c r="AC125" s="17" t="n">
        <f aca="false">Country_Data!DY125</f>
        <v>0.27</v>
      </c>
      <c r="AD125" s="12" t="str">
        <f aca="false">IF(Country_Data!BD125="","",Country_Data!BD125)</f>
        <v/>
      </c>
      <c r="AE125" s="7" t="n">
        <f aca="false">IF(Country_Data!BC125="","",Country_Data!BC125)</f>
        <v>101.3</v>
      </c>
      <c r="AF125" s="12" t="n">
        <f aca="false">IF(Country_Data!BL125="","",Country_Data!BL125)</f>
        <v>-1.487</v>
      </c>
      <c r="AG125" s="7" t="n">
        <f aca="false">IF(Country_Data!BA125="","",Country_Data!BA125)</f>
        <v>24.308</v>
      </c>
    </row>
    <row r="126" customFormat="false" ht="15" hidden="false" customHeight="false" outlineLevel="0" collapsed="false">
      <c r="A126" s="14" t="str">
        <f aca="false">Country_Data!A126</f>
        <v>GIN</v>
      </c>
      <c r="B126" s="14" t="str">
        <f aca="false">Country_Data!B126</f>
        <v>Guinea</v>
      </c>
      <c r="C126" s="14" t="str">
        <f aca="false">Country_Data!E126</f>
        <v>EMDC</v>
      </c>
      <c r="D126" s="14" t="str">
        <f aca="false">Country_Data!D126</f>
        <v>Lower middle income</v>
      </c>
      <c r="E126" s="15" t="n">
        <f aca="false">Country_Data!BV126</f>
        <v>39.1928542116342</v>
      </c>
      <c r="F126" s="16" t="n">
        <f aca="false">SUMIFS(Calc!$J$5:$J$1369,Calc!$A$5:$A$1369,A126)</f>
        <v>1.74118890016461</v>
      </c>
      <c r="G126" s="11" t="n">
        <f aca="false">IFERROR(F126/E126,"")</f>
        <v>0.0444261826597908</v>
      </c>
      <c r="H126" s="16" t="n">
        <f aca="false">SUMIFS(Calc!$L$5:$L$1369,Calc!$A$5:$A$1369,A126)</f>
        <v>0.417885336039506</v>
      </c>
      <c r="I126" s="11" t="n">
        <f aca="false">IFERROR(H126/E126,"")</f>
        <v>0.0106622838383498</v>
      </c>
      <c r="J126" s="17" t="n">
        <f aca="false">Country_Data!DW126</f>
        <v>0.105</v>
      </c>
      <c r="K126" s="14" t="str">
        <f aca="false">Country_Data!DV126</f>
        <v>Group default (IHLEG)</v>
      </c>
      <c r="L126" s="16" t="n">
        <f aca="false">SUMIFS(Calc!$W$5:$W$1369,Calc!$A$5:$A$1369,A126)</f>
        <v>0.0223084072073653</v>
      </c>
      <c r="M126" s="16" t="n">
        <f aca="false">SUMIFS(Calc!$X$5:$X$1369,Calc!$A$5:$A$1369,A126)</f>
        <v>0.0228561813220921</v>
      </c>
      <c r="N126" s="18" t="n">
        <f aca="false">SUMIFS(Calc!$AC$5:$AC$1369,Calc!$A$5:$A$1369,A126)</f>
        <v>0.0268396262571862</v>
      </c>
      <c r="O126" s="18" t="n">
        <f aca="false">SUMIFS(Calc!$AD$5:$AD$1369,Calc!$A$5:$A$1369,A126)</f>
        <v>0.0436753794711912</v>
      </c>
      <c r="P126" s="18" t="n">
        <f aca="false">SUMIFS(Calc!$AE$5:$AE$1369,Calc!$A$5:$A$1369,A126)</f>
        <v>0.0115519887931836</v>
      </c>
      <c r="Q126" s="18" t="n">
        <f aca="false">SUMIFS(Calc!$AF$5:$AF$1369,Calc!$A$5:$A$1369,A126)</f>
        <v>-0.0113041925289084</v>
      </c>
      <c r="R126" s="11" t="n">
        <f aca="false">IFERROR(N126/E126,"")</f>
        <v>0.00068480917751632</v>
      </c>
      <c r="S126" s="11" t="n">
        <f aca="false">IFERROR(P126/E126,"")</f>
        <v>0.000294747321305181</v>
      </c>
      <c r="T126" s="11" t="n">
        <f aca="false">IFERROR(Q126/E126,"")</f>
        <v>-0.000288424835503632</v>
      </c>
      <c r="U126" s="16" t="n">
        <f aca="false">SUMIFS(Calc!$AG$5:$AG$1369,Calc!$A$5:$A$1369,A126)</f>
        <v>-0.0281290660925832</v>
      </c>
      <c r="V126" s="16" t="n">
        <f aca="false">SUMIFS(Calc!$AH$5:$AH$1369,Calc!$A$5:$A$1369,A126)</f>
        <v>-0.0449539396562579</v>
      </c>
      <c r="W126" s="16" t="n">
        <f aca="false">SUMIFS(Calc!$Y$5:$Y$1369,Calc!$A$5:$A$1369,A126)</f>
        <v>0.336497471273495</v>
      </c>
      <c r="X126" s="7" t="n">
        <f aca="false">IFERROR(N126/W126*1000,"")</f>
        <v>79.7617472595263</v>
      </c>
      <c r="Y126" s="7" t="n">
        <f aca="false">IFERROR(P126/W126*1000,"")</f>
        <v>34.3300909497609</v>
      </c>
      <c r="Z126" s="7" t="n">
        <f aca="false">IFERROR(Q126/W126*1000,"")</f>
        <v>-33.5936923571135</v>
      </c>
      <c r="AA126" s="16" t="n">
        <f aca="false">SUMIFS(Calc!$AM$5:$AM$1369,Calc!$A$5:$A$1369,A126)</f>
        <v>0.063698489433344</v>
      </c>
      <c r="AB126" s="16" t="n">
        <f aca="false">SUMIFS(Calc!$AN$5:$AN$1369,Calc!$A$5:$A$1369,A126)</f>
        <v>2.12452040996829</v>
      </c>
      <c r="AC126" s="17" t="n">
        <f aca="false">Country_Data!DY126</f>
        <v>0.355</v>
      </c>
      <c r="AD126" s="12" t="n">
        <f aca="false">IF(Country_Data!BD126="","",Country_Data!BD126)</f>
        <v>1.5</v>
      </c>
      <c r="AE126" s="7" t="n">
        <f aca="false">IF(Country_Data!BC126="","",Country_Data!BC126)</f>
        <v>33.459</v>
      </c>
      <c r="AF126" s="12" t="n">
        <f aca="false">IF(Country_Data!BL126="","",Country_Data!BL126)</f>
        <v>-0.725</v>
      </c>
      <c r="AG126" s="7" t="n">
        <f aca="false">IF(Country_Data!BA126="","",Country_Data!BA126)</f>
        <v>48.282</v>
      </c>
    </row>
    <row r="127" customFormat="false" ht="15" hidden="false" customHeight="false" outlineLevel="0" collapsed="false">
      <c r="A127" s="14" t="str">
        <f aca="false">Country_Data!A127</f>
        <v>MNG</v>
      </c>
      <c r="B127" s="14" t="str">
        <f aca="false">Country_Data!B127</f>
        <v>Mongolia</v>
      </c>
      <c r="C127" s="14" t="str">
        <f aca="false">Country_Data!E127</f>
        <v>EMDC</v>
      </c>
      <c r="D127" s="14" t="str">
        <f aca="false">Country_Data!D127</f>
        <v>Upper middle income</v>
      </c>
      <c r="E127" s="15" t="n">
        <f aca="false">Country_Data!BV127</f>
        <v>32.8528692851595</v>
      </c>
      <c r="F127" s="16" t="n">
        <f aca="false">SUMIFS(Calc!$J$5:$J$1369,Calc!$A$5:$A$1369,A127)</f>
        <v>2.75973833083588</v>
      </c>
      <c r="G127" s="11" t="n">
        <f aca="false">IFERROR(F127/E127,"")</f>
        <v>0.0840029620208096</v>
      </c>
      <c r="H127" s="16" t="n">
        <f aca="false">SUMIFS(Calc!$L$5:$L$1369,Calc!$A$5:$A$1369,A127)</f>
        <v>0.662337199400611</v>
      </c>
      <c r="I127" s="11" t="n">
        <f aca="false">IFERROR(H127/E127,"")</f>
        <v>0.0201607108849943</v>
      </c>
      <c r="J127" s="17" t="n">
        <f aca="false">Country_Data!DW127</f>
        <v>0.1016</v>
      </c>
      <c r="K127" s="14" t="str">
        <f aca="false">Country_Data!DV127</f>
        <v>Observed (IRENA/Steffen)</v>
      </c>
      <c r="L127" s="16" t="n">
        <f aca="false">SUMIFS(Calc!$W$5:$W$1369,Calc!$A$5:$A$1369,A127)</f>
        <v>0.0199145038826387</v>
      </c>
      <c r="M127" s="16" t="n">
        <f aca="false">SUMIFS(Calc!$X$5:$X$1369,Calc!$A$5:$A$1369,A127)</f>
        <v>0.0459853831732202</v>
      </c>
      <c r="N127" s="18" t="n">
        <f aca="false">SUMIFS(Calc!$AC$5:$AC$1369,Calc!$A$5:$A$1369,A127)</f>
        <v>0.0550519045151671</v>
      </c>
      <c r="O127" s="18" t="n">
        <f aca="false">SUMIFS(Calc!$AD$5:$AD$1369,Calc!$A$5:$A$1369,A127)</f>
        <v>0.0817756085947528</v>
      </c>
      <c r="P127" s="18" t="n">
        <f aca="false">SUMIFS(Calc!$AE$5:$AE$1369,Calc!$A$5:$A$1369,A127)</f>
        <v>0.0326090541204419</v>
      </c>
      <c r="Q127" s="18" t="n">
        <f aca="false">SUMIFS(Calc!$AF$5:$AF$1369,Calc!$A$5:$A$1369,A127)</f>
        <v>-0.0133763290527782</v>
      </c>
      <c r="R127" s="11" t="n">
        <f aca="false">IFERROR(N127/E127,"")</f>
        <v>0.00167571069781827</v>
      </c>
      <c r="S127" s="11" t="n">
        <f aca="false">IFERROR(P127/E127,"")</f>
        <v>0.0009925785731955</v>
      </c>
      <c r="T127" s="11" t="n">
        <f aca="false">IFERROR(Q127/E127,"")</f>
        <v>-0.000407158624005504</v>
      </c>
      <c r="U127" s="16" t="n">
        <f aca="false">SUMIFS(Calc!$AG$5:$AG$1369,Calc!$A$5:$A$1369,A127)</f>
        <v>-0.0488888245198633</v>
      </c>
      <c r="V127" s="16" t="n">
        <f aca="false">SUMIFS(Calc!$AH$5:$AH$1369,Calc!$A$5:$A$1369,A127)</f>
        <v>-0.0844013199869484</v>
      </c>
      <c r="W127" s="16" t="n">
        <f aca="false">SUMIFS(Calc!$Y$5:$Y$1369,Calc!$A$5:$A$1369,A127)</f>
        <v>0.710249909341702</v>
      </c>
      <c r="X127" s="7" t="n">
        <f aca="false">IFERROR(N127/W127*1000,"")</f>
        <v>77.5106111117876</v>
      </c>
      <c r="Y127" s="7" t="n">
        <f aca="false">IFERROR(P127/W127*1000,"")</f>
        <v>45.9120848754008</v>
      </c>
      <c r="Z127" s="7" t="n">
        <f aca="false">IFERROR(Q127/W127*1000,"")</f>
        <v>-18.8332710456467</v>
      </c>
      <c r="AA127" s="16" t="n">
        <f aca="false">SUMIFS(Calc!$AM$5:$AM$1369,Calc!$A$5:$A$1369,A127)</f>
        <v>0.0935118766446881</v>
      </c>
      <c r="AB127" s="16" t="n">
        <f aca="false">SUMIFS(Calc!$AN$5:$AN$1369,Calc!$A$5:$A$1369,A127)</f>
        <v>3.07109342457121</v>
      </c>
      <c r="AC127" s="17" t="n">
        <f aca="false">Country_Data!DY127</f>
        <v>0.22</v>
      </c>
      <c r="AD127" s="12" t="n">
        <f aca="false">IF(Country_Data!BD127="","",Country_Data!BD127)</f>
        <v>3</v>
      </c>
      <c r="AE127" s="7" t="n">
        <f aca="false">IF(Country_Data!BC127="","",Country_Data!BC127)</f>
        <v>89.303</v>
      </c>
      <c r="AF127" s="12" t="n">
        <f aca="false">IF(Country_Data!BL127="","",Country_Data!BL127)</f>
        <v>6.091</v>
      </c>
      <c r="AG127" s="7" t="n">
        <f aca="false">IF(Country_Data!BA127="","",Country_Data!BA127)</f>
        <v>44.091</v>
      </c>
    </row>
    <row r="128" customFormat="false" ht="15" hidden="false" customHeight="false" outlineLevel="0" collapsed="false">
      <c r="A128" s="14" t="str">
        <f aca="false">Country_Data!A128</f>
        <v>BFA</v>
      </c>
      <c r="B128" s="14" t="str">
        <f aca="false">Country_Data!B128</f>
        <v>Burkina Faso</v>
      </c>
      <c r="C128" s="14" t="str">
        <f aca="false">Country_Data!E128</f>
        <v>EMDC</v>
      </c>
      <c r="D128" s="14" t="str">
        <f aca="false">Country_Data!D128</f>
        <v>Low income</v>
      </c>
      <c r="E128" s="15" t="n">
        <f aca="false">Country_Data!BV128</f>
        <v>30.7859174525795</v>
      </c>
      <c r="F128" s="16" t="n">
        <f aca="false">SUMIFS(Calc!$J$5:$J$1369,Calc!$A$5:$A$1369,A128)</f>
        <v>2.00546373707978</v>
      </c>
      <c r="G128" s="11" t="n">
        <f aca="false">IFERROR(F128/E128,"")</f>
        <v>0.0651422436953147</v>
      </c>
      <c r="H128" s="16" t="n">
        <f aca="false">SUMIFS(Calc!$L$5:$L$1369,Calc!$A$5:$A$1369,A128)</f>
        <v>0.481311296899146</v>
      </c>
      <c r="I128" s="11" t="n">
        <f aca="false">IFERROR(H128/E128,"")</f>
        <v>0.0156341384868755</v>
      </c>
      <c r="J128" s="17" t="n">
        <f aca="false">Country_Data!DW128</f>
        <v>0.0791600000000001</v>
      </c>
      <c r="K128" s="14" t="str">
        <f aca="false">Country_Data!DV128</f>
        <v>Observed (IRENA/Steffen)</v>
      </c>
      <c r="L128" s="16" t="n">
        <f aca="false">SUMIFS(Calc!$W$5:$W$1369,Calc!$A$5:$A$1369,A128)</f>
        <v>0.0298830624002581</v>
      </c>
      <c r="M128" s="16" t="n">
        <f aca="false">SUMIFS(Calc!$X$5:$X$1369,Calc!$A$5:$A$1369,A128)</f>
        <v>0.0308661073004915</v>
      </c>
      <c r="N128" s="18" t="n">
        <f aca="false">SUMIFS(Calc!$AC$5:$AC$1369,Calc!$A$5:$A$1369,A128)</f>
        <v>0.0157404813419961</v>
      </c>
      <c r="O128" s="18" t="n">
        <f aca="false">SUMIFS(Calc!$AD$5:$AD$1369,Calc!$A$5:$A$1369,A128)</f>
        <v>0.034335387157352</v>
      </c>
      <c r="P128" s="18" t="n">
        <f aca="false">SUMIFS(Calc!$AE$5:$AE$1369,Calc!$A$5:$A$1369,A128)</f>
        <v>0.00849758091809183</v>
      </c>
      <c r="Q128" s="18" t="n">
        <f aca="false">SUMIFS(Calc!$AF$5:$AF$1369,Calc!$A$5:$A$1369,A128)</f>
        <v>-0.0223685263823997</v>
      </c>
      <c r="R128" s="11" t="n">
        <f aca="false">IFERROR(N128/E128,"")</f>
        <v>0.000511288363136868</v>
      </c>
      <c r="S128" s="11" t="n">
        <f aca="false">IFERROR(P128/E128,"")</f>
        <v>0.000276021688526285</v>
      </c>
      <c r="T128" s="11" t="n">
        <f aca="false">IFERROR(Q128/E128,"")</f>
        <v>-0.000726583068926063</v>
      </c>
      <c r="U128" s="16" t="n">
        <f aca="false">SUMIFS(Calc!$AG$5:$AG$1369,Calc!$A$5:$A$1369,A128)</f>
        <v>-0.046991894698568</v>
      </c>
      <c r="V128" s="16" t="n">
        <f aca="false">SUMIFS(Calc!$AH$5:$AH$1369,Calc!$A$5:$A$1369,A128)</f>
        <v>-0.0716152630147364</v>
      </c>
      <c r="W128" s="16" t="n">
        <f aca="false">SUMIFS(Calc!$Y$5:$Y$1369,Calc!$A$5:$A$1369,A128)</f>
        <v>0.492467366323367</v>
      </c>
      <c r="X128" s="7" t="n">
        <f aca="false">IFERROR(N128/W128*1000,"")</f>
        <v>31.962486082094</v>
      </c>
      <c r="Y128" s="7" t="n">
        <f aca="false">IFERROR(P128/W128*1000,"")</f>
        <v>17.2551147531512</v>
      </c>
      <c r="Z128" s="7" t="n">
        <f aca="false">IFERROR(Q128/W128*1000,"")</f>
        <v>-45.4213373556044</v>
      </c>
      <c r="AA128" s="16" t="n">
        <f aca="false">SUMIFS(Calc!$AM$5:$AM$1369,Calc!$A$5:$A$1369,A128)</f>
        <v>0.0301787517662679</v>
      </c>
      <c r="AB128" s="16" t="n">
        <f aca="false">SUMIFS(Calc!$AN$5:$AN$1369,Calc!$A$5:$A$1369,A128)</f>
        <v>2.44697668384773</v>
      </c>
      <c r="AC128" s="17" t="n">
        <f aca="false">Country_Data!DY128</f>
        <v>0.355</v>
      </c>
      <c r="AD128" s="12" t="n">
        <f aca="false">IF(Country_Data!BD128="","",Country_Data!BD128)</f>
        <v>1.5</v>
      </c>
      <c r="AE128" s="7" t="n">
        <f aca="false">IF(Country_Data!BC128="","",Country_Data!BC128)</f>
        <v>83.3</v>
      </c>
      <c r="AF128" s="12" t="n">
        <f aca="false">IF(Country_Data!BL128="","",Country_Data!BL128)</f>
        <v>5.942</v>
      </c>
      <c r="AG128" s="7" t="n">
        <f aca="false">IF(Country_Data!BA128="","",Country_Data!BA128)</f>
        <v>57.247</v>
      </c>
    </row>
    <row r="129" customFormat="false" ht="15" hidden="false" customHeight="false" outlineLevel="0" collapsed="false">
      <c r="A129" s="14" t="str">
        <f aca="false">Country_Data!A129</f>
        <v>MOZ</v>
      </c>
      <c r="B129" s="14" t="str">
        <f aca="false">Country_Data!B129</f>
        <v>Mozambique</v>
      </c>
      <c r="C129" s="14" t="str">
        <f aca="false">Country_Data!E129</f>
        <v>EMDC</v>
      </c>
      <c r="D129" s="14" t="str">
        <f aca="false">Country_Data!D129</f>
        <v>Low income</v>
      </c>
      <c r="E129" s="15" t="n">
        <f aca="false">Country_Data!BV129</f>
        <v>23.2190823555536</v>
      </c>
      <c r="F129" s="16" t="n">
        <f aca="false">SUMIFS(Calc!$J$5:$J$1369,Calc!$A$5:$A$1369,A129)</f>
        <v>3.30925290767819</v>
      </c>
      <c r="G129" s="11" t="n">
        <f aca="false">IFERROR(F129/E129,"")</f>
        <v>0.142522984199101</v>
      </c>
      <c r="H129" s="16" t="n">
        <f aca="false">SUMIFS(Calc!$L$5:$L$1369,Calc!$A$5:$A$1369,A129)</f>
        <v>0.794220697842766</v>
      </c>
      <c r="I129" s="11" t="n">
        <f aca="false">IFERROR(H129/E129,"")</f>
        <v>0.0342055162077842</v>
      </c>
      <c r="J129" s="17" t="n">
        <f aca="false">Country_Data!DW129</f>
        <v>0.105</v>
      </c>
      <c r="K129" s="14" t="str">
        <f aca="false">Country_Data!DV129</f>
        <v>Group default (IHLEG)</v>
      </c>
      <c r="L129" s="16" t="n">
        <f aca="false">SUMIFS(Calc!$W$5:$W$1369,Calc!$A$5:$A$1369,A129)</f>
        <v>0.0187118218579635</v>
      </c>
      <c r="M129" s="16" t="n">
        <f aca="false">SUMIFS(Calc!$X$5:$X$1369,Calc!$A$5:$A$1369,A129)</f>
        <v>0.0507542220772765</v>
      </c>
      <c r="N129" s="18" t="n">
        <f aca="false">SUMIFS(Calc!$AC$5:$AC$1369,Calc!$A$5:$A$1369,A129)</f>
        <v>0.0726891284862855</v>
      </c>
      <c r="O129" s="18" t="n">
        <f aca="false">SUMIFS(Calc!$AD$5:$AD$1369,Calc!$A$5:$A$1369,A129)</f>
        <v>0.105109789398314</v>
      </c>
      <c r="P129" s="18" t="n">
        <f aca="false">SUMIFS(Calc!$AE$5:$AE$1369,Calc!$A$5:$A$1369,A129)</f>
        <v>0.0432415005255213</v>
      </c>
      <c r="Q129" s="18" t="n">
        <f aca="false">SUMIFS(Calc!$AF$5:$AF$1369,Calc!$A$5:$A$1369,A129)</f>
        <v>-0.00751272155175527</v>
      </c>
      <c r="R129" s="11" t="n">
        <f aca="false">IFERROR(N129/E129,"")</f>
        <v>0.00313057714224867</v>
      </c>
      <c r="S129" s="11" t="n">
        <f aca="false">IFERROR(P129/E129,"")</f>
        <v>0.00186232598960478</v>
      </c>
      <c r="T129" s="11" t="n">
        <f aca="false">IFERROR(Q129/E129,"")</f>
        <v>-0.000323558073342996</v>
      </c>
      <c r="U129" s="16" t="n">
        <f aca="false">SUMIFS(Calc!$AG$5:$AG$1369,Calc!$A$5:$A$1369,A129)</f>
        <v>-0.0401944114311055</v>
      </c>
      <c r="V129" s="16" t="n">
        <f aca="false">SUMIFS(Calc!$AH$5:$AH$1369,Calc!$A$5:$A$1369,A129)</f>
        <v>-0.0728761013104557</v>
      </c>
      <c r="W129" s="16" t="n">
        <f aca="false">SUMIFS(Calc!$Y$5:$Y$1369,Calc!$A$5:$A$1369,A129)</f>
        <v>0.653633797587004</v>
      </c>
      <c r="X129" s="7" t="n">
        <f aca="false">IFERROR(N129/W129*1000,"")</f>
        <v>111.207726336412</v>
      </c>
      <c r="Y129" s="7" t="n">
        <f aca="false">IFERROR(P129/W129*1000,"")</f>
        <v>66.155545636034</v>
      </c>
      <c r="Z129" s="7" t="n">
        <f aca="false">IFERROR(Q129/W129*1000,"")</f>
        <v>-11.493777677179</v>
      </c>
      <c r="AA129" s="16" t="n">
        <f aca="false">SUMIFS(Calc!$AM$5:$AM$1369,Calc!$A$5:$A$1369,A129)</f>
        <v>0.122698449836518</v>
      </c>
      <c r="AB129" s="16" t="n">
        <f aca="false">SUMIFS(Calc!$AN$5:$AN$1369,Calc!$A$5:$A$1369,A129)</f>
        <v>4.19172034972571</v>
      </c>
      <c r="AC129" s="17" t="n">
        <f aca="false">Country_Data!DY129</f>
        <v>0.4</v>
      </c>
      <c r="AD129" s="12" t="n">
        <f aca="false">IF(Country_Data!BD129="","",Country_Data!BD129)</f>
        <v>1</v>
      </c>
      <c r="AE129" s="7" t="n">
        <f aca="false">IF(Country_Data!BC129="","",Country_Data!BC129)</f>
        <v>36.646</v>
      </c>
      <c r="AF129" s="12" t="n">
        <f aca="false">IF(Country_Data!BL129="","",Country_Data!BL129)</f>
        <v>0.21</v>
      </c>
      <c r="AG129" s="7" t="n">
        <f aca="false">IF(Country_Data!BA129="","",Country_Data!BA129)</f>
        <v>91.411</v>
      </c>
    </row>
    <row r="130" customFormat="false" ht="15" hidden="false" customHeight="false" outlineLevel="0" collapsed="false">
      <c r="A130" s="14" t="str">
        <f aca="false">Country_Data!A130</f>
        <v>JAM</v>
      </c>
      <c r="B130" s="14" t="str">
        <f aca="false">Country_Data!B130</f>
        <v>Jamaica</v>
      </c>
      <c r="C130" s="14" t="str">
        <f aca="false">Country_Data!E130</f>
        <v>EMDC</v>
      </c>
      <c r="D130" s="14" t="str">
        <f aca="false">Country_Data!D130</f>
        <v>Upper middle income</v>
      </c>
      <c r="E130" s="15" t="n">
        <f aca="false">Country_Data!BV130</f>
        <v>20.6548903148487</v>
      </c>
      <c r="F130" s="16" t="n">
        <f aca="false">SUMIFS(Calc!$J$5:$J$1369,Calc!$A$5:$A$1369,A130)</f>
        <v>1.15728628648943</v>
      </c>
      <c r="G130" s="11" t="n">
        <f aca="false">IFERROR(F130/E130,"")</f>
        <v>0.0560296505499939</v>
      </c>
      <c r="H130" s="16" t="n">
        <f aca="false">SUMIFS(Calc!$L$5:$L$1369,Calc!$A$5:$A$1369,A130)</f>
        <v>0.277748708757462</v>
      </c>
      <c r="I130" s="11" t="n">
        <f aca="false">IFERROR(H130/E130,"")</f>
        <v>0.0134471161319985</v>
      </c>
      <c r="J130" s="17" t="n">
        <f aca="false">Country_Data!DW130</f>
        <v>0.039</v>
      </c>
      <c r="K130" s="14" t="str">
        <f aca="false">Country_Data!DV130</f>
        <v>Observed (IRENA/Steffen)</v>
      </c>
      <c r="L130" s="16" t="n">
        <f aca="false">SUMIFS(Calc!$W$5:$W$1369,Calc!$A$5:$A$1369,A130)</f>
        <v>0.0282131146237951</v>
      </c>
      <c r="M130" s="16" t="n">
        <f aca="false">SUMIFS(Calc!$X$5:$X$1369,Calc!$A$5:$A$1369,A130)</f>
        <v>0.00799967801891842</v>
      </c>
      <c r="N130" s="18" t="n">
        <f aca="false">SUMIFS(Calc!$AC$5:$AC$1369,Calc!$A$5:$A$1369,A130)</f>
        <v>-0.00927732926953694</v>
      </c>
      <c r="O130" s="18" t="n">
        <f aca="false">SUMIFS(Calc!$AD$5:$AD$1369,Calc!$A$5:$A$1369,A130)</f>
        <v>8.86265869747562E-005</v>
      </c>
      <c r="P130" s="18" t="n">
        <f aca="false">SUMIFS(Calc!$AE$5:$AE$1369,Calc!$A$5:$A$1369,A130)</f>
        <v>-0.00511220849447355</v>
      </c>
      <c r="Q130" s="18" t="n">
        <f aca="false">SUMIFS(Calc!$AF$5:$AF$1369,Calc!$A$5:$A$1369,A130)</f>
        <v>-0.013111886513392</v>
      </c>
      <c r="R130" s="11" t="n">
        <f aca="false">IFERROR(N130/E130,"")</f>
        <v>-0.000449158970496567</v>
      </c>
      <c r="S130" s="11" t="n">
        <f aca="false">IFERROR(P130/E130,"")</f>
        <v>-0.000247505961859231</v>
      </c>
      <c r="T130" s="11" t="n">
        <f aca="false">IFERROR(Q130/E130,"")</f>
        <v>-0.000634807850030843</v>
      </c>
      <c r="U130" s="16" t="n">
        <f aca="false">SUMIFS(Calc!$AG$5:$AG$1369,Calc!$A$5:$A$1369,A130)</f>
        <v>-0.0222285925620152</v>
      </c>
      <c r="V130" s="16" t="n">
        <f aca="false">SUMIFS(Calc!$AH$5:$AH$1369,Calc!$A$5:$A$1369,A130)</f>
        <v>-0.0313452986106384</v>
      </c>
      <c r="W130" s="16" t="n">
        <f aca="false">SUMIFS(Calc!$Y$5:$Y$1369,Calc!$A$5:$A$1369,A130)</f>
        <v>0.182334120972464</v>
      </c>
      <c r="X130" s="7" t="n">
        <f aca="false">IFERROR(N130/W130*1000,"")</f>
        <v>-50.880927936346</v>
      </c>
      <c r="Y130" s="7" t="n">
        <f aca="false">IFERROR(P130/W130*1000,"")</f>
        <v>-28.0375854349586</v>
      </c>
      <c r="Z130" s="7" t="n">
        <f aca="false">IFERROR(Q130/W130*1000,"")</f>
        <v>-71.911315575279</v>
      </c>
      <c r="AA130" s="16" t="n">
        <f aca="false">SUMIFS(Calc!$AM$5:$AM$1369,Calc!$A$5:$A$1369,A130)</f>
        <v>-0.0173546698960975</v>
      </c>
      <c r="AB130" s="16" t="n">
        <f aca="false">SUMIFS(Calc!$AN$5:$AN$1369,Calc!$A$5:$A$1369,A130)</f>
        <v>1.41206869374756</v>
      </c>
      <c r="AC130" s="17" t="n">
        <f aca="false">Country_Data!DY130</f>
        <v>0.355</v>
      </c>
      <c r="AD130" s="12" t="n">
        <f aca="false">IF(Country_Data!BD130="","",Country_Data!BD130)</f>
        <v>1.5</v>
      </c>
      <c r="AE130" s="7" t="n">
        <f aca="false">IF(Country_Data!BC130="","",Country_Data!BC130)</f>
        <v>123.216</v>
      </c>
      <c r="AF130" s="12" t="n">
        <f aca="false">IF(Country_Data!BL130="","",Country_Data!BL130)</f>
        <v>3.35</v>
      </c>
      <c r="AG130" s="7" t="n">
        <f aca="false">IF(Country_Data!BA130="","",Country_Data!BA130)</f>
        <v>62.465</v>
      </c>
    </row>
    <row r="131" customFormat="false" ht="15" hidden="false" customHeight="false" outlineLevel="0" collapsed="false">
      <c r="A131" s="14" t="str">
        <f aca="false">Country_Data!A131</f>
        <v>BEN</v>
      </c>
      <c r="B131" s="14" t="str">
        <f aca="false">Country_Data!B131</f>
        <v>Benin</v>
      </c>
      <c r="C131" s="14" t="str">
        <f aca="false">Country_Data!E131</f>
        <v>EMDC</v>
      </c>
      <c r="D131" s="14" t="str">
        <f aca="false">Country_Data!D131</f>
        <v>Lower middle income</v>
      </c>
      <c r="E131" s="15" t="n">
        <f aca="false">Country_Data!BV131</f>
        <v>32.3545099579951</v>
      </c>
      <c r="F131" s="16" t="n">
        <f aca="false">SUMIFS(Calc!$J$5:$J$1369,Calc!$A$5:$A$1369,A131)</f>
        <v>1.40241100245406</v>
      </c>
      <c r="G131" s="11" t="n">
        <f aca="false">IFERROR(F131/E131,"")</f>
        <v>0.0433451473774373</v>
      </c>
      <c r="H131" s="16" t="n">
        <f aca="false">SUMIFS(Calc!$L$5:$L$1369,Calc!$A$5:$A$1369,A131)</f>
        <v>0.336578640588975</v>
      </c>
      <c r="I131" s="11" t="n">
        <f aca="false">IFERROR(H131/E131,"")</f>
        <v>0.010402835370585</v>
      </c>
      <c r="J131" s="17" t="n">
        <f aca="false">Country_Data!DW131</f>
        <v>0.105</v>
      </c>
      <c r="K131" s="14" t="str">
        <f aca="false">Country_Data!DV131</f>
        <v>Group default (IHLEG)</v>
      </c>
      <c r="L131" s="16" t="n">
        <f aca="false">SUMIFS(Calc!$W$5:$W$1369,Calc!$A$5:$A$1369,A131)</f>
        <v>0.0245994424920028</v>
      </c>
      <c r="M131" s="16" t="n">
        <f aca="false">SUMIFS(Calc!$X$5:$X$1369,Calc!$A$5:$A$1369,A131)</f>
        <v>0.0149677215020008</v>
      </c>
      <c r="N131" s="18" t="n">
        <f aca="false">SUMIFS(Calc!$AC$5:$AC$1369,Calc!$A$5:$A$1369,A131)</f>
        <v>0.0156249182518183</v>
      </c>
      <c r="O131" s="18" t="n">
        <f aca="false">SUMIFS(Calc!$AD$5:$AD$1369,Calc!$A$5:$A$1369,A131)</f>
        <v>0.0290532473091461</v>
      </c>
      <c r="P131" s="18" t="n">
        <f aca="false">SUMIFS(Calc!$AE$5:$AE$1369,Calc!$A$5:$A$1369,A131)</f>
        <v>0.00343052390962949</v>
      </c>
      <c r="Q131" s="18" t="n">
        <f aca="false">SUMIFS(Calc!$AF$5:$AF$1369,Calc!$A$5:$A$1369,A131)</f>
        <v>-0.0115371975923713</v>
      </c>
      <c r="R131" s="11" t="n">
        <f aca="false">IFERROR(N131/E131,"")</f>
        <v>0.000482928601672646</v>
      </c>
      <c r="S131" s="11" t="n">
        <f aca="false">IFERROR(P131/E131,"")</f>
        <v>0.000106029234072259</v>
      </c>
      <c r="T131" s="11" t="n">
        <f aca="false">IFERROR(Q131/E131,"")</f>
        <v>-0.000356586998453993</v>
      </c>
      <c r="U131" s="16" t="n">
        <f aca="false">SUMIFS(Calc!$AG$5:$AG$1369,Calc!$A$5:$A$1369,A131)</f>
        <v>-0.0254158029978708</v>
      </c>
      <c r="V131" s="16" t="n">
        <f aca="false">SUMIFS(Calc!$AH$5:$AH$1369,Calc!$A$5:$A$1369,A131)</f>
        <v>-0.0392944084033703</v>
      </c>
      <c r="W131" s="16" t="n">
        <f aca="false">SUMIFS(Calc!$Y$5:$Y$1369,Calc!$A$5:$A$1369,A131)</f>
        <v>0.27757210810999</v>
      </c>
      <c r="X131" s="7" t="n">
        <f aca="false">IFERROR(N131/W131*1000,"")</f>
        <v>56.291384455771</v>
      </c>
      <c r="Y131" s="7" t="n">
        <f aca="false">IFERROR(P131/W131*1000,"")</f>
        <v>12.3590368390693</v>
      </c>
      <c r="Z131" s="7" t="n">
        <f aca="false">IFERROR(Q131/W131*1000,"")</f>
        <v>-41.5646862753214</v>
      </c>
      <c r="AA131" s="16" t="n">
        <f aca="false">SUMIFS(Calc!$AM$5:$AM$1369,Calc!$A$5:$A$1369,A131)</f>
        <v>0.0508099764257866</v>
      </c>
      <c r="AB131" s="16" t="n">
        <f aca="false">SUMIFS(Calc!$AN$5:$AN$1369,Calc!$A$5:$A$1369,A131)</f>
        <v>1.60989098637877</v>
      </c>
      <c r="AC131" s="17" t="n">
        <f aca="false">Country_Data!DY131</f>
        <v>0.27</v>
      </c>
      <c r="AD131" s="12" t="str">
        <f aca="false">IF(Country_Data!BD131="","",Country_Data!BD131)</f>
        <v/>
      </c>
      <c r="AE131" s="7" t="n">
        <f aca="false">IF(Country_Data!BC131="","",Country_Data!BC131)</f>
        <v>63.759</v>
      </c>
      <c r="AF131" s="12" t="n">
        <f aca="false">IF(Country_Data!BL131="","",Country_Data!BL131)</f>
        <v>5.998</v>
      </c>
      <c r="AG131" s="7" t="n">
        <f aca="false">IF(Country_Data!BA131="","",Country_Data!BA131)</f>
        <v>60.527</v>
      </c>
    </row>
    <row r="132" customFormat="false" ht="15" hidden="false" customHeight="false" outlineLevel="0" collapsed="false">
      <c r="A132" s="14" t="str">
        <f aca="false">Country_Data!A132</f>
        <v>GAB</v>
      </c>
      <c r="B132" s="14" t="str">
        <f aca="false">Country_Data!B132</f>
        <v>Gabon</v>
      </c>
      <c r="C132" s="14" t="str">
        <f aca="false">Country_Data!E132</f>
        <v>EMDC</v>
      </c>
      <c r="D132" s="14" t="str">
        <f aca="false">Country_Data!D132</f>
        <v>Upper middle income</v>
      </c>
      <c r="E132" s="15" t="n">
        <f aca="false">Country_Data!BV132</f>
        <v>24.4361650703479</v>
      </c>
      <c r="F132" s="16" t="n">
        <f aca="false">SUMIFS(Calc!$J$5:$J$1369,Calc!$A$5:$A$1369,A132)</f>
        <v>1.24196007685456</v>
      </c>
      <c r="G132" s="11" t="n">
        <f aca="false">IFERROR(F132/E132,"")</f>
        <v>0.0508246720906961</v>
      </c>
      <c r="H132" s="16" t="n">
        <f aca="false">SUMIFS(Calc!$L$5:$L$1369,Calc!$A$5:$A$1369,A132)</f>
        <v>0.298070418445094</v>
      </c>
      <c r="I132" s="11" t="n">
        <f aca="false">IFERROR(H132/E132,"")</f>
        <v>0.0121979213017671</v>
      </c>
      <c r="J132" s="17" t="n">
        <f aca="false">Country_Data!DW132</f>
        <v>0.105</v>
      </c>
      <c r="K132" s="14" t="str">
        <f aca="false">Country_Data!DV132</f>
        <v>Group default (IHLEG)</v>
      </c>
      <c r="L132" s="16" t="n">
        <f aca="false">SUMIFS(Calc!$W$5:$W$1369,Calc!$A$5:$A$1369,A132)</f>
        <v>0.0120014990221161</v>
      </c>
      <c r="M132" s="16" t="n">
        <f aca="false">SUMIFS(Calc!$X$5:$X$1369,Calc!$A$5:$A$1369,A132)</f>
        <v>0.0151970581264449</v>
      </c>
      <c r="N132" s="18" t="n">
        <f aca="false">SUMIFS(Calc!$AC$5:$AC$1369,Calc!$A$5:$A$1369,A132)</f>
        <v>0.022436311689708</v>
      </c>
      <c r="O132" s="18" t="n">
        <f aca="false">SUMIFS(Calc!$AD$5:$AD$1369,Calc!$A$5:$A$1369,A132)</f>
        <v>0.0345561267518118</v>
      </c>
      <c r="P132" s="18" t="n">
        <f aca="false">SUMIFS(Calc!$AE$5:$AE$1369,Calc!$A$5:$A$1369,A132)</f>
        <v>0.0114326688922852</v>
      </c>
      <c r="Q132" s="18" t="n">
        <f aca="false">SUMIFS(Calc!$AF$5:$AF$1369,Calc!$A$5:$A$1369,A132)</f>
        <v>-0.00376438923415972</v>
      </c>
      <c r="R132" s="11" t="n">
        <f aca="false">IFERROR(N132/E132,"")</f>
        <v>0.000918160096934907</v>
      </c>
      <c r="S132" s="11" t="n">
        <f aca="false">IFERROR(P132/E132,"")</f>
        <v>0.000467858555520979</v>
      </c>
      <c r="T132" s="11" t="n">
        <f aca="false">IFERROR(Q132/E132,"")</f>
        <v>-0.000154049918361683</v>
      </c>
      <c r="U132" s="16" t="n">
        <f aca="false">SUMIFS(Calc!$AG$5:$AG$1369,Calc!$A$5:$A$1369,A132)</f>
        <v>-0.015916873367202</v>
      </c>
      <c r="V132" s="16" t="n">
        <f aca="false">SUMIFS(Calc!$AH$5:$AH$1369,Calc!$A$5:$A$1369,A132)</f>
        <v>-0.0280693575002443</v>
      </c>
      <c r="W132" s="16" t="n">
        <f aca="false">SUMIFS(Calc!$Y$5:$Y$1369,Calc!$A$5:$A$1369,A132)</f>
        <v>0.243049682660846</v>
      </c>
      <c r="X132" s="7" t="n">
        <f aca="false">IFERROR(N132/W132*1000,"")</f>
        <v>92.311627170548</v>
      </c>
      <c r="Y132" s="7" t="n">
        <f aca="false">IFERROR(P132/W132*1000,"")</f>
        <v>47.0384028776472</v>
      </c>
      <c r="Z132" s="7" t="n">
        <f aca="false">IFERROR(Q132/W132*1000,"")</f>
        <v>-15.4881470856005</v>
      </c>
      <c r="AA132" s="16" t="n">
        <f aca="false">SUMIFS(Calc!$AM$5:$AM$1369,Calc!$A$5:$A$1369,A132)</f>
        <v>0.0458485116559286</v>
      </c>
      <c r="AB132" s="16" t="n">
        <f aca="false">SUMIFS(Calc!$AN$5:$AN$1369,Calc!$A$5:$A$1369,A132)</f>
        <v>1.51538384571246</v>
      </c>
      <c r="AC132" s="17" t="n">
        <f aca="false">Country_Data!DY132</f>
        <v>0.355</v>
      </c>
      <c r="AD132" s="12" t="n">
        <f aca="false">IF(Country_Data!BD132="","",Country_Data!BD132)</f>
        <v>1.5</v>
      </c>
      <c r="AE132" s="7" t="n">
        <f aca="false">IF(Country_Data!BC132="","",Country_Data!BC132)</f>
        <v>66.819</v>
      </c>
      <c r="AF132" s="12" t="n">
        <f aca="false">IF(Country_Data!BL132="","",Country_Data!BL132)</f>
        <v>2.316</v>
      </c>
      <c r="AG132" s="7" t="n">
        <f aca="false">IF(Country_Data!BA132="","",Country_Data!BA132)</f>
        <v>70.879</v>
      </c>
    </row>
    <row r="133" customFormat="false" ht="15" hidden="false" customHeight="false" outlineLevel="0" collapsed="false">
      <c r="A133" s="14" t="str">
        <f aca="false">Country_Data!A133</f>
        <v>TCD</v>
      </c>
      <c r="B133" s="14" t="str">
        <f aca="false">Country_Data!B133</f>
        <v>Chad</v>
      </c>
      <c r="C133" s="14" t="str">
        <f aca="false">Country_Data!E133</f>
        <v>EMDC</v>
      </c>
      <c r="D133" s="14" t="str">
        <f aca="false">Country_Data!D133</f>
        <v>Low income</v>
      </c>
      <c r="E133" s="15" t="n">
        <f aca="false">Country_Data!BV133</f>
        <v>28.1470361072419</v>
      </c>
      <c r="F133" s="16" t="n">
        <f aca="false">SUMIFS(Calc!$J$5:$J$1369,Calc!$A$5:$A$1369,A133)</f>
        <v>2.49541363203424</v>
      </c>
      <c r="G133" s="11" t="n">
        <f aca="false">IFERROR(F133/E133,"")</f>
        <v>0.08865635523849</v>
      </c>
      <c r="H133" s="16" t="n">
        <f aca="false">SUMIFS(Calc!$L$5:$L$1369,Calc!$A$5:$A$1369,A133)</f>
        <v>0.598899271688218</v>
      </c>
      <c r="I133" s="11" t="n">
        <f aca="false">IFERROR(H133/E133,"")</f>
        <v>0.0212775252572376</v>
      </c>
      <c r="J133" s="17" t="n">
        <f aca="false">Country_Data!DW133</f>
        <v>0.105</v>
      </c>
      <c r="K133" s="14" t="str">
        <f aca="false">Country_Data!DV133</f>
        <v>Group default (IHLEG)</v>
      </c>
      <c r="L133" s="16" t="n">
        <f aca="false">SUMIFS(Calc!$W$5:$W$1369,Calc!$A$5:$A$1369,A133)</f>
        <v>0.019262305972659</v>
      </c>
      <c r="M133" s="16" t="n">
        <f aca="false">SUMIFS(Calc!$X$5:$X$1369,Calc!$A$5:$A$1369,A133)</f>
        <v>0.0574631994398453</v>
      </c>
      <c r="N133" s="18" t="n">
        <f aca="false">SUMIFS(Calc!$AC$5:$AC$1369,Calc!$A$5:$A$1369,A133)</f>
        <v>0.0484718983806436</v>
      </c>
      <c r="O133" s="18" t="n">
        <f aca="false">SUMIFS(Calc!$AD$5:$AD$1369,Calc!$A$5:$A$1369,A133)</f>
        <v>0.0731525479603149</v>
      </c>
      <c r="P133" s="18" t="n">
        <f aca="false">SUMIFS(Calc!$AE$5:$AE$1369,Calc!$A$5:$A$1369,A133)</f>
        <v>0.0260821164395599</v>
      </c>
      <c r="Q133" s="18" t="n">
        <f aca="false">SUMIFS(Calc!$AF$5:$AF$1369,Calc!$A$5:$A$1369,A133)</f>
        <v>-0.0313810830002853</v>
      </c>
      <c r="R133" s="11" t="n">
        <f aca="false">IFERROR(N133/E133,"")</f>
        <v>0.00172209600314444</v>
      </c>
      <c r="S133" s="11" t="n">
        <f aca="false">IFERROR(P133/E133,"")</f>
        <v>0.000926638113518792</v>
      </c>
      <c r="T133" s="11" t="n">
        <f aca="false">IFERROR(Q133/E133,"")</f>
        <v>-0.00111489831045519</v>
      </c>
      <c r="U133" s="16" t="n">
        <f aca="false">SUMIFS(Calc!$AG$5:$AG$1369,Calc!$A$5:$A$1369,A133)</f>
        <v>-0.0690670554881057</v>
      </c>
      <c r="V133" s="16" t="n">
        <f aca="false">SUMIFS(Calc!$AH$5:$AH$1369,Calc!$A$5:$A$1369,A133)</f>
        <v>-0.106753027975926</v>
      </c>
      <c r="W133" s="16" t="n">
        <f aca="false">SUMIFS(Calc!$Y$5:$Y$1369,Calc!$A$5:$A$1369,A133)</f>
        <v>0.753719449756409</v>
      </c>
      <c r="X133" s="7" t="n">
        <f aca="false">IFERROR(N133/W133*1000,"")</f>
        <v>64.3102661027376</v>
      </c>
      <c r="Y133" s="7" t="n">
        <f aca="false">IFERROR(P133/W133*1000,"")</f>
        <v>34.6045421117756</v>
      </c>
      <c r="Z133" s="7" t="n">
        <f aca="false">IFERROR(Q133/W133*1000,"")</f>
        <v>-41.6349651192194</v>
      </c>
      <c r="AA133" s="16" t="n">
        <f aca="false">SUMIFS(Calc!$AM$5:$AM$1369,Calc!$A$5:$A$1369,A133)</f>
        <v>0.0932907580878485</v>
      </c>
      <c r="AB133" s="16" t="n">
        <f aca="false">SUMIFS(Calc!$AN$5:$AN$1369,Calc!$A$5:$A$1369,A133)</f>
        <v>3.0447915169162</v>
      </c>
      <c r="AC133" s="17" t="n">
        <f aca="false">Country_Data!DY133</f>
        <v>0.355</v>
      </c>
      <c r="AD133" s="12" t="n">
        <f aca="false">IF(Country_Data!BD133="","",Country_Data!BD133)</f>
        <v>1.5</v>
      </c>
      <c r="AE133" s="7" t="str">
        <f aca="false">IF(Country_Data!BC133="","",Country_Data!BC133)</f>
        <v/>
      </c>
      <c r="AF133" s="12" t="str">
        <f aca="false">IF(Country_Data!BL133="","",Country_Data!BL133)</f>
        <v/>
      </c>
      <c r="AG133" s="7" t="n">
        <f aca="false">IF(Country_Data!BA133="","",Country_Data!BA133)</f>
        <v>31.427</v>
      </c>
    </row>
    <row r="134" customFormat="false" ht="15" hidden="false" customHeight="false" outlineLevel="0" collapsed="false">
      <c r="A134" s="14" t="str">
        <f aca="false">Country_Data!A134</f>
        <v>NER</v>
      </c>
      <c r="B134" s="14" t="str">
        <f aca="false">Country_Data!B134</f>
        <v>Niger</v>
      </c>
      <c r="C134" s="14" t="str">
        <f aca="false">Country_Data!E134</f>
        <v>EMDC</v>
      </c>
      <c r="D134" s="14" t="str">
        <f aca="false">Country_Data!D134</f>
        <v>Low income</v>
      </c>
      <c r="E134" s="15" t="n">
        <f aca="false">Country_Data!BV134</f>
        <v>29.4089820408244</v>
      </c>
      <c r="F134" s="16" t="n">
        <f aca="false">SUMIFS(Calc!$J$5:$J$1369,Calc!$A$5:$A$1369,A134)</f>
        <v>1.5283480167286</v>
      </c>
      <c r="G134" s="11" t="n">
        <f aca="false">IFERROR(F134/E134,"")</f>
        <v>0.051968749363953</v>
      </c>
      <c r="H134" s="16" t="n">
        <f aca="false">SUMIFS(Calc!$L$5:$L$1369,Calc!$A$5:$A$1369,A134)</f>
        <v>0.366803524014864</v>
      </c>
      <c r="I134" s="11" t="n">
        <f aca="false">IFERROR(H134/E134,"")</f>
        <v>0.0124724998473487</v>
      </c>
      <c r="J134" s="17" t="n">
        <f aca="false">Country_Data!DW134</f>
        <v>0.105</v>
      </c>
      <c r="K134" s="14" t="str">
        <f aca="false">Country_Data!DV134</f>
        <v>Group default (IHLEG)</v>
      </c>
      <c r="L134" s="16" t="n">
        <f aca="false">SUMIFS(Calc!$W$5:$W$1369,Calc!$A$5:$A$1369,A134)</f>
        <v>0.0242916762374887</v>
      </c>
      <c r="M134" s="16" t="n">
        <f aca="false">SUMIFS(Calc!$X$5:$X$1369,Calc!$A$5:$A$1369,A134)</f>
        <v>0.0246253118683076</v>
      </c>
      <c r="N134" s="18" t="n">
        <f aca="false">SUMIFS(Calc!$AC$5:$AC$1369,Calc!$A$5:$A$1369,A134)</f>
        <v>0.0179881325706184</v>
      </c>
      <c r="O134" s="18" t="n">
        <f aca="false">SUMIFS(Calc!$AD$5:$AD$1369,Calc!$A$5:$A$1369,A134)</f>
        <v>0.0329337790835634</v>
      </c>
      <c r="P134" s="18" t="n">
        <f aca="false">SUMIFS(Calc!$AE$5:$AE$1369,Calc!$A$5:$A$1369,A134)</f>
        <v>0.00442275765135022</v>
      </c>
      <c r="Q134" s="18" t="n">
        <f aca="false">SUMIFS(Calc!$AF$5:$AF$1369,Calc!$A$5:$A$1369,A134)</f>
        <v>-0.0202025542169574</v>
      </c>
      <c r="R134" s="11" t="n">
        <f aca="false">IFERROR(N134/E134,"")</f>
        <v>0.000611654376395891</v>
      </c>
      <c r="S134" s="11" t="n">
        <f aca="false">IFERROR(P134/E134,"")</f>
        <v>0.000150387988445527</v>
      </c>
      <c r="T134" s="11" t="n">
        <f aca="false">IFERROR(Q134/E134,"")</f>
        <v>-0.000686951836310179</v>
      </c>
      <c r="U134" s="16" t="n">
        <f aca="false">SUMIFS(Calc!$AG$5:$AG$1369,Calc!$A$5:$A$1369,A134)</f>
        <v>-0.0404425635530408</v>
      </c>
      <c r="V134" s="16" t="n">
        <f aca="false">SUMIFS(Calc!$AH$5:$AH$1369,Calc!$A$5:$A$1369,A134)</f>
        <v>-0.0606825728891243</v>
      </c>
      <c r="W134" s="16" t="n">
        <f aca="false">SUMIFS(Calc!$Y$5:$Y$1369,Calc!$A$5:$A$1369,A134)</f>
        <v>0.404800186721668</v>
      </c>
      <c r="X134" s="7" t="n">
        <f aca="false">IFERROR(N134/W134*1000,"")</f>
        <v>44.4370658924292</v>
      </c>
      <c r="Y134" s="7" t="n">
        <f aca="false">IFERROR(P134/W134*1000,"")</f>
        <v>10.9257796721107</v>
      </c>
      <c r="Z134" s="7" t="n">
        <f aca="false">IFERROR(Q134/W134*1000,"")</f>
        <v>-49.9074725744834</v>
      </c>
      <c r="AA134" s="16" t="n">
        <f aca="false">SUMIFS(Calc!$AM$5:$AM$1369,Calc!$A$5:$A$1369,A134)</f>
        <v>0.0565223954969509</v>
      </c>
      <c r="AB134" s="16" t="n">
        <f aca="false">SUMIFS(Calc!$AN$5:$AN$1369,Calc!$A$5:$A$1369,A134)</f>
        <v>1.86482153358978</v>
      </c>
      <c r="AC134" s="17" t="n">
        <f aca="false">Country_Data!DY134</f>
        <v>0.355</v>
      </c>
      <c r="AD134" s="12" t="n">
        <f aca="false">IF(Country_Data!BD134="","",Country_Data!BD134)</f>
        <v>1.5</v>
      </c>
      <c r="AE134" s="7" t="n">
        <f aca="false">IF(Country_Data!BC134="","",Country_Data!BC134)</f>
        <v>73.614</v>
      </c>
      <c r="AF134" s="12" t="n">
        <f aca="false">IF(Country_Data!BL134="","",Country_Data!BL134)</f>
        <v>3.968</v>
      </c>
      <c r="AG134" s="7" t="n">
        <f aca="false">IF(Country_Data!BA134="","",Country_Data!BA134)</f>
        <v>47.741</v>
      </c>
    </row>
    <row r="135" customFormat="false" ht="15" hidden="false" customHeight="false" outlineLevel="0" collapsed="false">
      <c r="A135" s="14" t="str">
        <f aca="false">Country_Data!A135</f>
        <v>NIC</v>
      </c>
      <c r="B135" s="14" t="str">
        <f aca="false">Country_Data!B135</f>
        <v>Nicaragua</v>
      </c>
      <c r="C135" s="14" t="str">
        <f aca="false">Country_Data!E135</f>
        <v>EMDC</v>
      </c>
      <c r="D135" s="14" t="str">
        <f aca="false">Country_Data!D135</f>
        <v>Lower middle income</v>
      </c>
      <c r="E135" s="15" t="n">
        <f aca="false">Country_Data!BV135</f>
        <v>24.9515954810942</v>
      </c>
      <c r="F135" s="16" t="n">
        <f aca="false">SUMIFS(Calc!$J$5:$J$1369,Calc!$A$5:$A$1369,A135)</f>
        <v>1.69128883339352</v>
      </c>
      <c r="G135" s="11" t="n">
        <f aca="false">IFERROR(F135/E135,"")</f>
        <v>0.0677827930752969</v>
      </c>
      <c r="H135" s="16" t="n">
        <f aca="false">SUMIFS(Calc!$L$5:$L$1369,Calc!$A$5:$A$1369,A135)</f>
        <v>0.405909320014445</v>
      </c>
      <c r="I135" s="11" t="n">
        <f aca="false">IFERROR(H135/E135,"")</f>
        <v>0.0162678703380713</v>
      </c>
      <c r="J135" s="17" t="n">
        <f aca="false">Country_Data!DW135</f>
        <v>0.105</v>
      </c>
      <c r="K135" s="14" t="str">
        <f aca="false">Country_Data!DV135</f>
        <v>Group default (IHLEG)</v>
      </c>
      <c r="L135" s="16" t="n">
        <f aca="false">SUMIFS(Calc!$W$5:$W$1369,Calc!$A$5:$A$1369,A135)</f>
        <v>0.021621476513349</v>
      </c>
      <c r="M135" s="16" t="n">
        <f aca="false">SUMIFS(Calc!$X$5:$X$1369,Calc!$A$5:$A$1369,A135)</f>
        <v>0.0211399906276844</v>
      </c>
      <c r="N135" s="18" t="n">
        <f aca="false">SUMIFS(Calc!$AC$5:$AC$1369,Calc!$A$5:$A$1369,A135)</f>
        <v>0.0257359304075521</v>
      </c>
      <c r="O135" s="18" t="n">
        <f aca="false">SUMIFS(Calc!$AD$5:$AD$1369,Calc!$A$5:$A$1369,A135)</f>
        <v>0.0421600715624275</v>
      </c>
      <c r="P135" s="18" t="n">
        <f aca="false">SUMIFS(Calc!$AE$5:$AE$1369,Calc!$A$5:$A$1369,A135)</f>
        <v>0.010821012646337</v>
      </c>
      <c r="Q135" s="18" t="n">
        <f aca="false">SUMIFS(Calc!$AF$5:$AF$1369,Calc!$A$5:$A$1369,A135)</f>
        <v>-0.0103189779813474</v>
      </c>
      <c r="R135" s="11" t="n">
        <f aca="false">IFERROR(N135/E135,"")</f>
        <v>0.00103143425946658</v>
      </c>
      <c r="S135" s="11" t="n">
        <f aca="false">IFERROR(P135/E135,"")</f>
        <v>0.000433680189089957</v>
      </c>
      <c r="T135" s="11" t="n">
        <f aca="false">IFERROR(Q135/E135,"")</f>
        <v>-0.000413559845869019</v>
      </c>
      <c r="U135" s="16" t="n">
        <f aca="false">SUMIFS(Calc!$AG$5:$AG$1369,Calc!$A$5:$A$1369,A135)</f>
        <v>-0.0265955103690396</v>
      </c>
      <c r="V135" s="16" t="n">
        <f aca="false">SUMIFS(Calc!$AH$5:$AH$1369,Calc!$A$5:$A$1369,A135)</f>
        <v>-0.0428720427567318</v>
      </c>
      <c r="W135" s="16" t="n">
        <f aca="false">SUMIFS(Calc!$Y$5:$Y$1369,Calc!$A$5:$A$1369,A135)</f>
        <v>0.325530647753844</v>
      </c>
      <c r="X135" s="7" t="n">
        <f aca="false">IFERROR(N135/W135*1000,"")</f>
        <v>79.0583946093234</v>
      </c>
      <c r="Y135" s="7" t="n">
        <f aca="false">IFERROR(P135/W135*1000,"")</f>
        <v>33.2411486322466</v>
      </c>
      <c r="Z135" s="7" t="n">
        <f aca="false">IFERROR(Q135/W135*1000,"")</f>
        <v>-31.6989446386943</v>
      </c>
      <c r="AA135" s="16" t="n">
        <f aca="false">SUMIFS(Calc!$AM$5:$AM$1369,Calc!$A$5:$A$1369,A135)</f>
        <v>0.0621454906717294</v>
      </c>
      <c r="AB135" s="16" t="n">
        <f aca="false">SUMIFS(Calc!$AN$5:$AN$1369,Calc!$A$5:$A$1369,A135)</f>
        <v>1.94150690737503</v>
      </c>
      <c r="AC135" s="17" t="n">
        <f aca="false">Country_Data!DY135</f>
        <v>0.27</v>
      </c>
      <c r="AD135" s="12" t="str">
        <f aca="false">IF(Country_Data!BD135="","",Country_Data!BD135)</f>
        <v/>
      </c>
      <c r="AE135" s="7" t="str">
        <f aca="false">IF(Country_Data!BC135="","",Country_Data!BC135)</f>
        <v/>
      </c>
      <c r="AF135" s="12" t="n">
        <f aca="false">IF(Country_Data!BL135="","",Country_Data!BL135)</f>
        <v>1.66</v>
      </c>
      <c r="AG135" s="7" t="n">
        <f aca="false">IF(Country_Data!BA135="","",Country_Data!BA135)</f>
        <v>37.865</v>
      </c>
    </row>
    <row r="136" customFormat="false" ht="15" hidden="false" customHeight="false" outlineLevel="0" collapsed="false">
      <c r="A136" s="14" t="str">
        <f aca="false">Country_Data!A136</f>
        <v>BWA</v>
      </c>
      <c r="B136" s="14" t="str">
        <f aca="false">Country_Data!B136</f>
        <v>Botswana</v>
      </c>
      <c r="C136" s="14" t="str">
        <f aca="false">Country_Data!E136</f>
        <v>EMDC</v>
      </c>
      <c r="D136" s="14" t="str">
        <f aca="false">Country_Data!D136</f>
        <v>Upper middle income</v>
      </c>
      <c r="E136" s="15" t="n">
        <f aca="false">Country_Data!BV136</f>
        <v>24.1933307768325</v>
      </c>
      <c r="F136" s="16" t="n">
        <f aca="false">SUMIFS(Calc!$J$5:$J$1369,Calc!$A$5:$A$1369,A136)</f>
        <v>1.78120803595045</v>
      </c>
      <c r="G136" s="11" t="n">
        <f aca="false">IFERROR(F136/E136,"")</f>
        <v>0.0736239277006097</v>
      </c>
      <c r="H136" s="16" t="n">
        <f aca="false">SUMIFS(Calc!$L$5:$L$1369,Calc!$A$5:$A$1369,A136)</f>
        <v>0.427489928628108</v>
      </c>
      <c r="I136" s="11" t="n">
        <f aca="false">IFERROR(H136/E136,"")</f>
        <v>0.0176697426481463</v>
      </c>
      <c r="J136" s="17" t="n">
        <f aca="false">Country_Data!DW136</f>
        <v>0.105</v>
      </c>
      <c r="K136" s="14" t="str">
        <f aca="false">Country_Data!DV136</f>
        <v>Group default (IHLEG)</v>
      </c>
      <c r="L136" s="16" t="n">
        <f aca="false">SUMIFS(Calc!$W$5:$W$1369,Calc!$A$5:$A$1369,A136)</f>
        <v>0.0140364219996087</v>
      </c>
      <c r="M136" s="16" t="n">
        <f aca="false">SUMIFS(Calc!$X$5:$X$1369,Calc!$A$5:$A$1369,A136)</f>
        <v>0.0295757933299917</v>
      </c>
      <c r="N136" s="18" t="n">
        <f aca="false">SUMIFS(Calc!$AC$5:$AC$1369,Calc!$A$5:$A$1369,A136)</f>
        <v>0.0356956069187005</v>
      </c>
      <c r="O136" s="18" t="n">
        <f aca="false">SUMIFS(Calc!$AD$5:$AD$1369,Calc!$A$5:$A$1369,A136)</f>
        <v>0.0530269457871587</v>
      </c>
      <c r="P136" s="18" t="n">
        <f aca="false">SUMIFS(Calc!$AE$5:$AE$1369,Calc!$A$5:$A$1369,A136)</f>
        <v>0.0199584387114435</v>
      </c>
      <c r="Q136" s="18" t="n">
        <f aca="false">SUMIFS(Calc!$AF$5:$AF$1369,Calc!$A$5:$A$1369,A136)</f>
        <v>-0.00961735461854822</v>
      </c>
      <c r="R136" s="11" t="n">
        <f aca="false">IFERROR(N136/E136,"")</f>
        <v>0.0014754316901616</v>
      </c>
      <c r="S136" s="11" t="n">
        <f aca="false">IFERROR(P136/E136,"")</f>
        <v>0.000824956220189231</v>
      </c>
      <c r="T136" s="11" t="n">
        <f aca="false">IFERROR(Q136/E136,"")</f>
        <v>-0.000397520899757953</v>
      </c>
      <c r="U136" s="16" t="n">
        <f aca="false">SUMIFS(Calc!$AG$5:$AG$1369,Calc!$A$5:$A$1369,A136)</f>
        <v>-0.033568375491524</v>
      </c>
      <c r="V136" s="16" t="n">
        <f aca="false">SUMIFS(Calc!$AH$5:$AH$1369,Calc!$A$5:$A$1369,A136)</f>
        <v>-0.0575193963644998</v>
      </c>
      <c r="W136" s="16" t="n">
        <f aca="false">SUMIFS(Calc!$Y$5:$Y$1369,Calc!$A$5:$A$1369,A136)</f>
        <v>0.479020417459515</v>
      </c>
      <c r="X136" s="7" t="n">
        <f aca="false">IFERROR(N136/W136*1000,"")</f>
        <v>74.5179236993949</v>
      </c>
      <c r="Y136" s="7" t="n">
        <f aca="false">IFERROR(P136/W136*1000,"")</f>
        <v>41.6651106800271</v>
      </c>
      <c r="Z136" s="7" t="n">
        <f aca="false">IFERROR(Q136/W136*1000,"")</f>
        <v>-20.0771287987135</v>
      </c>
      <c r="AA136" s="16" t="n">
        <f aca="false">SUMIFS(Calc!$AM$5:$AM$1369,Calc!$A$5:$A$1369,A136)</f>
        <v>0.0655715341969041</v>
      </c>
      <c r="AB136" s="16" t="n">
        <f aca="false">SUMIFS(Calc!$AN$5:$AN$1369,Calc!$A$5:$A$1369,A136)</f>
        <v>2.1013091902372</v>
      </c>
      <c r="AC136" s="17" t="n">
        <f aca="false">Country_Data!DY136</f>
        <v>0.31</v>
      </c>
      <c r="AD136" s="12" t="n">
        <f aca="false">IF(Country_Data!BD136="","",Country_Data!BD136)</f>
        <v>2</v>
      </c>
      <c r="AE136" s="7" t="n">
        <f aca="false">IF(Country_Data!BC136="","",Country_Data!BC136)</f>
        <v>100.531</v>
      </c>
      <c r="AF136" s="12" t="str">
        <f aca="false">IF(Country_Data!BL136="","",Country_Data!BL136)</f>
        <v/>
      </c>
      <c r="AG136" s="7" t="n">
        <f aca="false">IF(Country_Data!BA136="","",Country_Data!BA136)</f>
        <v>33.182</v>
      </c>
    </row>
    <row r="137" customFormat="false" ht="15" hidden="false" customHeight="false" outlineLevel="0" collapsed="false">
      <c r="A137" s="14" t="str">
        <f aca="false">Country_Data!A137</f>
        <v>MDA</v>
      </c>
      <c r="B137" s="14" t="str">
        <f aca="false">Country_Data!B137</f>
        <v>Moldova</v>
      </c>
      <c r="C137" s="14" t="str">
        <f aca="false">Country_Data!E137</f>
        <v>EMDC</v>
      </c>
      <c r="D137" s="14" t="str">
        <f aca="false">Country_Data!D137</f>
        <v>Upper middle income</v>
      </c>
      <c r="E137" s="15" t="n">
        <f aca="false">Country_Data!BV137</f>
        <v>20.4880664767263</v>
      </c>
      <c r="F137" s="16" t="n">
        <f aca="false">SUMIFS(Calc!$J$5:$J$1369,Calc!$A$5:$A$1369,A137)</f>
        <v>1.27206698446299</v>
      </c>
      <c r="G137" s="11" t="n">
        <f aca="false">IFERROR(F137/E137,"")</f>
        <v>0.0620881909919617</v>
      </c>
      <c r="H137" s="16" t="n">
        <f aca="false">SUMIFS(Calc!$L$5:$L$1369,Calc!$A$5:$A$1369,A137)</f>
        <v>0.305296076271118</v>
      </c>
      <c r="I137" s="11" t="n">
        <f aca="false">IFERROR(H137/E137,"")</f>
        <v>0.0149011658380708</v>
      </c>
      <c r="J137" s="17" t="n">
        <f aca="false">Country_Data!DW137</f>
        <v>0.105</v>
      </c>
      <c r="K137" s="14" t="str">
        <f aca="false">Country_Data!DV137</f>
        <v>Group default (IHLEG)</v>
      </c>
      <c r="L137" s="16" t="n">
        <f aca="false">SUMIFS(Calc!$W$5:$W$1369,Calc!$A$5:$A$1369,A137)</f>
        <v>0.0421431984817313</v>
      </c>
      <c r="M137" s="16" t="n">
        <f aca="false">SUMIFS(Calc!$X$5:$X$1369,Calc!$A$5:$A$1369,A137)</f>
        <v>0.0118831930839624</v>
      </c>
      <c r="N137" s="18" t="n">
        <f aca="false">SUMIFS(Calc!$AC$5:$AC$1369,Calc!$A$5:$A$1369,A137)</f>
        <v>-0.00602415066785125</v>
      </c>
      <c r="O137" s="18" t="n">
        <f aca="false">SUMIFS(Calc!$AD$5:$AD$1369,Calc!$A$5:$A$1369,A137)</f>
        <v>0.00619552735797975</v>
      </c>
      <c r="P137" s="18" t="n">
        <f aca="false">SUMIFS(Calc!$AE$5:$AE$1369,Calc!$A$5:$A$1369,A137)</f>
        <v>-0.0171135075947632</v>
      </c>
      <c r="Q137" s="18" t="n">
        <f aca="false">SUMIFS(Calc!$AF$5:$AF$1369,Calc!$A$5:$A$1369,A137)</f>
        <v>-0.0289967006787256</v>
      </c>
      <c r="R137" s="11" t="n">
        <f aca="false">IFERROR(N137/E137,"")</f>
        <v>-0.000294032171102845</v>
      </c>
      <c r="S137" s="11" t="n">
        <f aca="false">IFERROR(P137/E137,"")</f>
        <v>-0.00083529149098591</v>
      </c>
      <c r="T137" s="11" t="n">
        <f aca="false">IFERROR(Q137/E137,"")</f>
        <v>-0.00141529708094538</v>
      </c>
      <c r="U137" s="16" t="n">
        <f aca="false">SUMIFS(Calc!$AG$5:$AG$1369,Calc!$A$5:$A$1369,A137)</f>
        <v>-0.0379251937133796</v>
      </c>
      <c r="V137" s="16" t="n">
        <f aca="false">SUMIFS(Calc!$AH$5:$AH$1369,Calc!$A$5:$A$1369,A137)</f>
        <v>-0.0468536867480335</v>
      </c>
      <c r="W137" s="16" t="n">
        <f aca="false">SUMIFS(Calc!$Y$5:$Y$1369,Calc!$A$5:$A$1369,A137)</f>
        <v>0.178569860693079</v>
      </c>
      <c r="X137" s="7" t="n">
        <f aca="false">IFERROR(N137/W137*1000,"")</f>
        <v>-33.7355399420141</v>
      </c>
      <c r="Y137" s="7" t="n">
        <f aca="false">IFERROR(P137/W137*1000,"")</f>
        <v>-95.8364839863847</v>
      </c>
      <c r="Z137" s="7" t="n">
        <f aca="false">IFERROR(Q137/W137*1000,"")</f>
        <v>-162.382949542445</v>
      </c>
      <c r="AA137" s="16" t="n">
        <f aca="false">SUMIFS(Calc!$AM$5:$AM$1369,Calc!$A$5:$A$1369,A137)</f>
        <v>0.046205653862133</v>
      </c>
      <c r="AB137" s="16" t="n">
        <f aca="false">SUMIFS(Calc!$AN$5:$AN$1369,Calc!$A$5:$A$1369,A137)</f>
        <v>1.55211894073236</v>
      </c>
      <c r="AC137" s="17" t="n">
        <f aca="false">Country_Data!DY137</f>
        <v>0.355</v>
      </c>
      <c r="AD137" s="12" t="n">
        <f aca="false">IF(Country_Data!BD137="","",Country_Data!BD137)</f>
        <v>1.5</v>
      </c>
      <c r="AE137" s="7" t="n">
        <f aca="false">IF(Country_Data!BC137="","",Country_Data!BC137)</f>
        <v>105.979</v>
      </c>
      <c r="AF137" s="12" t="n">
        <f aca="false">IF(Country_Data!BL137="","",Country_Data!BL137)</f>
        <v>-3.121</v>
      </c>
      <c r="AG137" s="7" t="n">
        <f aca="false">IF(Country_Data!BA137="","",Country_Data!BA137)</f>
        <v>38.777</v>
      </c>
    </row>
    <row r="138" customFormat="false" ht="15" hidden="false" customHeight="false" outlineLevel="0" collapsed="false">
      <c r="A138" s="14" t="str">
        <f aca="false">Country_Data!A138</f>
        <v>KGZ</v>
      </c>
      <c r="B138" s="14" t="str">
        <f aca="false">Country_Data!B138</f>
        <v>Kyrgyz Republic</v>
      </c>
      <c r="C138" s="14" t="str">
        <f aca="false">Country_Data!E138</f>
        <v>EMDC</v>
      </c>
      <c r="D138" s="14" t="str">
        <f aca="false">Country_Data!D138</f>
        <v>Lower middle income</v>
      </c>
      <c r="E138" s="15" t="n">
        <f aca="false">Country_Data!BV138</f>
        <v>27.1167754137512</v>
      </c>
      <c r="F138" s="16" t="n">
        <f aca="false">SUMIFS(Calc!$J$5:$J$1369,Calc!$A$5:$A$1369,A138)</f>
        <v>2.02433798304838</v>
      </c>
      <c r="G138" s="11" t="n">
        <f aca="false">IFERROR(F138/E138,"")</f>
        <v>0.0746526071835896</v>
      </c>
      <c r="H138" s="16" t="n">
        <f aca="false">SUMIFS(Calc!$L$5:$L$1369,Calc!$A$5:$A$1369,A138)</f>
        <v>0.485841115931612</v>
      </c>
      <c r="I138" s="11" t="n">
        <f aca="false">IFERROR(H138/E138,"")</f>
        <v>0.0179166257240615</v>
      </c>
      <c r="J138" s="17" t="n">
        <f aca="false">Country_Data!DW138</f>
        <v>0.105</v>
      </c>
      <c r="K138" s="14" t="str">
        <f aca="false">Country_Data!DV138</f>
        <v>Group default (IHLEG)</v>
      </c>
      <c r="L138" s="16" t="n">
        <f aca="false">SUMIFS(Calc!$W$5:$W$1369,Calc!$A$5:$A$1369,A138)</f>
        <v>0.0151298568605052</v>
      </c>
      <c r="M138" s="16" t="n">
        <f aca="false">SUMIFS(Calc!$X$5:$X$1369,Calc!$A$5:$A$1369,A138)</f>
        <v>0.0199267369119612</v>
      </c>
      <c r="N138" s="18" t="n">
        <f aca="false">SUMIFS(Calc!$AC$5:$AC$1369,Calc!$A$5:$A$1369,A138)</f>
        <v>0.0415309349779558</v>
      </c>
      <c r="O138" s="18" t="n">
        <f aca="false">SUMIFS(Calc!$AD$5:$AD$1369,Calc!$A$5:$A$1369,A138)</f>
        <v>0.0611738848371396</v>
      </c>
      <c r="P138" s="18" t="n">
        <f aca="false">SUMIFS(Calc!$AE$5:$AE$1369,Calc!$A$5:$A$1369,A138)</f>
        <v>0.0236843442558419</v>
      </c>
      <c r="Q138" s="18" t="n">
        <f aca="false">SUMIFS(Calc!$AF$5:$AF$1369,Calc!$A$5:$A$1369,A138)</f>
        <v>0.00375760734388067</v>
      </c>
      <c r="R138" s="11" t="n">
        <f aca="false">IFERROR(N138/E138,"")</f>
        <v>0.00153155876184655</v>
      </c>
      <c r="S138" s="11" t="n">
        <f aca="false">IFERROR(P138/E138,"")</f>
        <v>0.000873420378878507</v>
      </c>
      <c r="T138" s="11" t="n">
        <f aca="false">IFERROR(Q138/E138,"")</f>
        <v>0.000138571319286553</v>
      </c>
      <c r="U138" s="16" t="n">
        <f aca="false">SUMIFS(Calc!$AG$5:$AG$1369,Calc!$A$5:$A$1369,A138)</f>
        <v>-0.00657206151491173</v>
      </c>
      <c r="V138" s="16" t="n">
        <f aca="false">SUMIFS(Calc!$AH$5:$AH$1369,Calc!$A$5:$A$1369,A138)</f>
        <v>-0.0169017303737041</v>
      </c>
      <c r="W138" s="16" t="n">
        <f aca="false">SUMIFS(Calc!$Y$5:$Y$1369,Calc!$A$5:$A$1369,A138)</f>
        <v>0.206593377175848</v>
      </c>
      <c r="X138" s="7" t="n">
        <f aca="false">IFERROR(N138/W138*1000,"")</f>
        <v>201.027426656594</v>
      </c>
      <c r="Y138" s="7" t="n">
        <f aca="false">IFERROR(P138/W138*1000,"")</f>
        <v>114.642320966961</v>
      </c>
      <c r="Z138" s="7" t="n">
        <f aca="false">IFERROR(Q138/W138*1000,"")</f>
        <v>18.1884211161439</v>
      </c>
      <c r="AA138" s="16" t="n">
        <f aca="false">SUMIFS(Calc!$AM$5:$AM$1369,Calc!$A$5:$A$1369,A138)</f>
        <v>0.0743607946754745</v>
      </c>
      <c r="AB138" s="16" t="n">
        <f aca="false">SUMIFS(Calc!$AN$5:$AN$1369,Calc!$A$5:$A$1369,A138)</f>
        <v>2.31628332482135</v>
      </c>
      <c r="AC138" s="17" t="n">
        <f aca="false">Country_Data!DY138</f>
        <v>0.265</v>
      </c>
      <c r="AD138" s="12" t="n">
        <f aca="false">IF(Country_Data!BD138="","",Country_Data!BD138)</f>
        <v>2.5</v>
      </c>
      <c r="AE138" s="7" t="n">
        <f aca="false">IF(Country_Data!BC138="","",Country_Data!BC138)</f>
        <v>101.036</v>
      </c>
      <c r="AF138" s="12" t="str">
        <f aca="false">IF(Country_Data!BL138="","",Country_Data!BL138)</f>
        <v/>
      </c>
      <c r="AG138" s="7" t="n">
        <f aca="false">IF(Country_Data!BA138="","",Country_Data!BA138)</f>
        <v>36.23</v>
      </c>
    </row>
    <row r="139" customFormat="false" ht="15" hidden="false" customHeight="false" outlineLevel="0" collapsed="false">
      <c r="A139" s="14" t="str">
        <f aca="false">Country_Data!A139</f>
        <v>AFG</v>
      </c>
      <c r="B139" s="14" t="str">
        <f aca="false">Country_Data!B139</f>
        <v>Afghanistan</v>
      </c>
      <c r="C139" s="14" t="str">
        <f aca="false">Country_Data!E139</f>
        <v>EMDC</v>
      </c>
      <c r="D139" s="14" t="str">
        <f aca="false">Country_Data!D139</f>
        <v>Low income</v>
      </c>
      <c r="E139" s="15" t="n">
        <f aca="false">Country_Data!BV139</f>
        <v>18.35222268</v>
      </c>
      <c r="F139" s="16" t="n">
        <f aca="false">SUMIFS(Calc!$J$5:$J$1369,Calc!$A$5:$A$1369,A139)</f>
        <v>1.63204299307394</v>
      </c>
      <c r="G139" s="11" t="n">
        <f aca="false">IFERROR(F139/E139,"")</f>
        <v>0.0889289009582756</v>
      </c>
      <c r="H139" s="16" t="n">
        <f aca="false">SUMIFS(Calc!$L$5:$L$1369,Calc!$A$5:$A$1369,A139)</f>
        <v>0.391690318337745</v>
      </c>
      <c r="I139" s="11" t="n">
        <f aca="false">IFERROR(H139/E139,"")</f>
        <v>0.0213429362299861</v>
      </c>
      <c r="J139" s="17" t="n">
        <f aca="false">Country_Data!DW139</f>
        <v>0.105</v>
      </c>
      <c r="K139" s="14" t="str">
        <f aca="false">Country_Data!DV139</f>
        <v>Group default (IHLEG)</v>
      </c>
      <c r="L139" s="16" t="n">
        <f aca="false">SUMIFS(Calc!$W$5:$W$1369,Calc!$A$5:$A$1369,A139)</f>
        <v>0.0294531489623635</v>
      </c>
      <c r="M139" s="16" t="n">
        <f aca="false">SUMIFS(Calc!$X$5:$X$1369,Calc!$A$5:$A$1369,A139)</f>
        <v>0.0149003611226373</v>
      </c>
      <c r="N139" s="18" t="n">
        <f aca="false">SUMIFS(Calc!$AC$5:$AC$1369,Calc!$A$5:$A$1369,A139)</f>
        <v>0.0167332352145097</v>
      </c>
      <c r="O139" s="18" t="n">
        <f aca="false">SUMIFS(Calc!$AD$5:$AD$1369,Calc!$A$5:$A$1369,A139)</f>
        <v>0.0324638118127255</v>
      </c>
      <c r="P139" s="18" t="n">
        <f aca="false">SUMIFS(Calc!$AE$5:$AE$1369,Calc!$A$5:$A$1369,A139)</f>
        <v>0.00245385164546629</v>
      </c>
      <c r="Q139" s="18" t="n">
        <f aca="false">SUMIFS(Calc!$AF$5:$AF$1369,Calc!$A$5:$A$1369,A139)</f>
        <v>-0.012446509477171</v>
      </c>
      <c r="R139" s="11" t="n">
        <f aca="false">IFERROR(N139/E139,"")</f>
        <v>0.000911782485766443</v>
      </c>
      <c r="S139" s="11" t="n">
        <f aca="false">IFERROR(P139/E139,"")</f>
        <v>0.000133708689582351</v>
      </c>
      <c r="T139" s="11" t="n">
        <f aca="false">IFERROR(Q139/E139,"")</f>
        <v>-0.000678201746687338</v>
      </c>
      <c r="U139" s="16" t="n">
        <f aca="false">SUMIFS(Calc!$AG$5:$AG$1369,Calc!$A$5:$A$1369,A139)</f>
        <v>-0.0241407921989112</v>
      </c>
      <c r="V139" s="16" t="n">
        <f aca="false">SUMIFS(Calc!$AH$5:$AH$1369,Calc!$A$5:$A$1369,A139)</f>
        <v>-0.0358350749206514</v>
      </c>
      <c r="W139" s="16" t="n">
        <f aca="false">SUMIFS(Calc!$Y$5:$Y$1369,Calc!$A$5:$A$1369,A139)</f>
        <v>0.233885654434804</v>
      </c>
      <c r="X139" s="7" t="n">
        <f aca="false">IFERROR(N139/W139*1000,"")</f>
        <v>71.5445128729522</v>
      </c>
      <c r="Y139" s="7" t="n">
        <f aca="false">IFERROR(P139/W139*1000,"")</f>
        <v>10.4916723148162</v>
      </c>
      <c r="Z139" s="7" t="n">
        <f aca="false">IFERROR(Q139/W139*1000,"")</f>
        <v>-53.2162158780048</v>
      </c>
      <c r="AA139" s="16" t="n">
        <f aca="false">SUMIFS(Calc!$AM$5:$AM$1369,Calc!$A$5:$A$1369,A139)</f>
        <v>0.0594974315376808</v>
      </c>
      <c r="AB139" s="16" t="n">
        <f aca="false">SUMIFS(Calc!$AN$5:$AN$1369,Calc!$A$5:$A$1369,A139)</f>
        <v>1.99134548147161</v>
      </c>
      <c r="AC139" s="17" t="n">
        <f aca="false">Country_Data!DY139</f>
        <v>0.355</v>
      </c>
      <c r="AD139" s="12" t="n">
        <f aca="false">IF(Country_Data!BD139="","",Country_Data!BD139)</f>
        <v>1.5</v>
      </c>
      <c r="AE139" s="7" t="n">
        <f aca="false">IF(Country_Data!BC139="","",Country_Data!BC139)</f>
        <v>94.541</v>
      </c>
      <c r="AF139" s="12" t="str">
        <f aca="false">IF(Country_Data!BL139="","",Country_Data!BL139)</f>
        <v/>
      </c>
      <c r="AG139" s="7" t="n">
        <f aca="false">IF(Country_Data!BA139="","",Country_Data!BA139)</f>
        <v>8.912</v>
      </c>
    </row>
    <row r="140" customFormat="false" ht="15" hidden="false" customHeight="false" outlineLevel="0" collapsed="false">
      <c r="A140" s="14" t="str">
        <f aca="false">Country_Data!A140</f>
        <v>MDG</v>
      </c>
      <c r="B140" s="14" t="str">
        <f aca="false">Country_Data!B140</f>
        <v>Madagascar</v>
      </c>
      <c r="C140" s="14" t="str">
        <f aca="false">Country_Data!E140</f>
        <v>EMDC</v>
      </c>
      <c r="D140" s="14" t="str">
        <f aca="false">Country_Data!D140</f>
        <v>Low income</v>
      </c>
      <c r="E140" s="15" t="n">
        <f aca="false">Country_Data!BV140</f>
        <v>21.6288817757559</v>
      </c>
      <c r="F140" s="16" t="n">
        <f aca="false">SUMIFS(Calc!$J$5:$J$1369,Calc!$A$5:$A$1369,A140)</f>
        <v>1.53543369628715</v>
      </c>
      <c r="G140" s="11" t="n">
        <f aca="false">IFERROR(F140/E140,"")</f>
        <v>0.070989971289604</v>
      </c>
      <c r="H140" s="16" t="n">
        <f aca="false">SUMIFS(Calc!$L$5:$L$1369,Calc!$A$5:$A$1369,A140)</f>
        <v>0.368504087108915</v>
      </c>
      <c r="I140" s="11" t="n">
        <f aca="false">IFERROR(H140/E140,"")</f>
        <v>0.017037593109505</v>
      </c>
      <c r="J140" s="17" t="n">
        <f aca="false">Country_Data!DW140</f>
        <v>0.105</v>
      </c>
      <c r="K140" s="14" t="str">
        <f aca="false">Country_Data!DV140</f>
        <v>Group default (IHLEG)</v>
      </c>
      <c r="L140" s="16" t="n">
        <f aca="false">SUMIFS(Calc!$W$5:$W$1369,Calc!$A$5:$A$1369,A140)</f>
        <v>0.0178298772053953</v>
      </c>
      <c r="M140" s="16" t="n">
        <f aca="false">SUMIFS(Calc!$X$5:$X$1369,Calc!$A$5:$A$1369,A140)</f>
        <v>0.0230986600556211</v>
      </c>
      <c r="N140" s="18" t="n">
        <f aca="false">SUMIFS(Calc!$AC$5:$AC$1369,Calc!$A$5:$A$1369,A140)</f>
        <v>0.0247482945624636</v>
      </c>
      <c r="O140" s="18" t="n">
        <f aca="false">SUMIFS(Calc!$AD$5:$AD$1369,Calc!$A$5:$A$1369,A140)</f>
        <v>0.0397428426708572</v>
      </c>
      <c r="P140" s="18" t="n">
        <f aca="false">SUMIFS(Calc!$AE$5:$AE$1369,Calc!$A$5:$A$1369,A140)</f>
        <v>0.0111357256274676</v>
      </c>
      <c r="Q140" s="18" t="n">
        <f aca="false">SUMIFS(Calc!$AF$5:$AF$1369,Calc!$A$5:$A$1369,A140)</f>
        <v>-0.0119629344281535</v>
      </c>
      <c r="R140" s="11" t="n">
        <f aca="false">IFERROR(N140/E140,"")</f>
        <v>0.00114422441340469</v>
      </c>
      <c r="S140" s="11" t="n">
        <f aca="false">IFERROR(P140/E140,"")</f>
        <v>0.000514854431353444</v>
      </c>
      <c r="T140" s="11" t="n">
        <f aca="false">IFERROR(Q140/E140,"")</f>
        <v>-0.000553099996207984</v>
      </c>
      <c r="U140" s="16" t="n">
        <f aca="false">SUMIFS(Calc!$AG$5:$AG$1369,Calc!$A$5:$A$1369,A140)</f>
        <v>-0.0298864688380652</v>
      </c>
      <c r="V140" s="16" t="n">
        <f aca="false">SUMIFS(Calc!$AH$5:$AH$1369,Calc!$A$5:$A$1369,A140)</f>
        <v>-0.0478100032479768</v>
      </c>
      <c r="W140" s="16" t="n">
        <f aca="false">SUMIFS(Calc!$Y$5:$Y$1369,Calc!$A$5:$A$1369,A140)</f>
        <v>0.358470688198233</v>
      </c>
      <c r="X140" s="7" t="n">
        <f aca="false">IFERROR(N140/W140*1000,"")</f>
        <v>69.0385445093291</v>
      </c>
      <c r="Y140" s="7" t="n">
        <f aca="false">IFERROR(P140/W140*1000,"")</f>
        <v>31.0645360808681</v>
      </c>
      <c r="Z140" s="7" t="n">
        <f aca="false">IFERROR(Q140/W140*1000,"")</f>
        <v>-33.372141215457</v>
      </c>
      <c r="AA140" s="16" t="n">
        <f aca="false">SUMIFS(Calc!$AM$5:$AM$1369,Calc!$A$5:$A$1369,A140)</f>
        <v>0.0567190372291496</v>
      </c>
      <c r="AB140" s="16" t="n">
        <f aca="false">SUMIFS(Calc!$AN$5:$AN$1369,Calc!$A$5:$A$1369,A140)</f>
        <v>1.94488268196372</v>
      </c>
      <c r="AC140" s="17" t="n">
        <f aca="false">Country_Data!DY140</f>
        <v>0.4</v>
      </c>
      <c r="AD140" s="12" t="n">
        <f aca="false">IF(Country_Data!BD140="","",Country_Data!BD140)</f>
        <v>1</v>
      </c>
      <c r="AE140" s="7" t="n">
        <f aca="false">IF(Country_Data!BC140="","",Country_Data!BC140)</f>
        <v>61.416</v>
      </c>
      <c r="AF140" s="12" t="n">
        <f aca="false">IF(Country_Data!BL140="","",Country_Data!BL140)</f>
        <v>0.542</v>
      </c>
      <c r="AG140" s="7" t="n">
        <f aca="false">IF(Country_Data!BA140="","",Country_Data!BA140)</f>
        <v>49.805</v>
      </c>
    </row>
    <row r="141" customFormat="false" ht="15" hidden="false" customHeight="false" outlineLevel="0" collapsed="false">
      <c r="A141" s="14" t="str">
        <f aca="false">Country_Data!A141</f>
        <v>MKD</v>
      </c>
      <c r="B141" s="14" t="str">
        <f aca="false">Country_Data!B141</f>
        <v>North Macedonia</v>
      </c>
      <c r="C141" s="14" t="str">
        <f aca="false">Country_Data!E141</f>
        <v>EMDC</v>
      </c>
      <c r="D141" s="14" t="str">
        <f aca="false">Country_Data!D141</f>
        <v>Upper middle income</v>
      </c>
      <c r="E141" s="15" t="n">
        <f aca="false">Country_Data!BV141</f>
        <v>20.4386074495654</v>
      </c>
      <c r="F141" s="16" t="n">
        <f aca="false">SUMIFS(Calc!$J$5:$J$1369,Calc!$A$5:$A$1369,A141)</f>
        <v>1.32767302625756</v>
      </c>
      <c r="G141" s="11" t="n">
        <f aca="false">IFERROR(F141/E141,"")</f>
        <v>0.0649590746108191</v>
      </c>
      <c r="H141" s="16" t="n">
        <f aca="false">SUMIFS(Calc!$L$5:$L$1369,Calc!$A$5:$A$1369,A141)</f>
        <v>0.318641526301814</v>
      </c>
      <c r="I141" s="11" t="n">
        <f aca="false">IFERROR(H141/E141,"")</f>
        <v>0.0155901779065966</v>
      </c>
      <c r="J141" s="17" t="n">
        <f aca="false">Country_Data!DW141</f>
        <v>0.105</v>
      </c>
      <c r="K141" s="14" t="str">
        <f aca="false">Country_Data!DV141</f>
        <v>Group default (IHLEG)</v>
      </c>
      <c r="L141" s="16" t="n">
        <f aca="false">SUMIFS(Calc!$W$5:$W$1369,Calc!$A$5:$A$1369,A141)</f>
        <v>0.0186068378075896</v>
      </c>
      <c r="M141" s="16" t="n">
        <f aca="false">SUMIFS(Calc!$X$5:$X$1369,Calc!$A$5:$A$1369,A141)</f>
        <v>0.0099377451495606</v>
      </c>
      <c r="N141" s="18" t="n">
        <f aca="false">SUMIFS(Calc!$AC$5:$AC$1369,Calc!$A$5:$A$1369,A141)</f>
        <v>0.0189825334552194</v>
      </c>
      <c r="O141" s="18" t="n">
        <f aca="false">SUMIFS(Calc!$AD$5:$AD$1369,Calc!$A$5:$A$1369,A141)</f>
        <v>0.0317824967313085</v>
      </c>
      <c r="P141" s="18" t="n">
        <f aca="false">SUMIFS(Calc!$AE$5:$AE$1369,Calc!$A$5:$A$1369,A141)</f>
        <v>0.0073503415956202</v>
      </c>
      <c r="Q141" s="18" t="n">
        <f aca="false">SUMIFS(Calc!$AF$5:$AF$1369,Calc!$A$5:$A$1369,A141)</f>
        <v>-0.0025874035539404</v>
      </c>
      <c r="R141" s="11" t="n">
        <f aca="false">IFERROR(N141/E141,"")</f>
        <v>0.000928758649632123</v>
      </c>
      <c r="S141" s="11" t="n">
        <f aca="false">IFERROR(P141/E141,"")</f>
        <v>0.000359630254348688</v>
      </c>
      <c r="T141" s="11" t="n">
        <f aca="false">IFERROR(Q141/E141,"")</f>
        <v>-0.000126593925751797</v>
      </c>
      <c r="U141" s="16" t="n">
        <f aca="false">SUMIFS(Calc!$AG$5:$AG$1369,Calc!$A$5:$A$1369,A141)</f>
        <v>-0.0118621655305081</v>
      </c>
      <c r="V141" s="16" t="n">
        <f aca="false">SUMIFS(Calc!$AH$5:$AH$1369,Calc!$A$5:$A$1369,A141)</f>
        <v>-0.0211369275070758</v>
      </c>
      <c r="W141" s="16" t="n">
        <f aca="false">SUMIFS(Calc!$Y$5:$Y$1369,Calc!$A$5:$A$1369,A141)</f>
        <v>0.185495239531354</v>
      </c>
      <c r="X141" s="7" t="n">
        <f aca="false">IFERROR(N141/W141*1000,"")</f>
        <v>102.33434293612</v>
      </c>
      <c r="Y141" s="7" t="n">
        <f aca="false">IFERROR(P141/W141*1000,"")</f>
        <v>39.6254999006471</v>
      </c>
      <c r="Z141" s="7" t="n">
        <f aca="false">IFERROR(Q141/W141*1000,"")</f>
        <v>-13.9486250993684</v>
      </c>
      <c r="AA141" s="16" t="n">
        <f aca="false">SUMIFS(Calc!$AM$5:$AM$1369,Calc!$A$5:$A$1369,A141)</f>
        <v>0.0484674660816633</v>
      </c>
      <c r="AB141" s="16" t="n">
        <f aca="false">SUMIFS(Calc!$AN$5:$AN$1369,Calc!$A$5:$A$1369,A141)</f>
        <v>1.61996693281349</v>
      </c>
      <c r="AC141" s="17" t="n">
        <f aca="false">Country_Data!DY141</f>
        <v>0.355</v>
      </c>
      <c r="AD141" s="12" t="n">
        <f aca="false">IF(Country_Data!BD141="","",Country_Data!BD141)</f>
        <v>1.5</v>
      </c>
      <c r="AE141" s="7" t="n">
        <f aca="false">IF(Country_Data!BC141="","",Country_Data!BC141)</f>
        <v>81.139</v>
      </c>
      <c r="AF141" s="12" t="n">
        <f aca="false">IF(Country_Data!BL141="","",Country_Data!BL141)</f>
        <v>3.413</v>
      </c>
      <c r="AG141" s="7" t="n">
        <f aca="false">IF(Country_Data!BA141="","",Country_Data!BA141)</f>
        <v>52.929</v>
      </c>
    </row>
    <row r="142" customFormat="false" ht="15" hidden="false" customHeight="false" outlineLevel="0" collapsed="false">
      <c r="A142" s="14" t="str">
        <f aca="false">Country_Data!A142</f>
        <v>PSE</v>
      </c>
      <c r="B142" s="14" t="str">
        <f aca="false">Country_Data!B142</f>
        <v>West Bank and Gaza</v>
      </c>
      <c r="C142" s="14" t="str">
        <f aca="false">Country_Data!E142</f>
        <v>EMDC</v>
      </c>
      <c r="D142" s="14" t="str">
        <f aca="false">Country_Data!D142</f>
        <v>Lower middle income</v>
      </c>
      <c r="E142" s="15" t="n">
        <f aca="false">Country_Data!BV142</f>
        <v>16.017</v>
      </c>
      <c r="F142" s="16" t="n">
        <f aca="false">SUMIFS(Calc!$J$5:$J$1369,Calc!$A$5:$A$1369,A142)</f>
        <v>0.838920836843488</v>
      </c>
      <c r="G142" s="11" t="n">
        <f aca="false">IFERROR(F142/E142,"")</f>
        <v>0.0523769018445082</v>
      </c>
      <c r="H142" s="16" t="n">
        <f aca="false">SUMIFS(Calc!$L$5:$L$1369,Calc!$A$5:$A$1369,A142)</f>
        <v>0.201341000842437</v>
      </c>
      <c r="I142" s="11" t="n">
        <f aca="false">IFERROR(H142/E142,"")</f>
        <v>0.012570456442682</v>
      </c>
      <c r="J142" s="17" t="n">
        <f aca="false">Country_Data!DW142</f>
        <v>0.105</v>
      </c>
      <c r="K142" s="14" t="str">
        <f aca="false">Country_Data!DV142</f>
        <v>Group default (IHLEG)</v>
      </c>
      <c r="L142" s="16" t="n">
        <f aca="false">SUMIFS(Calc!$W$5:$W$1369,Calc!$A$5:$A$1369,A142)</f>
        <v>0.0149520617562523</v>
      </c>
      <c r="M142" s="16" t="n">
        <f aca="false">SUMIFS(Calc!$X$5:$X$1369,Calc!$A$5:$A$1369,A142)</f>
        <v>0.0191497767284687</v>
      </c>
      <c r="N142" s="18" t="n">
        <f aca="false">SUMIFS(Calc!$AC$5:$AC$1369,Calc!$A$5:$A$1369,A142)</f>
        <v>0.00862444177969868</v>
      </c>
      <c r="O142" s="18" t="n">
        <f aca="false">SUMIFS(Calc!$AD$5:$AD$1369,Calc!$A$5:$A$1369,A142)</f>
        <v>0.0167407498446142</v>
      </c>
      <c r="P142" s="18" t="n">
        <f aca="false">SUMIFS(Calc!$AE$5:$AE$1369,Calc!$A$5:$A$1369,A142)</f>
        <v>0.00125420863487008</v>
      </c>
      <c r="Q142" s="18" t="n">
        <f aca="false">SUMIFS(Calc!$AF$5:$AF$1369,Calc!$A$5:$A$1369,A142)</f>
        <v>-0.0178955680935987</v>
      </c>
      <c r="R142" s="11" t="n">
        <f aca="false">IFERROR(N142/E142,"")</f>
        <v>0.000538455502260016</v>
      </c>
      <c r="S142" s="11" t="n">
        <f aca="false">IFERROR(P142/E142,"")</f>
        <v>7.83048407860447E-005</v>
      </c>
      <c r="T142" s="11" t="n">
        <f aca="false">IFERROR(Q142/E142,"")</f>
        <v>-0.00111728588959223</v>
      </c>
      <c r="U142" s="16" t="n">
        <f aca="false">SUMIFS(Calc!$AG$5:$AG$1369,Calc!$A$5:$A$1369,A142)</f>
        <v>-0.0230580405162872</v>
      </c>
      <c r="V142" s="16" t="n">
        <f aca="false">SUMIFS(Calc!$AH$5:$AH$1369,Calc!$A$5:$A$1369,A142)</f>
        <v>-0.0282205129389758</v>
      </c>
      <c r="W142" s="16" t="n">
        <f aca="false">SUMIFS(Calc!$Y$5:$Y$1369,Calc!$A$5:$A$1369,A142)</f>
        <v>0.103249448453771</v>
      </c>
      <c r="X142" s="7" t="n">
        <f aca="false">IFERROR(N142/W142*1000,"")</f>
        <v>83.5301486725151</v>
      </c>
      <c r="Y142" s="7" t="n">
        <f aca="false">IFERROR(P142/W142*1000,"")</f>
        <v>12.1473640164929</v>
      </c>
      <c r="Z142" s="7" t="n">
        <f aca="false">IFERROR(Q142/W142*1000,"")</f>
        <v>-173.32361926961</v>
      </c>
      <c r="AA142" s="16" t="n">
        <f aca="false">SUMIFS(Calc!$AM$5:$AM$1369,Calc!$A$5:$A$1369,A142)</f>
        <v>0.0307093047701192</v>
      </c>
      <c r="AB142" s="16" t="n">
        <f aca="false">SUMIFS(Calc!$AN$5:$AN$1369,Calc!$A$5:$A$1369,A142)</f>
        <v>1.02361348619508</v>
      </c>
      <c r="AC142" s="17" t="n">
        <f aca="false">Country_Data!DY142</f>
        <v>0.355</v>
      </c>
      <c r="AD142" s="12" t="n">
        <f aca="false">IF(Country_Data!BD142="","",Country_Data!BD142)</f>
        <v>1.5</v>
      </c>
      <c r="AE142" s="7" t="str">
        <f aca="false">IF(Country_Data!BC142="","",Country_Data!BC142)</f>
        <v/>
      </c>
      <c r="AF142" s="12" t="str">
        <f aca="false">IF(Country_Data!BL142="","",Country_Data!BL142)</f>
        <v/>
      </c>
      <c r="AG142" s="7" t="n">
        <f aca="false">IF(Country_Data!BA142="","",Country_Data!BA142)</f>
        <v>56.133</v>
      </c>
    </row>
    <row r="143" customFormat="false" ht="15" hidden="false" customHeight="false" outlineLevel="0" collapsed="false">
      <c r="A143" s="14" t="str">
        <f aca="false">Country_Data!A143</f>
        <v>BHS</v>
      </c>
      <c r="B143" s="14" t="str">
        <f aca="false">Country_Data!B143</f>
        <v>Bahamas, The</v>
      </c>
      <c r="C143" s="14" t="str">
        <f aca="false">Country_Data!E143</f>
        <v>EMDC</v>
      </c>
      <c r="D143" s="14" t="str">
        <f aca="false">Country_Data!D143</f>
        <v>High income</v>
      </c>
      <c r="E143" s="15" t="n">
        <f aca="false">Country_Data!BV143</f>
        <v>18.0586398528586</v>
      </c>
      <c r="F143" s="16" t="n">
        <f aca="false">SUMIFS(Calc!$J$5:$J$1369,Calc!$A$5:$A$1369,A143)</f>
        <v>0.645761765688644</v>
      </c>
      <c r="G143" s="11" t="n">
        <f aca="false">IFERROR(F143/E143,"")</f>
        <v>0.0357591585496082</v>
      </c>
      <c r="H143" s="16" t="n">
        <f aca="false">SUMIFS(Calc!$L$5:$L$1369,Calc!$A$5:$A$1369,A143)</f>
        <v>0.154982823765275</v>
      </c>
      <c r="I143" s="11" t="n">
        <f aca="false">IFERROR(H143/E143,"")</f>
        <v>0.00858219805190596</v>
      </c>
      <c r="J143" s="17" t="n">
        <f aca="false">Country_Data!DW143</f>
        <v>0.105</v>
      </c>
      <c r="K143" s="14" t="str">
        <f aca="false">Country_Data!DV143</f>
        <v>Group default (IHLEG)</v>
      </c>
      <c r="L143" s="16" t="n">
        <f aca="false">SUMIFS(Calc!$W$5:$W$1369,Calc!$A$5:$A$1369,A143)</f>
        <v>0.0246885954632201</v>
      </c>
      <c r="M143" s="16" t="n">
        <f aca="false">SUMIFS(Calc!$X$5:$X$1369,Calc!$A$5:$A$1369,A143)</f>
        <v>0.00521034270779298</v>
      </c>
      <c r="N143" s="18" t="n">
        <f aca="false">SUMIFS(Calc!$AC$5:$AC$1369,Calc!$A$5:$A$1369,A143)</f>
        <v>-0.00606842561815811</v>
      </c>
      <c r="O143" s="18" t="n">
        <f aca="false">SUMIFS(Calc!$AD$5:$AD$1369,Calc!$A$5:$A$1369,A143)</f>
        <v>8.87849897990116E-005</v>
      </c>
      <c r="P143" s="18" t="n">
        <f aca="false">SUMIFS(Calc!$AE$5:$AE$1369,Calc!$A$5:$A$1369,A143)</f>
        <v>-0.0116619332167231</v>
      </c>
      <c r="Q143" s="18" t="n">
        <f aca="false">SUMIFS(Calc!$AF$5:$AF$1369,Calc!$A$5:$A$1369,A143)</f>
        <v>-0.0168722759245161</v>
      </c>
      <c r="R143" s="11" t="n">
        <f aca="false">IFERROR(N143/E143,"")</f>
        <v>-0.000336040015615988</v>
      </c>
      <c r="S143" s="11" t="n">
        <f aca="false">IFERROR(P143/E143,"")</f>
        <v>-0.000645781371783493</v>
      </c>
      <c r="T143" s="11" t="n">
        <f aca="false">IFERROR(Q143/E143,"")</f>
        <v>-0.000934304912329555</v>
      </c>
      <c r="U143" s="16" t="n">
        <f aca="false">SUMIFS(Calc!$AG$5:$AG$1369,Calc!$A$5:$A$1369,A143)</f>
        <v>-0.0232093349354856</v>
      </c>
      <c r="V143" s="16" t="n">
        <f aca="false">SUMIFS(Calc!$AH$5:$AH$1369,Calc!$A$5:$A$1369,A143)</f>
        <v>-0.0295463939464551</v>
      </c>
      <c r="W143" s="16" t="n">
        <f aca="false">SUMIFS(Calc!$Y$5:$Y$1369,Calc!$A$5:$A$1369,A143)</f>
        <v>0.12674118021939</v>
      </c>
      <c r="X143" s="7" t="n">
        <f aca="false">IFERROR(N143/W143*1000,"")</f>
        <v>-47.880456909535</v>
      </c>
      <c r="Y143" s="7" t="n">
        <f aca="false">IFERROR(P143/W143*1000,"")</f>
        <v>-92.0137653486909</v>
      </c>
      <c r="Z143" s="7" t="n">
        <f aca="false">IFERROR(Q143/W143*1000,"")</f>
        <v>-133.123866254914</v>
      </c>
      <c r="AA143" s="16" t="n">
        <f aca="false">SUMIFS(Calc!$AM$5:$AM$1369,Calc!$A$5:$A$1369,A143)</f>
        <v>0.0233062816606874</v>
      </c>
      <c r="AB143" s="16" t="n">
        <f aca="false">SUMIFS(Calc!$AN$5:$AN$1369,Calc!$A$5:$A$1369,A143)</f>
        <v>0.741299122804224</v>
      </c>
      <c r="AC143" s="17" t="n">
        <f aca="false">Country_Data!DY143</f>
        <v>0.27</v>
      </c>
      <c r="AD143" s="12" t="str">
        <f aca="false">IF(Country_Data!BD143="","",Country_Data!BD143)</f>
        <v/>
      </c>
      <c r="AE143" s="7" t="n">
        <f aca="false">IF(Country_Data!BC143="","",Country_Data!BC143)</f>
        <v>89.195</v>
      </c>
      <c r="AF143" s="12" t="str">
        <f aca="false">IF(Country_Data!BL143="","",Country_Data!BL143)</f>
        <v/>
      </c>
      <c r="AG143" s="7" t="n">
        <f aca="false">IF(Country_Data!BA143="","",Country_Data!BA143)</f>
        <v>73.813</v>
      </c>
    </row>
    <row r="144" customFormat="false" ht="15" hidden="false" customHeight="false" outlineLevel="0" collapsed="false">
      <c r="A144" s="14" t="str">
        <f aca="false">Country_Data!A144</f>
        <v>LAO</v>
      </c>
      <c r="B144" s="14" t="str">
        <f aca="false">Country_Data!B144</f>
        <v>Lao PDR</v>
      </c>
      <c r="C144" s="14" t="str">
        <f aca="false">Country_Data!E144</f>
        <v>EMDC</v>
      </c>
      <c r="D144" s="14" t="str">
        <f aca="false">Country_Data!D144</f>
        <v>Lower middle income</v>
      </c>
      <c r="E144" s="15" t="n">
        <f aca="false">Country_Data!BV144</f>
        <v>20.1428298030565</v>
      </c>
      <c r="F144" s="16" t="n">
        <f aca="false">SUMIFS(Calc!$J$5:$J$1369,Calc!$A$5:$A$1369,A144)</f>
        <v>1.72236210373281</v>
      </c>
      <c r="G144" s="11" t="n">
        <f aca="false">IFERROR(F144/E144,"")</f>
        <v>0.0855074545420354</v>
      </c>
      <c r="H144" s="16" t="n">
        <f aca="false">SUMIFS(Calc!$L$5:$L$1369,Calc!$A$5:$A$1369,A144)</f>
        <v>0.413366904895874</v>
      </c>
      <c r="I144" s="11" t="n">
        <f aca="false">IFERROR(H144/E144,"")</f>
        <v>0.0205217890900885</v>
      </c>
      <c r="J144" s="17" t="n">
        <f aca="false">Country_Data!DW144</f>
        <v>0.105</v>
      </c>
      <c r="K144" s="14" t="str">
        <f aca="false">Country_Data!DV144</f>
        <v>Group default (IHLEG)</v>
      </c>
      <c r="L144" s="16" t="n">
        <f aca="false">SUMIFS(Calc!$W$5:$W$1369,Calc!$A$5:$A$1369,A144)</f>
        <v>0.00708924928516147</v>
      </c>
      <c r="M144" s="16" t="n">
        <f aca="false">SUMIFS(Calc!$X$5:$X$1369,Calc!$A$5:$A$1369,A144)</f>
        <v>0.0194429213694877</v>
      </c>
      <c r="N144" s="18" t="n">
        <f aca="false">SUMIFS(Calc!$AC$5:$AC$1369,Calc!$A$5:$A$1369,A144)</f>
        <v>0.0406455841650387</v>
      </c>
      <c r="O144" s="18" t="n">
        <f aca="false">SUMIFS(Calc!$AD$5:$AD$1369,Calc!$A$5:$A$1369,A144)</f>
        <v>0.0574612099551582</v>
      </c>
      <c r="P144" s="18" t="n">
        <f aca="false">SUMIFS(Calc!$AE$5:$AE$1369,Calc!$A$5:$A$1369,A144)</f>
        <v>0.0253706611497885</v>
      </c>
      <c r="Q144" s="18" t="n">
        <f aca="false">SUMIFS(Calc!$AF$5:$AF$1369,Calc!$A$5:$A$1369,A144)</f>
        <v>0.00592773978030077</v>
      </c>
      <c r="R144" s="11" t="n">
        <f aca="false">IFERROR(N144/E144,"")</f>
        <v>0.00201786861937696</v>
      </c>
      <c r="S144" s="11" t="n">
        <f aca="false">IFERROR(P144/E144,"")</f>
        <v>0.00125953807870326</v>
      </c>
      <c r="T144" s="11" t="n">
        <f aca="false">IFERROR(Q144/E144,"")</f>
        <v>0.000294285353064011</v>
      </c>
      <c r="U144" s="16" t="n">
        <f aca="false">SUMIFS(Calc!$AG$5:$AG$1369,Calc!$A$5:$A$1369,A144)</f>
        <v>-0.0084212980475535</v>
      </c>
      <c r="V144" s="16" t="n">
        <f aca="false">SUMIFS(Calc!$AH$5:$AH$1369,Calc!$A$5:$A$1369,A144)</f>
        <v>-0.0227703358754078</v>
      </c>
      <c r="W144" s="16" t="n">
        <f aca="false">SUMIFS(Calc!$Y$5:$Y$1369,Calc!$A$5:$A$1369,A144)</f>
        <v>0.286980756557085</v>
      </c>
      <c r="X144" s="7" t="n">
        <f aca="false">IFERROR(N144/W144*1000,"")</f>
        <v>141.631740931569</v>
      </c>
      <c r="Y144" s="7" t="n">
        <f aca="false">IFERROR(P144/W144*1000,"")</f>
        <v>88.4054438149823</v>
      </c>
      <c r="Z144" s="7" t="n">
        <f aca="false">IFERROR(Q144/W144*1000,"")</f>
        <v>20.6555305359704</v>
      </c>
      <c r="AA144" s="16" t="n">
        <f aca="false">SUMIFS(Calc!$AM$5:$AM$1369,Calc!$A$5:$A$1369,A144)</f>
        <v>0.0636455125635425</v>
      </c>
      <c r="AB144" s="16" t="n">
        <f aca="false">SUMIFS(Calc!$AN$5:$AN$1369,Calc!$A$5:$A$1369,A144)</f>
        <v>2.18165866472822</v>
      </c>
      <c r="AC144" s="17" t="n">
        <f aca="false">Country_Data!DY144</f>
        <v>0.4</v>
      </c>
      <c r="AD144" s="12" t="n">
        <f aca="false">IF(Country_Data!BD144="","",Country_Data!BD144)</f>
        <v>1</v>
      </c>
      <c r="AE144" s="7" t="n">
        <f aca="false">IF(Country_Data!BC144="","",Country_Data!BC144)</f>
        <v>86.455</v>
      </c>
      <c r="AF144" s="12" t="n">
        <f aca="false">IF(Country_Data!BL144="","",Country_Data!BL144)</f>
        <v>6.261</v>
      </c>
      <c r="AG144" s="7" t="n">
        <f aca="false">IF(Country_Data!BA144="","",Country_Data!BA144)</f>
        <v>94.682</v>
      </c>
    </row>
    <row r="145" customFormat="false" ht="15" hidden="false" customHeight="false" outlineLevel="0" collapsed="false">
      <c r="A145" s="14" t="str">
        <f aca="false">Country_Data!A145</f>
        <v>BRN</v>
      </c>
      <c r="B145" s="14" t="str">
        <f aca="false">Country_Data!B145</f>
        <v>Brunei Darussalam</v>
      </c>
      <c r="C145" s="14" t="str">
        <f aca="false">Country_Data!E145</f>
        <v>EMDC</v>
      </c>
      <c r="D145" s="14" t="str">
        <f aca="false">Country_Data!D145</f>
        <v>High income</v>
      </c>
      <c r="E145" s="15" t="n">
        <f aca="false">Country_Data!BV145</f>
        <v>17.5384110113532</v>
      </c>
      <c r="F145" s="16" t="n">
        <f aca="false">SUMIFS(Calc!$J$5:$J$1369,Calc!$A$5:$A$1369,A145)</f>
        <v>1.11135583230304</v>
      </c>
      <c r="G145" s="11" t="n">
        <f aca="false">IFERROR(F145/E145,"")</f>
        <v>0.0633669624679007</v>
      </c>
      <c r="H145" s="16" t="n">
        <f aca="false">SUMIFS(Calc!$L$5:$L$1369,Calc!$A$5:$A$1369,A145)</f>
        <v>0.266725399752728</v>
      </c>
      <c r="I145" s="11" t="n">
        <f aca="false">IFERROR(H145/E145,"")</f>
        <v>0.0152080709922962</v>
      </c>
      <c r="J145" s="17" t="n">
        <f aca="false">Country_Data!DW145</f>
        <v>0.105</v>
      </c>
      <c r="K145" s="14" t="str">
        <f aca="false">Country_Data!DV145</f>
        <v>Group default (IHLEG)</v>
      </c>
      <c r="L145" s="16" t="n">
        <f aca="false">SUMIFS(Calc!$W$5:$W$1369,Calc!$A$5:$A$1369,A145)</f>
        <v>0.0130841385127355</v>
      </c>
      <c r="M145" s="16" t="n">
        <f aca="false">SUMIFS(Calc!$X$5:$X$1369,Calc!$A$5:$A$1369,A145)</f>
        <v>0.00728498854206712</v>
      </c>
      <c r="N145" s="18" t="n">
        <f aca="false">SUMIFS(Calc!$AC$5:$AC$1369,Calc!$A$5:$A$1369,A145)</f>
        <v>0.01814369622711</v>
      </c>
      <c r="O145" s="18" t="n">
        <f aca="false">SUMIFS(Calc!$AD$5:$AD$1369,Calc!$A$5:$A$1369,A145)</f>
        <v>0.0288942080415651</v>
      </c>
      <c r="P145" s="18" t="n">
        <f aca="false">SUMIFS(Calc!$AE$5:$AE$1369,Calc!$A$5:$A$1369,A145)</f>
        <v>0.00838144639988647</v>
      </c>
      <c r="Q145" s="18" t="n">
        <f aca="false">SUMIFS(Calc!$AF$5:$AF$1369,Calc!$A$5:$A$1369,A145)</f>
        <v>0.00109645785781935</v>
      </c>
      <c r="R145" s="11" t="n">
        <f aca="false">IFERROR(N145/E145,"")</f>
        <v>0.00103451197576365</v>
      </c>
      <c r="S145" s="11" t="n">
        <f aca="false">IFERROR(P145/E145,"")</f>
        <v>0.000477890864483725</v>
      </c>
      <c r="T145" s="11" t="n">
        <f aca="false">IFERROR(Q145/E145,"")</f>
        <v>6.25175141071543E-005</v>
      </c>
      <c r="U145" s="16" t="n">
        <f aca="false">SUMIFS(Calc!$AG$5:$AG$1369,Calc!$A$5:$A$1369,A145)</f>
        <v>-0.00890965817836878</v>
      </c>
      <c r="V145" s="16" t="n">
        <f aca="false">SUMIFS(Calc!$AH$5:$AH$1369,Calc!$A$5:$A$1369,A145)</f>
        <v>-0.0189157742145569</v>
      </c>
      <c r="W145" s="16" t="n">
        <f aca="false">SUMIFS(Calc!$Y$5:$Y$1369,Calc!$A$5:$A$1369,A145)</f>
        <v>0.200122320723763</v>
      </c>
      <c r="X145" s="7" t="n">
        <f aca="false">IFERROR(N145/W145*1000,"")</f>
        <v>90.6630312975159</v>
      </c>
      <c r="Y145" s="7" t="n">
        <f aca="false">IFERROR(P145/W145*1000,"")</f>
        <v>41.8816170508823</v>
      </c>
      <c r="Z145" s="7" t="n">
        <f aca="false">IFERROR(Q145/W145*1000,"")</f>
        <v>5.47893835057426</v>
      </c>
      <c r="AA145" s="16" t="n">
        <f aca="false">SUMIFS(Calc!$AM$5:$AM$1369,Calc!$A$5:$A$1369,A145)</f>
        <v>0.0406760409467647</v>
      </c>
      <c r="AB145" s="16" t="n">
        <f aca="false">SUMIFS(Calc!$AN$5:$AN$1369,Calc!$A$5:$A$1369,A145)</f>
        <v>1.2757755992739</v>
      </c>
      <c r="AC145" s="17" t="n">
        <f aca="false">Country_Data!DY145</f>
        <v>0.27</v>
      </c>
      <c r="AD145" s="12" t="str">
        <f aca="false">IF(Country_Data!BD145="","",Country_Data!BD145)</f>
        <v/>
      </c>
      <c r="AE145" s="7" t="str">
        <f aca="false">IF(Country_Data!BC145="","",Country_Data!BC145)</f>
        <v/>
      </c>
      <c r="AF145" s="12" t="str">
        <f aca="false">IF(Country_Data!BL145="","",Country_Data!BL145)</f>
        <v/>
      </c>
      <c r="AG145" s="7" t="n">
        <f aca="false">IF(Country_Data!BA145="","",Country_Data!BA145)</f>
        <v>1.568</v>
      </c>
    </row>
    <row r="146" customFormat="false" ht="15" hidden="false" customHeight="false" outlineLevel="0" collapsed="false">
      <c r="A146" s="14" t="str">
        <f aca="false">Country_Data!A146</f>
        <v>RWA</v>
      </c>
      <c r="B146" s="14" t="str">
        <f aca="false">Country_Data!B146</f>
        <v>Rwanda</v>
      </c>
      <c r="C146" s="14" t="str">
        <f aca="false">Country_Data!E146</f>
        <v>EMDC</v>
      </c>
      <c r="D146" s="14" t="str">
        <f aca="false">Country_Data!D146</f>
        <v>Low income</v>
      </c>
      <c r="E146" s="15" t="n">
        <f aca="false">Country_Data!BV146</f>
        <v>22.9208099826116</v>
      </c>
      <c r="F146" s="16" t="n">
        <f aca="false">SUMIFS(Calc!$J$5:$J$1369,Calc!$A$5:$A$1369,A146)</f>
        <v>0.818035762939832</v>
      </c>
      <c r="G146" s="11" t="n">
        <f aca="false">IFERROR(F146/E146,"")</f>
        <v>0.0356896533569458</v>
      </c>
      <c r="H146" s="16" t="n">
        <f aca="false">SUMIFS(Calc!$L$5:$L$1369,Calc!$A$5:$A$1369,A146)</f>
        <v>0.19632858310556</v>
      </c>
      <c r="I146" s="11" t="n">
        <f aca="false">IFERROR(H146/E146,"")</f>
        <v>0.00856551680566699</v>
      </c>
      <c r="J146" s="17" t="n">
        <f aca="false">Country_Data!DW146</f>
        <v>0.0771200000000001</v>
      </c>
      <c r="K146" s="14" t="str">
        <f aca="false">Country_Data!DV146</f>
        <v>Observed (IRENA/Steffen)</v>
      </c>
      <c r="L146" s="16" t="n">
        <f aca="false">SUMIFS(Calc!$W$5:$W$1369,Calc!$A$5:$A$1369,A146)</f>
        <v>0.011546343132903</v>
      </c>
      <c r="M146" s="16" t="n">
        <f aca="false">SUMIFS(Calc!$X$5:$X$1369,Calc!$A$5:$A$1369,A146)</f>
        <v>0.00782616693125764</v>
      </c>
      <c r="N146" s="18" t="n">
        <f aca="false">SUMIFS(Calc!$AC$5:$AC$1369,Calc!$A$5:$A$1369,A146)</f>
        <v>0.0068747636324829</v>
      </c>
      <c r="O146" s="18" t="n">
        <f aca="false">SUMIFS(Calc!$AD$5:$AD$1369,Calc!$A$5:$A$1369,A146)</f>
        <v>0.0143946305186647</v>
      </c>
      <c r="P146" s="18" t="n">
        <f aca="false">SUMIFS(Calc!$AE$5:$AE$1369,Calc!$A$5:$A$1369,A146)</f>
        <v>0.00425314803534089</v>
      </c>
      <c r="Q146" s="18" t="n">
        <f aca="false">SUMIFS(Calc!$AF$5:$AF$1369,Calc!$A$5:$A$1369,A146)</f>
        <v>-0.00357301889591674</v>
      </c>
      <c r="R146" s="11" t="n">
        <f aca="false">IFERROR(N146/E146,"")</f>
        <v>0.000299935457677905</v>
      </c>
      <c r="S146" s="11" t="n">
        <f aca="false">IFERROR(P146/E146,"")</f>
        <v>0.000185558365457741</v>
      </c>
      <c r="T146" s="11" t="n">
        <f aca="false">IFERROR(Q146/E146,"")</f>
        <v>-0.000155885367865592</v>
      </c>
      <c r="U146" s="16" t="n">
        <f aca="false">SUMIFS(Calc!$AG$5:$AG$1369,Calc!$A$5:$A$1369,A146)</f>
        <v>-0.0106792201405908</v>
      </c>
      <c r="V146" s="16" t="n">
        <f aca="false">SUMIFS(Calc!$AH$5:$AH$1369,Calc!$A$5:$A$1369,A146)</f>
        <v>-0.017785421385265</v>
      </c>
      <c r="W146" s="16" t="n">
        <f aca="false">SUMIFS(Calc!$Y$5:$Y$1369,Calc!$A$5:$A$1369,A146)</f>
        <v>0.142124024893482</v>
      </c>
      <c r="X146" s="7" t="n">
        <f aca="false">IFERROR(N146/W146*1000,"")</f>
        <v>48.3715799467074</v>
      </c>
      <c r="Y146" s="7" t="n">
        <f aca="false">IFERROR(P146/W146*1000,"")</f>
        <v>29.9256092594374</v>
      </c>
      <c r="Z146" s="7" t="n">
        <f aca="false">IFERROR(Q146/W146*1000,"")</f>
        <v>-25.1401471256856</v>
      </c>
      <c r="AA146" s="16" t="n">
        <f aca="false">SUMIFS(Calc!$AM$5:$AM$1369,Calc!$A$5:$A$1369,A146)</f>
        <v>0.010923398321425</v>
      </c>
      <c r="AB146" s="16" t="n">
        <f aca="false">SUMIFS(Calc!$AN$5:$AN$1369,Calc!$A$5:$A$1369,A146)</f>
        <v>0.887444857977151</v>
      </c>
      <c r="AC146" s="17" t="n">
        <f aca="false">Country_Data!DY146</f>
        <v>0.175</v>
      </c>
      <c r="AD146" s="12" t="n">
        <f aca="false">IF(Country_Data!BD146="","",Country_Data!BD146)</f>
        <v>3.5</v>
      </c>
      <c r="AE146" s="7" t="n">
        <f aca="false">IF(Country_Data!BC146="","",Country_Data!BC146)</f>
        <v>110.55</v>
      </c>
      <c r="AF146" s="12" t="n">
        <f aca="false">IF(Country_Data!BL146="","",Country_Data!BL146)</f>
        <v>3.592</v>
      </c>
      <c r="AG146" s="7" t="n">
        <f aca="false">IF(Country_Data!BA146="","",Country_Data!BA146)</f>
        <v>63.385</v>
      </c>
    </row>
    <row r="147" customFormat="false" ht="15" hidden="false" customHeight="false" outlineLevel="0" collapsed="false">
      <c r="A147" s="14" t="str">
        <f aca="false">Country_Data!A147</f>
        <v>MUS</v>
      </c>
      <c r="B147" s="14" t="str">
        <f aca="false">Country_Data!B147</f>
        <v>Mauritius</v>
      </c>
      <c r="C147" s="14" t="str">
        <f aca="false">Country_Data!E147</f>
        <v>EMDC</v>
      </c>
      <c r="D147" s="14" t="str">
        <f aca="false">Country_Data!D147</f>
        <v>Upper middle income</v>
      </c>
      <c r="E147" s="15" t="n">
        <f aca="false">Country_Data!BV147</f>
        <v>18.2619473911615</v>
      </c>
      <c r="F147" s="16" t="n">
        <f aca="false">SUMIFS(Calc!$J$5:$J$1369,Calc!$A$5:$A$1369,A147)</f>
        <v>0.847565582484957</v>
      </c>
      <c r="G147" s="11" t="n">
        <f aca="false">IFERROR(F147/E147,"")</f>
        <v>0.0464115663204225</v>
      </c>
      <c r="H147" s="16" t="n">
        <f aca="false">SUMIFS(Calc!$L$5:$L$1369,Calc!$A$5:$A$1369,A147)</f>
        <v>0.20341573979639</v>
      </c>
      <c r="I147" s="11" t="n">
        <f aca="false">IFERROR(H147/E147,"")</f>
        <v>0.0111387759169014</v>
      </c>
      <c r="J147" s="17" t="n">
        <f aca="false">Country_Data!DW147</f>
        <v>0.0669200000000001</v>
      </c>
      <c r="K147" s="14" t="str">
        <f aca="false">Country_Data!DV147</f>
        <v>Observed (IRENA/Steffen)</v>
      </c>
      <c r="L147" s="16" t="n">
        <f aca="false">SUMIFS(Calc!$W$5:$W$1369,Calc!$A$5:$A$1369,A147)</f>
        <v>0.0184717430914266</v>
      </c>
      <c r="M147" s="16" t="n">
        <f aca="false">SUMIFS(Calc!$X$5:$X$1369,Calc!$A$5:$A$1369,A147)</f>
        <v>0.00783237898328714</v>
      </c>
      <c r="N147" s="18" t="n">
        <f aca="false">SUMIFS(Calc!$AC$5:$AC$1369,Calc!$A$5:$A$1369,A147)</f>
        <v>-0.000966742534733056</v>
      </c>
      <c r="O147" s="18" t="n">
        <f aca="false">SUMIFS(Calc!$AD$5:$AD$1369,Calc!$A$5:$A$1369,A147)</f>
        <v>0.00662163208275169</v>
      </c>
      <c r="P147" s="18" t="n">
        <f aca="false">SUMIFS(Calc!$AE$5:$AE$1369,Calc!$A$5:$A$1369,A147)</f>
        <v>-0.00204363010648201</v>
      </c>
      <c r="Q147" s="18" t="n">
        <f aca="false">SUMIFS(Calc!$AF$5:$AF$1369,Calc!$A$5:$A$1369,A147)</f>
        <v>-0.00987600908976915</v>
      </c>
      <c r="R147" s="11" t="n">
        <f aca="false">IFERROR(N147/E147,"")</f>
        <v>-5.29375380415861E-005</v>
      </c>
      <c r="S147" s="11" t="n">
        <f aca="false">IFERROR(P147/E147,"")</f>
        <v>-0.00011190647211431</v>
      </c>
      <c r="T147" s="11" t="n">
        <f aca="false">IFERROR(Q147/E147,"")</f>
        <v>-0.000540797149297943</v>
      </c>
      <c r="U147" s="16" t="n">
        <f aca="false">SUMIFS(Calc!$AG$5:$AG$1369,Calc!$A$5:$A$1369,A147)</f>
        <v>-0.0185468906865368</v>
      </c>
      <c r="V147" s="16" t="n">
        <f aca="false">SUMIFS(Calc!$AH$5:$AH$1369,Calc!$A$5:$A$1369,A147)</f>
        <v>-0.0272177722833044</v>
      </c>
      <c r="W147" s="16" t="n">
        <f aca="false">SUMIFS(Calc!$Y$5:$Y$1369,Calc!$A$5:$A$1369,A147)</f>
        <v>0.173417631935353</v>
      </c>
      <c r="X147" s="7" t="n">
        <f aca="false">IFERROR(N147/W147*1000,"")</f>
        <v>-5.5746496128689</v>
      </c>
      <c r="Y147" s="7" t="n">
        <f aca="false">IFERROR(P147/W147*1000,"")</f>
        <v>-11.7844424680175</v>
      </c>
      <c r="Z147" s="7" t="n">
        <f aca="false">IFERROR(Q147/W147*1000,"")</f>
        <v>-56.949278914446</v>
      </c>
      <c r="AA147" s="16" t="n">
        <f aca="false">SUMIFS(Calc!$AM$5:$AM$1369,Calc!$A$5:$A$1369,A147)</f>
        <v>0.00448703154895396</v>
      </c>
      <c r="AB147" s="16" t="n">
        <f aca="false">SUMIFS(Calc!$AN$5:$AN$1369,Calc!$A$5:$A$1369,A147)</f>
        <v>0.972958846743006</v>
      </c>
      <c r="AC147" s="17" t="n">
        <f aca="false">Country_Data!DY147</f>
        <v>0.27</v>
      </c>
      <c r="AD147" s="12" t="str">
        <f aca="false">IF(Country_Data!BD147="","",Country_Data!BD147)</f>
        <v/>
      </c>
      <c r="AE147" s="7" t="n">
        <f aca="false">IF(Country_Data!BC147="","",Country_Data!BC147)</f>
        <v>82.195</v>
      </c>
      <c r="AF147" s="12" t="n">
        <f aca="false">IF(Country_Data!BL147="","",Country_Data!BL147)</f>
        <v>-1.975</v>
      </c>
      <c r="AG147" s="7" t="n">
        <f aca="false">IF(Country_Data!BA147="","",Country_Data!BA147)</f>
        <v>86.071</v>
      </c>
    </row>
    <row r="148" customFormat="false" ht="15" hidden="false" customHeight="false" outlineLevel="0" collapsed="false">
      <c r="A148" s="14" t="str">
        <f aca="false">Country_Data!A148</f>
        <v>COG</v>
      </c>
      <c r="B148" s="14" t="str">
        <f aca="false">Country_Data!B148</f>
        <v>Congo, Rep.</v>
      </c>
      <c r="C148" s="14" t="str">
        <f aca="false">Country_Data!E148</f>
        <v>EMDC</v>
      </c>
      <c r="D148" s="14" t="str">
        <f aca="false">Country_Data!D148</f>
        <v>Lower middle income</v>
      </c>
      <c r="E148" s="15" t="n">
        <f aca="false">Country_Data!BV148</f>
        <v>17.3942242321978</v>
      </c>
      <c r="F148" s="16" t="n">
        <f aca="false">SUMIFS(Calc!$J$5:$J$1369,Calc!$A$5:$A$1369,A148)</f>
        <v>1.15088464673074</v>
      </c>
      <c r="G148" s="11" t="n">
        <f aca="false">IFERROR(F148/E148,"")</f>
        <v>0.0661647585639595</v>
      </c>
      <c r="H148" s="16" t="n">
        <f aca="false">SUMIFS(Calc!$L$5:$L$1369,Calc!$A$5:$A$1369,A148)</f>
        <v>0.276212315215378</v>
      </c>
      <c r="I148" s="11" t="n">
        <f aca="false">IFERROR(H148/E148,"")</f>
        <v>0.0158795420553503</v>
      </c>
      <c r="J148" s="17" t="n">
        <f aca="false">Country_Data!DW148</f>
        <v>0.105</v>
      </c>
      <c r="K148" s="14" t="str">
        <f aca="false">Country_Data!DV148</f>
        <v>Group default (IHLEG)</v>
      </c>
      <c r="L148" s="16" t="n">
        <f aca="false">SUMIFS(Calc!$W$5:$W$1369,Calc!$A$5:$A$1369,A148)</f>
        <v>0.0105095678004762</v>
      </c>
      <c r="M148" s="16" t="n">
        <f aca="false">SUMIFS(Calc!$X$5:$X$1369,Calc!$A$5:$A$1369,A148)</f>
        <v>0.0172032102798171</v>
      </c>
      <c r="N148" s="18" t="n">
        <f aca="false">SUMIFS(Calc!$AC$5:$AC$1369,Calc!$A$5:$A$1369,A148)</f>
        <v>0.0214187439814386</v>
      </c>
      <c r="O148" s="18" t="n">
        <f aca="false">SUMIFS(Calc!$AD$5:$AD$1369,Calc!$A$5:$A$1369,A148)</f>
        <v>0.0326526618892816</v>
      </c>
      <c r="P148" s="18" t="n">
        <f aca="false">SUMIFS(Calc!$AE$5:$AE$1369,Calc!$A$5:$A$1369,A148)</f>
        <v>0.0112211412218584</v>
      </c>
      <c r="Q148" s="18" t="n">
        <f aca="false">SUMIFS(Calc!$AF$5:$AF$1369,Calc!$A$5:$A$1369,A148)</f>
        <v>-0.00598206905795876</v>
      </c>
      <c r="R148" s="11" t="n">
        <f aca="false">IFERROR(N148/E148,"")</f>
        <v>0.00123137103992204</v>
      </c>
      <c r="S148" s="11" t="n">
        <f aca="false">IFERROR(P148/E148,"")</f>
        <v>0.000645107311028411</v>
      </c>
      <c r="T148" s="11" t="n">
        <f aca="false">IFERROR(Q148/E148,"")</f>
        <v>-0.000343911230423577</v>
      </c>
      <c r="U148" s="16" t="n">
        <f aca="false">SUMIFS(Calc!$AG$5:$AG$1369,Calc!$A$5:$A$1369,A148)</f>
        <v>-0.0187052295034448</v>
      </c>
      <c r="V148" s="16" t="n">
        <f aca="false">SUMIFS(Calc!$AH$5:$AH$1369,Calc!$A$5:$A$1369,A148)</f>
        <v>-0.0314283899489308</v>
      </c>
      <c r="W148" s="16" t="n">
        <f aca="false">SUMIFS(Calc!$Y$5:$Y$1369,Calc!$A$5:$A$1369,A148)</f>
        <v>0.254463208909721</v>
      </c>
      <c r="X148" s="7" t="n">
        <f aca="false">IFERROR(N148/W148*1000,"")</f>
        <v>84.1722623604797</v>
      </c>
      <c r="Y148" s="7" t="n">
        <f aca="false">IFERROR(P148/W148*1000,"")</f>
        <v>44.0973029851221</v>
      </c>
      <c r="Z148" s="7" t="n">
        <f aca="false">IFERROR(Q148/W148*1000,"")</f>
        <v>-23.5085813921379</v>
      </c>
      <c r="AA148" s="16" t="n">
        <f aca="false">SUMIFS(Calc!$AM$5:$AM$1369,Calc!$A$5:$A$1369,A148)</f>
        <v>0.0424900114982508</v>
      </c>
      <c r="AB148" s="16" t="n">
        <f aca="false">SUMIFS(Calc!$AN$5:$AN$1369,Calc!$A$5:$A$1369,A148)</f>
        <v>1.32115251227447</v>
      </c>
      <c r="AC148" s="17" t="n">
        <f aca="false">Country_Data!DY148</f>
        <v>0.27</v>
      </c>
      <c r="AD148" s="12" t="str">
        <f aca="false">IF(Country_Data!BD148="","",Country_Data!BD148)</f>
        <v/>
      </c>
      <c r="AE148" s="7" t="str">
        <f aca="false">IF(Country_Data!BC148="","",Country_Data!BC148)</f>
        <v/>
      </c>
      <c r="AF148" s="12" t="n">
        <f aca="false">IF(Country_Data!BL148="","",Country_Data!BL148)</f>
        <v>2.645</v>
      </c>
      <c r="AG148" s="7" t="n">
        <f aca="false">IF(Country_Data!BA148="","",Country_Data!BA148)</f>
        <v>98.028</v>
      </c>
    </row>
    <row r="149" customFormat="false" ht="15" hidden="false" customHeight="false" outlineLevel="0" collapsed="false">
      <c r="A149" s="14" t="str">
        <f aca="false">Country_Data!A149</f>
        <v>TJK</v>
      </c>
      <c r="B149" s="14" t="str">
        <f aca="false">Country_Data!B149</f>
        <v>Tajikistan</v>
      </c>
      <c r="C149" s="14" t="str">
        <f aca="false">Country_Data!E149</f>
        <v>EMDC</v>
      </c>
      <c r="D149" s="14" t="str">
        <f aca="false">Country_Data!D149</f>
        <v>Lower middle income</v>
      </c>
      <c r="E149" s="15" t="n">
        <f aca="false">Country_Data!BV149</f>
        <v>20.926882525784</v>
      </c>
      <c r="F149" s="16" t="n">
        <f aca="false">SUMIFS(Calc!$J$5:$J$1369,Calc!$A$5:$A$1369,A149)</f>
        <v>1.73650297002149</v>
      </c>
      <c r="G149" s="11" t="n">
        <f aca="false">IFERROR(F149/E149,"")</f>
        <v>0.0829795344759038</v>
      </c>
      <c r="H149" s="16" t="n">
        <f aca="false">SUMIFS(Calc!$L$5:$L$1369,Calc!$A$5:$A$1369,A149)</f>
        <v>0.416760712805157</v>
      </c>
      <c r="I149" s="11" t="n">
        <f aca="false">IFERROR(H149/E149,"")</f>
        <v>0.0199150882742169</v>
      </c>
      <c r="J149" s="17" t="n">
        <f aca="false">Country_Data!DW149</f>
        <v>0.105</v>
      </c>
      <c r="K149" s="14" t="str">
        <f aca="false">Country_Data!DV149</f>
        <v>Group default (IHLEG)</v>
      </c>
      <c r="L149" s="16" t="n">
        <f aca="false">SUMIFS(Calc!$W$5:$W$1369,Calc!$A$5:$A$1369,A149)</f>
        <v>0.00831604685949427</v>
      </c>
      <c r="M149" s="16" t="n">
        <f aca="false">SUMIFS(Calc!$X$5:$X$1369,Calc!$A$5:$A$1369,A149)</f>
        <v>0.0102833432434762</v>
      </c>
      <c r="N149" s="18" t="n">
        <f aca="false">SUMIFS(Calc!$AC$5:$AC$1369,Calc!$A$5:$A$1369,A149)</f>
        <v>0.039656775268287</v>
      </c>
      <c r="O149" s="18" t="n">
        <f aca="false">SUMIFS(Calc!$AD$5:$AD$1369,Calc!$A$5:$A$1369,A149)</f>
        <v>0.0566342933651691</v>
      </c>
      <c r="P149" s="18" t="n">
        <f aca="false">SUMIFS(Calc!$AE$5:$AE$1369,Calc!$A$5:$A$1369,A149)</f>
        <v>0.0242292288463383</v>
      </c>
      <c r="Q149" s="18" t="n">
        <f aca="false">SUMIFS(Calc!$AF$5:$AF$1369,Calc!$A$5:$A$1369,A149)</f>
        <v>0.0139458856028622</v>
      </c>
      <c r="R149" s="11" t="n">
        <f aca="false">IFERROR(N149/E149,"")</f>
        <v>0.00189501590690471</v>
      </c>
      <c r="S149" s="11" t="n">
        <f aca="false">IFERROR(P149/E149,"")</f>
        <v>0.00115780402630375</v>
      </c>
      <c r="T149" s="11" t="n">
        <f aca="false">IFERROR(Q149/E149,"")</f>
        <v>0.000666410086914735</v>
      </c>
      <c r="U149" s="16" t="n">
        <f aca="false">SUMIFS(Calc!$AG$5:$AG$1369,Calc!$A$5:$A$1369,A149)</f>
        <v>0.00590430285510581</v>
      </c>
      <c r="V149" s="16" t="n">
        <f aca="false">SUMIFS(Calc!$AH$5:$AH$1369,Calc!$A$5:$A$1369,A149)</f>
        <v>-0.00213727989265058</v>
      </c>
      <c r="W149" s="16" t="n">
        <f aca="false">SUMIFS(Calc!$Y$5:$Y$1369,Calc!$A$5:$A$1369,A149)</f>
        <v>0.160831654955128</v>
      </c>
      <c r="X149" s="7" t="n">
        <f aca="false">IFERROR(N149/W149*1000,"")</f>
        <v>246.573196547354</v>
      </c>
      <c r="Y149" s="7" t="n">
        <f aca="false">IFERROR(P149/W149*1000,"")</f>
        <v>150.649627109156</v>
      </c>
      <c r="Z149" s="7" t="n">
        <f aca="false">IFERROR(Q149/W149*1000,"")</f>
        <v>86.7110744259463</v>
      </c>
      <c r="AA149" s="16" t="n">
        <f aca="false">SUMIFS(Calc!$AM$5:$AM$1369,Calc!$A$5:$A$1369,A149)</f>
        <v>0.064281443424786</v>
      </c>
      <c r="AB149" s="16" t="n">
        <f aca="false">SUMIFS(Calc!$AN$5:$AN$1369,Calc!$A$5:$A$1369,A149)</f>
        <v>1.98693741195656</v>
      </c>
      <c r="AC149" s="17" t="n">
        <f aca="false">Country_Data!DY149</f>
        <v>0.265</v>
      </c>
      <c r="AD149" s="12" t="n">
        <f aca="false">IF(Country_Data!BD149="","",Country_Data!BD149)</f>
        <v>2.5</v>
      </c>
      <c r="AE149" s="7" t="n">
        <f aca="false">IF(Country_Data!BC149="","",Country_Data!BC149)</f>
        <v>117.149</v>
      </c>
      <c r="AF149" s="12" t="n">
        <f aca="false">IF(Country_Data!BL149="","",Country_Data!BL149)</f>
        <v>1.152</v>
      </c>
      <c r="AG149" s="7" t="n">
        <f aca="false">IF(Country_Data!BA149="","",Country_Data!BA149)</f>
        <v>24.906</v>
      </c>
    </row>
    <row r="150" customFormat="false" ht="15" hidden="false" customHeight="false" outlineLevel="0" collapsed="false">
      <c r="A150" s="14" t="str">
        <f aca="false">Country_Data!A150</f>
        <v>NAM</v>
      </c>
      <c r="B150" s="14" t="str">
        <f aca="false">Country_Data!B150</f>
        <v>Namibia</v>
      </c>
      <c r="C150" s="14" t="str">
        <f aca="false">Country_Data!E150</f>
        <v>EMDC</v>
      </c>
      <c r="D150" s="14" t="str">
        <f aca="false">Country_Data!D150</f>
        <v>Lower middle income</v>
      </c>
      <c r="E150" s="15" t="n">
        <f aca="false">Country_Data!BV150</f>
        <v>15.417570232197</v>
      </c>
      <c r="F150" s="16" t="n">
        <f aca="false">SUMIFS(Calc!$J$5:$J$1369,Calc!$A$5:$A$1369,A150)</f>
        <v>1.17433418130671</v>
      </c>
      <c r="G150" s="11" t="n">
        <f aca="false">IFERROR(F150/E150,"")</f>
        <v>0.0761685637633297</v>
      </c>
      <c r="H150" s="16" t="n">
        <f aca="false">SUMIFS(Calc!$L$5:$L$1369,Calc!$A$5:$A$1369,A150)</f>
        <v>0.281840203513611</v>
      </c>
      <c r="I150" s="11" t="n">
        <f aca="false">IFERROR(H150/E150,"")</f>
        <v>0.0182804553031991</v>
      </c>
      <c r="J150" s="17" t="n">
        <f aca="false">Country_Data!DW150</f>
        <v>0.06284</v>
      </c>
      <c r="K150" s="14" t="str">
        <f aca="false">Country_Data!DV150</f>
        <v>Observed (IRENA/Steffen)</v>
      </c>
      <c r="L150" s="16" t="n">
        <f aca="false">SUMIFS(Calc!$W$5:$W$1369,Calc!$A$5:$A$1369,A150)</f>
        <v>0.0103988086253484</v>
      </c>
      <c r="M150" s="16" t="n">
        <f aca="false">SUMIFS(Calc!$X$5:$X$1369,Calc!$A$5:$A$1369,A150)</f>
        <v>0.0125528776724613</v>
      </c>
      <c r="N150" s="18" t="n">
        <f aca="false">SUMIFS(Calc!$AC$5:$AC$1369,Calc!$A$5:$A$1369,A150)</f>
        <v>0.0131620525364863</v>
      </c>
      <c r="O150" s="18" t="n">
        <f aca="false">SUMIFS(Calc!$AD$5:$AD$1369,Calc!$A$5:$A$1369,A150)</f>
        <v>0.0235461219945668</v>
      </c>
      <c r="P150" s="18" t="n">
        <f aca="false">SUMIFS(Calc!$AE$5:$AE$1369,Calc!$A$5:$A$1369,A150)</f>
        <v>0.0125553057322087</v>
      </c>
      <c r="Q150" s="18" t="n">
        <f aca="false">SUMIFS(Calc!$AF$5:$AF$1369,Calc!$A$5:$A$1369,A150)</f>
        <v>2.42805974743797E-006</v>
      </c>
      <c r="R150" s="11" t="n">
        <f aca="false">IFERROR(N150/E150,"")</f>
        <v>0.000853704723783227</v>
      </c>
      <c r="S150" s="11" t="n">
        <f aca="false">IFERROR(P150/E150,"")</f>
        <v>0.000814350480855217</v>
      </c>
      <c r="T150" s="11" t="n">
        <f aca="false">IFERROR(Q150/E150,"")</f>
        <v>1.5748653716961E-007</v>
      </c>
      <c r="U150" s="16" t="n">
        <f aca="false">SUMIFS(Calc!$AG$5:$AG$1369,Calc!$A$5:$A$1369,A150)</f>
        <v>-0.00879417145890951</v>
      </c>
      <c r="V150" s="16" t="n">
        <f aca="false">SUMIFS(Calc!$AH$5:$AH$1369,Calc!$A$5:$A$1369,A150)</f>
        <v>-0.0175907709775665</v>
      </c>
      <c r="W150" s="16" t="n">
        <f aca="false">SUMIFS(Calc!$Y$5:$Y$1369,Calc!$A$5:$A$1369,A150)</f>
        <v>0.175931990373139</v>
      </c>
      <c r="X150" s="7" t="n">
        <f aca="false">IFERROR(N150/W150*1000,"")</f>
        <v>74.8132986421089</v>
      </c>
      <c r="Y150" s="7" t="n">
        <f aca="false">IFERROR(P150/W150*1000,"")</f>
        <v>71.3645409546032</v>
      </c>
      <c r="Z150" s="7" t="n">
        <f aca="false">IFERROR(Q150/W150*1000,"")</f>
        <v>0.0138011270280534</v>
      </c>
      <c r="AA150" s="16" t="n">
        <f aca="false">SUMIFS(Calc!$AM$5:$AM$1369,Calc!$A$5:$A$1369,A150)</f>
        <v>0.00252811168448974</v>
      </c>
      <c r="AB150" s="16" t="n">
        <f aca="false">SUMIFS(Calc!$AN$5:$AN$1369,Calc!$A$5:$A$1369,A150)</f>
        <v>1.34807129306168</v>
      </c>
      <c r="AC150" s="17" t="n">
        <f aca="false">Country_Data!DY150</f>
        <v>0.27</v>
      </c>
      <c r="AD150" s="12" t="str">
        <f aca="false">IF(Country_Data!BD150="","",Country_Data!BD150)</f>
        <v/>
      </c>
      <c r="AE150" s="7" t="n">
        <f aca="false">IF(Country_Data!BC150="","",Country_Data!BC150)</f>
        <v>81.128</v>
      </c>
      <c r="AF150" s="12" t="str">
        <f aca="false">IF(Country_Data!BL150="","",Country_Data!BL150)</f>
        <v/>
      </c>
      <c r="AG150" s="7" t="n">
        <f aca="false">IF(Country_Data!BA150="","",Country_Data!BA150)</f>
        <v>69.837</v>
      </c>
    </row>
    <row r="151" customFormat="false" ht="15" hidden="false" customHeight="false" outlineLevel="0" collapsed="false">
      <c r="A151" s="14" t="str">
        <f aca="false">Country_Data!A151</f>
        <v>GNQ</v>
      </c>
      <c r="B151" s="14" t="str">
        <f aca="false">Country_Data!B151</f>
        <v>Equatorial Guinea</v>
      </c>
      <c r="C151" s="14" t="str">
        <f aca="false">Country_Data!E151</f>
        <v>EMDC</v>
      </c>
      <c r="D151" s="14" t="str">
        <f aca="false">Country_Data!D151</f>
        <v>Upper middle income</v>
      </c>
      <c r="E151" s="15" t="n">
        <f aca="false">Country_Data!BV151</f>
        <v>10.43528197255</v>
      </c>
      <c r="F151" s="16" t="n">
        <f aca="false">SUMIFS(Calc!$J$5:$J$1369,Calc!$A$5:$A$1369,A151)</f>
        <v>0.731291534404296</v>
      </c>
      <c r="G151" s="11" t="n">
        <f aca="false">IFERROR(F151/E151,"")</f>
        <v>0.0700787517125034</v>
      </c>
      <c r="H151" s="16" t="n">
        <f aca="false">SUMIFS(Calc!$L$5:$L$1369,Calc!$A$5:$A$1369,A151)</f>
        <v>0.175509968257031</v>
      </c>
      <c r="I151" s="11" t="n">
        <f aca="false">IFERROR(H151/E151,"")</f>
        <v>0.0168189004110008</v>
      </c>
      <c r="J151" s="17" t="n">
        <f aca="false">Country_Data!DW151</f>
        <v>0.105</v>
      </c>
      <c r="K151" s="14" t="str">
        <f aca="false">Country_Data!DV151</f>
        <v>Group default (IHLEG)</v>
      </c>
      <c r="L151" s="16" t="n">
        <f aca="false">SUMIFS(Calc!$W$5:$W$1369,Calc!$A$5:$A$1369,A151)</f>
        <v>0.00580165583556287</v>
      </c>
      <c r="M151" s="16" t="n">
        <f aca="false">SUMIFS(Calc!$X$5:$X$1369,Calc!$A$5:$A$1369,A151)</f>
        <v>0.00852153027988028</v>
      </c>
      <c r="N151" s="18" t="n">
        <f aca="false">SUMIFS(Calc!$AC$5:$AC$1369,Calc!$A$5:$A$1369,A151)</f>
        <v>0.0145542787923298</v>
      </c>
      <c r="O151" s="18" t="n">
        <f aca="false">SUMIFS(Calc!$AD$5:$AD$1369,Calc!$A$5:$A$1369,A151)</f>
        <v>0.0216695129331364</v>
      </c>
      <c r="P151" s="18" t="n">
        <f aca="false">SUMIFS(Calc!$AE$5:$AE$1369,Calc!$A$5:$A$1369,A151)</f>
        <v>0.00809717866173221</v>
      </c>
      <c r="Q151" s="18" t="n">
        <f aca="false">SUMIFS(Calc!$AF$5:$AF$1369,Calc!$A$5:$A$1369,A151)</f>
        <v>-0.000424351618148074</v>
      </c>
      <c r="R151" s="11" t="n">
        <f aca="false">IFERROR(N151/E151,"")</f>
        <v>0.00139471830570701</v>
      </c>
      <c r="S151" s="11" t="n">
        <f aca="false">IFERROR(P151/E151,"")</f>
        <v>0.000775942488476287</v>
      </c>
      <c r="T151" s="11" t="n">
        <f aca="false">IFERROR(Q151/E151,"")</f>
        <v>-4.06650840163523E-005</v>
      </c>
      <c r="U151" s="16" t="n">
        <f aca="false">SUMIFS(Calc!$AG$5:$AG$1369,Calc!$A$5:$A$1369,A151)</f>
        <v>-0.00731174753185375</v>
      </c>
      <c r="V151" s="16" t="n">
        <f aca="false">SUMIFS(Calc!$AH$5:$AH$1369,Calc!$A$5:$A$1369,A151)</f>
        <v>-0.0141991434455594</v>
      </c>
      <c r="W151" s="16" t="n">
        <f aca="false">SUMIFS(Calc!$Y$5:$Y$1369,Calc!$A$5:$A$1369,A151)</f>
        <v>0.137747918274114</v>
      </c>
      <c r="X151" s="7" t="n">
        <f aca="false">IFERROR(N151/W151*1000,"")</f>
        <v>105.658793066966</v>
      </c>
      <c r="Y151" s="7" t="n">
        <f aca="false">IFERROR(P151/W151*1000,"")</f>
        <v>58.7825846167715</v>
      </c>
      <c r="Z151" s="7" t="n">
        <f aca="false">IFERROR(Q151/W151*1000,"")</f>
        <v>-3.0806390649304</v>
      </c>
      <c r="AA151" s="16" t="n">
        <f aca="false">SUMIFS(Calc!$AM$5:$AM$1369,Calc!$A$5:$A$1369,A151)</f>
        <v>0.0269045838774901</v>
      </c>
      <c r="AB151" s="16" t="n">
        <f aca="false">SUMIFS(Calc!$AN$5:$AN$1369,Calc!$A$5:$A$1369,A151)</f>
        <v>0.839482610727123</v>
      </c>
      <c r="AC151" s="17" t="n">
        <f aca="false">Country_Data!DY151</f>
        <v>0.27</v>
      </c>
      <c r="AD151" s="12" t="str">
        <f aca="false">IF(Country_Data!BD151="","",Country_Data!BD151)</f>
        <v/>
      </c>
      <c r="AE151" s="7" t="n">
        <f aca="false">IF(Country_Data!BC151="","",Country_Data!BC151)</f>
        <v>152.021</v>
      </c>
      <c r="AF151" s="12" t="str">
        <f aca="false">IF(Country_Data!BL151="","",Country_Data!BL151)</f>
        <v/>
      </c>
      <c r="AG151" s="7" t="n">
        <f aca="false">IF(Country_Data!BA151="","",Country_Data!BA151)</f>
        <v>36.436</v>
      </c>
    </row>
    <row r="152" customFormat="false" ht="15" hidden="false" customHeight="false" outlineLevel="0" collapsed="false">
      <c r="A152" s="14" t="str">
        <f aca="false">Country_Data!A152</f>
        <v>SOM</v>
      </c>
      <c r="B152" s="14" t="str">
        <f aca="false">Country_Data!B152</f>
        <v>Somalia, Fed. Rep.</v>
      </c>
      <c r="C152" s="14" t="str">
        <f aca="false">Country_Data!E152</f>
        <v>EMDC</v>
      </c>
      <c r="D152" s="14" t="str">
        <f aca="false">Country_Data!D152</f>
        <v>Low income</v>
      </c>
      <c r="E152" s="15" t="n">
        <f aca="false">Country_Data!BV152</f>
        <v>14.2410928195233</v>
      </c>
      <c r="F152" s="16" t="n">
        <f aca="false">SUMIFS(Calc!$J$5:$J$1369,Calc!$A$5:$A$1369,A152)</f>
        <v>1.27782526026003</v>
      </c>
      <c r="G152" s="11" t="n">
        <f aca="false">IFERROR(F152/E152,"")</f>
        <v>0.0897280339685897</v>
      </c>
      <c r="H152" s="16" t="n">
        <f aca="false">SUMIFS(Calc!$L$5:$L$1369,Calc!$A$5:$A$1369,A152)</f>
        <v>0.306678062462407</v>
      </c>
      <c r="I152" s="11" t="n">
        <f aca="false">IFERROR(H152/E152,"")</f>
        <v>0.0215347281524615</v>
      </c>
      <c r="J152" s="17" t="n">
        <f aca="false">Country_Data!DW152</f>
        <v>0.105</v>
      </c>
      <c r="K152" s="14" t="str">
        <f aca="false">Country_Data!DV152</f>
        <v>Group default (IHLEG)</v>
      </c>
      <c r="L152" s="16" t="n">
        <f aca="false">SUMIFS(Calc!$W$5:$W$1369,Calc!$A$5:$A$1369,A152)</f>
        <v>0.0133070688804819</v>
      </c>
      <c r="M152" s="16" t="n">
        <f aca="false">SUMIFS(Calc!$X$5:$X$1369,Calc!$A$5:$A$1369,A152)</f>
        <v>0.0274748057835428</v>
      </c>
      <c r="N152" s="18" t="n">
        <f aca="false">SUMIFS(Calc!$AC$5:$AC$1369,Calc!$A$5:$A$1369,A152)</f>
        <v>0.0214803696523488</v>
      </c>
      <c r="O152" s="18" t="n">
        <f aca="false">SUMIFS(Calc!$AD$5:$AD$1369,Calc!$A$5:$A$1369,A152)</f>
        <v>0.0340948675574417</v>
      </c>
      <c r="P152" s="18" t="n">
        <f aca="false">SUMIFS(Calc!$AE$5:$AE$1369,Calc!$A$5:$A$1369,A152)</f>
        <v>0.010035930810383</v>
      </c>
      <c r="Q152" s="18" t="n">
        <f aca="false">SUMIFS(Calc!$AF$5:$AF$1369,Calc!$A$5:$A$1369,A152)</f>
        <v>-0.0174388749731597</v>
      </c>
      <c r="R152" s="11" t="n">
        <f aca="false">IFERROR(N152/E152,"")</f>
        <v>0.00150833717078938</v>
      </c>
      <c r="S152" s="11" t="n">
        <f aca="false">IFERROR(P152/E152,"")</f>
        <v>0.0007047163400708</v>
      </c>
      <c r="T152" s="11" t="n">
        <f aca="false">IFERROR(Q152/E152,"")</f>
        <v>-0.00122454612115529</v>
      </c>
      <c r="U152" s="16" t="n">
        <f aca="false">SUMIFS(Calc!$AG$5:$AG$1369,Calc!$A$5:$A$1369,A152)</f>
        <v>-0.0357849713072505</v>
      </c>
      <c r="V152" s="16" t="n">
        <f aca="false">SUMIFS(Calc!$AH$5:$AH$1369,Calc!$A$5:$A$1369,A152)</f>
        <v>-0.0541310676413412</v>
      </c>
      <c r="W152" s="16" t="n">
        <f aca="false">SUMIFS(Calc!$Y$5:$Y$1369,Calc!$A$5:$A$1369,A152)</f>
        <v>0.366921926681815</v>
      </c>
      <c r="X152" s="7" t="n">
        <f aca="false">IFERROR(N152/W152*1000,"")</f>
        <v>58.5420714608207</v>
      </c>
      <c r="Y152" s="7" t="n">
        <f aca="false">IFERROR(P152/W152*1000,"")</f>
        <v>27.3516791464085</v>
      </c>
      <c r="Z152" s="7" t="n">
        <f aca="false">IFERROR(Q152/W152*1000,"")</f>
        <v>-47.5274812025128</v>
      </c>
      <c r="AA152" s="16" t="n">
        <f aca="false">SUMIFS(Calc!$AM$5:$AM$1369,Calc!$A$5:$A$1369,A152)</f>
        <v>0.0476851618415241</v>
      </c>
      <c r="AB152" s="16" t="n">
        <f aca="false">SUMIFS(Calc!$AN$5:$AN$1369,Calc!$A$5:$A$1369,A152)</f>
        <v>1.61857866299604</v>
      </c>
      <c r="AC152" s="17" t="n">
        <f aca="false">Country_Data!DY152</f>
        <v>0.4</v>
      </c>
      <c r="AD152" s="12" t="str">
        <f aca="false">IF(Country_Data!BD152="","",Country_Data!BD152)</f>
        <v/>
      </c>
      <c r="AE152" s="7" t="n">
        <f aca="false">IF(Country_Data!BC152="","",Country_Data!BC152)</f>
        <v>2.568</v>
      </c>
      <c r="AF152" s="12" t="str">
        <f aca="false">IF(Country_Data!BL152="","",Country_Data!BL152)</f>
        <v/>
      </c>
      <c r="AG152" s="7" t="str">
        <f aca="false">IF(Country_Data!BA152="","",Country_Data!BA152)</f>
        <v/>
      </c>
    </row>
    <row r="153" customFormat="false" ht="15" hidden="false" customHeight="false" outlineLevel="0" collapsed="false">
      <c r="A153" s="14" t="str">
        <f aca="false">Country_Data!A153</f>
        <v>MWI</v>
      </c>
      <c r="B153" s="14" t="str">
        <f aca="false">Country_Data!B153</f>
        <v>Malawi</v>
      </c>
      <c r="C153" s="14" t="str">
        <f aca="false">Country_Data!E153</f>
        <v>EMDC</v>
      </c>
      <c r="D153" s="14" t="str">
        <f aca="false">Country_Data!D153</f>
        <v>Low income</v>
      </c>
      <c r="E153" s="15" t="n">
        <f aca="false">Country_Data!BV153</f>
        <v>13.4373096910243</v>
      </c>
      <c r="F153" s="16" t="n">
        <f aca="false">SUMIFS(Calc!$J$5:$J$1369,Calc!$A$5:$A$1369,A153)</f>
        <v>0.951675039345942</v>
      </c>
      <c r="G153" s="11" t="n">
        <f aca="false">IFERROR(F153/E153,"")</f>
        <v>0.0708233315469116</v>
      </c>
      <c r="H153" s="16" t="n">
        <f aca="false">SUMIFS(Calc!$L$5:$L$1369,Calc!$A$5:$A$1369,A153)</f>
        <v>0.228402009443026</v>
      </c>
      <c r="I153" s="11" t="n">
        <f aca="false">IFERROR(H153/E153,"")</f>
        <v>0.0169975995712588</v>
      </c>
      <c r="J153" s="17" t="n">
        <f aca="false">Country_Data!DW153</f>
        <v>0.105</v>
      </c>
      <c r="K153" s="14" t="str">
        <f aca="false">Country_Data!DV153</f>
        <v>Group default (IHLEG)</v>
      </c>
      <c r="L153" s="16" t="n">
        <f aca="false">SUMIFS(Calc!$W$5:$W$1369,Calc!$A$5:$A$1369,A153)</f>
        <v>0.00456644416009095</v>
      </c>
      <c r="M153" s="16" t="n">
        <f aca="false">SUMIFS(Calc!$X$5:$X$1369,Calc!$A$5:$A$1369,A153)</f>
        <v>0.0129366782047151</v>
      </c>
      <c r="N153" s="18" t="n">
        <f aca="false">SUMIFS(Calc!$AC$5:$AC$1369,Calc!$A$5:$A$1369,A153)</f>
        <v>0.0219475831374374</v>
      </c>
      <c r="O153" s="18" t="n">
        <f aca="false">SUMIFS(Calc!$AD$5:$AD$1369,Calc!$A$5:$A$1369,A153)</f>
        <v>0.0312180815443014</v>
      </c>
      <c r="P153" s="18" t="n">
        <f aca="false">SUMIFS(Calc!$AE$5:$AE$1369,Calc!$A$5:$A$1369,A153)</f>
        <v>0.0135294752669472</v>
      </c>
      <c r="Q153" s="18" t="n">
        <f aca="false">SUMIFS(Calc!$AF$5:$AF$1369,Calc!$A$5:$A$1369,A153)</f>
        <v>0.000592797062232139</v>
      </c>
      <c r="R153" s="11" t="n">
        <f aca="false">IFERROR(N153/E153,"")</f>
        <v>0.00163333164465932</v>
      </c>
      <c r="S153" s="11" t="n">
        <f aca="false">IFERROR(P153/E153,"")</f>
        <v>0.00100685893069686</v>
      </c>
      <c r="T153" s="11" t="n">
        <f aca="false">IFERROR(Q153/E153,"")</f>
        <v>4.41157550032585E-005</v>
      </c>
      <c r="U153" s="16" t="n">
        <f aca="false">SUMIFS(Calc!$AG$5:$AG$1369,Calc!$A$5:$A$1369,A153)</f>
        <v>-0.00792328593685456</v>
      </c>
      <c r="V153" s="16" t="n">
        <f aca="false">SUMIFS(Calc!$AH$5:$AH$1369,Calc!$A$5:$A$1369,A153)</f>
        <v>-0.0164393689359413</v>
      </c>
      <c r="W153" s="16" t="n">
        <f aca="false">SUMIFS(Calc!$Y$5:$Y$1369,Calc!$A$5:$A$1369,A153)</f>
        <v>0.170321659981734</v>
      </c>
      <c r="X153" s="7" t="n">
        <f aca="false">IFERROR(N153/W153*1000,"")</f>
        <v>128.859612686907</v>
      </c>
      <c r="Y153" s="7" t="n">
        <f aca="false">IFERROR(P153/W153*1000,"")</f>
        <v>79.4348485588866</v>
      </c>
      <c r="Z153" s="7" t="n">
        <f aca="false">IFERROR(Q153/W153*1000,"")</f>
        <v>3.48045611048949</v>
      </c>
      <c r="AA153" s="16" t="n">
        <f aca="false">SUMIFS(Calc!$AM$5:$AM$1369,Calc!$A$5:$A$1369,A153)</f>
        <v>0.0350754494603756</v>
      </c>
      <c r="AB153" s="16" t="n">
        <f aca="false">SUMIFS(Calc!$AN$5:$AN$1369,Calc!$A$5:$A$1369,A153)</f>
        <v>1.16119109451978</v>
      </c>
      <c r="AC153" s="17" t="n">
        <f aca="false">Country_Data!DY153</f>
        <v>0.355</v>
      </c>
      <c r="AD153" s="12" t="n">
        <f aca="false">IF(Country_Data!BD153="","",Country_Data!BD153)</f>
        <v>1.5</v>
      </c>
      <c r="AE153" s="7" t="n">
        <f aca="false">IF(Country_Data!BC153="","",Country_Data!BC153)</f>
        <v>47.112</v>
      </c>
      <c r="AF153" s="12" t="str">
        <f aca="false">IF(Country_Data!BL153="","",Country_Data!BL153)</f>
        <v/>
      </c>
      <c r="AG153" s="7" t="n">
        <f aca="false">IF(Country_Data!BA153="","",Country_Data!BA153)</f>
        <v>87.628</v>
      </c>
    </row>
    <row r="154" customFormat="false" ht="15" hidden="false" customHeight="false" outlineLevel="0" collapsed="false">
      <c r="A154" s="14" t="str">
        <f aca="false">Country_Data!A154</f>
        <v>XKX</v>
      </c>
      <c r="B154" s="14" t="str">
        <f aca="false">Country_Data!B154</f>
        <v>Kosovo</v>
      </c>
      <c r="C154" s="14" t="str">
        <f aca="false">Country_Data!E154</f>
        <v>EMDC</v>
      </c>
      <c r="D154" s="14" t="str">
        <f aca="false">Country_Data!D154</f>
        <v>Upper middle income</v>
      </c>
      <c r="E154" s="15" t="n">
        <f aca="false">Country_Data!BV154</f>
        <v>13.6471402810911</v>
      </c>
      <c r="F154" s="16" t="n">
        <f aca="false">SUMIFS(Calc!$J$5:$J$1369,Calc!$A$5:$A$1369,A154)</f>
        <v>0.933971717443655</v>
      </c>
      <c r="G154" s="11" t="n">
        <f aca="false">IFERROR(F154/E154,"")</f>
        <v>0.0684371742509109</v>
      </c>
      <c r="H154" s="16" t="n">
        <f aca="false">SUMIFS(Calc!$L$5:$L$1369,Calc!$A$5:$A$1369,A154)</f>
        <v>0.224153212186477</v>
      </c>
      <c r="I154" s="11" t="n">
        <f aca="false">IFERROR(H154/E154,"")</f>
        <v>0.0164249218202186</v>
      </c>
      <c r="J154" s="17" t="n">
        <f aca="false">Country_Data!DW154</f>
        <v>0.105</v>
      </c>
      <c r="K154" s="14" t="str">
        <f aca="false">Country_Data!DV154</f>
        <v>Group default (IHLEG)</v>
      </c>
      <c r="L154" s="16" t="n">
        <f aca="false">SUMIFS(Calc!$W$5:$W$1369,Calc!$A$5:$A$1369,A154)</f>
        <v>0.0103689685630615</v>
      </c>
      <c r="M154" s="16" t="n">
        <f aca="false">SUMIFS(Calc!$X$5:$X$1369,Calc!$A$5:$A$1369,A154)</f>
        <v>0.00302135350685445</v>
      </c>
      <c r="N154" s="18" t="n">
        <f aca="false">SUMIFS(Calc!$AC$5:$AC$1369,Calc!$A$5:$A$1369,A154)</f>
        <v>0.0161120952106112</v>
      </c>
      <c r="O154" s="18" t="n">
        <f aca="false">SUMIFS(Calc!$AD$5:$AD$1369,Calc!$A$5:$A$1369,A154)</f>
        <v>0.0251074142177135</v>
      </c>
      <c r="P154" s="18" t="n">
        <f aca="false">SUMIFS(Calc!$AE$5:$AE$1369,Calc!$A$5:$A$1369,A154)</f>
        <v>0.00793593930152851</v>
      </c>
      <c r="Q154" s="18" t="n">
        <f aca="false">SUMIFS(Calc!$AF$5:$AF$1369,Calc!$A$5:$A$1369,A154)</f>
        <v>0.00491458579467406</v>
      </c>
      <c r="R154" s="11" t="n">
        <f aca="false">IFERROR(N154/E154,"")</f>
        <v>0.00118062061932019</v>
      </c>
      <c r="S154" s="11" t="n">
        <f aca="false">IFERROR(P154/E154,"")</f>
        <v>0.000581509322691159</v>
      </c>
      <c r="T154" s="11" t="n">
        <f aca="false">IFERROR(Q154/E154,"")</f>
        <v>0.000360118361315851</v>
      </c>
      <c r="U154" s="16" t="n">
        <f aca="false">SUMIFS(Calc!$AG$5:$AG$1369,Calc!$A$5:$A$1369,A154)</f>
        <v>-0.00513385491970894</v>
      </c>
      <c r="V154" s="16" t="n">
        <f aca="false">SUMIFS(Calc!$AH$5:$AH$1369,Calc!$A$5:$A$1369,A154)</f>
        <v>-0.0151822956340919</v>
      </c>
      <c r="W154" s="16" t="n">
        <f aca="false">SUMIFS(Calc!$Y$5:$Y$1369,Calc!$A$5:$A$1369,A154)</f>
        <v>0.20096881428766</v>
      </c>
      <c r="X154" s="7" t="n">
        <f aca="false">IFERROR(N154/W154*1000,"")</f>
        <v>80.1721165929202</v>
      </c>
      <c r="Y154" s="7" t="n">
        <f aca="false">IFERROR(P154/W154*1000,"")</f>
        <v>39.4884118198024</v>
      </c>
      <c r="Z154" s="7" t="n">
        <f aca="false">IFERROR(Q154/W154*1000,"")</f>
        <v>24.4544697747954</v>
      </c>
      <c r="AA154" s="16" t="n">
        <f aca="false">SUMIFS(Calc!$AM$5:$AM$1369,Calc!$A$5:$A$1369,A154)</f>
        <v>0.0340673162878446</v>
      </c>
      <c r="AB154" s="16" t="n">
        <f aca="false">SUMIFS(Calc!$AN$5:$AN$1369,Calc!$A$5:$A$1369,A154)</f>
        <v>1.06866695832669</v>
      </c>
      <c r="AC154" s="17" t="n">
        <f aca="false">Country_Data!DY154</f>
        <v>0.265</v>
      </c>
      <c r="AD154" s="12" t="n">
        <f aca="false">IF(Country_Data!BD154="","",Country_Data!BD154)</f>
        <v>2.5</v>
      </c>
      <c r="AE154" s="7" t="n">
        <f aca="false">IF(Country_Data!BC154="","",Country_Data!BC154)</f>
        <v>67.605</v>
      </c>
      <c r="AF154" s="12" t="n">
        <f aca="false">IF(Country_Data!BL154="","",Country_Data!BL154)</f>
        <v>1.321</v>
      </c>
      <c r="AG154" s="7" t="n">
        <f aca="false">IF(Country_Data!BA154="","",Country_Data!BA154)</f>
        <v>17.916</v>
      </c>
    </row>
    <row r="155" customFormat="false" ht="15" hidden="false" customHeight="false" outlineLevel="0" collapsed="false">
      <c r="A155" s="14" t="str">
        <f aca="false">Country_Data!A155</f>
        <v>MRT</v>
      </c>
      <c r="B155" s="14" t="str">
        <f aca="false">Country_Data!B155</f>
        <v>Mauritania</v>
      </c>
      <c r="C155" s="14" t="str">
        <f aca="false">Country_Data!E155</f>
        <v>EMDC</v>
      </c>
      <c r="D155" s="14" t="str">
        <f aca="false">Country_Data!D155</f>
        <v>Lower middle income</v>
      </c>
      <c r="E155" s="15" t="n">
        <f aca="false">Country_Data!BV155</f>
        <v>14.233031241059</v>
      </c>
      <c r="F155" s="16" t="n">
        <f aca="false">SUMIFS(Calc!$J$5:$J$1369,Calc!$A$5:$A$1369,A155)</f>
        <v>0.858312152129229</v>
      </c>
      <c r="G155" s="11" t="n">
        <f aca="false">IFERROR(F155/E155,"")</f>
        <v>0.0603042414221081</v>
      </c>
      <c r="H155" s="16" t="n">
        <f aca="false">SUMIFS(Calc!$L$5:$L$1369,Calc!$A$5:$A$1369,A155)</f>
        <v>0.205994916511015</v>
      </c>
      <c r="I155" s="11" t="n">
        <f aca="false">IFERROR(H155/E155,"")</f>
        <v>0.0144730179413059</v>
      </c>
      <c r="J155" s="17" t="n">
        <f aca="false">Country_Data!DW155</f>
        <v>0.105</v>
      </c>
      <c r="K155" s="14" t="str">
        <f aca="false">Country_Data!DV155</f>
        <v>Group default (IHLEG)</v>
      </c>
      <c r="L155" s="16" t="n">
        <f aca="false">SUMIFS(Calc!$W$5:$W$1369,Calc!$A$5:$A$1369,A155)</f>
        <v>0.0147471846335385</v>
      </c>
      <c r="M155" s="16" t="n">
        <f aca="false">SUMIFS(Calc!$X$5:$X$1369,Calc!$A$5:$A$1369,A155)</f>
        <v>0.0085739683492196</v>
      </c>
      <c r="N155" s="18" t="n">
        <f aca="false">SUMIFS(Calc!$AC$5:$AC$1369,Calc!$A$5:$A$1369,A155)</f>
        <v>0.00975749813311957</v>
      </c>
      <c r="O155" s="18" t="n">
        <f aca="false">SUMIFS(Calc!$AD$5:$AD$1369,Calc!$A$5:$A$1369,A155)</f>
        <v>0.0179944176087345</v>
      </c>
      <c r="P155" s="18" t="n">
        <f aca="false">SUMIFS(Calc!$AE$5:$AE$1369,Calc!$A$5:$A$1369,A155)</f>
        <v>0.0022784469959764</v>
      </c>
      <c r="Q155" s="18" t="n">
        <f aca="false">SUMIFS(Calc!$AF$5:$AF$1369,Calc!$A$5:$A$1369,A155)</f>
        <v>-0.0062955213532432</v>
      </c>
      <c r="R155" s="11" t="n">
        <f aca="false">IFERROR(N155/E155,"")</f>
        <v>0.000685553060894817</v>
      </c>
      <c r="S155" s="11" t="n">
        <f aca="false">IFERROR(P155/E155,"")</f>
        <v>0.00016008164089485</v>
      </c>
      <c r="T155" s="11" t="n">
        <f aca="false">IFERROR(Q155/E155,"")</f>
        <v>-0.000442317679671922</v>
      </c>
      <c r="U155" s="16" t="n">
        <f aca="false">SUMIFS(Calc!$AG$5:$AG$1369,Calc!$A$5:$A$1369,A155)</f>
        <v>-0.0150912114732038</v>
      </c>
      <c r="V155" s="16" t="n">
        <f aca="false">SUMIFS(Calc!$AH$5:$AH$1369,Calc!$A$5:$A$1369,A155)</f>
        <v>-0.0238869015931644</v>
      </c>
      <c r="W155" s="16" t="n">
        <f aca="false">SUMIFS(Calc!$Y$5:$Y$1369,Calc!$A$5:$A$1369,A155)</f>
        <v>0.175913802399212</v>
      </c>
      <c r="X155" s="7" t="n">
        <f aca="false">IFERROR(N155/W155*1000,"")</f>
        <v>55.4674960124863</v>
      </c>
      <c r="Y155" s="7" t="n">
        <f aca="false">IFERROR(P155/W155*1000,"")</f>
        <v>12.9520649596658</v>
      </c>
      <c r="Z155" s="7" t="n">
        <f aca="false">IFERROR(Q155/W155*1000,"")</f>
        <v>-35.7875349596298</v>
      </c>
      <c r="AA155" s="16" t="n">
        <f aca="false">SUMIFS(Calc!$AM$5:$AM$1369,Calc!$A$5:$A$1369,A155)</f>
        <v>0.0311627130714299</v>
      </c>
      <c r="AB155" s="16" t="n">
        <f aca="false">SUMIFS(Calc!$AN$5:$AN$1369,Calc!$A$5:$A$1369,A155)</f>
        <v>1.01255955338144</v>
      </c>
      <c r="AC155" s="17" t="n">
        <f aca="false">Country_Data!DY155</f>
        <v>0.31</v>
      </c>
      <c r="AD155" s="12" t="n">
        <f aca="false">IF(Country_Data!BD155="","",Country_Data!BD155)</f>
        <v>2</v>
      </c>
      <c r="AE155" s="7" t="n">
        <f aca="false">IF(Country_Data!BC155="","",Country_Data!BC155)</f>
        <v>100</v>
      </c>
      <c r="AF155" s="12" t="str">
        <f aca="false">IF(Country_Data!BL155="","",Country_Data!BL155)</f>
        <v/>
      </c>
      <c r="AG155" s="7" t="n">
        <f aca="false">IF(Country_Data!BA155="","",Country_Data!BA155)</f>
        <v>45.064</v>
      </c>
    </row>
    <row r="156" customFormat="false" ht="15" hidden="false" customHeight="false" outlineLevel="0" collapsed="false">
      <c r="A156" s="14" t="str">
        <f aca="false">Country_Data!A156</f>
        <v>TGO</v>
      </c>
      <c r="B156" s="14" t="str">
        <f aca="false">Country_Data!B156</f>
        <v>Togo</v>
      </c>
      <c r="C156" s="14" t="str">
        <f aca="false">Country_Data!E156</f>
        <v>EMDC</v>
      </c>
      <c r="D156" s="14" t="str">
        <f aca="false">Country_Data!D156</f>
        <v>Lower middle income</v>
      </c>
      <c r="E156" s="15" t="n">
        <f aca="false">Country_Data!BV156</f>
        <v>14.3847463458691</v>
      </c>
      <c r="F156" s="16" t="n">
        <f aca="false">SUMIFS(Calc!$J$5:$J$1369,Calc!$A$5:$A$1369,A156)</f>
        <v>0.706367150331038</v>
      </c>
      <c r="G156" s="11" t="n">
        <f aca="false">IFERROR(F156/E156,"")</f>
        <v>0.049105290656299</v>
      </c>
      <c r="H156" s="16" t="n">
        <f aca="false">SUMIFS(Calc!$L$5:$L$1369,Calc!$A$5:$A$1369,A156)</f>
        <v>0.169528116079449</v>
      </c>
      <c r="I156" s="11" t="n">
        <f aca="false">IFERROR(H156/E156,"")</f>
        <v>0.0117852697575118</v>
      </c>
      <c r="J156" s="17" t="n">
        <f aca="false">Country_Data!DW156</f>
        <v>0.105</v>
      </c>
      <c r="K156" s="14" t="str">
        <f aca="false">Country_Data!DV156</f>
        <v>Group default (IHLEG)</v>
      </c>
      <c r="L156" s="16" t="n">
        <f aca="false">SUMIFS(Calc!$W$5:$W$1369,Calc!$A$5:$A$1369,A156)</f>
        <v>0.0120044944079493</v>
      </c>
      <c r="M156" s="16" t="n">
        <f aca="false">SUMIFS(Calc!$X$5:$X$1369,Calc!$A$5:$A$1369,A156)</f>
        <v>0.0070604636029027</v>
      </c>
      <c r="N156" s="18" t="n">
        <f aca="false">SUMIFS(Calc!$AC$5:$AC$1369,Calc!$A$5:$A$1369,A156)</f>
        <v>0.00793079815714656</v>
      </c>
      <c r="O156" s="18" t="n">
        <f aca="false">SUMIFS(Calc!$AD$5:$AD$1369,Calc!$A$5:$A$1369,A156)</f>
        <v>0.014756435620242</v>
      </c>
      <c r="P156" s="18" t="n">
        <f aca="false">SUMIFS(Calc!$AE$5:$AE$1369,Calc!$A$5:$A$1369,A156)</f>
        <v>0.00173206968638224</v>
      </c>
      <c r="Q156" s="18" t="n">
        <f aca="false">SUMIFS(Calc!$AF$5:$AF$1369,Calc!$A$5:$A$1369,A156)</f>
        <v>-0.00532839391652046</v>
      </c>
      <c r="R156" s="11" t="n">
        <f aca="false">IFERROR(N156/E156,"")</f>
        <v>0.000551333889834217</v>
      </c>
      <c r="S156" s="11" t="n">
        <f aca="false">IFERROR(P156/E156,"")</f>
        <v>0.000120410165374911</v>
      </c>
      <c r="T156" s="11" t="n">
        <f aca="false">IFERROR(Q156/E156,"")</f>
        <v>-0.000370419734099143</v>
      </c>
      <c r="U156" s="16" t="n">
        <f aca="false">SUMIFS(Calc!$AG$5:$AG$1369,Calc!$A$5:$A$1369,A156)</f>
        <v>-0.0114729272599989</v>
      </c>
      <c r="V156" s="16" t="n">
        <f aca="false">SUMIFS(Calc!$AH$5:$AH$1369,Calc!$A$5:$A$1369,A156)</f>
        <v>-0.0176174606034774</v>
      </c>
      <c r="W156" s="16" t="n">
        <f aca="false">SUMIFS(Calc!$Y$5:$Y$1369,Calc!$A$5:$A$1369,A156)</f>
        <v>0.12289066686957</v>
      </c>
      <c r="X156" s="7" t="n">
        <f aca="false">IFERROR(N156/W156*1000,"")</f>
        <v>64.5353984901386</v>
      </c>
      <c r="Y156" s="7" t="n">
        <f aca="false">IFERROR(P156/W156*1000,"")</f>
        <v>14.094395697442</v>
      </c>
      <c r="Z156" s="7" t="n">
        <f aca="false">IFERROR(Q156/W156*1000,"")</f>
        <v>-43.3588168430704</v>
      </c>
      <c r="AA156" s="16" t="n">
        <f aca="false">SUMIFS(Calc!$AM$5:$AM$1369,Calc!$A$5:$A$1369,A156)</f>
        <v>0.0258280352948513</v>
      </c>
      <c r="AB156" s="16" t="n">
        <f aca="false">SUMIFS(Calc!$AN$5:$AN$1369,Calc!$A$5:$A$1369,A156)</f>
        <v>0.833308493289079</v>
      </c>
      <c r="AC156" s="17" t="n">
        <f aca="false">Country_Data!DY156</f>
        <v>0.31</v>
      </c>
      <c r="AD156" s="12" t="n">
        <f aca="false">IF(Country_Data!BD156="","",Country_Data!BD156)</f>
        <v>2</v>
      </c>
      <c r="AE156" s="7" t="n">
        <f aca="false">IF(Country_Data!BC156="","",Country_Data!BC156)</f>
        <v>51.166</v>
      </c>
      <c r="AF156" s="12" t="n">
        <f aca="false">IF(Country_Data!BL156="","",Country_Data!BL156)</f>
        <v>5.505</v>
      </c>
      <c r="AG156" s="7" t="n">
        <f aca="false">IF(Country_Data!BA156="","",Country_Data!BA156)</f>
        <v>66.213</v>
      </c>
    </row>
    <row r="157" customFormat="false" ht="15" hidden="false" customHeight="false" outlineLevel="0" collapsed="false">
      <c r="A157" s="14" t="str">
        <f aca="false">Country_Data!A157</f>
        <v>LIE</v>
      </c>
      <c r="B157" s="14" t="str">
        <f aca="false">Country_Data!B157</f>
        <v>Liechtenstein</v>
      </c>
      <c r="C157" s="14" t="str">
        <f aca="false">Country_Data!E157</f>
        <v>EMDC</v>
      </c>
      <c r="D157" s="14" t="str">
        <f aca="false">Country_Data!D157</f>
        <v>High income</v>
      </c>
      <c r="E157" s="15" t="n">
        <f aca="false">Country_Data!BV157</f>
        <v>8.29704899322653</v>
      </c>
      <c r="F157" s="16" t="n">
        <f aca="false">SUMIFS(Calc!$J$5:$J$1369,Calc!$A$5:$A$1369,A157)</f>
        <v>0.337340186852649</v>
      </c>
      <c r="G157" s="11" t="n">
        <f aca="false">IFERROR(F157/E157,"")</f>
        <v>0.0406578516202621</v>
      </c>
      <c r="H157" s="16" t="n">
        <f aca="false">SUMIFS(Calc!$L$5:$L$1369,Calc!$A$5:$A$1369,A157)</f>
        <v>0.0809616448446358</v>
      </c>
      <c r="I157" s="11" t="n">
        <f aca="false">IFERROR(H157/E157,"")</f>
        <v>0.0097578843888629</v>
      </c>
      <c r="J157" s="17" t="n">
        <f aca="false">Country_Data!DW157</f>
        <v>0.105</v>
      </c>
      <c r="K157" s="14" t="str">
        <f aca="false">Country_Data!DV157</f>
        <v>Group default (IHLEG)</v>
      </c>
      <c r="L157" s="16" t="n">
        <f aca="false">SUMIFS(Calc!$W$5:$W$1369,Calc!$A$5:$A$1369,A157)</f>
        <v>0.00601240437138826</v>
      </c>
      <c r="M157" s="16" t="n">
        <f aca="false">SUMIFS(Calc!$X$5:$X$1369,Calc!$A$5:$A$1369,A157)</f>
        <v>0.00770035619102563</v>
      </c>
      <c r="N157" s="18" t="n">
        <f aca="false">SUMIFS(Calc!$AC$5:$AC$1369,Calc!$A$5:$A$1369,A157)</f>
        <v>0.00346799206038332</v>
      </c>
      <c r="O157" s="18" t="n">
        <f aca="false">SUMIFS(Calc!$AD$5:$AD$1369,Calc!$A$5:$A$1369,A157)</f>
        <v>0.00673165742537063</v>
      </c>
      <c r="P157" s="18" t="n">
        <f aca="false">SUMIFS(Calc!$AE$5:$AE$1369,Calc!$A$5:$A$1369,A157)</f>
        <v>0.000504332419291443</v>
      </c>
      <c r="Q157" s="18" t="n">
        <f aca="false">SUMIFS(Calc!$AF$5:$AF$1369,Calc!$A$5:$A$1369,A157)</f>
        <v>-0.00719602377173419</v>
      </c>
      <c r="R157" s="11" t="n">
        <f aca="false">IFERROR(N157/E157,"")</f>
        <v>0.000417978978214361</v>
      </c>
      <c r="S157" s="11" t="n">
        <f aca="false">IFERROR(P157/E157,"")</f>
        <v>6.07845536049221E-005</v>
      </c>
      <c r="T157" s="11" t="n">
        <f aca="false">IFERROR(Q157/E157,"")</f>
        <v>-0.000867299178010015</v>
      </c>
      <c r="U157" s="16" t="n">
        <f aca="false">SUMIFS(Calc!$AG$5:$AG$1369,Calc!$A$5:$A$1369,A157)</f>
        <v>-0.00927191619829971</v>
      </c>
      <c r="V157" s="16" t="n">
        <f aca="false">SUMIFS(Calc!$AH$5:$AH$1369,Calc!$A$5:$A$1369,A157)</f>
        <v>-0.0113478086248652</v>
      </c>
      <c r="W157" s="16" t="n">
        <f aca="false">SUMIFS(Calc!$Y$5:$Y$1369,Calc!$A$5:$A$1369,A157)</f>
        <v>0.0415178485313103</v>
      </c>
      <c r="X157" s="7" t="n">
        <f aca="false">IFERROR(N157/W157*1000,"")</f>
        <v>83.5301486725151</v>
      </c>
      <c r="Y157" s="7" t="n">
        <f aca="false">IFERROR(P157/W157*1000,"")</f>
        <v>12.1473640164929</v>
      </c>
      <c r="Z157" s="7" t="n">
        <f aca="false">IFERROR(Q157/W157*1000,"")</f>
        <v>-173.32361926961</v>
      </c>
      <c r="AA157" s="16" t="n">
        <f aca="false">SUMIFS(Calc!$AM$5:$AM$1369,Calc!$A$5:$A$1369,A157)</f>
        <v>0.0123485818378828</v>
      </c>
      <c r="AB157" s="16" t="n">
        <f aca="false">SUMIFS(Calc!$AN$5:$AN$1369,Calc!$A$5:$A$1369,A157)</f>
        <v>0.387248050113041</v>
      </c>
      <c r="AC157" s="17" t="n">
        <f aca="false">Country_Data!DY157</f>
        <v>0.27</v>
      </c>
      <c r="AD157" s="12" t="str">
        <f aca="false">IF(Country_Data!BD157="","",Country_Data!BD157)</f>
        <v/>
      </c>
      <c r="AE157" s="7" t="str">
        <f aca="false">IF(Country_Data!BC157="","",Country_Data!BC157)</f>
        <v/>
      </c>
      <c r="AF157" s="12" t="str">
        <f aca="false">IF(Country_Data!BL157="","",Country_Data!BL157)</f>
        <v/>
      </c>
      <c r="AG157" s="7" t="n">
        <f aca="false">IF(Country_Data!BA157="","",Country_Data!BA157)</f>
        <v>0.487</v>
      </c>
    </row>
    <row r="158" customFormat="false" ht="15" hidden="false" customHeight="false" outlineLevel="0" collapsed="false">
      <c r="A158" s="14" t="str">
        <f aca="false">Country_Data!A158</f>
        <v>MNE</v>
      </c>
      <c r="B158" s="14" t="str">
        <f aca="false">Country_Data!B158</f>
        <v>Montenegro</v>
      </c>
      <c r="C158" s="14" t="str">
        <f aca="false">Country_Data!E158</f>
        <v>EMDC</v>
      </c>
      <c r="D158" s="14" t="str">
        <f aca="false">Country_Data!D158</f>
        <v>Upper middle income</v>
      </c>
      <c r="E158" s="15" t="n">
        <f aca="false">Country_Data!BV158</f>
        <v>9.75318680965369</v>
      </c>
      <c r="F158" s="16" t="n">
        <f aca="false">SUMIFS(Calc!$J$5:$J$1369,Calc!$A$5:$A$1369,A158)</f>
        <v>0.540966428975541</v>
      </c>
      <c r="G158" s="11" t="n">
        <f aca="false">IFERROR(F158/E158,"")</f>
        <v>0.0554656072454281</v>
      </c>
      <c r="H158" s="16" t="n">
        <f aca="false">SUMIFS(Calc!$L$5:$L$1369,Calc!$A$5:$A$1369,A158)</f>
        <v>0.12983194295413</v>
      </c>
      <c r="I158" s="11" t="n">
        <f aca="false">IFERROR(H158/E158,"")</f>
        <v>0.0133117457389027</v>
      </c>
      <c r="J158" s="17" t="n">
        <f aca="false">Country_Data!DW158</f>
        <v>0.10976</v>
      </c>
      <c r="K158" s="14" t="str">
        <f aca="false">Country_Data!DV158</f>
        <v>Observed (IRENA/Steffen)</v>
      </c>
      <c r="L158" s="16" t="n">
        <f aca="false">SUMIFS(Calc!$W$5:$W$1369,Calc!$A$5:$A$1369,A158)</f>
        <v>0.0096416289819853</v>
      </c>
      <c r="M158" s="16" t="n">
        <f aca="false">SUMIFS(Calc!$X$5:$X$1369,Calc!$A$5:$A$1369,A158)</f>
        <v>0.012348467075221</v>
      </c>
      <c r="N158" s="18" t="n">
        <f aca="false">SUMIFS(Calc!$AC$5:$AC$1369,Calc!$A$5:$A$1369,A158)</f>
        <v>0.00609698815799657</v>
      </c>
      <c r="O158" s="18" t="n">
        <f aca="false">SUMIFS(Calc!$AD$5:$AD$1369,Calc!$A$5:$A$1369,A158)</f>
        <v>0.0113667940603993</v>
      </c>
      <c r="P158" s="18" t="n">
        <f aca="false">SUMIFS(Calc!$AE$5:$AE$1369,Calc!$A$5:$A$1369,A158)</f>
        <v>0.000808758987258932</v>
      </c>
      <c r="Q158" s="18" t="n">
        <f aca="false">SUMIFS(Calc!$AF$5:$AF$1369,Calc!$A$5:$A$1369,A158)</f>
        <v>-0.0115397080879621</v>
      </c>
      <c r="R158" s="11" t="n">
        <f aca="false">IFERROR(N158/E158,"")</f>
        <v>0.000625127794328904</v>
      </c>
      <c r="S158" s="11" t="n">
        <f aca="false">IFERROR(P158/E158,"")</f>
        <v>8.2922536299461E-005</v>
      </c>
      <c r="T158" s="11" t="n">
        <f aca="false">IFERROR(Q158/E158,"")</f>
        <v>-0.00118317308108362</v>
      </c>
      <c r="U158" s="16" t="n">
        <f aca="false">SUMIFS(Calc!$AG$5:$AG$1369,Calc!$A$5:$A$1369,A158)</f>
        <v>-0.0148686565995933</v>
      </c>
      <c r="V158" s="16" t="n">
        <f aca="false">SUMIFS(Calc!$AH$5:$AH$1369,Calc!$A$5:$A$1369,A158)</f>
        <v>-0.0181976051112245</v>
      </c>
      <c r="W158" s="16" t="n">
        <f aca="false">SUMIFS(Calc!$Y$5:$Y$1369,Calc!$A$5:$A$1369,A158)</f>
        <v>0.0665789702326241</v>
      </c>
      <c r="X158" s="7" t="n">
        <f aca="false">IFERROR(N158/W158*1000,"")</f>
        <v>91.5752847587452</v>
      </c>
      <c r="Y158" s="7" t="n">
        <f aca="false">IFERROR(P158/W158*1000,"")</f>
        <v>12.1473640164929</v>
      </c>
      <c r="Z158" s="7" t="n">
        <f aca="false">IFERROR(Q158/W158*1000,"")</f>
        <v>-173.32361926961</v>
      </c>
      <c r="AA158" s="16" t="n">
        <f aca="false">SUMIFS(Calc!$AM$5:$AM$1369,Calc!$A$5:$A$1369,A158)</f>
        <v>0.0220342882114068</v>
      </c>
      <c r="AB158" s="16" t="n">
        <f aca="false">SUMIFS(Calc!$AN$5:$AN$1369,Calc!$A$5:$A$1369,A158)</f>
        <v>0.660062914114343</v>
      </c>
      <c r="AC158" s="17" t="n">
        <f aca="false">Country_Data!DY158</f>
        <v>0.355</v>
      </c>
      <c r="AD158" s="12" t="n">
        <f aca="false">IF(Country_Data!BD158="","",Country_Data!BD158)</f>
        <v>1.5</v>
      </c>
      <c r="AE158" s="7" t="n">
        <f aca="false">IF(Country_Data!BC158="","",Country_Data!BC158)</f>
        <v>88.62</v>
      </c>
      <c r="AF158" s="12" t="n">
        <f aca="false">IF(Country_Data!BL158="","",Country_Data!BL158)</f>
        <v>3.17</v>
      </c>
      <c r="AG158" s="7" t="n">
        <f aca="false">IF(Country_Data!BA158="","",Country_Data!BA158)</f>
        <v>60.756</v>
      </c>
    </row>
    <row r="159" customFormat="false" ht="15" hidden="false" customHeight="false" outlineLevel="0" collapsed="false">
      <c r="A159" s="14" t="str">
        <f aca="false">Country_Data!A159</f>
        <v>YEM</v>
      </c>
      <c r="B159" s="14" t="str">
        <f aca="false">Country_Data!B159</f>
        <v>Yemen, Rep.</v>
      </c>
      <c r="C159" s="14" t="str">
        <f aca="false">Country_Data!E159</f>
        <v>EMDC</v>
      </c>
      <c r="D159" s="14" t="str">
        <f aca="false">Country_Data!D159</f>
        <v>Low income</v>
      </c>
      <c r="E159" s="15" t="n">
        <f aca="false">Country_Data!BV159</f>
        <v>8.22168673205557</v>
      </c>
      <c r="F159" s="16" t="n">
        <f aca="false">SUMIFS(Calc!$J$5:$J$1369,Calc!$A$5:$A$1369,A159)</f>
        <v>1.12635784615771</v>
      </c>
      <c r="G159" s="11" t="n">
        <f aca="false">IFERROR(F159/E159,"")</f>
        <v>0.136998390095082</v>
      </c>
      <c r="H159" s="16" t="n">
        <f aca="false">SUMIFS(Calc!$L$5:$L$1369,Calc!$A$5:$A$1369,A159)</f>
        <v>0.27032588307785</v>
      </c>
      <c r="I159" s="11" t="n">
        <f aca="false">IFERROR(H159/E159,"")</f>
        <v>0.0328796136228196</v>
      </c>
      <c r="J159" s="17" t="n">
        <f aca="false">Country_Data!DW159</f>
        <v>0.14592</v>
      </c>
      <c r="K159" s="14" t="str">
        <f aca="false">Country_Data!DV159</f>
        <v>Observed (IRENA/Steffen)</v>
      </c>
      <c r="L159" s="16" t="n">
        <f aca="false">SUMIFS(Calc!$W$5:$W$1369,Calc!$A$5:$A$1369,A159)</f>
        <v>0.0228781332068589</v>
      </c>
      <c r="M159" s="16" t="n">
        <f aca="false">SUMIFS(Calc!$X$5:$X$1369,Calc!$A$5:$A$1369,A159)</f>
        <v>0.0169793149843872</v>
      </c>
      <c r="N159" s="18" t="n">
        <f aca="false">SUMIFS(Calc!$AC$5:$AC$1369,Calc!$A$5:$A$1369,A159)</f>
        <v>0.0188623075782009</v>
      </c>
      <c r="O159" s="18" t="n">
        <f aca="false">SUMIFS(Calc!$AD$5:$AD$1369,Calc!$A$5:$A$1369,A159)</f>
        <v>0.0302314673766994</v>
      </c>
      <c r="P159" s="18" t="n">
        <f aca="false">SUMIFS(Calc!$AE$5:$AE$1369,Calc!$A$5:$A$1369,A159)</f>
        <v>-0.00082084961230522</v>
      </c>
      <c r="Q159" s="18" t="n">
        <f aca="false">SUMIFS(Calc!$AF$5:$AF$1369,Calc!$A$5:$A$1369,A159)</f>
        <v>-0.0178001645966924</v>
      </c>
      <c r="R159" s="11" t="n">
        <f aca="false">IFERROR(N159/E159,"")</f>
        <v>0.0022942138508706</v>
      </c>
      <c r="S159" s="11" t="n">
        <f aca="false">IFERROR(P159/E159,"")</f>
        <v>-9.98395632254884E-005</v>
      </c>
      <c r="T159" s="11" t="n">
        <f aca="false">IFERROR(Q159/E159,"")</f>
        <v>-0.00216502588541732</v>
      </c>
      <c r="U159" s="16" t="n">
        <f aca="false">SUMIFS(Calc!$AG$5:$AG$1369,Calc!$A$5:$A$1369,A159)</f>
        <v>-0.0302613234343757</v>
      </c>
      <c r="V159" s="16" t="n">
        <f aca="false">SUMIFS(Calc!$AH$5:$AH$1369,Calc!$A$5:$A$1369,A159)</f>
        <v>-0.0427224822720589</v>
      </c>
      <c r="W159" s="16" t="n">
        <f aca="false">SUMIFS(Calc!$Y$5:$Y$1369,Calc!$A$5:$A$1369,A159)</f>
        <v>0.249223176753665</v>
      </c>
      <c r="X159" s="7" t="n">
        <f aca="false">IFERROR(N159/W159*1000,"")</f>
        <v>75.6844039302357</v>
      </c>
      <c r="Y159" s="7" t="n">
        <f aca="false">IFERROR(P159/W159*1000,"")</f>
        <v>-3.29363273110252</v>
      </c>
      <c r="Z159" s="7" t="n">
        <f aca="false">IFERROR(Q159/W159*1000,"")</f>
        <v>-71.4225892974885</v>
      </c>
      <c r="AA159" s="16" t="n">
        <f aca="false">SUMIFS(Calc!$AM$5:$AM$1369,Calc!$A$5:$A$1369,A159)</f>
        <v>0.0820131549604422</v>
      </c>
      <c r="AB159" s="16" t="n">
        <f aca="false">SUMIFS(Calc!$AN$5:$AN$1369,Calc!$A$5:$A$1369,A159)</f>
        <v>1.42671993846643</v>
      </c>
      <c r="AC159" s="17" t="n">
        <f aca="false">Country_Data!DY159</f>
        <v>0.4</v>
      </c>
      <c r="AD159" s="12" t="str">
        <f aca="false">IF(Country_Data!BD159="","",Country_Data!BD159)</f>
        <v/>
      </c>
      <c r="AE159" s="7" t="str">
        <f aca="false">IF(Country_Data!BC159="","",Country_Data!BC159)</f>
        <v/>
      </c>
      <c r="AF159" s="12" t="str">
        <f aca="false">IF(Country_Data!BL159="","",Country_Data!BL159)</f>
        <v/>
      </c>
      <c r="AG159" s="7" t="str">
        <f aca="false">IF(Country_Data!BA159="","",Country_Data!BA159)</f>
        <v/>
      </c>
    </row>
    <row r="160" customFormat="false" ht="15" hidden="false" customHeight="false" outlineLevel="0" collapsed="false">
      <c r="A160" s="14" t="str">
        <f aca="false">Country_Data!A160</f>
        <v>BRB</v>
      </c>
      <c r="B160" s="14" t="str">
        <f aca="false">Country_Data!B160</f>
        <v>Barbados</v>
      </c>
      <c r="C160" s="14" t="str">
        <f aca="false">Country_Data!E160</f>
        <v>EMDC</v>
      </c>
      <c r="D160" s="14" t="str">
        <f aca="false">Country_Data!D160</f>
        <v>High income</v>
      </c>
      <c r="E160" s="15" t="n">
        <f aca="false">Country_Data!BV160</f>
        <v>8.81717080040395</v>
      </c>
      <c r="F160" s="16" t="n">
        <f aca="false">SUMIFS(Calc!$J$5:$J$1369,Calc!$A$5:$A$1369,A160)</f>
        <v>0.324161523399664</v>
      </c>
      <c r="G160" s="11" t="n">
        <f aca="false">IFERROR(F160/E160,"")</f>
        <v>0.0367648002673163</v>
      </c>
      <c r="H160" s="16" t="n">
        <f aca="false">SUMIFS(Calc!$L$5:$L$1369,Calc!$A$5:$A$1369,A160)</f>
        <v>0.0777987656159194</v>
      </c>
      <c r="I160" s="11" t="n">
        <f aca="false">IFERROR(H160/E160,"")</f>
        <v>0.00882355206415591</v>
      </c>
      <c r="J160" s="17" t="n">
        <f aca="false">Country_Data!DW160</f>
        <v>0.105</v>
      </c>
      <c r="K160" s="14" t="str">
        <f aca="false">Country_Data!DV160</f>
        <v>Group default (IHLEG)</v>
      </c>
      <c r="L160" s="16" t="n">
        <f aca="false">SUMIFS(Calc!$W$5:$W$1369,Calc!$A$5:$A$1369,A160)</f>
        <v>0.0108217383186411</v>
      </c>
      <c r="M160" s="16" t="n">
        <f aca="false">SUMIFS(Calc!$X$5:$X$1369,Calc!$A$5:$A$1369,A160)</f>
        <v>0.00161522831291431</v>
      </c>
      <c r="N160" s="18" t="n">
        <f aca="false">SUMIFS(Calc!$AC$5:$AC$1369,Calc!$A$5:$A$1369,A160)</f>
        <v>-0.00163123831495333</v>
      </c>
      <c r="O160" s="18" t="n">
        <f aca="false">SUMIFS(Calc!$AD$5:$AD$1369,Calc!$A$5:$A$1369,A160)</f>
        <v>0.00149007084715971</v>
      </c>
      <c r="P160" s="18" t="n">
        <f aca="false">SUMIFS(Calc!$AE$5:$AE$1369,Calc!$A$5:$A$1369,A160)</f>
        <v>-0.00446705380591223</v>
      </c>
      <c r="Q160" s="18" t="n">
        <f aca="false">SUMIFS(Calc!$AF$5:$AF$1369,Calc!$A$5:$A$1369,A160)</f>
        <v>-0.00608228211882654</v>
      </c>
      <c r="R160" s="11" t="n">
        <f aca="false">IFERROR(N160/E160,"")</f>
        <v>-0.000185006999623802</v>
      </c>
      <c r="S160" s="11" t="n">
        <f aca="false">IFERROR(P160/E160,"")</f>
        <v>-0.000506631198037762</v>
      </c>
      <c r="T160" s="11" t="n">
        <f aca="false">IFERROR(Q160/E160,"")</f>
        <v>-0.000689822422238649</v>
      </c>
      <c r="U160" s="16" t="n">
        <f aca="false">SUMIFS(Calc!$AG$5:$AG$1369,Calc!$A$5:$A$1369,A160)</f>
        <v>-0.00924164633002131</v>
      </c>
      <c r="V160" s="16" t="n">
        <f aca="false">SUMIFS(Calc!$AH$5:$AH$1369,Calc!$A$5:$A$1369,A160)</f>
        <v>-0.0124010105412161</v>
      </c>
      <c r="W160" s="16" t="n">
        <f aca="false">SUMIFS(Calc!$Y$5:$Y$1369,Calc!$A$5:$A$1369,A160)</f>
        <v>0.0631872842238955</v>
      </c>
      <c r="X160" s="7" t="n">
        <f aca="false">IFERROR(N160/W160*1000,"")</f>
        <v>-25.8159269699464</v>
      </c>
      <c r="Y160" s="7" t="n">
        <f aca="false">IFERROR(P160/W160*1000,"")</f>
        <v>-70.6954549602707</v>
      </c>
      <c r="Z160" s="7" t="n">
        <f aca="false">IFERROR(Q160/W160*1000,"")</f>
        <v>-96.2580081345924</v>
      </c>
      <c r="AA160" s="16" t="n">
        <f aca="false">SUMIFS(Calc!$AM$5:$AM$1369,Calc!$A$5:$A$1369,A160)</f>
        <v>0.0118158978789954</v>
      </c>
      <c r="AB160" s="16" t="n">
        <f aca="false">SUMIFS(Calc!$AN$5:$AN$1369,Calc!$A$5:$A$1369,A160)</f>
        <v>0.37211966658756</v>
      </c>
      <c r="AC160" s="17" t="n">
        <f aca="false">Country_Data!DY160</f>
        <v>0.27</v>
      </c>
      <c r="AD160" s="12" t="str">
        <f aca="false">IF(Country_Data!BD160="","",Country_Data!BD160)</f>
        <v/>
      </c>
      <c r="AE160" s="7" t="str">
        <f aca="false">IF(Country_Data!BC160="","",Country_Data!BC160)</f>
        <v/>
      </c>
      <c r="AF160" s="12" t="str">
        <f aca="false">IF(Country_Data!BL160="","",Country_Data!BL160)</f>
        <v/>
      </c>
      <c r="AG160" s="7" t="n">
        <f aca="false">IF(Country_Data!BA160="","",Country_Data!BA160)</f>
        <v>98.903</v>
      </c>
    </row>
    <row r="161" customFormat="false" ht="15" hidden="false" customHeight="false" outlineLevel="0" collapsed="false">
      <c r="A161" s="14" t="str">
        <f aca="false">Country_Data!A161</f>
        <v>MDV</v>
      </c>
      <c r="B161" s="14" t="str">
        <f aca="false">Country_Data!B161</f>
        <v>Maldives</v>
      </c>
      <c r="C161" s="14" t="str">
        <f aca="false">Country_Data!E161</f>
        <v>EMDC</v>
      </c>
      <c r="D161" s="14" t="str">
        <f aca="false">Country_Data!D161</f>
        <v>Upper middle income</v>
      </c>
      <c r="E161" s="15" t="n">
        <f aca="false">Country_Data!BV161</f>
        <v>8.59566908427298</v>
      </c>
      <c r="F161" s="16" t="n">
        <f aca="false">SUMIFS(Calc!$J$5:$J$1369,Calc!$A$5:$A$1369,A161)</f>
        <v>0.424013515593801</v>
      </c>
      <c r="G161" s="11" t="n">
        <f aca="false">IFERROR(F161/E161,"")</f>
        <v>0.0493287388610149</v>
      </c>
      <c r="H161" s="16" t="n">
        <f aca="false">SUMIFS(Calc!$L$5:$L$1369,Calc!$A$5:$A$1369,A161)</f>
        <v>0.101763243742512</v>
      </c>
      <c r="I161" s="11" t="n">
        <f aca="false">IFERROR(H161/E161,"")</f>
        <v>0.0118388973266436</v>
      </c>
      <c r="J161" s="17" t="n">
        <f aca="false">Country_Data!DW161</f>
        <v>0.105</v>
      </c>
      <c r="K161" s="14" t="str">
        <f aca="false">Country_Data!DV161</f>
        <v>Group default (IHLEG)</v>
      </c>
      <c r="L161" s="16" t="n">
        <f aca="false">SUMIFS(Calc!$W$5:$W$1369,Calc!$A$5:$A$1369,A161)</f>
        <v>0.0127540474449366</v>
      </c>
      <c r="M161" s="16" t="n">
        <f aca="false">SUMIFS(Calc!$X$5:$X$1369,Calc!$A$5:$A$1369,A161)</f>
        <v>0.00245238098270959</v>
      </c>
      <c r="N161" s="18" t="n">
        <f aca="false">SUMIFS(Calc!$AC$5:$AC$1369,Calc!$A$5:$A$1369,A161)</f>
        <v>-0.000567143831697797</v>
      </c>
      <c r="O161" s="18" t="n">
        <f aca="false">SUMIFS(Calc!$AD$5:$AD$1369,Calc!$A$5:$A$1369,A161)</f>
        <v>0.00348339102292183</v>
      </c>
      <c r="P161" s="18" t="n">
        <f aca="false">SUMIFS(Calc!$AE$5:$AE$1369,Calc!$A$5:$A$1369,A161)</f>
        <v>-0.00424711786007241</v>
      </c>
      <c r="Q161" s="18" t="n">
        <f aca="false">SUMIFS(Calc!$AF$5:$AF$1369,Calc!$A$5:$A$1369,A161)</f>
        <v>-0.006699498842782</v>
      </c>
      <c r="R161" s="11" t="n">
        <f aca="false">IFERROR(N161/E161,"")</f>
        <v>-6.59801844553869E-005</v>
      </c>
      <c r="S161" s="11" t="n">
        <f aca="false">IFERROR(P161/E161,"")</f>
        <v>-0.000494099740047361</v>
      </c>
      <c r="T161" s="11" t="n">
        <f aca="false">IFERROR(Q161/E161,"")</f>
        <v>-0.00077940399718734</v>
      </c>
      <c r="U161" s="16" t="n">
        <f aca="false">SUMIFS(Calc!$AG$5:$AG$1369,Calc!$A$5:$A$1369,A161)</f>
        <v>-0.0107205350096109</v>
      </c>
      <c r="V161" s="16" t="n">
        <f aca="false">SUMIFS(Calc!$AH$5:$AH$1369,Calc!$A$5:$A$1369,A161)</f>
        <v>-0.0147415711764399</v>
      </c>
      <c r="W161" s="16" t="n">
        <f aca="false">SUMIFS(Calc!$Y$5:$Y$1369,Calc!$A$5:$A$1369,A161)</f>
        <v>0.0804207233365786</v>
      </c>
      <c r="X161" s="7" t="n">
        <f aca="false">IFERROR(N161/W161*1000,"")</f>
        <v>-7.0522100295489</v>
      </c>
      <c r="Y161" s="7" t="n">
        <f aca="false">IFERROR(P161/W161*1000,"")</f>
        <v>-52.8112367542042</v>
      </c>
      <c r="Z161" s="7" t="n">
        <f aca="false">IFERROR(Q161/W161*1000,"")</f>
        <v>-83.3056277639174</v>
      </c>
      <c r="AA161" s="16" t="n">
        <f aca="false">SUMIFS(Calc!$AM$5:$AM$1369,Calc!$A$5:$A$1369,A161)</f>
        <v>0.0153332251182276</v>
      </c>
      <c r="AB161" s="16" t="n">
        <f aca="false">SUMIFS(Calc!$AN$5:$AN$1369,Calc!$A$5:$A$1369,A161)</f>
        <v>0.500213045932397</v>
      </c>
      <c r="AC161" s="17" t="n">
        <f aca="false">Country_Data!DY161</f>
        <v>0.31</v>
      </c>
      <c r="AD161" s="12" t="n">
        <f aca="false">IF(Country_Data!BD161="","",Country_Data!BD161)</f>
        <v>2</v>
      </c>
      <c r="AE161" s="7" t="n">
        <f aca="false">IF(Country_Data!BC161="","",Country_Data!BC161)</f>
        <v>98.937</v>
      </c>
      <c r="AF161" s="12" t="n">
        <f aca="false">IF(Country_Data!BL161="","",Country_Data!BL161)</f>
        <v>8.685</v>
      </c>
      <c r="AG161" s="7" t="n">
        <f aca="false">IF(Country_Data!BA161="","",Country_Data!BA161)</f>
        <v>133.32</v>
      </c>
    </row>
    <row r="162" customFormat="false" ht="15" hidden="false" customHeight="false" outlineLevel="0" collapsed="false">
      <c r="A162" s="14" t="str">
        <f aca="false">Country_Data!A162</f>
        <v>SLE</v>
      </c>
      <c r="B162" s="14" t="str">
        <f aca="false">Country_Data!B162</f>
        <v>Sierra Leone</v>
      </c>
      <c r="C162" s="14" t="str">
        <f aca="false">Country_Data!E162</f>
        <v>EMDC</v>
      </c>
      <c r="D162" s="14" t="str">
        <f aca="false">Country_Data!D162</f>
        <v>Low income</v>
      </c>
      <c r="E162" s="15" t="n">
        <f aca="false">Country_Data!BV162</f>
        <v>9.08777935423943</v>
      </c>
      <c r="F162" s="16" t="n">
        <f aca="false">SUMIFS(Calc!$J$5:$J$1369,Calc!$A$5:$A$1369,A162)</f>
        <v>0.477898814813956</v>
      </c>
      <c r="G162" s="11" t="n">
        <f aca="false">IFERROR(F162/E162,"")</f>
        <v>0.052586973801363</v>
      </c>
      <c r="H162" s="16" t="n">
        <f aca="false">SUMIFS(Calc!$L$5:$L$1369,Calc!$A$5:$A$1369,A162)</f>
        <v>0.11469571555535</v>
      </c>
      <c r="I162" s="11" t="n">
        <f aca="false">IFERROR(H162/E162,"")</f>
        <v>0.0126208737123271</v>
      </c>
      <c r="J162" s="17" t="n">
        <f aca="false">Country_Data!DW162</f>
        <v>0.105</v>
      </c>
      <c r="K162" s="14" t="str">
        <f aca="false">Country_Data!DV162</f>
        <v>Group default (IHLEG)</v>
      </c>
      <c r="L162" s="16" t="n">
        <f aca="false">SUMIFS(Calc!$W$5:$W$1369,Calc!$A$5:$A$1369,A162)</f>
        <v>0.00700754313380504</v>
      </c>
      <c r="M162" s="16" t="n">
        <f aca="false">SUMIFS(Calc!$X$5:$X$1369,Calc!$A$5:$A$1369,A162)</f>
        <v>0.00550070680147725</v>
      </c>
      <c r="N162" s="18" t="n">
        <f aca="false">SUMIFS(Calc!$AC$5:$AC$1369,Calc!$A$5:$A$1369,A162)</f>
        <v>0.00651737506853828</v>
      </c>
      <c r="O162" s="18" t="n">
        <f aca="false">SUMIFS(Calc!$AD$5:$AD$1369,Calc!$A$5:$A$1369,A162)</f>
        <v>0.0111281611308141</v>
      </c>
      <c r="P162" s="18" t="n">
        <f aca="false">SUMIFS(Calc!$AE$5:$AE$1369,Calc!$A$5:$A$1369,A162)</f>
        <v>0.00233109799218943</v>
      </c>
      <c r="Q162" s="18" t="n">
        <f aca="false">SUMIFS(Calc!$AF$5:$AF$1369,Calc!$A$5:$A$1369,A162)</f>
        <v>-0.00316960880928783</v>
      </c>
      <c r="R162" s="11" t="n">
        <f aca="false">IFERROR(N162/E162,"")</f>
        <v>0.000717158154318298</v>
      </c>
      <c r="S162" s="11" t="n">
        <f aca="false">IFERROR(P162/E162,"")</f>
        <v>0.000256509087789634</v>
      </c>
      <c r="T162" s="11" t="n">
        <f aca="false">IFERROR(Q162/E162,"")</f>
        <v>-0.000348777042854722</v>
      </c>
      <c r="U162" s="16" t="n">
        <f aca="false">SUMIFS(Calc!$AG$5:$AG$1369,Calc!$A$5:$A$1369,A162)</f>
        <v>-0.00708216209828568</v>
      </c>
      <c r="V162" s="16" t="n">
        <f aca="false">SUMIFS(Calc!$AH$5:$AH$1369,Calc!$A$5:$A$1369,A162)</f>
        <v>-0.0109947153872835</v>
      </c>
      <c r="W162" s="16" t="n">
        <f aca="false">SUMIFS(Calc!$Y$5:$Y$1369,Calc!$A$5:$A$1369,A162)</f>
        <v>0.078251065779957</v>
      </c>
      <c r="X162" s="7" t="n">
        <f aca="false">IFERROR(N162/W162*1000,"")</f>
        <v>83.2880038575478</v>
      </c>
      <c r="Y162" s="7" t="n">
        <f aca="false">IFERROR(P162/W162*1000,"")</f>
        <v>29.7899839312669</v>
      </c>
      <c r="Z162" s="7" t="n">
        <f aca="false">IFERROR(Q162/W162*1000,"")</f>
        <v>-40.5056311718592</v>
      </c>
      <c r="AA162" s="16" t="n">
        <f aca="false">SUMIFS(Calc!$AM$5:$AM$1369,Calc!$A$5:$A$1369,A162)</f>
        <v>0.0174428211514536</v>
      </c>
      <c r="AB162" s="16" t="n">
        <f aca="false">SUMIFS(Calc!$AN$5:$AN$1369,Calc!$A$5:$A$1369,A162)</f>
        <v>0.583110646912533</v>
      </c>
      <c r="AC162" s="17" t="n">
        <f aca="false">Country_Data!DY162</f>
        <v>0.355</v>
      </c>
      <c r="AD162" s="12" t="n">
        <f aca="false">IF(Country_Data!BD162="","",Country_Data!BD162)</f>
        <v>1.5</v>
      </c>
      <c r="AE162" s="7" t="n">
        <f aca="false">IF(Country_Data!BC162="","",Country_Data!BC162)</f>
        <v>18.879</v>
      </c>
      <c r="AF162" s="12" t="str">
        <f aca="false">IF(Country_Data!BL162="","",Country_Data!BL162)</f>
        <v/>
      </c>
      <c r="AG162" s="7" t="n">
        <f aca="false">IF(Country_Data!BA162="","",Country_Data!BA162)</f>
        <v>46.667</v>
      </c>
    </row>
    <row r="163" customFormat="false" ht="15" hidden="false" customHeight="false" outlineLevel="0" collapsed="false">
      <c r="A163" s="14" t="str">
        <f aca="false">Country_Data!A163</f>
        <v>FJI</v>
      </c>
      <c r="B163" s="14" t="str">
        <f aca="false">Country_Data!B163</f>
        <v>Fiji</v>
      </c>
      <c r="C163" s="14" t="str">
        <f aca="false">Country_Data!E163</f>
        <v>EMDC</v>
      </c>
      <c r="D163" s="14" t="str">
        <f aca="false">Country_Data!D163</f>
        <v>Upper middle income</v>
      </c>
      <c r="E163" s="15" t="n">
        <f aca="false">Country_Data!BV163</f>
        <v>6.94394862708412</v>
      </c>
      <c r="F163" s="16" t="n">
        <f aca="false">SUMIFS(Calc!$J$5:$J$1369,Calc!$A$5:$A$1369,A163)</f>
        <v>0.33185178488736</v>
      </c>
      <c r="G163" s="11" t="n">
        <f aca="false">IFERROR(F163/E163,"")</f>
        <v>0.0477900691247928</v>
      </c>
      <c r="H163" s="16" t="n">
        <f aca="false">SUMIFS(Calc!$L$5:$L$1369,Calc!$A$5:$A$1369,A163)</f>
        <v>0.0796444283729664</v>
      </c>
      <c r="I163" s="11" t="n">
        <f aca="false">IFERROR(H163/E163,"")</f>
        <v>0.0114696165899503</v>
      </c>
      <c r="J163" s="17" t="n">
        <f aca="false">Country_Data!DW163</f>
        <v>0.105</v>
      </c>
      <c r="K163" s="14" t="str">
        <f aca="false">Country_Data!DV163</f>
        <v>Group default (IHLEG)</v>
      </c>
      <c r="L163" s="16" t="n">
        <f aca="false">SUMIFS(Calc!$W$5:$W$1369,Calc!$A$5:$A$1369,A163)</f>
        <v>0.00529837912976448</v>
      </c>
      <c r="M163" s="16" t="n">
        <f aca="false">SUMIFS(Calc!$X$5:$X$1369,Calc!$A$5:$A$1369,A163)</f>
        <v>0.00243481386618054</v>
      </c>
      <c r="N163" s="18" t="n">
        <f aca="false">SUMIFS(Calc!$AC$5:$AC$1369,Calc!$A$5:$A$1369,A163)</f>
        <v>0.00415757568919089</v>
      </c>
      <c r="O163" s="18" t="n">
        <f aca="false">SUMIFS(Calc!$AD$5:$AD$1369,Calc!$A$5:$A$1369,A163)</f>
        <v>0.00734487073062582</v>
      </c>
      <c r="P163" s="18" t="n">
        <f aca="false">SUMIFS(Calc!$AE$5:$AE$1369,Calc!$A$5:$A$1369,A163)</f>
        <v>0.00126219009781596</v>
      </c>
      <c r="Q163" s="18" t="n">
        <f aca="false">SUMIFS(Calc!$AF$5:$AF$1369,Calc!$A$5:$A$1369,A163)</f>
        <v>-0.00117262376836458</v>
      </c>
      <c r="R163" s="11" t="n">
        <f aca="false">IFERROR(N163/E163,"")</f>
        <v>0.000598733647448761</v>
      </c>
      <c r="S163" s="11" t="n">
        <f aca="false">IFERROR(P163/E163,"")</f>
        <v>0.000181768351927738</v>
      </c>
      <c r="T163" s="11" t="n">
        <f aca="false">IFERROR(Q163/E163,"")</f>
        <v>-0.000168869879565481</v>
      </c>
      <c r="U163" s="16" t="n">
        <f aca="false">SUMIFS(Calc!$AG$5:$AG$1369,Calc!$A$5:$A$1369,A163)</f>
        <v>-0.00353656779382933</v>
      </c>
      <c r="V163" s="16" t="n">
        <f aca="false">SUMIFS(Calc!$AH$5:$AH$1369,Calc!$A$5:$A$1369,A163)</f>
        <v>-0.00590051181929407</v>
      </c>
      <c r="W163" s="16" t="n">
        <f aca="false">SUMIFS(Calc!$Y$5:$Y$1369,Calc!$A$5:$A$1369,A163)</f>
        <v>0.0472788805092949</v>
      </c>
      <c r="X163" s="7" t="n">
        <f aca="false">IFERROR(N163/W163*1000,"")</f>
        <v>87.9372701807844</v>
      </c>
      <c r="Y163" s="7" t="n">
        <f aca="false">IFERROR(P163/W163*1000,"")</f>
        <v>26.6967001802806</v>
      </c>
      <c r="Z163" s="7" t="n">
        <f aca="false">IFERROR(Q163/W163*1000,"")</f>
        <v>-24.802274413711</v>
      </c>
      <c r="AA163" s="16" t="n">
        <f aca="false">SUMIFS(Calc!$AM$5:$AM$1369,Calc!$A$5:$A$1369,A163)</f>
        <v>0.0120641066307289</v>
      </c>
      <c r="AB163" s="16" t="n">
        <f aca="false">SUMIFS(Calc!$AN$5:$AN$1369,Calc!$A$5:$A$1369,A163)</f>
        <v>0.379710681755469</v>
      </c>
      <c r="AC163" s="17" t="n">
        <f aca="false">Country_Data!DY163</f>
        <v>0.265</v>
      </c>
      <c r="AD163" s="12" t="n">
        <f aca="false">IF(Country_Data!BD163="","",Country_Data!BD163)</f>
        <v>2.5</v>
      </c>
      <c r="AE163" s="7" t="n">
        <f aca="false">IF(Country_Data!BC163="","",Country_Data!BC163)</f>
        <v>92.763</v>
      </c>
      <c r="AF163" s="12" t="n">
        <f aca="false">IF(Country_Data!BL163="","",Country_Data!BL163)</f>
        <v>5.826</v>
      </c>
      <c r="AG163" s="7" t="n">
        <f aca="false">IF(Country_Data!BA163="","",Country_Data!BA163)</f>
        <v>79.109</v>
      </c>
    </row>
    <row r="164" customFormat="false" ht="15" hidden="false" customHeight="false" outlineLevel="0" collapsed="false">
      <c r="A164" s="14" t="str">
        <f aca="false">Country_Data!A164</f>
        <v>SWZ</v>
      </c>
      <c r="B164" s="14" t="str">
        <f aca="false">Country_Data!B164</f>
        <v>Eswatini</v>
      </c>
      <c r="C164" s="14" t="str">
        <f aca="false">Country_Data!E164</f>
        <v>EMDC</v>
      </c>
      <c r="D164" s="14" t="str">
        <f aca="false">Country_Data!D164</f>
        <v>Lower middle income</v>
      </c>
      <c r="E164" s="15" t="n">
        <f aca="false">Country_Data!BV164</f>
        <v>6.13115908385135</v>
      </c>
      <c r="F164" s="16" t="n">
        <f aca="false">SUMIFS(Calc!$J$5:$J$1369,Calc!$A$5:$A$1369,A164)</f>
        <v>0.359551108425728</v>
      </c>
      <c r="G164" s="11" t="n">
        <f aca="false">IFERROR(F164/E164,"")</f>
        <v>0.0586432521988766</v>
      </c>
      <c r="H164" s="16" t="n">
        <f aca="false">SUMIFS(Calc!$L$5:$L$1369,Calc!$A$5:$A$1369,A164)</f>
        <v>0.0862922660221747</v>
      </c>
      <c r="I164" s="11" t="n">
        <f aca="false">IFERROR(H164/E164,"")</f>
        <v>0.0140743805277304</v>
      </c>
      <c r="J164" s="17" t="n">
        <f aca="false">Country_Data!DW164</f>
        <v>0.105</v>
      </c>
      <c r="K164" s="14" t="str">
        <f aca="false">Country_Data!DV164</f>
        <v>Group default (IHLEG)</v>
      </c>
      <c r="L164" s="16" t="n">
        <f aca="false">SUMIFS(Calc!$W$5:$W$1369,Calc!$A$5:$A$1369,A164)</f>
        <v>0.00323722272023376</v>
      </c>
      <c r="M164" s="16" t="n">
        <f aca="false">SUMIFS(Calc!$X$5:$X$1369,Calc!$A$5:$A$1369,A164)</f>
        <v>0.00221489534293558</v>
      </c>
      <c r="N164" s="18" t="n">
        <f aca="false">SUMIFS(Calc!$AC$5:$AC$1369,Calc!$A$5:$A$1369,A164)</f>
        <v>0.00695785486458305</v>
      </c>
      <c r="O164" s="18" t="n">
        <f aca="false">SUMIFS(Calc!$AD$5:$AD$1369,Calc!$A$5:$A$1369,A164)</f>
        <v>0.0104234688229627</v>
      </c>
      <c r="P164" s="18" t="n">
        <f aca="false">SUMIFS(Calc!$AE$5:$AE$1369,Calc!$A$5:$A$1369,A164)</f>
        <v>0.0038082326332627</v>
      </c>
      <c r="Q164" s="18" t="n">
        <f aca="false">SUMIFS(Calc!$AF$5:$AF$1369,Calc!$A$5:$A$1369,A164)</f>
        <v>0.00159333729032712</v>
      </c>
      <c r="R164" s="11" t="n">
        <f aca="false">IFERROR(N164/E164,"")</f>
        <v>0.00113483515423847</v>
      </c>
      <c r="S164" s="11" t="n">
        <f aca="false">IFERROR(P164/E164,"")</f>
        <v>0.000621127682576868</v>
      </c>
      <c r="T164" s="11" t="n">
        <f aca="false">IFERROR(Q164/E164,"")</f>
        <v>0.000259875378951389</v>
      </c>
      <c r="U164" s="16" t="n">
        <f aca="false">SUMIFS(Calc!$AG$5:$AG$1369,Calc!$A$5:$A$1369,A164)</f>
        <v>-0.000264783164962489</v>
      </c>
      <c r="V164" s="16" t="n">
        <f aca="false">SUMIFS(Calc!$AH$5:$AH$1369,Calc!$A$5:$A$1369,A164)</f>
        <v>-0.0021229036202521</v>
      </c>
      <c r="W164" s="16" t="n">
        <f aca="false">SUMIFS(Calc!$Y$5:$Y$1369,Calc!$A$5:$A$1369,A164)</f>
        <v>0.0371624091057922</v>
      </c>
      <c r="X164" s="7" t="n">
        <f aca="false">IFERROR(N164/W164*1000,"")</f>
        <v>187.228304945886</v>
      </c>
      <c r="Y164" s="7" t="n">
        <f aca="false">IFERROR(P164/W164*1000,"")</f>
        <v>102.475397179489</v>
      </c>
      <c r="Z164" s="7" t="n">
        <f aca="false">IFERROR(Q164/W164*1000,"")</f>
        <v>42.8749730888351</v>
      </c>
      <c r="AA164" s="16" t="n">
        <f aca="false">SUMIFS(Calc!$AM$5:$AM$1369,Calc!$A$5:$A$1369,A164)</f>
        <v>0.0131234259638348</v>
      </c>
      <c r="AB164" s="16" t="n">
        <f aca="false">SUMIFS(Calc!$AN$5:$AN$1369,Calc!$A$5:$A$1369,A164)</f>
        <v>0.412744971042137</v>
      </c>
      <c r="AC164" s="17" t="n">
        <f aca="false">Country_Data!DY164</f>
        <v>0.27</v>
      </c>
      <c r="AD164" s="12" t="str">
        <f aca="false">IF(Country_Data!BD164="","",Country_Data!BD164)</f>
        <v/>
      </c>
      <c r="AE164" s="7" t="n">
        <f aca="false">IF(Country_Data!BC164="","",Country_Data!BC164)</f>
        <v>59.819</v>
      </c>
      <c r="AF164" s="12" t="n">
        <f aca="false">IF(Country_Data!BL164="","",Country_Data!BL164)</f>
        <v>7.27</v>
      </c>
      <c r="AG164" s="7" t="n">
        <f aca="false">IF(Country_Data!BA164="","",Country_Data!BA164)</f>
        <v>40.095</v>
      </c>
    </row>
    <row r="165" customFormat="false" ht="15" hidden="false" customHeight="false" outlineLevel="0" collapsed="false">
      <c r="A165" s="14" t="str">
        <f aca="false">Country_Data!A165</f>
        <v>BDI</v>
      </c>
      <c r="B165" s="14" t="str">
        <f aca="false">Country_Data!B165</f>
        <v>Burundi</v>
      </c>
      <c r="C165" s="14" t="str">
        <f aca="false">Country_Data!E165</f>
        <v>EMDC</v>
      </c>
      <c r="D165" s="14" t="str">
        <f aca="false">Country_Data!D165</f>
        <v>Low income</v>
      </c>
      <c r="E165" s="15" t="n">
        <f aca="false">Country_Data!BV165</f>
        <v>6.06292698116119</v>
      </c>
      <c r="F165" s="16" t="n">
        <f aca="false">SUMIFS(Calc!$J$5:$J$1369,Calc!$A$5:$A$1369,A165)</f>
        <v>0.364931329000722</v>
      </c>
      <c r="G165" s="11" t="n">
        <f aca="false">IFERROR(F165/E165,"")</f>
        <v>0.0601906191736502</v>
      </c>
      <c r="H165" s="16" t="n">
        <f aca="false">SUMIFS(Calc!$L$5:$L$1369,Calc!$A$5:$A$1369,A165)</f>
        <v>0.0875835189601732</v>
      </c>
      <c r="I165" s="11" t="n">
        <f aca="false">IFERROR(H165/E165,"")</f>
        <v>0.0144457486016761</v>
      </c>
      <c r="J165" s="17" t="n">
        <f aca="false">Country_Data!DW165</f>
        <v>0.105</v>
      </c>
      <c r="K165" s="14" t="str">
        <f aca="false">Country_Data!DV165</f>
        <v>Group default (IHLEG)</v>
      </c>
      <c r="L165" s="16" t="n">
        <f aca="false">SUMIFS(Calc!$W$5:$W$1369,Calc!$A$5:$A$1369,A165)</f>
        <v>0.00339317298917819</v>
      </c>
      <c r="M165" s="16" t="n">
        <f aca="false">SUMIFS(Calc!$X$5:$X$1369,Calc!$A$5:$A$1369,A165)</f>
        <v>0.00556462132487982</v>
      </c>
      <c r="N165" s="18" t="n">
        <f aca="false">SUMIFS(Calc!$AC$5:$AC$1369,Calc!$A$5:$A$1369,A165)</f>
        <v>0.00681794184404141</v>
      </c>
      <c r="O165" s="18" t="n">
        <f aca="false">SUMIFS(Calc!$AD$5:$AD$1369,Calc!$A$5:$A$1369,A165)</f>
        <v>0.0103643964474673</v>
      </c>
      <c r="P165" s="18" t="n">
        <f aca="false">SUMIFS(Calc!$AE$5:$AE$1369,Calc!$A$5:$A$1369,A165)</f>
        <v>0.00359847258163969</v>
      </c>
      <c r="Q165" s="18" t="n">
        <f aca="false">SUMIFS(Calc!$AF$5:$AF$1369,Calc!$A$5:$A$1369,A165)</f>
        <v>-0.00196614874324013</v>
      </c>
      <c r="R165" s="11" t="n">
        <f aca="false">IFERROR(N165/E165,"")</f>
        <v>0.00112452976346676</v>
      </c>
      <c r="S165" s="11" t="n">
        <f aca="false">IFERROR(P165/E165,"")</f>
        <v>0.000593520686101105</v>
      </c>
      <c r="T165" s="11" t="n">
        <f aca="false">IFERROR(Q165/E165,"")</f>
        <v>-0.000324290355029736</v>
      </c>
      <c r="U165" s="16" t="n">
        <f aca="false">SUMIFS(Calc!$AG$5:$AG$1369,Calc!$A$5:$A$1369,A165)</f>
        <v>-0.00582052729272875</v>
      </c>
      <c r="V165" s="16" t="n">
        <f aca="false">SUMIFS(Calc!$AH$5:$AH$1369,Calc!$A$5:$A$1369,A165)</f>
        <v>-0.00967490584221737</v>
      </c>
      <c r="W165" s="16" t="n">
        <f aca="false">SUMIFS(Calc!$Y$5:$Y$1369,Calc!$A$5:$A$1369,A165)</f>
        <v>0.0770875709897724</v>
      </c>
      <c r="X165" s="7" t="n">
        <f aca="false">IFERROR(N165/W165*1000,"")</f>
        <v>88.4441130587184</v>
      </c>
      <c r="Y165" s="7" t="n">
        <f aca="false">IFERROR(P165/W165*1000,"")</f>
        <v>46.6803212948183</v>
      </c>
      <c r="Z165" s="7" t="n">
        <f aca="false">IFERROR(Q165/W165*1000,"")</f>
        <v>-25.5053923478921</v>
      </c>
      <c r="AA165" s="16" t="n">
        <f aca="false">SUMIFS(Calc!$AM$5:$AM$1369,Calc!$A$5:$A$1369,A165)</f>
        <v>0.0134144552600072</v>
      </c>
      <c r="AB165" s="16" t="n">
        <f aca="false">SUMIFS(Calc!$AN$5:$AN$1369,Calc!$A$5:$A$1369,A165)</f>
        <v>0.462246350067581</v>
      </c>
      <c r="AC165" s="17" t="n">
        <f aca="false">Country_Data!DY165</f>
        <v>0.4</v>
      </c>
      <c r="AD165" s="12" t="n">
        <f aca="false">IF(Country_Data!BD165="","",Country_Data!BD165)</f>
        <v>1</v>
      </c>
      <c r="AE165" s="7" t="n">
        <f aca="false">IF(Country_Data!BC165="","",Country_Data!BC165)</f>
        <v>80.264</v>
      </c>
      <c r="AF165" s="12" t="str">
        <f aca="false">IF(Country_Data!BL165="","",Country_Data!BL165)</f>
        <v/>
      </c>
      <c r="AG165" s="7" t="n">
        <f aca="false">IF(Country_Data!BA165="","",Country_Data!BA165)</f>
        <v>53.057</v>
      </c>
    </row>
    <row r="166" customFormat="false" ht="15" hidden="false" customHeight="false" outlineLevel="0" collapsed="false">
      <c r="A166" s="14" t="str">
        <f aca="false">Country_Data!A166</f>
        <v>LBR</v>
      </c>
      <c r="B166" s="14" t="str">
        <f aca="false">Country_Data!B166</f>
        <v>Liberia</v>
      </c>
      <c r="C166" s="14" t="str">
        <f aca="false">Country_Data!E166</f>
        <v>EMDC</v>
      </c>
      <c r="D166" s="14" t="str">
        <f aca="false">Country_Data!D166</f>
        <v>Low income</v>
      </c>
      <c r="E166" s="15" t="n">
        <f aca="false">Country_Data!BV166</f>
        <v>6.44547543385238</v>
      </c>
      <c r="F166" s="16" t="n">
        <f aca="false">SUMIFS(Calc!$J$5:$J$1369,Calc!$A$5:$A$1369,A166)</f>
        <v>0.477554372749701</v>
      </c>
      <c r="G166" s="11" t="n">
        <f aca="false">IFERROR(F166/E166,"")</f>
        <v>0.0740914115103954</v>
      </c>
      <c r="H166" s="16" t="n">
        <f aca="false">SUMIFS(Calc!$L$5:$L$1369,Calc!$A$5:$A$1369,A166)</f>
        <v>0.114613049459928</v>
      </c>
      <c r="I166" s="11" t="n">
        <f aca="false">IFERROR(H166/E166,"")</f>
        <v>0.0177819387624949</v>
      </c>
      <c r="J166" s="17" t="n">
        <f aca="false">Country_Data!DW166</f>
        <v>0.105</v>
      </c>
      <c r="K166" s="14" t="str">
        <f aca="false">Country_Data!DV166</f>
        <v>Group default (IHLEG)</v>
      </c>
      <c r="L166" s="16" t="n">
        <f aca="false">SUMIFS(Calc!$W$5:$W$1369,Calc!$A$5:$A$1369,A166)</f>
        <v>0.00290828399029751</v>
      </c>
      <c r="M166" s="16" t="n">
        <f aca="false">SUMIFS(Calc!$X$5:$X$1369,Calc!$A$5:$A$1369,A166)</f>
        <v>0.00959688625806131</v>
      </c>
      <c r="N166" s="18" t="n">
        <f aca="false">SUMIFS(Calc!$AC$5:$AC$1369,Calc!$A$5:$A$1369,A166)</f>
        <v>0.0101920167271187</v>
      </c>
      <c r="O166" s="18" t="n">
        <f aca="false">SUMIFS(Calc!$AD$5:$AD$1369,Calc!$A$5:$A$1369,A166)</f>
        <v>0.0148867370622575</v>
      </c>
      <c r="P166" s="18" t="n">
        <f aca="false">SUMIFS(Calc!$AE$5:$AE$1369,Calc!$A$5:$A$1369,A166)</f>
        <v>0.00593196916920385</v>
      </c>
      <c r="Q166" s="18" t="n">
        <f aca="false">SUMIFS(Calc!$AF$5:$AF$1369,Calc!$A$5:$A$1369,A166)</f>
        <v>-0.00366491708885746</v>
      </c>
      <c r="R166" s="11" t="n">
        <f aca="false">IFERROR(N166/E166,"")</f>
        <v>0.00158126686413062</v>
      </c>
      <c r="S166" s="11" t="n">
        <f aca="false">IFERROR(P166/E166,"")</f>
        <v>0.000920330738993816</v>
      </c>
      <c r="T166" s="11" t="n">
        <f aca="false">IFERROR(Q166/E166,"")</f>
        <v>-0.000568603065277216</v>
      </c>
      <c r="U166" s="16" t="n">
        <f aca="false">SUMIFS(Calc!$AG$5:$AG$1369,Calc!$A$5:$A$1369,A166)</f>
        <v>-0.0099210127611614</v>
      </c>
      <c r="V166" s="16" t="n">
        <f aca="false">SUMIFS(Calc!$AH$5:$AH$1369,Calc!$A$5:$A$1369,A166)</f>
        <v>-0.0161771084334653</v>
      </c>
      <c r="W166" s="16" t="n">
        <f aca="false">SUMIFS(Calc!$Y$5:$Y$1369,Calc!$A$5:$A$1369,A166)</f>
        <v>0.125121913446079</v>
      </c>
      <c r="X166" s="7" t="n">
        <f aca="false">IFERROR(N166/W166*1000,"")</f>
        <v>81.4566884921476</v>
      </c>
      <c r="Y166" s="7" t="n">
        <f aca="false">IFERROR(P166/W166*1000,"")</f>
        <v>47.4095144953184</v>
      </c>
      <c r="Z166" s="7" t="n">
        <f aca="false">IFERROR(Q166/W166*1000,"")</f>
        <v>-29.290769201966</v>
      </c>
      <c r="AA166" s="16" t="n">
        <f aca="false">SUMIFS(Calc!$AM$5:$AM$1369,Calc!$A$5:$A$1369,A166)</f>
        <v>0.0177501981579786</v>
      </c>
      <c r="AB166" s="16" t="n">
        <f aca="false">SUMIFS(Calc!$AN$5:$AN$1369,Calc!$A$5:$A$1369,A166)</f>
        <v>0.58269037419227</v>
      </c>
      <c r="AC166" s="17" t="n">
        <f aca="false">Country_Data!DY166</f>
        <v>0.355</v>
      </c>
      <c r="AD166" s="12" t="n">
        <f aca="false">IF(Country_Data!BD166="","",Country_Data!BD166)</f>
        <v>1.5</v>
      </c>
      <c r="AE166" s="7" t="n">
        <f aca="false">IF(Country_Data!BC166="","",Country_Data!BC166)</f>
        <v>66.993</v>
      </c>
      <c r="AF166" s="12" t="n">
        <f aca="false">IF(Country_Data!BL166="","",Country_Data!BL166)</f>
        <v>2.184</v>
      </c>
      <c r="AG166" s="7" t="n">
        <f aca="false">IF(Country_Data!BA166="","",Country_Data!BA166)</f>
        <v>56.368</v>
      </c>
    </row>
    <row r="167" customFormat="false" ht="15" hidden="false" customHeight="false" outlineLevel="0" collapsed="false">
      <c r="A167" s="14" t="str">
        <f aca="false">Country_Data!A167</f>
        <v>SSD</v>
      </c>
      <c r="B167" s="14" t="str">
        <f aca="false">Country_Data!B167</f>
        <v>South Sudan</v>
      </c>
      <c r="C167" s="14" t="str">
        <f aca="false">Country_Data!E167</f>
        <v>EMDC</v>
      </c>
      <c r="D167" s="14" t="str">
        <f aca="false">Country_Data!D167</f>
        <v>Low income</v>
      </c>
      <c r="E167" s="15" t="n">
        <f aca="false">Country_Data!BV167</f>
        <v>8.29809101674735</v>
      </c>
      <c r="F167" s="16" t="n">
        <f aca="false">SUMIFS(Calc!$J$5:$J$1369,Calc!$A$5:$A$1369,A167)</f>
        <v>0.310022143389359</v>
      </c>
      <c r="G167" s="11" t="n">
        <f aca="false">IFERROR(F167/E167,"")</f>
        <v>0.0373606583446321</v>
      </c>
      <c r="H167" s="16" t="n">
        <f aca="false">SUMIFS(Calc!$L$5:$L$1369,Calc!$A$5:$A$1369,A167)</f>
        <v>0.0744053144134462</v>
      </c>
      <c r="I167" s="11" t="n">
        <f aca="false">IFERROR(H167/E167,"")</f>
        <v>0.00896655800271171</v>
      </c>
      <c r="J167" s="17" t="n">
        <f aca="false">Country_Data!DW167</f>
        <v>0.105</v>
      </c>
      <c r="K167" s="14" t="str">
        <f aca="false">Country_Data!DV167</f>
        <v>Group default (IHLEG)</v>
      </c>
      <c r="L167" s="16" t="n">
        <f aca="false">SUMIFS(Calc!$W$5:$W$1369,Calc!$A$5:$A$1369,A167)</f>
        <v>0.00552551567464308</v>
      </c>
      <c r="M167" s="16" t="n">
        <f aca="false">SUMIFS(Calc!$X$5:$X$1369,Calc!$A$5:$A$1369,A167)</f>
        <v>0.00707677597939452</v>
      </c>
      <c r="N167" s="18" t="n">
        <f aca="false">SUMIFS(Calc!$AC$5:$AC$1369,Calc!$A$5:$A$1369,A167)</f>
        <v>0.00318715164608285</v>
      </c>
      <c r="O167" s="18" t="n">
        <f aca="false">SUMIFS(Calc!$AD$5:$AD$1369,Calc!$A$5:$A$1369,A167)</f>
        <v>0.00618652311498211</v>
      </c>
      <c r="P167" s="18" t="n">
        <f aca="false">SUMIFS(Calc!$AE$5:$AE$1369,Calc!$A$5:$A$1369,A167)</f>
        <v>0.000463491228448776</v>
      </c>
      <c r="Q167" s="18" t="n">
        <f aca="false">SUMIFS(Calc!$AF$5:$AF$1369,Calc!$A$5:$A$1369,A167)</f>
        <v>-0.00661328475094575</v>
      </c>
      <c r="R167" s="11" t="n">
        <f aca="false">IFERROR(N167/E167,"")</f>
        <v>0.000384082512429724</v>
      </c>
      <c r="S167" s="11" t="n">
        <f aca="false">IFERROR(P167/E167,"")</f>
        <v>5.58551632554222E-005</v>
      </c>
      <c r="T167" s="11" t="n">
        <f aca="false">IFERROR(Q167/E167,"")</f>
        <v>-0.000796964595543565</v>
      </c>
      <c r="U167" s="16" t="n">
        <f aca="false">SUMIFS(Calc!$AG$5:$AG$1369,Calc!$A$5:$A$1369,A167)</f>
        <v>-0.00852106996187495</v>
      </c>
      <c r="V167" s="16" t="n">
        <f aca="false">SUMIFS(Calc!$AH$5:$AH$1369,Calc!$A$5:$A$1369,A167)</f>
        <v>-0.0104288551728042</v>
      </c>
      <c r="W167" s="16" t="n">
        <f aca="false">SUMIFS(Calc!$Y$5:$Y$1369,Calc!$A$5:$A$1369,A167)</f>
        <v>0.0381557042185841</v>
      </c>
      <c r="X167" s="7" t="n">
        <f aca="false">IFERROR(N167/W167*1000,"")</f>
        <v>83.5301486725151</v>
      </c>
      <c r="Y167" s="7" t="n">
        <f aca="false">IFERROR(P167/W167*1000,"")</f>
        <v>12.1473640164929</v>
      </c>
      <c r="Z167" s="7" t="n">
        <f aca="false">IFERROR(Q167/W167*1000,"")</f>
        <v>-173.32361926961</v>
      </c>
      <c r="AA167" s="16" t="n">
        <f aca="false">SUMIFS(Calc!$AM$5:$AM$1369,Calc!$A$5:$A$1369,A167)</f>
        <v>0.0113485850734753</v>
      </c>
      <c r="AB167" s="16" t="n">
        <f aca="false">SUMIFS(Calc!$AN$5:$AN$1369,Calc!$A$5:$A$1369,A167)</f>
        <v>0.392694714959855</v>
      </c>
      <c r="AC167" s="17" t="n">
        <f aca="false">Country_Data!DY167</f>
        <v>0.4</v>
      </c>
      <c r="AD167" s="12" t="str">
        <f aca="false">IF(Country_Data!BD167="","",Country_Data!BD167)</f>
        <v/>
      </c>
      <c r="AE167" s="7" t="str">
        <f aca="false">IF(Country_Data!BC167="","",Country_Data!BC167)</f>
        <v/>
      </c>
      <c r="AF167" s="12" t="str">
        <f aca="false">IF(Country_Data!BL167="","",Country_Data!BL167)</f>
        <v/>
      </c>
      <c r="AG167" s="7" t="n">
        <f aca="false">IF(Country_Data!BA167="","",Country_Data!BA167)</f>
        <v>53.415</v>
      </c>
    </row>
    <row r="168" customFormat="false" ht="15" hidden="false" customHeight="false" outlineLevel="0" collapsed="false">
      <c r="A168" s="14" t="str">
        <f aca="false">Country_Data!A168</f>
        <v>SUR</v>
      </c>
      <c r="B168" s="14" t="str">
        <f aca="false">Country_Data!B168</f>
        <v>Suriname</v>
      </c>
      <c r="C168" s="14" t="str">
        <f aca="false">Country_Data!E168</f>
        <v>EMDC</v>
      </c>
      <c r="D168" s="14" t="str">
        <f aca="false">Country_Data!D168</f>
        <v>Upper middle income</v>
      </c>
      <c r="E168" s="15" t="n">
        <f aca="false">Country_Data!BV168</f>
        <v>5.45695973873547</v>
      </c>
      <c r="F168" s="16" t="n">
        <f aca="false">SUMIFS(Calc!$J$5:$J$1369,Calc!$A$5:$A$1369,A168)</f>
        <v>0.522937507057544</v>
      </c>
      <c r="G168" s="11" t="n">
        <f aca="false">IFERROR(F168/E168,"")</f>
        <v>0.0958294603761769</v>
      </c>
      <c r="H168" s="16" t="n">
        <f aca="false">SUMIFS(Calc!$L$5:$L$1369,Calc!$A$5:$A$1369,A168)</f>
        <v>0.125505001693811</v>
      </c>
      <c r="I168" s="11" t="n">
        <f aca="false">IFERROR(H168/E168,"")</f>
        <v>0.0229990704902825</v>
      </c>
      <c r="J168" s="17" t="n">
        <f aca="false">Country_Data!DW168</f>
        <v>0.105</v>
      </c>
      <c r="K168" s="14" t="str">
        <f aca="false">Country_Data!DV168</f>
        <v>Group default (IHLEG)</v>
      </c>
      <c r="L168" s="16" t="n">
        <f aca="false">SUMIFS(Calc!$W$5:$W$1369,Calc!$A$5:$A$1369,A168)</f>
        <v>0.0073834838704059</v>
      </c>
      <c r="M168" s="16" t="n">
        <f aca="false">SUMIFS(Calc!$X$5:$X$1369,Calc!$A$5:$A$1369,A168)</f>
        <v>0.00567423777550716</v>
      </c>
      <c r="N168" s="18" t="n">
        <f aca="false">SUMIFS(Calc!$AC$5:$AC$1369,Calc!$A$5:$A$1369,A168)</f>
        <v>0.00733199965540096</v>
      </c>
      <c r="O168" s="18" t="n">
        <f aca="false">SUMIFS(Calc!$AD$5:$AD$1369,Calc!$A$5:$A$1369,A168)</f>
        <v>0.0123949606792254</v>
      </c>
      <c r="P168" s="18" t="n">
        <f aca="false">SUMIFS(Calc!$AE$5:$AE$1369,Calc!$A$5:$A$1369,A168)</f>
        <v>0.0027339502652015</v>
      </c>
      <c r="Q168" s="18" t="n">
        <f aca="false">SUMIFS(Calc!$AF$5:$AF$1369,Calc!$A$5:$A$1369,A168)</f>
        <v>-0.00294028751030566</v>
      </c>
      <c r="R168" s="11" t="n">
        <f aca="false">IFERROR(N168/E168,"")</f>
        <v>0.00134360523193085</v>
      </c>
      <c r="S168" s="11" t="n">
        <f aca="false">IFERROR(P168/E168,"")</f>
        <v>0.000501002462194275</v>
      </c>
      <c r="T168" s="11" t="n">
        <f aca="false">IFERROR(Q168/E168,"")</f>
        <v>-0.000538814220935961</v>
      </c>
      <c r="U168" s="16" t="n">
        <f aca="false">SUMIFS(Calc!$AG$5:$AG$1369,Calc!$A$5:$A$1369,A168)</f>
        <v>-0.00792283704641117</v>
      </c>
      <c r="V168" s="16" t="n">
        <f aca="false">SUMIFS(Calc!$AH$5:$AH$1369,Calc!$A$5:$A$1369,A168)</f>
        <v>-0.0129053865825167</v>
      </c>
      <c r="W168" s="16" t="n">
        <f aca="false">SUMIFS(Calc!$Y$5:$Y$1369,Calc!$A$5:$A$1369,A168)</f>
        <v>0.0996509907221101</v>
      </c>
      <c r="X168" s="7" t="n">
        <f aca="false">IFERROR(N168/W168*1000,"")</f>
        <v>73.576786364796</v>
      </c>
      <c r="Y168" s="7" t="n">
        <f aca="false">IFERROR(P168/W168*1000,"")</f>
        <v>27.4352542347068</v>
      </c>
      <c r="Z168" s="7" t="n">
        <f aca="false">IFERROR(Q168/W168*1000,"")</f>
        <v>-29.5058532684842</v>
      </c>
      <c r="AA168" s="16" t="n">
        <f aca="false">SUMIFS(Calc!$AM$5:$AM$1369,Calc!$A$5:$A$1369,A168)</f>
        <v>0.0191585391258311</v>
      </c>
      <c r="AB168" s="16" t="n">
        <f aca="false">SUMIFS(Calc!$AN$5:$AN$1369,Calc!$A$5:$A$1369,A168)</f>
        <v>0.600303603992085</v>
      </c>
      <c r="AC168" s="17" t="n">
        <f aca="false">Country_Data!DY168</f>
        <v>0.27</v>
      </c>
      <c r="AD168" s="12" t="str">
        <f aca="false">IF(Country_Data!BD168="","",Country_Data!BD168)</f>
        <v/>
      </c>
      <c r="AE168" s="7" t="str">
        <f aca="false">IF(Country_Data!BC168="","",Country_Data!BC168)</f>
        <v/>
      </c>
      <c r="AF168" s="12" t="n">
        <f aca="false">IF(Country_Data!BL168="","",Country_Data!BL168)</f>
        <v>-1.075</v>
      </c>
      <c r="AG168" s="7" t="n">
        <f aca="false">IF(Country_Data!BA168="","",Country_Data!BA168)</f>
        <v>88.038</v>
      </c>
    </row>
    <row r="169" customFormat="false" ht="15" hidden="false" customHeight="false" outlineLevel="0" collapsed="false">
      <c r="A169" s="14" t="str">
        <f aca="false">Country_Data!A169</f>
        <v>ABW</v>
      </c>
      <c r="B169" s="14" t="str">
        <f aca="false">Country_Data!B169</f>
        <v>Aruba</v>
      </c>
      <c r="C169" s="14" t="str">
        <f aca="false">Country_Data!E169</f>
        <v>EMDC</v>
      </c>
      <c r="D169" s="14" t="str">
        <f aca="false">Country_Data!D169</f>
        <v>High income</v>
      </c>
      <c r="E169" s="15" t="n">
        <f aca="false">Country_Data!BV169</f>
        <v>5.0578299957203</v>
      </c>
      <c r="F169" s="16" t="n">
        <f aca="false">SUMIFS(Calc!$J$5:$J$1369,Calc!$A$5:$A$1369,A169)</f>
        <v>0.221048096406507</v>
      </c>
      <c r="G169" s="11" t="n">
        <f aca="false">IFERROR(F169/E169,"")</f>
        <v>0.0437041372670786</v>
      </c>
      <c r="H169" s="16" t="n">
        <f aca="false">SUMIFS(Calc!$L$5:$L$1369,Calc!$A$5:$A$1369,A169)</f>
        <v>0.0530515431375618</v>
      </c>
      <c r="I169" s="11" t="n">
        <f aca="false">IFERROR(H169/E169,"")</f>
        <v>0.0104889929440989</v>
      </c>
      <c r="J169" s="17" t="n">
        <f aca="false">Country_Data!DW169</f>
        <v>0.105</v>
      </c>
      <c r="K169" s="14" t="str">
        <f aca="false">Country_Data!DV169</f>
        <v>Group default (IHLEG)</v>
      </c>
      <c r="L169" s="16" t="n">
        <f aca="false">SUMIFS(Calc!$W$5:$W$1369,Calc!$A$5:$A$1369,A169)</f>
        <v>0.009116524769758</v>
      </c>
      <c r="M169" s="16" t="n">
        <f aca="false">SUMIFS(Calc!$X$5:$X$1369,Calc!$A$5:$A$1369,A169)</f>
        <v>0.000881382275571154</v>
      </c>
      <c r="N169" s="18" t="n">
        <f aca="false">SUMIFS(Calc!$AC$5:$AC$1369,Calc!$A$5:$A$1369,A169)</f>
        <v>-0.00286796332580291</v>
      </c>
      <c r="O169" s="18" t="n">
        <f aca="false">SUMIFS(Calc!$AD$5:$AD$1369,Calc!$A$5:$A$1369,A169)</f>
        <v>-0.000737239897551757</v>
      </c>
      <c r="P169" s="18" t="n">
        <f aca="false">SUMIFS(Calc!$AE$5:$AE$1369,Calc!$A$5:$A$1369,A169)</f>
        <v>-0.00480324961386064</v>
      </c>
      <c r="Q169" s="18" t="n">
        <f aca="false">SUMIFS(Calc!$AF$5:$AF$1369,Calc!$A$5:$A$1369,A169)</f>
        <v>-0.0056846318894318</v>
      </c>
      <c r="R169" s="11" t="n">
        <f aca="false">IFERROR(N169/E169,"")</f>
        <v>-0.00056703434639552</v>
      </c>
      <c r="S169" s="11" t="n">
        <f aca="false">IFERROR(P169/E169,"")</f>
        <v>-0.000949666085638492</v>
      </c>
      <c r="T169" s="11" t="n">
        <f aca="false">IFERROR(Q169/E169,"")</f>
        <v>-0.00112392703871856</v>
      </c>
      <c r="U169" s="16" t="n">
        <f aca="false">SUMIFS(Calc!$AG$5:$AG$1369,Calc!$A$5:$A$1369,A169)</f>
        <v>-0.00771571453849222</v>
      </c>
      <c r="V169" s="16" t="n">
        <f aca="false">SUMIFS(Calc!$AH$5:$AH$1369,Calc!$A$5:$A$1369,A169)</f>
        <v>-0.00974679718755264</v>
      </c>
      <c r="W169" s="16" t="n">
        <f aca="false">SUMIFS(Calc!$Y$5:$Y$1369,Calc!$A$5:$A$1369,A169)</f>
        <v>0.0406216529812084</v>
      </c>
      <c r="X169" s="7" t="n">
        <f aca="false">IFERROR(N169/W169*1000,"")</f>
        <v>-70.601837082544</v>
      </c>
      <c r="Y169" s="7" t="n">
        <f aca="false">IFERROR(P169/W169*1000,"")</f>
        <v>-118.243578519137</v>
      </c>
      <c r="Z169" s="7" t="n">
        <f aca="false">IFERROR(Q169/W169*1000,"")</f>
        <v>-139.940929830244</v>
      </c>
      <c r="AA169" s="16" t="n">
        <f aca="false">SUMIFS(Calc!$AM$5:$AM$1369,Calc!$A$5:$A$1369,A169)</f>
        <v>0.00806369286690721</v>
      </c>
      <c r="AB169" s="16" t="n">
        <f aca="false">SUMIFS(Calc!$AN$5:$AN$1369,Calc!$A$5:$A$1369,A169)</f>
        <v>0.25375110245021</v>
      </c>
      <c r="AC169" s="17" t="n">
        <f aca="false">Country_Data!DY169</f>
        <v>0.27</v>
      </c>
      <c r="AD169" s="12" t="str">
        <f aca="false">IF(Country_Data!BD169="","",Country_Data!BD169)</f>
        <v/>
      </c>
      <c r="AE169" s="7" t="str">
        <f aca="false">IF(Country_Data!BC169="","",Country_Data!BC169)</f>
        <v/>
      </c>
      <c r="AF169" s="12" t="str">
        <f aca="false">IF(Country_Data!BL169="","",Country_Data!BL169)</f>
        <v/>
      </c>
      <c r="AG169" s="7" t="n">
        <f aca="false">IF(Country_Data!BA169="","",Country_Data!BA169)</f>
        <v>68.646</v>
      </c>
    </row>
    <row r="170" customFormat="false" ht="15" hidden="false" customHeight="false" outlineLevel="0" collapsed="false">
      <c r="A170" s="14" t="str">
        <f aca="false">Country_Data!A170</f>
        <v>DJI</v>
      </c>
      <c r="B170" s="14" t="str">
        <f aca="false">Country_Data!B170</f>
        <v>Djibouti</v>
      </c>
      <c r="C170" s="14" t="str">
        <f aca="false">Country_Data!E170</f>
        <v>EMDC</v>
      </c>
      <c r="D170" s="14" t="str">
        <f aca="false">Country_Data!D170</f>
        <v>Lower middle income</v>
      </c>
      <c r="E170" s="15" t="n">
        <f aca="false">Country_Data!BV170</f>
        <v>5.88969135408691</v>
      </c>
      <c r="F170" s="16" t="n">
        <f aca="false">SUMIFS(Calc!$J$5:$J$1369,Calc!$A$5:$A$1369,A170)</f>
        <v>0.217116779814618</v>
      </c>
      <c r="G170" s="11" t="n">
        <f aca="false">IFERROR(F170/E170,"")</f>
        <v>0.0368638637853167</v>
      </c>
      <c r="H170" s="16" t="n">
        <f aca="false">SUMIFS(Calc!$L$5:$L$1369,Calc!$A$5:$A$1369,A170)</f>
        <v>0.0521080271555082</v>
      </c>
      <c r="I170" s="11" t="n">
        <f aca="false">IFERROR(H170/E170,"")</f>
        <v>0.00884732730847602</v>
      </c>
      <c r="J170" s="17" t="n">
        <f aca="false">Country_Data!DW170</f>
        <v>0.105</v>
      </c>
      <c r="K170" s="14" t="str">
        <f aca="false">Country_Data!DV170</f>
        <v>Group default (IHLEG)</v>
      </c>
      <c r="L170" s="16" t="n">
        <f aca="false">SUMIFS(Calc!$W$5:$W$1369,Calc!$A$5:$A$1369,A170)</f>
        <v>0.00425266607628502</v>
      </c>
      <c r="M170" s="16" t="n">
        <f aca="false">SUMIFS(Calc!$X$5:$X$1369,Calc!$A$5:$A$1369,A170)</f>
        <v>0.00068021214649729</v>
      </c>
      <c r="N170" s="18" t="n">
        <f aca="false">SUMIFS(Calc!$AC$5:$AC$1369,Calc!$A$5:$A$1369,A170)</f>
        <v>0.00181177982883118</v>
      </c>
      <c r="O170" s="18" t="n">
        <f aca="false">SUMIFS(Calc!$AD$5:$AD$1369,Calc!$A$5:$A$1369,A170)</f>
        <v>0.00392103701789511</v>
      </c>
      <c r="P170" s="18" t="n">
        <f aca="false">SUMIFS(Calc!$AE$5:$AE$1369,Calc!$A$5:$A$1369,A170)</f>
        <v>-0.000103918379563503</v>
      </c>
      <c r="Q170" s="18" t="n">
        <f aca="false">SUMIFS(Calc!$AF$5:$AF$1369,Calc!$A$5:$A$1369,A170)</f>
        <v>-0.000784130526060793</v>
      </c>
      <c r="R170" s="11" t="n">
        <f aca="false">IFERROR(N170/E170,"")</f>
        <v>0.000307618807150899</v>
      </c>
      <c r="S170" s="11" t="n">
        <f aca="false">IFERROR(P170/E170,"")</f>
        <v>-1.76441129621153E-005</v>
      </c>
      <c r="T170" s="11" t="n">
        <f aca="false">IFERROR(Q170/E170,"")</f>
        <v>-0.000133136098127906</v>
      </c>
      <c r="U170" s="16" t="n">
        <f aca="false">SUMIFS(Calc!$AG$5:$AG$1369,Calc!$A$5:$A$1369,A170)</f>
        <v>-0.00283212393653079</v>
      </c>
      <c r="V170" s="16" t="n">
        <f aca="false">SUMIFS(Calc!$AH$5:$AH$1369,Calc!$A$5:$A$1369,A170)</f>
        <v>-0.00488011734700078</v>
      </c>
      <c r="W170" s="16" t="n">
        <f aca="false">SUMIFS(Calc!$Y$5:$Y$1369,Calc!$A$5:$A$1369,A170)</f>
        <v>0.0409598682093999</v>
      </c>
      <c r="X170" s="7" t="n">
        <f aca="false">IFERROR(N170/W170*1000,"")</f>
        <v>44.2330482991005</v>
      </c>
      <c r="Y170" s="7" t="n">
        <f aca="false">IFERROR(P170/W170*1000,"")</f>
        <v>-2.53707797672198</v>
      </c>
      <c r="Z170" s="7" t="n">
        <f aca="false">IFERROR(Q170/W170*1000,"")</f>
        <v>-19.1438732676597</v>
      </c>
      <c r="AA170" s="16" t="n">
        <f aca="false">SUMIFS(Calc!$AM$5:$AM$1369,Calc!$A$5:$A$1369,A170)</f>
        <v>0.00798207586831116</v>
      </c>
      <c r="AB170" s="16" t="n">
        <f aca="false">SUMIFS(Calc!$AN$5:$AN$1369,Calc!$A$5:$A$1369,A170)</f>
        <v>0.248428859624617</v>
      </c>
      <c r="AC170" s="17" t="n">
        <f aca="false">Country_Data!DY170</f>
        <v>0.265</v>
      </c>
      <c r="AD170" s="12" t="n">
        <f aca="false">IF(Country_Data!BD170="","",Country_Data!BD170)</f>
        <v>2.5</v>
      </c>
      <c r="AE170" s="7" t="str">
        <f aca="false">IF(Country_Data!BC170="","",Country_Data!BC170)</f>
        <v/>
      </c>
      <c r="AF170" s="12" t="str">
        <f aca="false">IF(Country_Data!BL170="","",Country_Data!BL170)</f>
        <v/>
      </c>
      <c r="AG170" s="7" t="n">
        <f aca="false">IF(Country_Data!BA170="","",Country_Data!BA170)</f>
        <v>33.957</v>
      </c>
    </row>
    <row r="171" customFormat="false" ht="15" hidden="false" customHeight="false" outlineLevel="0" collapsed="false">
      <c r="A171" s="14" t="str">
        <f aca="false">Country_Data!A171</f>
        <v>AND</v>
      </c>
      <c r="B171" s="14" t="str">
        <f aca="false">Country_Data!B171</f>
        <v>Andorra</v>
      </c>
      <c r="C171" s="14" t="str">
        <f aca="false">Country_Data!E171</f>
        <v>AE</v>
      </c>
      <c r="D171" s="14" t="str">
        <f aca="false">Country_Data!D171</f>
        <v>High income</v>
      </c>
      <c r="E171" s="15" t="n">
        <f aca="false">Country_Data!BV171</f>
        <v>4.65951342295591</v>
      </c>
      <c r="F171" s="16" t="n">
        <f aca="false">SUMIFS(Calc!$J$5:$J$1369,Calc!$A$5:$A$1369,A171)</f>
        <v>0.16439495403614</v>
      </c>
      <c r="G171" s="11" t="n">
        <f aca="false">IFERROR(F171/E171,"")</f>
        <v>0.0352815710812678</v>
      </c>
      <c r="H171" s="16" t="n">
        <f aca="false">SUMIFS(Calc!$L$5:$L$1369,Calc!$A$5:$A$1369,A171)</f>
        <v>0.0624700825337333</v>
      </c>
      <c r="I171" s="11" t="n">
        <f aca="false">IFERROR(H171/E171,"")</f>
        <v>0.0134069970108818</v>
      </c>
      <c r="J171" s="17" t="n">
        <f aca="false">Country_Data!DW171</f>
        <v>0.055</v>
      </c>
      <c r="K171" s="14" t="str">
        <f aca="false">Country_Data!DV171</f>
        <v>Group default (IHLEG)</v>
      </c>
      <c r="L171" s="16" t="n">
        <f aca="false">SUMIFS(Calc!$W$5:$W$1369,Calc!$A$5:$A$1369,A171)</f>
        <v>0.00556300219372232</v>
      </c>
      <c r="M171" s="16" t="n">
        <f aca="false">SUMIFS(Calc!$X$5:$X$1369,Calc!$A$5:$A$1369,A171)</f>
        <v>0.0055160163623243</v>
      </c>
      <c r="N171" s="18" t="n">
        <f aca="false">SUMIFS(Calc!$AC$5:$AC$1369,Calc!$A$5:$A$1369,A171)</f>
        <v>-0.000671244769010559</v>
      </c>
      <c r="O171" s="18" t="n">
        <f aca="false">SUMIFS(Calc!$AD$5:$AD$1369,Calc!$A$5:$A$1369,A171)</f>
        <v>3.85821937764806E-005</v>
      </c>
      <c r="P171" s="18" t="n">
        <f aca="false">SUMIFS(Calc!$AE$5:$AE$1369,Calc!$A$5:$A$1369,A171)</f>
        <v>-0.000439238379295751</v>
      </c>
      <c r="Q171" s="18" t="n">
        <f aca="false">SUMIFS(Calc!$AF$5:$AF$1369,Calc!$A$5:$A$1369,A171)</f>
        <v>-0.00595525474162005</v>
      </c>
      <c r="R171" s="11" t="n">
        <f aca="false">IFERROR(N171/E171,"")</f>
        <v>-0.000144058983863756</v>
      </c>
      <c r="S171" s="11" t="n">
        <f aca="false">IFERROR(P171/E171,"")</f>
        <v>-9.42670058920242E-005</v>
      </c>
      <c r="T171" s="11" t="n">
        <f aca="false">IFERROR(Q171/E171,"")</f>
        <v>-0.00127808511341129</v>
      </c>
      <c r="U171" s="16" t="n">
        <f aca="false">SUMIFS(Calc!$AG$5:$AG$1369,Calc!$A$5:$A$1369,A171)</f>
        <v>-0.00696879614579583</v>
      </c>
      <c r="V171" s="16" t="n">
        <f aca="false">SUMIFS(Calc!$AH$5:$AH$1369,Calc!$A$5:$A$1369,A171)</f>
        <v>-0.0079823375499716</v>
      </c>
      <c r="W171" s="16" t="n">
        <f aca="false">SUMIFS(Calc!$Y$5:$Y$1369,Calc!$A$5:$A$1369,A171)</f>
        <v>0.0202708280835155</v>
      </c>
      <c r="X171" s="7" t="n">
        <f aca="false">IFERROR(N171/W171*1000,"")</f>
        <v>-33.1138306854086</v>
      </c>
      <c r="Y171" s="7" t="n">
        <f aca="false">IFERROR(P171/W171*1000,"")</f>
        <v>-21.6684970878395</v>
      </c>
      <c r="Z171" s="7" t="n">
        <f aca="false">IFERROR(Q171/W171*1000,"")</f>
        <v>-293.784482660723</v>
      </c>
      <c r="AA171" s="16" t="n">
        <f aca="false">SUMIFS(Calc!$AM$5:$AM$1369,Calc!$A$5:$A$1369,A171)</f>
        <v>-0.000610543130828442</v>
      </c>
      <c r="AB171" s="16" t="n">
        <f aca="false">SUMIFS(Calc!$AN$5:$AN$1369,Calc!$A$5:$A$1369,A171)</f>
        <v>0.171764383010174</v>
      </c>
      <c r="AC171" s="17" t="n">
        <f aca="false">Country_Data!DY171</f>
        <v>0.13</v>
      </c>
      <c r="AD171" s="12" t="str">
        <f aca="false">IF(Country_Data!BD171="","",Country_Data!BD171)</f>
        <v/>
      </c>
      <c r="AE171" s="7" t="str">
        <f aca="false">IF(Country_Data!BC171="","",Country_Data!BC171)</f>
        <v/>
      </c>
      <c r="AF171" s="12" t="str">
        <f aca="false">IF(Country_Data!BL171="","",Country_Data!BL171)</f>
        <v/>
      </c>
      <c r="AG171" s="7" t="n">
        <f aca="false">IF(Country_Data!BA171="","",Country_Data!BA171)</f>
        <v>32.889</v>
      </c>
    </row>
    <row r="172" customFormat="false" ht="15" hidden="false" customHeight="false" outlineLevel="0" collapsed="false">
      <c r="A172" s="14" t="str">
        <f aca="false">Country_Data!A172</f>
        <v>BLZ</v>
      </c>
      <c r="B172" s="14" t="str">
        <f aca="false">Country_Data!B172</f>
        <v>Belize</v>
      </c>
      <c r="C172" s="14" t="str">
        <f aca="false">Country_Data!E172</f>
        <v>EMDC</v>
      </c>
      <c r="D172" s="14" t="str">
        <f aca="false">Country_Data!D172</f>
        <v>Upper middle income</v>
      </c>
      <c r="E172" s="15" t="n">
        <f aca="false">Country_Data!BV172</f>
        <v>3.66898682050015</v>
      </c>
      <c r="F172" s="16" t="n">
        <f aca="false">SUMIFS(Calc!$J$5:$J$1369,Calc!$A$5:$A$1369,A172)</f>
        <v>0.302681181275262</v>
      </c>
      <c r="G172" s="11" t="n">
        <f aca="false">IFERROR(F172/E172,"")</f>
        <v>0.0824972113783719</v>
      </c>
      <c r="H172" s="16" t="n">
        <f aca="false">SUMIFS(Calc!$L$5:$L$1369,Calc!$A$5:$A$1369,A172)</f>
        <v>0.0726434835060628</v>
      </c>
      <c r="I172" s="11" t="n">
        <f aca="false">IFERROR(H172/E172,"")</f>
        <v>0.0197993307308093</v>
      </c>
      <c r="J172" s="17" t="n">
        <f aca="false">Country_Data!DW172</f>
        <v>0.105</v>
      </c>
      <c r="K172" s="14" t="str">
        <f aca="false">Country_Data!DV172</f>
        <v>Group default (IHLEG)</v>
      </c>
      <c r="L172" s="16" t="n">
        <f aca="false">SUMIFS(Calc!$W$5:$W$1369,Calc!$A$5:$A$1369,A172)</f>
        <v>0.00449197197281595</v>
      </c>
      <c r="M172" s="16" t="n">
        <f aca="false">SUMIFS(Calc!$X$5:$X$1369,Calc!$A$5:$A$1369,A172)</f>
        <v>0.00411487549631427</v>
      </c>
      <c r="N172" s="18" t="n">
        <f aca="false">SUMIFS(Calc!$AC$5:$AC$1369,Calc!$A$5:$A$1369,A172)</f>
        <v>0.00397043149831148</v>
      </c>
      <c r="O172" s="18" t="n">
        <f aca="false">SUMIFS(Calc!$AD$5:$AD$1369,Calc!$A$5:$A$1369,A172)</f>
        <v>0.0069125807662733</v>
      </c>
      <c r="P172" s="18" t="n">
        <f aca="false">SUMIFS(Calc!$AE$5:$AE$1369,Calc!$A$5:$A$1369,A172)</f>
        <v>0.00129928216950364</v>
      </c>
      <c r="Q172" s="18" t="n">
        <f aca="false">SUMIFS(Calc!$AF$5:$AF$1369,Calc!$A$5:$A$1369,A172)</f>
        <v>-0.00281559332681063</v>
      </c>
      <c r="R172" s="11" t="n">
        <f aca="false">IFERROR(N172/E172,"")</f>
        <v>0.00108216019641363</v>
      </c>
      <c r="S172" s="11" t="n">
        <f aca="false">IFERROR(P172/E172,"")</f>
        <v>0.000354125602807841</v>
      </c>
      <c r="T172" s="11" t="n">
        <f aca="false">IFERROR(Q172/E172,"")</f>
        <v>-0.000767403499810559</v>
      </c>
      <c r="U172" s="16" t="n">
        <f aca="false">SUMIFS(Calc!$AG$5:$AG$1369,Calc!$A$5:$A$1369,A172)</f>
        <v>-0.00563738916469173</v>
      </c>
      <c r="V172" s="16" t="n">
        <f aca="false">SUMIFS(Calc!$AH$5:$AH$1369,Calc!$A$5:$A$1369,A172)</f>
        <v>-0.00845918500257283</v>
      </c>
      <c r="W172" s="16" t="n">
        <f aca="false">SUMIFS(Calc!$Y$5:$Y$1369,Calc!$A$5:$A$1369,A172)</f>
        <v>0.056435916757622</v>
      </c>
      <c r="X172" s="7" t="n">
        <f aca="false">IFERROR(N172/W172*1000,"")</f>
        <v>70.3529193184454</v>
      </c>
      <c r="Y172" s="7" t="n">
        <f aca="false">IFERROR(P172/W172*1000,"")</f>
        <v>23.0222568206649</v>
      </c>
      <c r="Z172" s="7" t="n">
        <f aca="false">IFERROR(Q172/W172*1000,"")</f>
        <v>-49.8900963884913</v>
      </c>
      <c r="AA172" s="16" t="n">
        <f aca="false">SUMIFS(Calc!$AM$5:$AM$1369,Calc!$A$5:$A$1369,A172)</f>
        <v>0.0111297888700327</v>
      </c>
      <c r="AB172" s="16" t="n">
        <f aca="false">SUMIFS(Calc!$AN$5:$AN$1369,Calc!$A$5:$A$1369,A172)</f>
        <v>0.347461410833794</v>
      </c>
      <c r="AC172" s="17" t="n">
        <f aca="false">Country_Data!DY172</f>
        <v>0.27</v>
      </c>
      <c r="AD172" s="12" t="str">
        <f aca="false">IF(Country_Data!BD172="","",Country_Data!BD172)</f>
        <v/>
      </c>
      <c r="AE172" s="7" t="n">
        <f aca="false">IF(Country_Data!BC172="","",Country_Data!BC172)</f>
        <v>84.932</v>
      </c>
      <c r="AF172" s="12" t="n">
        <f aca="false">IF(Country_Data!BL172="","",Country_Data!BL172)</f>
        <v>-2.554</v>
      </c>
      <c r="AG172" s="7" t="n">
        <f aca="false">IF(Country_Data!BA172="","",Country_Data!BA172)</f>
        <v>65.436</v>
      </c>
    </row>
    <row r="173" customFormat="false" ht="15" hidden="false" customHeight="false" outlineLevel="0" collapsed="false">
      <c r="A173" s="14" t="str">
        <f aca="false">Country_Data!A173</f>
        <v>BTN</v>
      </c>
      <c r="B173" s="14" t="str">
        <f aca="false">Country_Data!B173</f>
        <v>Bhutan</v>
      </c>
      <c r="C173" s="14" t="str">
        <f aca="false">Country_Data!E173</f>
        <v>EMDC</v>
      </c>
      <c r="D173" s="14" t="str">
        <f aca="false">Country_Data!D173</f>
        <v>Lower middle income</v>
      </c>
      <c r="E173" s="15" t="n">
        <f aca="false">Country_Data!BV173</f>
        <v>4.83478705929328</v>
      </c>
      <c r="F173" s="16" t="n">
        <f aca="false">SUMIFS(Calc!$J$5:$J$1369,Calc!$A$5:$A$1369,A173)</f>
        <v>0.337997403698262</v>
      </c>
      <c r="G173" s="11" t="n">
        <f aca="false">IFERROR(F173/E173,"")</f>
        <v>0.0699094705833164</v>
      </c>
      <c r="H173" s="16" t="n">
        <f aca="false">SUMIFS(Calc!$L$5:$L$1369,Calc!$A$5:$A$1369,A173)</f>
        <v>0.0811193768875829</v>
      </c>
      <c r="I173" s="11" t="n">
        <f aca="false">IFERROR(H173/E173,"")</f>
        <v>0.0167782729399959</v>
      </c>
      <c r="J173" s="17" t="n">
        <f aca="false">Country_Data!DW173</f>
        <v>0.105</v>
      </c>
      <c r="K173" s="14" t="str">
        <f aca="false">Country_Data!DV173</f>
        <v>Group default (IHLEG)</v>
      </c>
      <c r="L173" s="16" t="n">
        <f aca="false">SUMIFS(Calc!$W$5:$W$1369,Calc!$A$5:$A$1369,A173)</f>
        <v>0.00405969708856885</v>
      </c>
      <c r="M173" s="16" t="n">
        <f aca="false">SUMIFS(Calc!$X$5:$X$1369,Calc!$A$5:$A$1369,A173)</f>
        <v>0.00287934624233476</v>
      </c>
      <c r="N173" s="18" t="n">
        <f aca="false">SUMIFS(Calc!$AC$5:$AC$1369,Calc!$A$5:$A$1369,A173)</f>
        <v>0.00531060451111281</v>
      </c>
      <c r="O173" s="18" t="n">
        <f aca="false">SUMIFS(Calc!$AD$5:$AD$1369,Calc!$A$5:$A$1369,A173)</f>
        <v>0.00861032311322989</v>
      </c>
      <c r="P173" s="18" t="n">
        <f aca="false">SUMIFS(Calc!$AE$5:$AE$1369,Calc!$A$5:$A$1369,A173)</f>
        <v>0.00231067071318551</v>
      </c>
      <c r="Q173" s="18" t="n">
        <f aca="false">SUMIFS(Calc!$AF$5:$AF$1369,Calc!$A$5:$A$1369,A173)</f>
        <v>-0.000568675529149252</v>
      </c>
      <c r="R173" s="11" t="n">
        <f aca="false">IFERROR(N173/E173,"")</f>
        <v>0.00109841538954749</v>
      </c>
      <c r="S173" s="11" t="n">
        <f aca="false">IFERROR(P173/E173,"")</f>
        <v>0.000477926056483503</v>
      </c>
      <c r="T173" s="11" t="n">
        <f aca="false">IFERROR(Q173/E173,"")</f>
        <v>-0.000117621628869086</v>
      </c>
      <c r="U173" s="16" t="n">
        <f aca="false">SUMIFS(Calc!$AG$5:$AG$1369,Calc!$A$5:$A$1369,A173)</f>
        <v>-0.0022852491733559</v>
      </c>
      <c r="V173" s="16" t="n">
        <f aca="false">SUMIFS(Calc!$AH$5:$AH$1369,Calc!$A$5:$A$1369,A173)</f>
        <v>-0.00400182281756254</v>
      </c>
      <c r="W173" s="16" t="n">
        <f aca="false">SUMIFS(Calc!$Y$5:$Y$1369,Calc!$A$5:$A$1369,A173)</f>
        <v>0.0343314728841329</v>
      </c>
      <c r="X173" s="7" t="n">
        <f aca="false">IFERROR(N173/W173*1000,"")</f>
        <v>154.686183404826</v>
      </c>
      <c r="Y173" s="7" t="n">
        <f aca="false">IFERROR(P173/W173*1000,"")</f>
        <v>67.304735831868</v>
      </c>
      <c r="Z173" s="7" t="n">
        <f aca="false">IFERROR(Q173/W173*1000,"")</f>
        <v>-16.5642625082968</v>
      </c>
      <c r="AA173" s="16" t="n">
        <f aca="false">SUMIFS(Calc!$AM$5:$AM$1369,Calc!$A$5:$A$1369,A173)</f>
        <v>0.0124997241580304</v>
      </c>
      <c r="AB173" s="16" t="n">
        <f aca="false">SUMIFS(Calc!$AN$5:$AN$1369,Calc!$A$5:$A$1369,A173)</f>
        <v>0.412409235210128</v>
      </c>
      <c r="AC173" s="17" t="n">
        <f aca="false">Country_Data!DY173</f>
        <v>0.355</v>
      </c>
      <c r="AD173" s="12" t="n">
        <f aca="false">IF(Country_Data!BD173="","",Country_Data!BD173)</f>
        <v>1.5</v>
      </c>
      <c r="AE173" s="7" t="n">
        <f aca="false">IF(Country_Data!BC173="","",Country_Data!BC173)</f>
        <v>66.852</v>
      </c>
      <c r="AF173" s="12" t="str">
        <f aca="false">IF(Country_Data!BL173="","",Country_Data!BL173)</f>
        <v/>
      </c>
      <c r="AG173" s="7" t="n">
        <f aca="false">IF(Country_Data!BA173="","",Country_Data!BA173)</f>
        <v>108.717</v>
      </c>
    </row>
    <row r="174" customFormat="false" ht="15" hidden="false" customHeight="false" outlineLevel="0" collapsed="false">
      <c r="A174" s="14" t="str">
        <f aca="false">Country_Data!A174</f>
        <v>CAF</v>
      </c>
      <c r="B174" s="14" t="str">
        <f aca="false">Country_Data!B174</f>
        <v>Central African Republic</v>
      </c>
      <c r="C174" s="14" t="str">
        <f aca="false">Country_Data!E174</f>
        <v>EMDC</v>
      </c>
      <c r="D174" s="14" t="str">
        <f aca="false">Country_Data!D174</f>
        <v>Low income</v>
      </c>
      <c r="E174" s="15" t="n">
        <f aca="false">Country_Data!BV174</f>
        <v>3.41945189103387</v>
      </c>
      <c r="F174" s="16" t="n">
        <f aca="false">SUMIFS(Calc!$J$5:$J$1369,Calc!$A$5:$A$1369,A174)</f>
        <v>0.791483066836138</v>
      </c>
      <c r="G174" s="11" t="n">
        <f aca="false">IFERROR(F174/E174,"")</f>
        <v>0.231464893222063</v>
      </c>
      <c r="H174" s="16" t="n">
        <f aca="false">SUMIFS(Calc!$L$5:$L$1369,Calc!$A$5:$A$1369,A174)</f>
        <v>0.189955936040673</v>
      </c>
      <c r="I174" s="11" t="n">
        <f aca="false">IFERROR(H174/E174,"")</f>
        <v>0.0555515743732952</v>
      </c>
      <c r="J174" s="17" t="n">
        <f aca="false">Country_Data!DW174</f>
        <v>0.105</v>
      </c>
      <c r="K174" s="14" t="str">
        <f aca="false">Country_Data!DV174</f>
        <v>Group default (IHLEG)</v>
      </c>
      <c r="L174" s="16" t="n">
        <f aca="false">SUMIFS(Calc!$W$5:$W$1369,Calc!$A$5:$A$1369,A174)</f>
        <v>0.0054872012318694</v>
      </c>
      <c r="M174" s="16" t="n">
        <f aca="false">SUMIFS(Calc!$X$5:$X$1369,Calc!$A$5:$A$1369,A174)</f>
        <v>0.021933697795083</v>
      </c>
      <c r="N174" s="18" t="n">
        <f aca="false">SUMIFS(Calc!$AC$5:$AC$1369,Calc!$A$5:$A$1369,A174)</f>
        <v>0.0157899965820386</v>
      </c>
      <c r="O174" s="18" t="n">
        <f aca="false">SUMIFS(Calc!$AD$5:$AD$1369,Calc!$A$5:$A$1369,A174)</f>
        <v>0.0236649779734386</v>
      </c>
      <c r="P174" s="18" t="n">
        <f aca="false">SUMIFS(Calc!$AE$5:$AE$1369,Calc!$A$5:$A$1369,A174)</f>
        <v>0.0086472043129826</v>
      </c>
      <c r="Q174" s="18" t="n">
        <f aca="false">SUMIFS(Calc!$AF$5:$AF$1369,Calc!$A$5:$A$1369,A174)</f>
        <v>-0.0132864934821004</v>
      </c>
      <c r="R174" s="11" t="n">
        <f aca="false">IFERROR(N174/E174,"")</f>
        <v>0.00461769812391321</v>
      </c>
      <c r="S174" s="11" t="n">
        <f aca="false">IFERROR(P174/E174,"")</f>
        <v>0.00252882759826403</v>
      </c>
      <c r="T174" s="11" t="n">
        <f aca="false">IFERROR(Q174/E174,"")</f>
        <v>-0.00388556233732629</v>
      </c>
      <c r="U174" s="16" t="n">
        <f aca="false">SUMIFS(Calc!$AG$5:$AG$1369,Calc!$A$5:$A$1369,A174)</f>
        <v>-0.0257138815023826</v>
      </c>
      <c r="V174" s="16" t="n">
        <f aca="false">SUMIFS(Calc!$AH$5:$AH$1369,Calc!$A$5:$A$1369,A174)</f>
        <v>-0.0381412695226648</v>
      </c>
      <c r="W174" s="16" t="n">
        <f aca="false">SUMIFS(Calc!$Y$5:$Y$1369,Calc!$A$5:$A$1369,A174)</f>
        <v>0.248547760405644</v>
      </c>
      <c r="X174" s="7" t="n">
        <f aca="false">IFERROR(N174/W174*1000,"")</f>
        <v>63.5290237830685</v>
      </c>
      <c r="Y174" s="7" t="n">
        <f aca="false">IFERROR(P174/W174*1000,"")</f>
        <v>34.7909162362592</v>
      </c>
      <c r="Z174" s="7" t="n">
        <f aca="false">IFERROR(Q174/W174*1000,"")</f>
        <v>-53.4565005148953</v>
      </c>
      <c r="AA174" s="16" t="n">
        <f aca="false">SUMIFS(Calc!$AM$5:$AM$1369,Calc!$A$5:$A$1369,A174)</f>
        <v>0.0297616344544</v>
      </c>
      <c r="AB174" s="16" t="n">
        <f aca="false">SUMIFS(Calc!$AN$5:$AN$1369,Calc!$A$5:$A$1369,A174)</f>
        <v>1.00254521799244</v>
      </c>
      <c r="AC174" s="17" t="n">
        <f aca="false">Country_Data!DY174</f>
        <v>0.4</v>
      </c>
      <c r="AD174" s="12" t="str">
        <f aca="false">IF(Country_Data!BD174="","",Country_Data!BD174)</f>
        <v/>
      </c>
      <c r="AE174" s="7" t="n">
        <f aca="false">IF(Country_Data!BC174="","",Country_Data!BC174)</f>
        <v>10.003</v>
      </c>
      <c r="AF174" s="12" t="str">
        <f aca="false">IF(Country_Data!BL174="","",Country_Data!BL174)</f>
        <v/>
      </c>
      <c r="AG174" s="7" t="n">
        <f aca="false">IF(Country_Data!BA174="","",Country_Data!BA174)</f>
        <v>59.883</v>
      </c>
    </row>
    <row r="175" customFormat="false" ht="15" hidden="false" customHeight="false" outlineLevel="0" collapsed="false">
      <c r="A175" s="14" t="str">
        <f aca="false">Country_Data!A175</f>
        <v>CPV</v>
      </c>
      <c r="B175" s="14" t="str">
        <f aca="false">Country_Data!B175</f>
        <v>Cabo Verde</v>
      </c>
      <c r="C175" s="14" t="str">
        <f aca="false">Country_Data!E175</f>
        <v>EMDC</v>
      </c>
      <c r="D175" s="14" t="str">
        <f aca="false">Country_Data!D175</f>
        <v>Upper middle income</v>
      </c>
      <c r="E175" s="15" t="n">
        <f aca="false">Country_Data!BV175</f>
        <v>3.63386557138147</v>
      </c>
      <c r="F175" s="16" t="n">
        <f aca="false">SUMIFS(Calc!$J$5:$J$1369,Calc!$A$5:$A$1369,A175)</f>
        <v>0.142965445934426</v>
      </c>
      <c r="G175" s="11" t="n">
        <f aca="false">IFERROR(F175/E175,"")</f>
        <v>0.0393425246823523</v>
      </c>
      <c r="H175" s="16" t="n">
        <f aca="false">SUMIFS(Calc!$L$5:$L$1369,Calc!$A$5:$A$1369,A175)</f>
        <v>0.0343117070242622</v>
      </c>
      <c r="I175" s="11" t="n">
        <f aca="false">IFERROR(H175/E175,"")</f>
        <v>0.00944220592376456</v>
      </c>
      <c r="J175" s="17" t="n">
        <f aca="false">Country_Data!DW175</f>
        <v>0.105</v>
      </c>
      <c r="K175" s="14" t="str">
        <f aca="false">Country_Data!DV175</f>
        <v>Group default (IHLEG)</v>
      </c>
      <c r="L175" s="16" t="n">
        <f aca="false">SUMIFS(Calc!$W$5:$W$1369,Calc!$A$5:$A$1369,A175)</f>
        <v>0.00301934386968488</v>
      </c>
      <c r="M175" s="16" t="n">
        <f aca="false">SUMIFS(Calc!$X$5:$X$1369,Calc!$A$5:$A$1369,A175)</f>
        <v>0.00080973555375682</v>
      </c>
      <c r="N175" s="18" t="n">
        <f aca="false">SUMIFS(Calc!$AC$5:$AC$1369,Calc!$A$5:$A$1369,A175)</f>
        <v>0.00105887081667761</v>
      </c>
      <c r="O175" s="18" t="n">
        <f aca="false">SUMIFS(Calc!$AD$5:$AD$1369,Calc!$A$5:$A$1369,A175)</f>
        <v>0.0024303970243556</v>
      </c>
      <c r="P175" s="18" t="n">
        <f aca="false">SUMIFS(Calc!$AE$5:$AE$1369,Calc!$A$5:$A$1369,A175)</f>
        <v>-0.000186816759097081</v>
      </c>
      <c r="Q175" s="18" t="n">
        <f aca="false">SUMIFS(Calc!$AF$5:$AF$1369,Calc!$A$5:$A$1369,A175)</f>
        <v>-0.000996552312853901</v>
      </c>
      <c r="R175" s="11" t="n">
        <f aca="false">IFERROR(N175/E175,"")</f>
        <v>0.000291389649913511</v>
      </c>
      <c r="S175" s="11" t="n">
        <f aca="false">IFERROR(P175/E175,"")</f>
        <v>-5.14099257188702E-005</v>
      </c>
      <c r="T175" s="11" t="n">
        <f aca="false">IFERROR(Q175/E175,"")</f>
        <v>-0.000274240280296072</v>
      </c>
      <c r="U175" s="16" t="n">
        <f aca="false">SUMIFS(Calc!$AG$5:$AG$1369,Calc!$A$5:$A$1369,A175)</f>
        <v>-0.00222676833982744</v>
      </c>
      <c r="V175" s="16" t="n">
        <f aca="false">SUMIFS(Calc!$AH$5:$AH$1369,Calc!$A$5:$A$1369,A175)</f>
        <v>-0.00345698436680098</v>
      </c>
      <c r="W175" s="16" t="n">
        <f aca="false">SUMIFS(Calc!$Y$5:$Y$1369,Calc!$A$5:$A$1369,A175)</f>
        <v>0.0246043205394708</v>
      </c>
      <c r="X175" s="7" t="n">
        <f aca="false">IFERROR(N175/W175*1000,"")</f>
        <v>43.0359706531599</v>
      </c>
      <c r="Y175" s="7" t="n">
        <f aca="false">IFERROR(P175/W175*1000,"")</f>
        <v>-7.59284365513713</v>
      </c>
      <c r="Z175" s="7" t="n">
        <f aca="false">IFERROR(Q175/W175*1000,"")</f>
        <v>-40.5031429847944</v>
      </c>
      <c r="AA175" s="16" t="n">
        <f aca="false">SUMIFS(Calc!$AM$5:$AM$1369,Calc!$A$5:$A$1369,A175)</f>
        <v>0.0051903648990612</v>
      </c>
      <c r="AB175" s="16" t="n">
        <f aca="false">SUMIFS(Calc!$AN$5:$AN$1369,Calc!$A$5:$A$1369,A175)</f>
        <v>0.164116498209656</v>
      </c>
      <c r="AC175" s="17" t="n">
        <f aca="false">Country_Data!DY175</f>
        <v>0.27</v>
      </c>
      <c r="AD175" s="12" t="str">
        <f aca="false">IF(Country_Data!BD175="","",Country_Data!BD175)</f>
        <v/>
      </c>
      <c r="AE175" s="7" t="n">
        <f aca="false">IF(Country_Data!BC175="","",Country_Data!BC175)</f>
        <v>43.59</v>
      </c>
      <c r="AF175" s="12" t="n">
        <f aca="false">IF(Country_Data!BL175="","",Country_Data!BL175)</f>
        <v>-1.628</v>
      </c>
      <c r="AG175" s="7" t="n">
        <f aca="false">IF(Country_Data!BA175="","",Country_Data!BA175)</f>
        <v>112.847</v>
      </c>
    </row>
    <row r="176" customFormat="false" ht="15" hidden="false" customHeight="false" outlineLevel="0" collapsed="false">
      <c r="A176" s="14" t="str">
        <f aca="false">Country_Data!A176</f>
        <v>LCA</v>
      </c>
      <c r="B176" s="14" t="str">
        <f aca="false">Country_Data!B176</f>
        <v>St. Lucia</v>
      </c>
      <c r="C176" s="14" t="str">
        <f aca="false">Country_Data!E176</f>
        <v>EMDC</v>
      </c>
      <c r="D176" s="14" t="str">
        <f aca="false">Country_Data!D176</f>
        <v>Upper middle income</v>
      </c>
      <c r="E176" s="15" t="n">
        <f aca="false">Country_Data!BV176</f>
        <v>2.88367319131649</v>
      </c>
      <c r="F176" s="16" t="n">
        <f aca="false">SUMIFS(Calc!$J$5:$J$1369,Calc!$A$5:$A$1369,A176)</f>
        <v>0.126412897244929</v>
      </c>
      <c r="G176" s="11" t="n">
        <f aca="false">IFERROR(F176/E176,"")</f>
        <v>0.0438374562088353</v>
      </c>
      <c r="H176" s="16" t="n">
        <f aca="false">SUMIFS(Calc!$L$5:$L$1369,Calc!$A$5:$A$1369,A176)</f>
        <v>0.0303390953387829</v>
      </c>
      <c r="I176" s="11" t="n">
        <f aca="false">IFERROR(H176/E176,"")</f>
        <v>0.0105209894901205</v>
      </c>
      <c r="J176" s="17" t="n">
        <f aca="false">Country_Data!DW176</f>
        <v>0.105</v>
      </c>
      <c r="K176" s="14" t="str">
        <f aca="false">Country_Data!DV176</f>
        <v>Group default (IHLEG)</v>
      </c>
      <c r="L176" s="16" t="n">
        <f aca="false">SUMIFS(Calc!$W$5:$W$1369,Calc!$A$5:$A$1369,A176)</f>
        <v>0.00475494834237552</v>
      </c>
      <c r="M176" s="16" t="n">
        <f aca="false">SUMIFS(Calc!$X$5:$X$1369,Calc!$A$5:$A$1369,A176)</f>
        <v>0.00074087919657261</v>
      </c>
      <c r="N176" s="18" t="n">
        <f aca="false">SUMIFS(Calc!$AC$5:$AC$1369,Calc!$A$5:$A$1369,A176)</f>
        <v>-0.00115442709199337</v>
      </c>
      <c r="O176" s="18" t="n">
        <f aca="false">SUMIFS(Calc!$AD$5:$AD$1369,Calc!$A$5:$A$1369,A176)</f>
        <v>5.95328874299777E-005</v>
      </c>
      <c r="P176" s="18" t="n">
        <f aca="false">SUMIFS(Calc!$AE$5:$AE$1369,Calc!$A$5:$A$1369,A176)</f>
        <v>-0.00225714861299258</v>
      </c>
      <c r="Q176" s="18" t="n">
        <f aca="false">SUMIFS(Calc!$AF$5:$AF$1369,Calc!$A$5:$A$1369,A176)</f>
        <v>-0.00299802780956519</v>
      </c>
      <c r="R176" s="11" t="n">
        <f aca="false">IFERROR(N176/E176,"")</f>
        <v>-0.000400332151184697</v>
      </c>
      <c r="S176" s="11" t="n">
        <f aca="false">IFERROR(P176/E176,"")</f>
        <v>-0.000782733847853998</v>
      </c>
      <c r="T176" s="11" t="n">
        <f aca="false">IFERROR(Q176/E176,"")</f>
        <v>-0.00103965588701003</v>
      </c>
      <c r="U176" s="16" t="n">
        <f aca="false">SUMIFS(Calc!$AG$5:$AG$1369,Calc!$A$5:$A$1369,A176)</f>
        <v>-0.00428960854008231</v>
      </c>
      <c r="V176" s="16" t="n">
        <f aca="false">SUMIFS(Calc!$AH$5:$AH$1369,Calc!$A$5:$A$1369,A176)</f>
        <v>-0.00558118927059943</v>
      </c>
      <c r="W176" s="16" t="n">
        <f aca="false">SUMIFS(Calc!$Y$5:$Y$1369,Calc!$A$5:$A$1369,A176)</f>
        <v>0.0258316146103425</v>
      </c>
      <c r="X176" s="7" t="n">
        <f aca="false">IFERROR(N176/W176*1000,"")</f>
        <v>-44.6904736466284</v>
      </c>
      <c r="Y176" s="7" t="n">
        <f aca="false">IFERROR(P176/W176*1000,"")</f>
        <v>-87.3793081478096</v>
      </c>
      <c r="Z176" s="7" t="n">
        <f aca="false">IFERROR(Q176/W176*1000,"")</f>
        <v>-116.060411042399</v>
      </c>
      <c r="AA176" s="16" t="n">
        <f aca="false">SUMIFS(Calc!$AM$5:$AM$1369,Calc!$A$5:$A$1369,A176)</f>
        <v>0.00459467300416335</v>
      </c>
      <c r="AB176" s="16" t="n">
        <f aca="false">SUMIFS(Calc!$AN$5:$AN$1369,Calc!$A$5:$A$1369,A176)</f>
        <v>0.145115079303083</v>
      </c>
      <c r="AC176" s="17" t="n">
        <f aca="false">Country_Data!DY176</f>
        <v>0.27</v>
      </c>
      <c r="AD176" s="12" t="str">
        <f aca="false">IF(Country_Data!BD176="","",Country_Data!BD176)</f>
        <v/>
      </c>
      <c r="AE176" s="7" t="n">
        <f aca="false">IF(Country_Data!BC176="","",Country_Data!BC176)</f>
        <v>81.934</v>
      </c>
      <c r="AF176" s="12" t="n">
        <f aca="false">IF(Country_Data!BL176="","",Country_Data!BL176)</f>
        <v>4.946</v>
      </c>
      <c r="AG176" s="7" t="n">
        <f aca="false">IF(Country_Data!BA176="","",Country_Data!BA176)</f>
        <v>76.656</v>
      </c>
    </row>
    <row r="177" customFormat="false" ht="15" hidden="false" customHeight="false" outlineLevel="0" collapsed="false">
      <c r="A177" s="14" t="str">
        <f aca="false">Country_Data!A177</f>
        <v>LSO</v>
      </c>
      <c r="B177" s="14" t="str">
        <f aca="false">Country_Data!B177</f>
        <v>Lesotho</v>
      </c>
      <c r="C177" s="14" t="str">
        <f aca="false">Country_Data!E177</f>
        <v>EMDC</v>
      </c>
      <c r="D177" s="14" t="str">
        <f aca="false">Country_Data!D177</f>
        <v>Lower middle income</v>
      </c>
      <c r="E177" s="15" t="n">
        <f aca="false">Country_Data!BV177</f>
        <v>2.69358699791664</v>
      </c>
      <c r="F177" s="16" t="n">
        <f aca="false">SUMIFS(Calc!$J$5:$J$1369,Calc!$A$5:$A$1369,A177)</f>
        <v>0.244334920106292</v>
      </c>
      <c r="G177" s="11" t="n">
        <f aca="false">IFERROR(F177/E177,"")</f>
        <v>0.0907098676579866</v>
      </c>
      <c r="H177" s="16" t="n">
        <f aca="false">SUMIFS(Calc!$L$5:$L$1369,Calc!$A$5:$A$1369,A177)</f>
        <v>0.05864038082551</v>
      </c>
      <c r="I177" s="11" t="n">
        <f aca="false">IFERROR(H177/E177,"")</f>
        <v>0.0217703682379168</v>
      </c>
      <c r="J177" s="17" t="n">
        <f aca="false">Country_Data!DW177</f>
        <v>0.105</v>
      </c>
      <c r="K177" s="14" t="str">
        <f aca="false">Country_Data!DV177</f>
        <v>Group default (IHLEG)</v>
      </c>
      <c r="L177" s="16" t="n">
        <f aca="false">SUMIFS(Calc!$W$5:$W$1369,Calc!$A$5:$A$1369,A177)</f>
        <v>0.0158169305167966</v>
      </c>
      <c r="M177" s="16" t="n">
        <f aca="false">SUMIFS(Calc!$X$5:$X$1369,Calc!$A$5:$A$1369,A177)</f>
        <v>0.00260326477742507</v>
      </c>
      <c r="N177" s="18" t="n">
        <f aca="false">SUMIFS(Calc!$AC$5:$AC$1369,Calc!$A$5:$A$1369,A177)</f>
        <v>-0.00887344802544599</v>
      </c>
      <c r="O177" s="18" t="n">
        <f aca="false">SUMIFS(Calc!$AD$5:$AD$1369,Calc!$A$5:$A$1369,A177)</f>
        <v>-0.00652894411169381</v>
      </c>
      <c r="P177" s="18" t="n">
        <f aca="false">SUMIFS(Calc!$AE$5:$AE$1369,Calc!$A$5:$A$1369,A177)</f>
        <v>-0.0109994940109912</v>
      </c>
      <c r="Q177" s="18" t="n">
        <f aca="false">SUMIFS(Calc!$AF$5:$AF$1369,Calc!$A$5:$A$1369,A177)</f>
        <v>-0.0136027587884163</v>
      </c>
      <c r="R177" s="11" t="n">
        <f aca="false">IFERROR(N177/E177,"")</f>
        <v>-0.00329428677533311</v>
      </c>
      <c r="S177" s="11" t="n">
        <f aca="false">IFERROR(P177/E177,"")</f>
        <v>-0.00408358594673154</v>
      </c>
      <c r="T177" s="11" t="n">
        <f aca="false">IFERROR(Q177/E177,"")</f>
        <v>-0.00505005362698044</v>
      </c>
      <c r="U177" s="16" t="n">
        <f aca="false">SUMIFS(Calc!$AG$5:$AG$1369,Calc!$A$5:$A$1369,A177)</f>
        <v>-0.0152758553851667</v>
      </c>
      <c r="V177" s="16" t="n">
        <f aca="false">SUMIFS(Calc!$AH$5:$AH$1369,Calc!$A$5:$A$1369,A177)</f>
        <v>-0.0169489519819172</v>
      </c>
      <c r="W177" s="16" t="n">
        <f aca="false">SUMIFS(Calc!$Y$5:$Y$1369,Calc!$A$5:$A$1369,A177)</f>
        <v>0.0334619319350094</v>
      </c>
      <c r="X177" s="7" t="n">
        <f aca="false">IFERROR(N177/W177*1000,"")</f>
        <v>-265.180385958594</v>
      </c>
      <c r="Y177" s="7" t="n">
        <f aca="false">IFERROR(P177/W177*1000,"")</f>
        <v>-328.716645301732</v>
      </c>
      <c r="Z177" s="7" t="n">
        <f aca="false">IFERROR(Q177/W177*1000,"")</f>
        <v>-406.514447965403</v>
      </c>
      <c r="AA177" s="16" t="n">
        <f aca="false">SUMIFS(Calc!$AM$5:$AM$1369,Calc!$A$5:$A$1369,A177)</f>
        <v>0.00885852493977167</v>
      </c>
      <c r="AB177" s="16" t="n">
        <f aca="false">SUMIFS(Calc!$AN$5:$AN$1369,Calc!$A$5:$A$1369,A177)</f>
        <v>0.288244384009451</v>
      </c>
      <c r="AC177" s="17" t="n">
        <f aca="false">Country_Data!DY177</f>
        <v>0.31</v>
      </c>
      <c r="AD177" s="12" t="n">
        <f aca="false">IF(Country_Data!BD177="","",Country_Data!BD177)</f>
        <v>2</v>
      </c>
      <c r="AE177" s="7" t="n">
        <f aca="false">IF(Country_Data!BC177="","",Country_Data!BC177)</f>
        <v>55.286</v>
      </c>
      <c r="AF177" s="12" t="str">
        <f aca="false">IF(Country_Data!BL177="","",Country_Data!BL177)</f>
        <v/>
      </c>
      <c r="AG177" s="7" t="n">
        <f aca="false">IF(Country_Data!BA177="","",Country_Data!BA177)</f>
        <v>52.827</v>
      </c>
    </row>
    <row r="178" customFormat="false" ht="15" hidden="false" customHeight="false" outlineLevel="0" collapsed="false">
      <c r="A178" s="14" t="str">
        <f aca="false">Country_Data!A178</f>
        <v>GMB</v>
      </c>
      <c r="B178" s="14" t="str">
        <f aca="false">Country_Data!B178</f>
        <v>Gambia, The</v>
      </c>
      <c r="C178" s="14" t="str">
        <f aca="false">Country_Data!E178</f>
        <v>EMDC</v>
      </c>
      <c r="D178" s="14" t="str">
        <f aca="false">Country_Data!D178</f>
        <v>Low income</v>
      </c>
      <c r="E178" s="15" t="n">
        <f aca="false">Country_Data!BV178</f>
        <v>3.26841746390573</v>
      </c>
      <c r="F178" s="16" t="n">
        <f aca="false">SUMIFS(Calc!$J$5:$J$1369,Calc!$A$5:$A$1369,A178)</f>
        <v>0.164393007108372</v>
      </c>
      <c r="G178" s="11" t="n">
        <f aca="false">IFERROR(F178/E178,"")</f>
        <v>0.0502974326027262</v>
      </c>
      <c r="H178" s="16" t="n">
        <f aca="false">SUMIFS(Calc!$L$5:$L$1369,Calc!$A$5:$A$1369,A178)</f>
        <v>0.0394543217060092</v>
      </c>
      <c r="I178" s="11" t="n">
        <f aca="false">IFERROR(H178/E178,"")</f>
        <v>0.0120713838246543</v>
      </c>
      <c r="J178" s="17" t="n">
        <f aca="false">Country_Data!DW178</f>
        <v>0.105</v>
      </c>
      <c r="K178" s="14" t="str">
        <f aca="false">Country_Data!DV178</f>
        <v>Group default (IHLEG)</v>
      </c>
      <c r="L178" s="16" t="n">
        <f aca="false">SUMIFS(Calc!$W$5:$W$1369,Calc!$A$5:$A$1369,A178)</f>
        <v>0.00434649801782724</v>
      </c>
      <c r="M178" s="16" t="n">
        <f aca="false">SUMIFS(Calc!$X$5:$X$1369,Calc!$A$5:$A$1369,A178)</f>
        <v>0.0016374818740454</v>
      </c>
      <c r="N178" s="18" t="n">
        <f aca="false">SUMIFS(Calc!$AC$5:$AC$1369,Calc!$A$5:$A$1369,A178)</f>
        <v>0.000253569925853442</v>
      </c>
      <c r="O178" s="18" t="n">
        <f aca="false">SUMIFS(Calc!$AD$5:$AD$1369,Calc!$A$5:$A$1369,A178)</f>
        <v>0.00184839452160141</v>
      </c>
      <c r="P178" s="18" t="n">
        <f aca="false">SUMIFS(Calc!$AE$5:$AE$1369,Calc!$A$5:$A$1369,A178)</f>
        <v>-0.00119412097413223</v>
      </c>
      <c r="Q178" s="18" t="n">
        <f aca="false">SUMIFS(Calc!$AF$5:$AF$1369,Calc!$A$5:$A$1369,A178)</f>
        <v>-0.00283160284817763</v>
      </c>
      <c r="R178" s="11" t="n">
        <f aca="false">IFERROR(N178/E178,"")</f>
        <v>7.75818660418084E-005</v>
      </c>
      <c r="S178" s="11" t="n">
        <f aca="false">IFERROR(P178/E178,"")</f>
        <v>-0.000365351423837169</v>
      </c>
      <c r="T178" s="11" t="n">
        <f aca="false">IFERROR(Q178/E178,"")</f>
        <v>-0.000866352869377306</v>
      </c>
      <c r="U178" s="16" t="n">
        <f aca="false">SUMIFS(Calc!$AG$5:$AG$1369,Calc!$A$5:$A$1369,A178)</f>
        <v>-0.00474641537547619</v>
      </c>
      <c r="V178" s="16" t="n">
        <f aca="false">SUMIFS(Calc!$AH$5:$AH$1369,Calc!$A$5:$A$1369,A178)</f>
        <v>-0.00666122790277474</v>
      </c>
      <c r="W178" s="16" t="n">
        <f aca="false">SUMIFS(Calc!$Y$5:$Y$1369,Calc!$A$5:$A$1369,A178)</f>
        <v>0.0382962505459711</v>
      </c>
      <c r="X178" s="7" t="n">
        <f aca="false">IFERROR(N178/W178*1000,"")</f>
        <v>6.62127289848008</v>
      </c>
      <c r="Y178" s="7" t="n">
        <f aca="false">IFERROR(P178/W178*1000,"")</f>
        <v>-31.1811458591435</v>
      </c>
      <c r="Z178" s="7" t="n">
        <f aca="false">IFERROR(Q178/W178*1000,"")</f>
        <v>-73.9394276935427</v>
      </c>
      <c r="AA178" s="16" t="n">
        <f aca="false">SUMIFS(Calc!$AM$5:$AM$1369,Calc!$A$5:$A$1369,A178)</f>
        <v>0.00603204541660696</v>
      </c>
      <c r="AB178" s="16" t="n">
        <f aca="false">SUMIFS(Calc!$AN$5:$AN$1369,Calc!$A$5:$A$1369,A178)</f>
        <v>0.208231142337271</v>
      </c>
      <c r="AC178" s="17" t="n">
        <f aca="false">Country_Data!DY178</f>
        <v>0.4</v>
      </c>
      <c r="AD178" s="12" t="n">
        <f aca="false">IF(Country_Data!BD178="","",Country_Data!BD178)</f>
        <v>1</v>
      </c>
      <c r="AE178" s="7" t="n">
        <f aca="false">IF(Country_Data!BC178="","",Country_Data!BC178)</f>
        <v>9.176</v>
      </c>
      <c r="AF178" s="12" t="str">
        <f aca="false">IF(Country_Data!BL178="","",Country_Data!BL178)</f>
        <v/>
      </c>
      <c r="AG178" s="7" t="n">
        <f aca="false">IF(Country_Data!BA178="","",Country_Data!BA178)</f>
        <v>78.471</v>
      </c>
    </row>
    <row r="179" customFormat="false" ht="15" hidden="false" customHeight="false" outlineLevel="0" collapsed="false">
      <c r="A179" s="14" t="str">
        <f aca="false">Country_Data!A179</f>
        <v>SYC</v>
      </c>
      <c r="B179" s="14" t="str">
        <f aca="false">Country_Data!B179</f>
        <v>Seychelles</v>
      </c>
      <c r="C179" s="14" t="str">
        <f aca="false">Country_Data!E179</f>
        <v>EMDC</v>
      </c>
      <c r="D179" s="14" t="str">
        <f aca="false">Country_Data!D179</f>
        <v>High income</v>
      </c>
      <c r="E179" s="15" t="n">
        <f aca="false">Country_Data!BV179</f>
        <v>2.52615014918733</v>
      </c>
      <c r="F179" s="16" t="n">
        <f aca="false">SUMIFS(Calc!$J$5:$J$1369,Calc!$A$5:$A$1369,A179)</f>
        <v>0.124156385980511</v>
      </c>
      <c r="G179" s="11" t="n">
        <f aca="false">IFERROR(F179/E179,"")</f>
        <v>0.0491484585825005</v>
      </c>
      <c r="H179" s="16" t="n">
        <f aca="false">SUMIFS(Calc!$L$5:$L$1369,Calc!$A$5:$A$1369,A179)</f>
        <v>0.0297975326353226</v>
      </c>
      <c r="I179" s="11" t="n">
        <f aca="false">IFERROR(H179/E179,"")</f>
        <v>0.0117956300598001</v>
      </c>
      <c r="J179" s="17" t="n">
        <f aca="false">Country_Data!DW179</f>
        <v>0.105</v>
      </c>
      <c r="K179" s="14" t="str">
        <f aca="false">Country_Data!DV179</f>
        <v>Group default (IHLEG)</v>
      </c>
      <c r="L179" s="16" t="n">
        <f aca="false">SUMIFS(Calc!$W$5:$W$1369,Calc!$A$5:$A$1369,A179)</f>
        <v>0.00322480805427239</v>
      </c>
      <c r="M179" s="16" t="n">
        <f aca="false">SUMIFS(Calc!$X$5:$X$1369,Calc!$A$5:$A$1369,A179)</f>
        <v>0.000555902914306398</v>
      </c>
      <c r="N179" s="18" t="n">
        <f aca="false">SUMIFS(Calc!$AC$5:$AC$1369,Calc!$A$5:$A$1369,A179)</f>
        <v>0.00029557388962195</v>
      </c>
      <c r="O179" s="18" t="n">
        <f aca="false">SUMIFS(Calc!$AD$5:$AD$1369,Calc!$A$5:$A$1369,A179)</f>
        <v>0.00149075485123543</v>
      </c>
      <c r="P179" s="18" t="n">
        <f aca="false">SUMIFS(Calc!$AE$5:$AE$1369,Calc!$A$5:$A$1369,A179)</f>
        <v>-0.000790146651790169</v>
      </c>
      <c r="Q179" s="18" t="n">
        <f aca="false">SUMIFS(Calc!$AF$5:$AF$1369,Calc!$A$5:$A$1369,A179)</f>
        <v>-0.00134604956609657</v>
      </c>
      <c r="R179" s="11" t="n">
        <f aca="false">IFERROR(N179/E179,"")</f>
        <v>0.000117005669562847</v>
      </c>
      <c r="S179" s="11" t="n">
        <f aca="false">IFERROR(P179/E179,"")</f>
        <v>-0.000312786891168905</v>
      </c>
      <c r="T179" s="11" t="n">
        <f aca="false">IFERROR(Q179/E179,"")</f>
        <v>-0.000532846223146949</v>
      </c>
      <c r="U179" s="16" t="n">
        <f aca="false">SUMIFS(Calc!$AG$5:$AG$1369,Calc!$A$5:$A$1369,A179)</f>
        <v>-0.00251063069297662</v>
      </c>
      <c r="V179" s="16" t="n">
        <f aca="false">SUMIFS(Calc!$AH$5:$AH$1369,Calc!$A$5:$A$1369,A179)</f>
        <v>-0.00367521181985668</v>
      </c>
      <c r="W179" s="16" t="n">
        <f aca="false">SUMIFS(Calc!$Y$5:$Y$1369,Calc!$A$5:$A$1369,A179)</f>
        <v>0.0232916225376011</v>
      </c>
      <c r="X179" s="7" t="n">
        <f aca="false">IFERROR(N179/W179*1000,"")</f>
        <v>12.6901373721297</v>
      </c>
      <c r="Y179" s="7" t="n">
        <f aca="false">IFERROR(P179/W179*1000,"")</f>
        <v>-33.9240707904563</v>
      </c>
      <c r="Z179" s="7" t="n">
        <f aca="false">IFERROR(Q179/W179*1000,"")</f>
        <v>-57.7911463198219</v>
      </c>
      <c r="AA179" s="16" t="n">
        <f aca="false">SUMIFS(Calc!$AM$5:$AM$1369,Calc!$A$5:$A$1369,A179)</f>
        <v>0.00452383558921716</v>
      </c>
      <c r="AB179" s="16" t="n">
        <f aca="false">SUMIFS(Calc!$AN$5:$AN$1369,Calc!$A$5:$A$1369,A179)</f>
        <v>0.157264755575314</v>
      </c>
      <c r="AC179" s="17" t="n">
        <f aca="false">Country_Data!DY179</f>
        <v>0.4</v>
      </c>
      <c r="AD179" s="12" t="n">
        <f aca="false">IF(Country_Data!BD179="","",Country_Data!BD179)</f>
        <v>1</v>
      </c>
      <c r="AE179" s="7" t="n">
        <f aca="false">IF(Country_Data!BC179="","",Country_Data!BC179)</f>
        <v>90.304</v>
      </c>
      <c r="AF179" s="12" t="str">
        <f aca="false">IF(Country_Data!BL179="","",Country_Data!BL179)</f>
        <v/>
      </c>
      <c r="AG179" s="7" t="n">
        <f aca="false">IF(Country_Data!BA179="","",Country_Data!BA179)</f>
        <v>56.142</v>
      </c>
    </row>
    <row r="180" customFormat="false" ht="15" hidden="false" customHeight="false" outlineLevel="0" collapsed="false">
      <c r="A180" s="14" t="str">
        <f aca="false">Country_Data!A180</f>
        <v>GNB</v>
      </c>
      <c r="B180" s="14" t="str">
        <f aca="false">Country_Data!B180</f>
        <v>Guinea-Bissau</v>
      </c>
      <c r="C180" s="14" t="str">
        <f aca="false">Country_Data!E180</f>
        <v>EMDC</v>
      </c>
      <c r="D180" s="14" t="str">
        <f aca="false">Country_Data!D180</f>
        <v>Low income</v>
      </c>
      <c r="E180" s="15" t="n">
        <f aca="false">Country_Data!BV180</f>
        <v>2.92940931507064</v>
      </c>
      <c r="F180" s="16" t="n">
        <f aca="false">SUMIFS(Calc!$J$5:$J$1369,Calc!$A$5:$A$1369,A180)</f>
        <v>0.165584456432925</v>
      </c>
      <c r="G180" s="11" t="n">
        <f aca="false">IFERROR(F180/E180,"")</f>
        <v>0.0565248617122431</v>
      </c>
      <c r="H180" s="16" t="n">
        <f aca="false">SUMIFS(Calc!$L$5:$L$1369,Calc!$A$5:$A$1369,A180)</f>
        <v>0.039740269543902</v>
      </c>
      <c r="I180" s="11" t="n">
        <f aca="false">IFERROR(H180/E180,"")</f>
        <v>0.0135659668109383</v>
      </c>
      <c r="J180" s="17" t="n">
        <f aca="false">Country_Data!DW180</f>
        <v>0.105</v>
      </c>
      <c r="K180" s="14" t="str">
        <f aca="false">Country_Data!DV180</f>
        <v>Group default (IHLEG)</v>
      </c>
      <c r="L180" s="16" t="n">
        <f aca="false">SUMIFS(Calc!$W$5:$W$1369,Calc!$A$5:$A$1369,A180)</f>
        <v>0.00308979394649473</v>
      </c>
      <c r="M180" s="16" t="n">
        <f aca="false">SUMIFS(Calc!$X$5:$X$1369,Calc!$A$5:$A$1369,A180)</f>
        <v>0.00265846179998845</v>
      </c>
      <c r="N180" s="18" t="n">
        <f aca="false">SUMIFS(Calc!$AC$5:$AC$1369,Calc!$A$5:$A$1369,A180)</f>
        <v>0.00146707507827092</v>
      </c>
      <c r="O180" s="18" t="n">
        <f aca="false">SUMIFS(Calc!$AD$5:$AD$1369,Calc!$A$5:$A$1369,A180)</f>
        <v>0.00309049661212396</v>
      </c>
      <c r="P180" s="18" t="n">
        <f aca="false">SUMIFS(Calc!$AE$5:$AE$1369,Calc!$A$5:$A$1369,A180)</f>
        <v>-6.22493502786114E-006</v>
      </c>
      <c r="Q180" s="18" t="n">
        <f aca="false">SUMIFS(Calc!$AF$5:$AF$1369,Calc!$A$5:$A$1369,A180)</f>
        <v>-0.00266468673501631</v>
      </c>
      <c r="R180" s="11" t="n">
        <f aca="false">IFERROR(N180/E180,"")</f>
        <v>0.000500809180445832</v>
      </c>
      <c r="S180" s="11" t="n">
        <f aca="false">IFERROR(P180/E180,"")</f>
        <v>-2.12497959770809E-006</v>
      </c>
      <c r="T180" s="11" t="n">
        <f aca="false">IFERROR(Q180/E180,"")</f>
        <v>-0.000909632778631365</v>
      </c>
      <c r="U180" s="16" t="n">
        <f aca="false">SUMIFS(Calc!$AG$5:$AG$1369,Calc!$A$5:$A$1369,A180)</f>
        <v>-0.0048881226635377</v>
      </c>
      <c r="V180" s="16" t="n">
        <f aca="false">SUMIFS(Calc!$AH$5:$AH$1369,Calc!$A$5:$A$1369,A180)</f>
        <v>-0.00711155859205909</v>
      </c>
      <c r="W180" s="16" t="n">
        <f aca="false">SUMIFS(Calc!$Y$5:$Y$1369,Calc!$A$5:$A$1369,A180)</f>
        <v>0.0444687185704278</v>
      </c>
      <c r="X180" s="7" t="n">
        <f aca="false">IFERROR(N180/W180*1000,"")</f>
        <v>32.9911705449173</v>
      </c>
      <c r="Y180" s="7" t="n">
        <f aca="false">IFERROR(P180/W180*1000,"")</f>
        <v>-0.13998458305027</v>
      </c>
      <c r="Z180" s="7" t="n">
        <f aca="false">IFERROR(Q180/W180*1000,"")</f>
        <v>-59.9227236736334</v>
      </c>
      <c r="AA180" s="16" t="n">
        <f aca="false">SUMIFS(Calc!$AM$5:$AM$1369,Calc!$A$5:$A$1369,A180)</f>
        <v>0.00613875005541157</v>
      </c>
      <c r="AB180" s="16" t="n">
        <f aca="false">SUMIFS(Calc!$AN$5:$AN$1369,Calc!$A$5:$A$1369,A180)</f>
        <v>0.209740311481705</v>
      </c>
      <c r="AC180" s="17" t="n">
        <f aca="false">Country_Data!DY180</f>
        <v>0.4</v>
      </c>
      <c r="AD180" s="12" t="str">
        <f aca="false">IF(Country_Data!BD180="","",Country_Data!BD180)</f>
        <v/>
      </c>
      <c r="AE180" s="7" t="n">
        <f aca="false">IF(Country_Data!BC180="","",Country_Data!BC180)</f>
        <v>100</v>
      </c>
      <c r="AF180" s="12" t="str">
        <f aca="false">IF(Country_Data!BL180="","",Country_Data!BL180)</f>
        <v/>
      </c>
      <c r="AG180" s="7" t="n">
        <f aca="false">IF(Country_Data!BA180="","",Country_Data!BA180)</f>
        <v>82.427</v>
      </c>
    </row>
    <row r="181" customFormat="false" ht="15" hidden="false" customHeight="false" outlineLevel="0" collapsed="false">
      <c r="A181" s="14" t="str">
        <f aca="false">Country_Data!A181</f>
        <v>ATG</v>
      </c>
      <c r="B181" s="14" t="str">
        <f aca="false">Country_Data!B181</f>
        <v>Antigua and Barbuda</v>
      </c>
      <c r="C181" s="14" t="str">
        <f aca="false">Country_Data!E181</f>
        <v>EMDC</v>
      </c>
      <c r="D181" s="14" t="str">
        <f aca="false">Country_Data!D181</f>
        <v>High income</v>
      </c>
      <c r="E181" s="15" t="n">
        <f aca="false">Country_Data!BV181</f>
        <v>2.53189664026908</v>
      </c>
      <c r="F181" s="16" t="n">
        <f aca="false">SUMIFS(Calc!$J$5:$J$1369,Calc!$A$5:$A$1369,A181)</f>
        <v>0.117052788663394</v>
      </c>
      <c r="G181" s="11" t="n">
        <f aca="false">IFERROR(F181/E181,"")</f>
        <v>0.0462312666329673</v>
      </c>
      <c r="H181" s="16" t="n">
        <f aca="false">SUMIFS(Calc!$L$5:$L$1369,Calc!$A$5:$A$1369,A181)</f>
        <v>0.0280926692792145</v>
      </c>
      <c r="I181" s="11" t="n">
        <f aca="false">IFERROR(H181/E181,"")</f>
        <v>0.0110955039919121</v>
      </c>
      <c r="J181" s="17" t="n">
        <f aca="false">Country_Data!DW181</f>
        <v>0.105</v>
      </c>
      <c r="K181" s="14" t="str">
        <f aca="false">Country_Data!DV181</f>
        <v>Group default (IHLEG)</v>
      </c>
      <c r="L181" s="16" t="n">
        <f aca="false">SUMIFS(Calc!$W$5:$W$1369,Calc!$A$5:$A$1369,A181)</f>
        <v>0.00444551828929236</v>
      </c>
      <c r="M181" s="16" t="n">
        <f aca="false">SUMIFS(Calc!$X$5:$X$1369,Calc!$A$5:$A$1369,A181)</f>
        <v>0.000508554585659039</v>
      </c>
      <c r="N181" s="18" t="n">
        <f aca="false">SUMIFS(Calc!$AC$5:$AC$1369,Calc!$A$5:$A$1369,A181)</f>
        <v>-0.00105960823703879</v>
      </c>
      <c r="O181" s="18" t="n">
        <f aca="false">SUMIFS(Calc!$AD$5:$AD$1369,Calc!$A$5:$A$1369,A181)</f>
        <v>5.30627531829654E-005</v>
      </c>
      <c r="P181" s="18" t="n">
        <f aca="false">SUMIFS(Calc!$AE$5:$AE$1369,Calc!$A$5:$A$1369,A181)</f>
        <v>-0.00206976811424295</v>
      </c>
      <c r="Q181" s="18" t="n">
        <f aca="false">SUMIFS(Calc!$AF$5:$AF$1369,Calc!$A$5:$A$1369,A181)</f>
        <v>-0.00257832269990199</v>
      </c>
      <c r="R181" s="11" t="n">
        <f aca="false">IFERROR(N181/E181,"")</f>
        <v>-0.000418503749397203</v>
      </c>
      <c r="S181" s="11" t="n">
        <f aca="false">IFERROR(P181/E181,"")</f>
        <v>-0.000817477333522976</v>
      </c>
      <c r="T181" s="11" t="n">
        <f aca="false">IFERROR(Q181/E181,"")</f>
        <v>-0.00101833647507347</v>
      </c>
      <c r="U181" s="16" t="n">
        <f aca="false">SUMIFS(Calc!$AG$5:$AG$1369,Calc!$A$5:$A$1369,A181)</f>
        <v>-0.00363979676148152</v>
      </c>
      <c r="V181" s="16" t="n">
        <f aca="false">SUMIFS(Calc!$AH$5:$AH$1369,Calc!$A$5:$A$1369,A181)</f>
        <v>-0.00470127082306106</v>
      </c>
      <c r="W181" s="16" t="n">
        <f aca="false">SUMIFS(Calc!$Y$5:$Y$1369,Calc!$A$5:$A$1369,A181)</f>
        <v>0.0212294812315907</v>
      </c>
      <c r="X181" s="7" t="n">
        <f aca="false">IFERROR(N181/W181*1000,"")</f>
        <v>-49.9121116281462</v>
      </c>
      <c r="Y181" s="7" t="n">
        <f aca="false">IFERROR(P181/W181*1000,"")</f>
        <v>-97.494992537218</v>
      </c>
      <c r="Z181" s="7" t="n">
        <f aca="false">IFERROR(Q181/W181*1000,"")</f>
        <v>-121.450103833215</v>
      </c>
      <c r="AA181" s="16" t="n">
        <f aca="false">SUMIFS(Calc!$AM$5:$AM$1369,Calc!$A$5:$A$1369,A181)</f>
        <v>0.00420899948835065</v>
      </c>
      <c r="AB181" s="16" t="n">
        <f aca="false">SUMIFS(Calc!$AN$5:$AN$1369,Calc!$A$5:$A$1369,A181)</f>
        <v>0.134370187534142</v>
      </c>
      <c r="AC181" s="17" t="n">
        <f aca="false">Country_Data!DY181</f>
        <v>0.27</v>
      </c>
      <c r="AD181" s="12" t="str">
        <f aca="false">IF(Country_Data!BD181="","",Country_Data!BD181)</f>
        <v/>
      </c>
      <c r="AE181" s="7" t="str">
        <f aca="false">IF(Country_Data!BC181="","",Country_Data!BC181)</f>
        <v/>
      </c>
      <c r="AF181" s="12" t="str">
        <f aca="false">IF(Country_Data!BL181="","",Country_Data!BL181)</f>
        <v/>
      </c>
      <c r="AG181" s="7" t="n">
        <f aca="false">IF(Country_Data!BA181="","",Country_Data!BA181)</f>
        <v>71.773</v>
      </c>
    </row>
    <row r="182" customFormat="false" ht="15" hidden="false" customHeight="false" outlineLevel="0" collapsed="false">
      <c r="A182" s="14" t="str">
        <f aca="false">Country_Data!A182</f>
        <v>SMR</v>
      </c>
      <c r="B182" s="14" t="str">
        <f aca="false">Country_Data!B182</f>
        <v>San Marino</v>
      </c>
      <c r="C182" s="14" t="str">
        <f aca="false">Country_Data!E182</f>
        <v>AE</v>
      </c>
      <c r="D182" s="14" t="str">
        <f aca="false">Country_Data!D182</f>
        <v>High income</v>
      </c>
      <c r="E182" s="15" t="n">
        <f aca="false">Country_Data!BV182</f>
        <v>2.25853889010703</v>
      </c>
      <c r="F182" s="16" t="n">
        <f aca="false">SUMIFS(Calc!$J$5:$J$1369,Calc!$A$5:$A$1369,A182)</f>
        <v>0.0789222355948535</v>
      </c>
      <c r="G182" s="11" t="n">
        <f aca="false">IFERROR(F182/E182,"")</f>
        <v>0.0349439347449596</v>
      </c>
      <c r="H182" s="16" t="n">
        <f aca="false">SUMIFS(Calc!$L$5:$L$1369,Calc!$A$5:$A$1369,A182)</f>
        <v>0.0299904495260443</v>
      </c>
      <c r="I182" s="11" t="n">
        <f aca="false">IFERROR(H182/E182,"")</f>
        <v>0.0132786952030846</v>
      </c>
      <c r="J182" s="17" t="n">
        <f aca="false">Country_Data!DW182</f>
        <v>0.055</v>
      </c>
      <c r="K182" s="14" t="str">
        <f aca="false">Country_Data!DV182</f>
        <v>Group default (IHLEG)</v>
      </c>
      <c r="L182" s="16" t="n">
        <f aca="false">SUMIFS(Calc!$W$5:$W$1369,Calc!$A$5:$A$1369,A182)</f>
        <v>0.00267066937864237</v>
      </c>
      <c r="M182" s="16" t="n">
        <f aca="false">SUMIFS(Calc!$X$5:$X$1369,Calc!$A$5:$A$1369,A182)</f>
        <v>0.00264811256187779</v>
      </c>
      <c r="N182" s="18" t="n">
        <f aca="false">SUMIFS(Calc!$AC$5:$AC$1369,Calc!$A$5:$A$1369,A182)</f>
        <v>-0.000322249171893793</v>
      </c>
      <c r="O182" s="18" t="n">
        <f aca="false">SUMIFS(Calc!$AD$5:$AD$1369,Calc!$A$5:$A$1369,A182)</f>
        <v>1.85224236646841E-005</v>
      </c>
      <c r="P182" s="18" t="n">
        <f aca="false">SUMIFS(Calc!$AE$5:$AE$1369,Calc!$A$5:$A$1369,A182)</f>
        <v>-0.000210868241402714</v>
      </c>
      <c r="Q182" s="18" t="n">
        <f aca="false">SUMIFS(Calc!$AF$5:$AF$1369,Calc!$A$5:$A$1369,A182)</f>
        <v>-0.0028589808032805</v>
      </c>
      <c r="R182" s="11" t="n">
        <f aca="false">IFERROR(N182/E182,"")</f>
        <v>-0.000142680373273768</v>
      </c>
      <c r="S182" s="11" t="n">
        <f aca="false">IFERROR(P182/E182,"")</f>
        <v>-9.3364892819145E-005</v>
      </c>
      <c r="T182" s="11" t="n">
        <f aca="false">IFERROR(Q182/E182,"")</f>
        <v>-0.00126585413950743</v>
      </c>
      <c r="U182" s="16" t="n">
        <f aca="false">SUMIFS(Calc!$AG$5:$AG$1369,Calc!$A$5:$A$1369,A182)</f>
        <v>-0.00334555871532465</v>
      </c>
      <c r="V182" s="16" t="n">
        <f aca="false">SUMIFS(Calc!$AH$5:$AH$1369,Calc!$A$5:$A$1369,A182)</f>
        <v>-0.0038321366273688</v>
      </c>
      <c r="W182" s="16" t="n">
        <f aca="false">SUMIFS(Calc!$Y$5:$Y$1369,Calc!$A$5:$A$1369,A182)</f>
        <v>0.009731558240883</v>
      </c>
      <c r="X182" s="7" t="n">
        <f aca="false">IFERROR(N182/W182*1000,"")</f>
        <v>-33.1138306854086</v>
      </c>
      <c r="Y182" s="7" t="n">
        <f aca="false">IFERROR(P182/W182*1000,"")</f>
        <v>-21.6684970878395</v>
      </c>
      <c r="Z182" s="7" t="n">
        <f aca="false">IFERROR(Q182/W182*1000,"")</f>
        <v>-293.784482660723</v>
      </c>
      <c r="AA182" s="16" t="n">
        <f aca="false">SUMIFS(Calc!$AM$5:$AM$1369,Calc!$A$5:$A$1369,A182)</f>
        <v>-0.000293107711818629</v>
      </c>
      <c r="AB182" s="16" t="n">
        <f aca="false">SUMIFS(Calc!$AN$5:$AN$1369,Calc!$A$5:$A$1369,A182)</f>
        <v>0.0824601289146228</v>
      </c>
      <c r="AC182" s="17" t="n">
        <f aca="false">Country_Data!DY182</f>
        <v>0.13</v>
      </c>
      <c r="AD182" s="12" t="str">
        <f aca="false">IF(Country_Data!BD182="","",Country_Data!BD182)</f>
        <v/>
      </c>
      <c r="AE182" s="7" t="str">
        <f aca="false">IF(Country_Data!BC182="","",Country_Data!BC182)</f>
        <v/>
      </c>
      <c r="AF182" s="12" t="str">
        <f aca="false">IF(Country_Data!BL182="","",Country_Data!BL182)</f>
        <v/>
      </c>
      <c r="AG182" s="7" t="n">
        <f aca="false">IF(Country_Data!BA182="","",Country_Data!BA182)</f>
        <v>62.852</v>
      </c>
    </row>
    <row r="183" customFormat="false" ht="15" hidden="false" customHeight="false" outlineLevel="0" collapsed="false">
      <c r="A183" s="14" t="str">
        <f aca="false">Country_Data!A183</f>
        <v>TLS</v>
      </c>
      <c r="B183" s="14" t="str">
        <f aca="false">Country_Data!B183</f>
        <v>Timor-Leste</v>
      </c>
      <c r="C183" s="14" t="str">
        <f aca="false">Country_Data!E183</f>
        <v>EMDC</v>
      </c>
      <c r="D183" s="14" t="str">
        <f aca="false">Country_Data!D183</f>
        <v>Lower middle income</v>
      </c>
      <c r="E183" s="15" t="n">
        <f aca="false">Country_Data!BV183</f>
        <v>2.3838645611857</v>
      </c>
      <c r="F183" s="16" t="n">
        <f aca="false">SUMIFS(Calc!$J$5:$J$1369,Calc!$A$5:$A$1369,A183)</f>
        <v>0.160674501552972</v>
      </c>
      <c r="G183" s="11" t="n">
        <f aca="false">IFERROR(F183/E183,"")</f>
        <v>0.0674008516125825</v>
      </c>
      <c r="H183" s="16" t="n">
        <f aca="false">SUMIFS(Calc!$L$5:$L$1369,Calc!$A$5:$A$1369,A183)</f>
        <v>0.0385618803727132</v>
      </c>
      <c r="I183" s="11" t="n">
        <f aca="false">IFERROR(H183/E183,"")</f>
        <v>0.0161762043870198</v>
      </c>
      <c r="J183" s="17" t="n">
        <f aca="false">Country_Data!DW183</f>
        <v>0.105</v>
      </c>
      <c r="K183" s="14" t="str">
        <f aca="false">Country_Data!DV183</f>
        <v>Group default (IHLEG)</v>
      </c>
      <c r="L183" s="16" t="n">
        <f aca="false">SUMIFS(Calc!$W$5:$W$1369,Calc!$A$5:$A$1369,A183)</f>
        <v>0.00827506489746665</v>
      </c>
      <c r="M183" s="16" t="n">
        <f aca="false">SUMIFS(Calc!$X$5:$X$1369,Calc!$A$5:$A$1369,A183)</f>
        <v>0.00203542388887289</v>
      </c>
      <c r="N183" s="18" t="n">
        <f aca="false">SUMIFS(Calc!$AC$5:$AC$1369,Calc!$A$5:$A$1369,A183)</f>
        <v>-0.00364884061021616</v>
      </c>
      <c r="O183" s="18" t="n">
        <f aca="false">SUMIFS(Calc!$AD$5:$AD$1369,Calc!$A$5:$A$1369,A183)</f>
        <v>-0.00211450265625614</v>
      </c>
      <c r="P183" s="18" t="n">
        <f aca="false">SUMIFS(Calc!$AE$5:$AE$1369,Calc!$A$5:$A$1369,A183)</f>
        <v>-0.00504206576576981</v>
      </c>
      <c r="Q183" s="18" t="n">
        <f aca="false">SUMIFS(Calc!$AF$5:$AF$1369,Calc!$A$5:$A$1369,A183)</f>
        <v>-0.0070774896546427</v>
      </c>
      <c r="R183" s="11" t="n">
        <f aca="false">IFERROR(N183/E183,"")</f>
        <v>-0.00153064090537144</v>
      </c>
      <c r="S183" s="11" t="n">
        <f aca="false">IFERROR(P183/E183,"")</f>
        <v>-0.00211508063329821</v>
      </c>
      <c r="T183" s="11" t="n">
        <f aca="false">IFERROR(Q183/E183,"")</f>
        <v>-0.00296891432922785</v>
      </c>
      <c r="U183" s="16" t="n">
        <f aca="false">SUMIFS(Calc!$AG$5:$AG$1369,Calc!$A$5:$A$1369,A183)</f>
        <v>-0.00831768925406035</v>
      </c>
      <c r="V183" s="16" t="n">
        <f aca="false">SUMIFS(Calc!$AH$5:$AH$1369,Calc!$A$5:$A$1369,A183)</f>
        <v>-0.00955788885347799</v>
      </c>
      <c r="W183" s="16" t="n">
        <f aca="false">SUMIFS(Calc!$Y$5:$Y$1369,Calc!$A$5:$A$1369,A183)</f>
        <v>0.0248039919883529</v>
      </c>
      <c r="X183" s="7" t="n">
        <f aca="false">IFERROR(N183/W183*1000,"")</f>
        <v>-147.106990355807</v>
      </c>
      <c r="Y183" s="7" t="n">
        <f aca="false">IFERROR(P183/W183*1000,"")</f>
        <v>-203.276382613629</v>
      </c>
      <c r="Z183" s="7" t="n">
        <f aca="false">IFERROR(Q183/W183*1000,"")</f>
        <v>-285.336717491524</v>
      </c>
      <c r="AA183" s="16" t="n">
        <f aca="false">SUMIFS(Calc!$AM$5:$AM$1369,Calc!$A$5:$A$1369,A183)</f>
        <v>0.00580510481480687</v>
      </c>
      <c r="AB183" s="16" t="n">
        <f aca="false">SUMIFS(Calc!$AN$5:$AN$1369,Calc!$A$5:$A$1369,A183)</f>
        <v>0.19604780267006</v>
      </c>
      <c r="AC183" s="17" t="n">
        <f aca="false">Country_Data!DY183</f>
        <v>0.355</v>
      </c>
      <c r="AD183" s="12" t="n">
        <f aca="false">IF(Country_Data!BD183="","",Country_Data!BD183)</f>
        <v>1.5</v>
      </c>
      <c r="AE183" s="7" t="n">
        <f aca="false">IF(Country_Data!BC183="","",Country_Data!BC183)</f>
        <v>41.876</v>
      </c>
      <c r="AF183" s="12" t="str">
        <f aca="false">IF(Country_Data!BL183="","",Country_Data!BL183)</f>
        <v/>
      </c>
      <c r="AG183" s="7" t="n">
        <f aca="false">IF(Country_Data!BA183="","",Country_Data!BA183)</f>
        <v>14.392</v>
      </c>
    </row>
    <row r="184" customFormat="false" ht="15" hidden="false" customHeight="false" outlineLevel="0" collapsed="false">
      <c r="A184" s="14" t="str">
        <f aca="false">Country_Data!A184</f>
        <v>SLB</v>
      </c>
      <c r="B184" s="14" t="str">
        <f aca="false">Country_Data!B184</f>
        <v>Solomon Islands</v>
      </c>
      <c r="C184" s="14" t="str">
        <f aca="false">Country_Data!E184</f>
        <v>EMDC</v>
      </c>
      <c r="D184" s="14" t="str">
        <f aca="false">Country_Data!D184</f>
        <v>Lower middle income</v>
      </c>
      <c r="E184" s="15" t="n">
        <f aca="false">Country_Data!BV184</f>
        <v>1.86588772967927</v>
      </c>
      <c r="F184" s="16" t="n">
        <f aca="false">SUMIFS(Calc!$J$5:$J$1369,Calc!$A$5:$A$1369,A184)</f>
        <v>1.02755430619761</v>
      </c>
      <c r="G184" s="11" t="n">
        <f aca="false">IFERROR(F184/E184,"")</f>
        <v>0.550705323719684</v>
      </c>
      <c r="H184" s="16" t="n">
        <f aca="false">SUMIFS(Calc!$L$5:$L$1369,Calc!$A$5:$A$1369,A184)</f>
        <v>0.246613033487426</v>
      </c>
      <c r="I184" s="11" t="n">
        <f aca="false">IFERROR(H184/E184,"")</f>
        <v>0.132169277692724</v>
      </c>
      <c r="J184" s="17" t="n">
        <f aca="false">Country_Data!DW184</f>
        <v>0.105</v>
      </c>
      <c r="K184" s="14" t="str">
        <f aca="false">Country_Data!DV184</f>
        <v>Group default (IHLEG)</v>
      </c>
      <c r="L184" s="16" t="n">
        <f aca="false">SUMIFS(Calc!$W$5:$W$1369,Calc!$A$5:$A$1369,A184)</f>
        <v>0.00134244253117523</v>
      </c>
      <c r="M184" s="16" t="n">
        <f aca="false">SUMIFS(Calc!$X$5:$X$1369,Calc!$A$5:$A$1369,A184)</f>
        <v>0.0300948535885006</v>
      </c>
      <c r="N184" s="18" t="n">
        <f aca="false">SUMIFS(Calc!$AC$5:$AC$1369,Calc!$A$5:$A$1369,A184)</f>
        <v>0.0261214306902756</v>
      </c>
      <c r="O184" s="18" t="n">
        <f aca="false">SUMIFS(Calc!$AD$5:$AD$1369,Calc!$A$5:$A$1369,A184)</f>
        <v>0.0363803535005209</v>
      </c>
      <c r="P184" s="18" t="n">
        <f aca="false">SUMIFS(Calc!$AE$5:$AE$1369,Calc!$A$5:$A$1369,A184)</f>
        <v>0.0168173076435686</v>
      </c>
      <c r="Q184" s="18" t="n">
        <f aca="false">SUMIFS(Calc!$AF$5:$AF$1369,Calc!$A$5:$A$1369,A184)</f>
        <v>-0.013277545944932</v>
      </c>
      <c r="R184" s="11" t="n">
        <f aca="false">IFERROR(N184/E184,"")</f>
        <v>0.0139994653883948</v>
      </c>
      <c r="S184" s="11" t="n">
        <f aca="false">IFERROR(P184/E184,"")</f>
        <v>0.00901303297945974</v>
      </c>
      <c r="T184" s="11" t="n">
        <f aca="false">IFERROR(Q184/E184,"")</f>
        <v>-0.00711594043614527</v>
      </c>
      <c r="U184" s="16" t="n">
        <f aca="false">SUMIFS(Calc!$AG$5:$AG$1369,Calc!$A$5:$A$1369,A184)</f>
        <v>-0.0306218201185926</v>
      </c>
      <c r="V184" s="16" t="n">
        <f aca="false">SUMIFS(Calc!$AH$5:$AH$1369,Calc!$A$5:$A$1369,A184)</f>
        <v>-0.0479660942922531</v>
      </c>
      <c r="W184" s="16" t="n">
        <f aca="false">SUMIFS(Calc!$Y$5:$Y$1369,Calc!$A$5:$A$1369,A184)</f>
        <v>0.34688548347321</v>
      </c>
      <c r="X184" s="7" t="n">
        <f aca="false">IFERROR(N184/W184*1000,"")</f>
        <v>75.30274956661</v>
      </c>
      <c r="Y184" s="7" t="n">
        <f aca="false">IFERROR(P184/W184*1000,"")</f>
        <v>48.4808631228506</v>
      </c>
      <c r="Z184" s="7" t="n">
        <f aca="false">IFERROR(Q184/W184*1000,"")</f>
        <v>-38.2764531164287</v>
      </c>
      <c r="AA184" s="16" t="n">
        <f aca="false">SUMIFS(Calc!$AM$5:$AM$1369,Calc!$A$5:$A$1369,A184)</f>
        <v>0.0387671793612794</v>
      </c>
      <c r="AB184" s="16" t="n">
        <f aca="false">SUMIFS(Calc!$AN$5:$AN$1369,Calc!$A$5:$A$1369,A184)</f>
        <v>1.17957603916931</v>
      </c>
      <c r="AC184" s="17" t="n">
        <f aca="false">Country_Data!DY184</f>
        <v>0.27</v>
      </c>
      <c r="AD184" s="12" t="str">
        <f aca="false">IF(Country_Data!BD184="","",Country_Data!BD184)</f>
        <v/>
      </c>
      <c r="AE184" s="7" t="n">
        <f aca="false">IF(Country_Data!BC184="","",Country_Data!BC184)</f>
        <v>65.2</v>
      </c>
      <c r="AF184" s="12" t="str">
        <f aca="false">IF(Country_Data!BL184="","",Country_Data!BL184)</f>
        <v/>
      </c>
      <c r="AG184" s="7" t="n">
        <f aca="false">IF(Country_Data!BA184="","",Country_Data!BA184)</f>
        <v>26.095</v>
      </c>
    </row>
    <row r="185" customFormat="false" ht="15" hidden="false" customHeight="false" outlineLevel="0" collapsed="false">
      <c r="A185" s="14" t="str">
        <f aca="false">Country_Data!A185</f>
        <v>COM</v>
      </c>
      <c r="B185" s="14" t="str">
        <f aca="false">Country_Data!B185</f>
        <v>Comoros</v>
      </c>
      <c r="C185" s="14" t="str">
        <f aca="false">Country_Data!E185</f>
        <v>EMDC</v>
      </c>
      <c r="D185" s="14" t="str">
        <f aca="false">Country_Data!D185</f>
        <v>Lower middle income</v>
      </c>
      <c r="E185" s="15" t="n">
        <f aca="false">Country_Data!BV185</f>
        <v>1.82793687820094</v>
      </c>
      <c r="F185" s="16" t="n">
        <f aca="false">SUMIFS(Calc!$J$5:$J$1369,Calc!$A$5:$A$1369,A185)</f>
        <v>0.084609500953523</v>
      </c>
      <c r="G185" s="11" t="n">
        <f aca="false">IFERROR(F185/E185,"")</f>
        <v>0.0462868832958806</v>
      </c>
      <c r="H185" s="16" t="n">
        <f aca="false">SUMIFS(Calc!$L$5:$L$1369,Calc!$A$5:$A$1369,A185)</f>
        <v>0.0203062802288455</v>
      </c>
      <c r="I185" s="11" t="n">
        <f aca="false">IFERROR(H185/E185,"")</f>
        <v>0.0111088519910113</v>
      </c>
      <c r="J185" s="17" t="n">
        <f aca="false">Country_Data!DW185</f>
        <v>0.105</v>
      </c>
      <c r="K185" s="14" t="str">
        <f aca="false">Country_Data!DV185</f>
        <v>Group default (IHLEG)</v>
      </c>
      <c r="L185" s="16" t="n">
        <f aca="false">SUMIFS(Calc!$W$5:$W$1369,Calc!$A$5:$A$1369,A185)</f>
        <v>0.00215876603566277</v>
      </c>
      <c r="M185" s="16" t="n">
        <f aca="false">SUMIFS(Calc!$X$5:$X$1369,Calc!$A$5:$A$1369,A185)</f>
        <v>0.000678370314826914</v>
      </c>
      <c r="N185" s="18" t="n">
        <f aca="false">SUMIFS(Calc!$AC$5:$AC$1369,Calc!$A$5:$A$1369,A185)</f>
        <v>0.000299424852808142</v>
      </c>
      <c r="O185" s="18" t="n">
        <f aca="false">SUMIFS(Calc!$AD$5:$AD$1369,Calc!$A$5:$A$1369,A185)</f>
        <v>0.00110245726952822</v>
      </c>
      <c r="P185" s="18" t="n">
        <f aca="false">SUMIFS(Calc!$AE$5:$AE$1369,Calc!$A$5:$A$1369,A185)</f>
        <v>-0.000429564616062918</v>
      </c>
      <c r="Q185" s="18" t="n">
        <f aca="false">SUMIFS(Calc!$AF$5:$AF$1369,Calc!$A$5:$A$1369,A185)</f>
        <v>-0.00110793493088983</v>
      </c>
      <c r="R185" s="11" t="n">
        <f aca="false">IFERROR(N185/E185,"")</f>
        <v>0.000163804809880983</v>
      </c>
      <c r="S185" s="11" t="n">
        <f aca="false">IFERROR(P185/E185,"")</f>
        <v>-0.000234999698942393</v>
      </c>
      <c r="T185" s="11" t="n">
        <f aca="false">IFERROR(Q185/E185,"")</f>
        <v>-0.000606112248241453</v>
      </c>
      <c r="U185" s="16" t="n">
        <f aca="false">SUMIFS(Calc!$AG$5:$AG$1369,Calc!$A$5:$A$1369,A185)</f>
        <v>-0.0019539060102932</v>
      </c>
      <c r="V185" s="16" t="n">
        <f aca="false">SUMIFS(Calc!$AH$5:$AH$1369,Calc!$A$5:$A$1369,A185)</f>
        <v>-0.00279987708969656</v>
      </c>
      <c r="W185" s="16" t="n">
        <f aca="false">SUMIFS(Calc!$Y$5:$Y$1369,Calc!$A$5:$A$1369,A185)</f>
        <v>0.0169194215880673</v>
      </c>
      <c r="X185" s="7" t="n">
        <f aca="false">IFERROR(N185/W185*1000,"")</f>
        <v>17.6971092805748</v>
      </c>
      <c r="Y185" s="7" t="n">
        <f aca="false">IFERROR(P185/W185*1000,"")</f>
        <v>-25.3888475931043</v>
      </c>
      <c r="Z185" s="7" t="n">
        <f aca="false">IFERROR(Q185/W185*1000,"")</f>
        <v>-65.4830264216138</v>
      </c>
      <c r="AA185" s="16" t="n">
        <f aca="false">SUMIFS(Calc!$AM$5:$AM$1369,Calc!$A$5:$A$1369,A185)</f>
        <v>0.00303745612029608</v>
      </c>
      <c r="AB185" s="16" t="n">
        <f aca="false">SUMIFS(Calc!$AN$5:$AN$1369,Calc!$A$5:$A$1369,A185)</f>
        <v>0.0971270709576058</v>
      </c>
      <c r="AC185" s="17" t="n">
        <f aca="false">Country_Data!DY185</f>
        <v>0.27</v>
      </c>
      <c r="AD185" s="12" t="str">
        <f aca="false">IF(Country_Data!BD185="","",Country_Data!BD185)</f>
        <v/>
      </c>
      <c r="AE185" s="7" t="n">
        <f aca="false">IF(Country_Data!BC185="","",Country_Data!BC185)</f>
        <v>100</v>
      </c>
      <c r="AF185" s="12" t="n">
        <f aca="false">IF(Country_Data!BL185="","",Country_Data!BL185)</f>
        <v>2.486</v>
      </c>
      <c r="AG185" s="7" t="n">
        <f aca="false">IF(Country_Data!BA185="","",Country_Data!BA185)</f>
        <v>29.996</v>
      </c>
    </row>
    <row r="186" customFormat="false" ht="15" hidden="false" customHeight="false" outlineLevel="0" collapsed="false">
      <c r="A186" s="14" t="str">
        <f aca="false">Country_Data!A186</f>
        <v>GRD</v>
      </c>
      <c r="B186" s="14" t="str">
        <f aca="false">Country_Data!B186</f>
        <v>Grenada</v>
      </c>
      <c r="C186" s="14" t="str">
        <f aca="false">Country_Data!E186</f>
        <v>EMDC</v>
      </c>
      <c r="D186" s="14" t="str">
        <f aca="false">Country_Data!D186</f>
        <v>Upper middle income</v>
      </c>
      <c r="E186" s="15" t="n">
        <f aca="false">Country_Data!BV186</f>
        <v>1.64415780400316</v>
      </c>
      <c r="F186" s="16" t="n">
        <f aca="false">SUMIFS(Calc!$J$5:$J$1369,Calc!$A$5:$A$1369,A186)</f>
        <v>0.067400804212717</v>
      </c>
      <c r="G186" s="11" t="n">
        <f aca="false">IFERROR(F186/E186,"")</f>
        <v>0.0409941211534627</v>
      </c>
      <c r="H186" s="16" t="n">
        <f aca="false">SUMIFS(Calc!$L$5:$L$1369,Calc!$A$5:$A$1369,A186)</f>
        <v>0.0161761930110521</v>
      </c>
      <c r="I186" s="11" t="n">
        <f aca="false">IFERROR(H186/E186,"")</f>
        <v>0.00983858907683106</v>
      </c>
      <c r="J186" s="17" t="n">
        <f aca="false">Country_Data!DW186</f>
        <v>0.105</v>
      </c>
      <c r="K186" s="14" t="str">
        <f aca="false">Country_Data!DV186</f>
        <v>Group default (IHLEG)</v>
      </c>
      <c r="L186" s="16" t="n">
        <f aca="false">SUMIFS(Calc!$W$5:$W$1369,Calc!$A$5:$A$1369,A186)</f>
        <v>0.00314650838040389</v>
      </c>
      <c r="M186" s="16" t="n">
        <f aca="false">SUMIFS(Calc!$X$5:$X$1369,Calc!$A$5:$A$1369,A186)</f>
        <v>0.000355279243366295</v>
      </c>
      <c r="N186" s="18" t="n">
        <f aca="false">SUMIFS(Calc!$AC$5:$AC$1369,Calc!$A$5:$A$1369,A186)</f>
        <v>-0.00121416472908131</v>
      </c>
      <c r="O186" s="18" t="n">
        <f aca="false">SUMIFS(Calc!$AD$5:$AD$1369,Calc!$A$5:$A$1369,A186)</f>
        <v>-0.000569392766463617</v>
      </c>
      <c r="P186" s="18" t="n">
        <f aca="false">SUMIFS(Calc!$AE$5:$AE$1369,Calc!$A$5:$A$1369,A186)</f>
        <v>-0.00179986934879679</v>
      </c>
      <c r="Q186" s="18" t="n">
        <f aca="false">SUMIFS(Calc!$AF$5:$AF$1369,Calc!$A$5:$A$1369,A186)</f>
        <v>-0.00215514859216309</v>
      </c>
      <c r="R186" s="11" t="n">
        <f aca="false">IFERROR(N186/E186,"")</f>
        <v>-0.000738472138212695</v>
      </c>
      <c r="S186" s="11" t="n">
        <f aca="false">IFERROR(P186/E186,"")</f>
        <v>-0.00109470596095734</v>
      </c>
      <c r="T186" s="11" t="n">
        <f aca="false">IFERROR(Q186/E186,"")</f>
        <v>-0.0013107918150653</v>
      </c>
      <c r="U186" s="16" t="n">
        <f aca="false">SUMIFS(Calc!$AG$5:$AG$1369,Calc!$A$5:$A$1369,A186)</f>
        <v>-0.00283353785214948</v>
      </c>
      <c r="V186" s="16" t="n">
        <f aca="false">SUMIFS(Calc!$AH$5:$AH$1369,Calc!$A$5:$A$1369,A186)</f>
        <v>-0.00351192711213588</v>
      </c>
      <c r="W186" s="16" t="n">
        <f aca="false">SUMIFS(Calc!$Y$5:$Y$1369,Calc!$A$5:$A$1369,A186)</f>
        <v>0.0135677851997279</v>
      </c>
      <c r="X186" s="7" t="n">
        <f aca="false">IFERROR(N186/W186*1000,"")</f>
        <v>-89.488793580374</v>
      </c>
      <c r="Y186" s="7" t="n">
        <f aca="false">IFERROR(P186/W186*1000,"")</f>
        <v>-132.65756512956</v>
      </c>
      <c r="Z186" s="7" t="n">
        <f aca="false">IFERROR(Q186/W186*1000,"")</f>
        <v>-158.843065425763</v>
      </c>
      <c r="AA186" s="16" t="n">
        <f aca="false">SUMIFS(Calc!$AM$5:$AM$1369,Calc!$A$5:$A$1369,A186)</f>
        <v>0.00244043591548119</v>
      </c>
      <c r="AB186" s="16" t="n">
        <f aca="false">SUMIFS(Calc!$AN$5:$AN$1369,Calc!$A$5:$A$1369,A186)</f>
        <v>0.0773724300414477</v>
      </c>
      <c r="AC186" s="17" t="n">
        <f aca="false">Country_Data!DY186</f>
        <v>0.27</v>
      </c>
      <c r="AD186" s="12" t="str">
        <f aca="false">IF(Country_Data!BD186="","",Country_Data!BD186)</f>
        <v/>
      </c>
      <c r="AE186" s="7" t="str">
        <f aca="false">IF(Country_Data!BC186="","",Country_Data!BC186)</f>
        <v/>
      </c>
      <c r="AF186" s="12" t="str">
        <f aca="false">IF(Country_Data!BL186="","",Country_Data!BL186)</f>
        <v/>
      </c>
      <c r="AG186" s="7" t="n">
        <f aca="false">IF(Country_Data!BA186="","",Country_Data!BA186)</f>
        <v>75.078</v>
      </c>
    </row>
    <row r="187" customFormat="false" ht="15" hidden="false" customHeight="false" outlineLevel="0" collapsed="false">
      <c r="A187" s="14" t="str">
        <f aca="false">Country_Data!A187</f>
        <v>VUT</v>
      </c>
      <c r="B187" s="14" t="str">
        <f aca="false">Country_Data!B187</f>
        <v>Vanuatu</v>
      </c>
      <c r="C187" s="14" t="str">
        <f aca="false">Country_Data!E187</f>
        <v>EMDC</v>
      </c>
      <c r="D187" s="14" t="str">
        <f aca="false">Country_Data!D187</f>
        <v>Lower middle income</v>
      </c>
      <c r="E187" s="15" t="n">
        <f aca="false">Country_Data!BV187</f>
        <v>1.55038759791573</v>
      </c>
      <c r="F187" s="16" t="n">
        <f aca="false">SUMIFS(Calc!$J$5:$J$1369,Calc!$A$5:$A$1369,A187)</f>
        <v>0.0602450133084321</v>
      </c>
      <c r="G187" s="11" t="n">
        <f aca="false">IFERROR(F187/E187,"")</f>
        <v>0.0388580335584615</v>
      </c>
      <c r="H187" s="16" t="n">
        <f aca="false">SUMIFS(Calc!$L$5:$L$1369,Calc!$A$5:$A$1369,A187)</f>
        <v>0.0144588031940237</v>
      </c>
      <c r="I187" s="11" t="n">
        <f aca="false">IFERROR(H187/E187,"")</f>
        <v>0.00932592805403076</v>
      </c>
      <c r="J187" s="17" t="n">
        <f aca="false">Country_Data!DW187</f>
        <v>0.105</v>
      </c>
      <c r="K187" s="14" t="str">
        <f aca="false">Country_Data!DV187</f>
        <v>Group default (IHLEG)</v>
      </c>
      <c r="L187" s="16" t="n">
        <f aca="false">SUMIFS(Calc!$W$5:$W$1369,Calc!$A$5:$A$1369,A187)</f>
        <v>0.00115164014379295</v>
      </c>
      <c r="M187" s="16" t="n">
        <f aca="false">SUMIFS(Calc!$X$5:$X$1369,Calc!$A$5:$A$1369,A187)</f>
        <v>0.000514683729878499</v>
      </c>
      <c r="N187" s="18" t="n">
        <f aca="false">SUMIFS(Calc!$AC$5:$AC$1369,Calc!$A$5:$A$1369,A187)</f>
        <v>0.000621994308673609</v>
      </c>
      <c r="O187" s="18" t="n">
        <f aca="false">SUMIFS(Calc!$AD$5:$AD$1369,Calc!$A$5:$A$1369,A187)</f>
        <v>0.00118994820817488</v>
      </c>
      <c r="P187" s="18" t="n">
        <f aca="false">SUMIFS(Calc!$AE$5:$AE$1369,Calc!$A$5:$A$1369,A187)</f>
        <v>0.000106103287345755</v>
      </c>
      <c r="Q187" s="18" t="n">
        <f aca="false">SUMIFS(Calc!$AF$5:$AF$1369,Calc!$A$5:$A$1369,A187)</f>
        <v>-0.000408580442532745</v>
      </c>
      <c r="R187" s="11" t="n">
        <f aca="false">IFERROR(N187/E187,"")</f>
        <v>0.00040118632883144</v>
      </c>
      <c r="S187" s="11" t="n">
        <f aca="false">IFERROR(P187/E187,"")</f>
        <v>6.84366202931414E-005</v>
      </c>
      <c r="T187" s="11" t="n">
        <f aca="false">IFERROR(Q187/E187,"")</f>
        <v>-0.000263534385260834</v>
      </c>
      <c r="U187" s="16" t="n">
        <f aca="false">SUMIFS(Calc!$AG$5:$AG$1369,Calc!$A$5:$A$1369,A187)</f>
        <v>-0.000968488918542325</v>
      </c>
      <c r="V187" s="16" t="n">
        <f aca="false">SUMIFS(Calc!$AH$5:$AH$1369,Calc!$A$5:$A$1369,A187)</f>
        <v>-0.00152839739455191</v>
      </c>
      <c r="W187" s="16" t="n">
        <f aca="false">SUMIFS(Calc!$Y$5:$Y$1369,Calc!$A$5:$A$1369,A187)</f>
        <v>0.0111981695201916</v>
      </c>
      <c r="X187" s="7" t="n">
        <f aca="false">IFERROR(N187/W187*1000,"")</f>
        <v>55.5442840503602</v>
      </c>
      <c r="Y187" s="7" t="n">
        <f aca="false">IFERROR(P187/W187*1000,"")</f>
        <v>9.47505636117027</v>
      </c>
      <c r="Z187" s="7" t="n">
        <f aca="false">IFERROR(Q187/W187*1000,"")</f>
        <v>-36.4863598283653</v>
      </c>
      <c r="AA187" s="16" t="n">
        <f aca="false">SUMIFS(Calc!$AM$5:$AM$1369,Calc!$A$5:$A$1369,A187)</f>
        <v>0.00214954592219939</v>
      </c>
      <c r="AB187" s="16" t="n">
        <f aca="false">SUMIFS(Calc!$AN$5:$AN$1369,Calc!$A$5:$A$1369,A187)</f>
        <v>0.0689334097855666</v>
      </c>
      <c r="AC187" s="17" t="n">
        <f aca="false">Country_Data!DY187</f>
        <v>0.265</v>
      </c>
      <c r="AD187" s="12" t="n">
        <f aca="false">IF(Country_Data!BD187="","",Country_Data!BD187)</f>
        <v>2.5</v>
      </c>
      <c r="AE187" s="7" t="str">
        <f aca="false">IF(Country_Data!BC187="","",Country_Data!BC187)</f>
        <v/>
      </c>
      <c r="AF187" s="12" t="str">
        <f aca="false">IF(Country_Data!BL187="","",Country_Data!BL187)</f>
        <v/>
      </c>
      <c r="AG187" s="7" t="n">
        <f aca="false">IF(Country_Data!BA187="","",Country_Data!BA187)</f>
        <v>39.053</v>
      </c>
    </row>
    <row r="188" customFormat="false" ht="15" hidden="false" customHeight="false" outlineLevel="0" collapsed="false">
      <c r="A188" s="14" t="str">
        <f aca="false">Country_Data!A188</f>
        <v>WSM</v>
      </c>
      <c r="B188" s="14" t="str">
        <f aca="false">Country_Data!B188</f>
        <v>Samoa</v>
      </c>
      <c r="C188" s="14" t="str">
        <f aca="false">Country_Data!E188</f>
        <v>EMDC</v>
      </c>
      <c r="D188" s="14" t="str">
        <f aca="false">Country_Data!D188</f>
        <v>Upper middle income</v>
      </c>
      <c r="E188" s="15" t="n">
        <f aca="false">Country_Data!BV188</f>
        <v>1.43502188068647</v>
      </c>
      <c r="F188" s="16" t="n">
        <f aca="false">SUMIFS(Calc!$J$5:$J$1369,Calc!$A$5:$A$1369,A188)</f>
        <v>0.064643333037272</v>
      </c>
      <c r="G188" s="11" t="n">
        <f aca="false">IFERROR(F188/E188,"")</f>
        <v>0.0450469319717611</v>
      </c>
      <c r="H188" s="16" t="n">
        <f aca="false">SUMIFS(Calc!$L$5:$L$1369,Calc!$A$5:$A$1369,A188)</f>
        <v>0.0155143999289453</v>
      </c>
      <c r="I188" s="11" t="n">
        <f aca="false">IFERROR(H188/E188,"")</f>
        <v>0.0108112636732227</v>
      </c>
      <c r="J188" s="17" t="n">
        <f aca="false">Country_Data!DW188</f>
        <v>0.105</v>
      </c>
      <c r="K188" s="14" t="str">
        <f aca="false">Country_Data!DV188</f>
        <v>Group default (IHLEG)</v>
      </c>
      <c r="L188" s="16" t="n">
        <f aca="false">SUMIFS(Calc!$W$5:$W$1369,Calc!$A$5:$A$1369,A188)</f>
        <v>0.00126482017948091</v>
      </c>
      <c r="M188" s="16" t="n">
        <f aca="false">SUMIFS(Calc!$X$5:$X$1369,Calc!$A$5:$A$1369,A188)</f>
        <v>0.000419931597809807</v>
      </c>
      <c r="N188" s="18" t="n">
        <f aca="false">SUMIFS(Calc!$AC$5:$AC$1369,Calc!$A$5:$A$1369,A188)</f>
        <v>0.000618816359333824</v>
      </c>
      <c r="O188" s="18" t="n">
        <f aca="false">SUMIFS(Calc!$AD$5:$AD$1369,Calc!$A$5:$A$1369,A188)</f>
        <v>0.00123181697075161</v>
      </c>
      <c r="P188" s="18" t="n">
        <f aca="false">SUMIFS(Calc!$AE$5:$AE$1369,Calc!$A$5:$A$1369,A188)</f>
        <v>6.18979346328064E-005</v>
      </c>
      <c r="Q188" s="18" t="n">
        <f aca="false">SUMIFS(Calc!$AF$5:$AF$1369,Calc!$A$5:$A$1369,A188)</f>
        <v>-0.000358033663177001</v>
      </c>
      <c r="R188" s="11" t="n">
        <f aca="false">IFERROR(N188/E188,"")</f>
        <v>0.000431224337177215</v>
      </c>
      <c r="S188" s="11" t="n">
        <f aca="false">IFERROR(P188/E188,"")</f>
        <v>4.31337915232319E-005</v>
      </c>
      <c r="T188" s="11" t="n">
        <f aca="false">IFERROR(Q188/E188,"")</f>
        <v>-0.000249497006279604</v>
      </c>
      <c r="U188" s="16" t="n">
        <f aca="false">SUMIFS(Calc!$AG$5:$AG$1369,Calc!$A$5:$A$1369,A188)</f>
        <v>-0.000884045349201516</v>
      </c>
      <c r="V188" s="16" t="n">
        <f aca="false">SUMIFS(Calc!$AH$5:$AH$1369,Calc!$A$5:$A$1369,A188)</f>
        <v>-0.00141005703522603</v>
      </c>
      <c r="W188" s="16" t="n">
        <f aca="false">SUMIFS(Calc!$Y$5:$Y$1369,Calc!$A$5:$A$1369,A188)</f>
        <v>0.0105202337204903</v>
      </c>
      <c r="X188" s="7" t="n">
        <f aca="false">IFERROR(N188/W188*1000,"")</f>
        <v>58.8215410203818</v>
      </c>
      <c r="Y188" s="7" t="n">
        <f aca="false">IFERROR(P188/W188*1000,"")</f>
        <v>5.88370337364725</v>
      </c>
      <c r="Z188" s="7" t="n">
        <f aca="false">IFERROR(Q188/W188*1000,"")</f>
        <v>-34.0328620722235</v>
      </c>
      <c r="AA188" s="16" t="n">
        <f aca="false">SUMIFS(Calc!$AM$5:$AM$1369,Calc!$A$5:$A$1369,A188)</f>
        <v>0.00232049343625424</v>
      </c>
      <c r="AB188" s="16" t="n">
        <f aca="false">SUMIFS(Calc!$AN$5:$AN$1369,Calc!$A$5:$A$1369,A188)</f>
        <v>0.0742070042263479</v>
      </c>
      <c r="AC188" s="17" t="n">
        <f aca="false">Country_Data!DY188</f>
        <v>0.27</v>
      </c>
      <c r="AD188" s="12" t="str">
        <f aca="false">IF(Country_Data!BD188="","",Country_Data!BD188)</f>
        <v/>
      </c>
      <c r="AE188" s="7" t="str">
        <f aca="false">IF(Country_Data!BC188="","",Country_Data!BC188)</f>
        <v/>
      </c>
      <c r="AF188" s="12" t="str">
        <f aca="false">IF(Country_Data!BL188="","",Country_Data!BL188)</f>
        <v/>
      </c>
      <c r="AG188" s="7" t="n">
        <f aca="false">IF(Country_Data!BA188="","",Country_Data!BA188)</f>
        <v>25.166</v>
      </c>
    </row>
    <row r="189" customFormat="false" ht="15" hidden="false" customHeight="false" outlineLevel="0" collapsed="false">
      <c r="A189" s="14" t="str">
        <f aca="false">Country_Data!A189</f>
        <v>VCT</v>
      </c>
      <c r="B189" s="14" t="str">
        <f aca="false">Country_Data!B189</f>
        <v>St. Vincent and the Grenadines</v>
      </c>
      <c r="C189" s="14" t="str">
        <f aca="false">Country_Data!E189</f>
        <v>EMDC</v>
      </c>
      <c r="D189" s="14" t="str">
        <f aca="false">Country_Data!D189</f>
        <v>Upper middle income</v>
      </c>
      <c r="E189" s="15" t="n">
        <f aca="false">Country_Data!BV189</f>
        <v>1.34959372206153</v>
      </c>
      <c r="F189" s="16" t="n">
        <f aca="false">SUMIFS(Calc!$J$5:$J$1369,Calc!$A$5:$A$1369,A189)</f>
        <v>0.0553168433999935</v>
      </c>
      <c r="G189" s="11" t="n">
        <f aca="false">IFERROR(F189/E189,"")</f>
        <v>0.0409877746878489</v>
      </c>
      <c r="H189" s="16" t="n">
        <f aca="false">SUMIFS(Calc!$L$5:$L$1369,Calc!$A$5:$A$1369,A189)</f>
        <v>0.0132760424159984</v>
      </c>
      <c r="I189" s="11" t="n">
        <f aca="false">IFERROR(H189/E189,"")</f>
        <v>0.00983706592508373</v>
      </c>
      <c r="J189" s="17" t="n">
        <f aca="false">Country_Data!DW189</f>
        <v>0.105</v>
      </c>
      <c r="K189" s="14" t="str">
        <f aca="false">Country_Data!DV189</f>
        <v>Group default (IHLEG)</v>
      </c>
      <c r="L189" s="16" t="n">
        <f aca="false">SUMIFS(Calc!$W$5:$W$1369,Calc!$A$5:$A$1369,A189)</f>
        <v>0.00216780502375366</v>
      </c>
      <c r="M189" s="16" t="n">
        <f aca="false">SUMIFS(Calc!$X$5:$X$1369,Calc!$A$5:$A$1369,A189)</f>
        <v>0.000308222710764219</v>
      </c>
      <c r="N189" s="18" t="n">
        <f aca="false">SUMIFS(Calc!$AC$5:$AC$1369,Calc!$A$5:$A$1369,A189)</f>
        <v>-0.000573089084636365</v>
      </c>
      <c r="O189" s="18" t="n">
        <f aca="false">SUMIFS(Calc!$AD$5:$AD$1369,Calc!$A$5:$A$1369,A189)</f>
        <v>-4.55644759826869E-005</v>
      </c>
      <c r="P189" s="18" t="n">
        <f aca="false">SUMIFS(Calc!$AE$5:$AE$1369,Calc!$A$5:$A$1369,A189)</f>
        <v>-0.00105228841426734</v>
      </c>
      <c r="Q189" s="18" t="n">
        <f aca="false">SUMIFS(Calc!$AF$5:$AF$1369,Calc!$A$5:$A$1369,A189)</f>
        <v>-0.00136051112503155</v>
      </c>
      <c r="R189" s="11" t="n">
        <f aca="false">IFERROR(N189/E189,"")</f>
        <v>-0.000424638226503424</v>
      </c>
      <c r="S189" s="11" t="n">
        <f aca="false">IFERROR(P189/E189,"")</f>
        <v>-0.000779707549809836</v>
      </c>
      <c r="T189" s="11" t="n">
        <f aca="false">IFERROR(Q189/E189,"")</f>
        <v>-0.00100808939964047</v>
      </c>
      <c r="U189" s="16" t="n">
        <f aca="false">SUMIFS(Calc!$AG$5:$AG$1369,Calc!$A$5:$A$1369,A189)</f>
        <v>-0.00187213768463131</v>
      </c>
      <c r="V189" s="16" t="n">
        <f aca="false">SUMIFS(Calc!$AH$5:$AH$1369,Calc!$A$5:$A$1369,A189)</f>
        <v>-0.00238376424423107</v>
      </c>
      <c r="W189" s="16" t="n">
        <f aca="false">SUMIFS(Calc!$Y$5:$Y$1369,Calc!$A$5:$A$1369,A189)</f>
        <v>0.0102325311919951</v>
      </c>
      <c r="X189" s="7" t="n">
        <f aca="false">IFERROR(N189/W189*1000,"")</f>
        <v>-56.0065807651473</v>
      </c>
      <c r="Y189" s="7" t="n">
        <f aca="false">IFERROR(P189/W189*1000,"")</f>
        <v>-102.837547672519</v>
      </c>
      <c r="Z189" s="7" t="n">
        <f aca="false">IFERROR(Q189/W189*1000,"")</f>
        <v>-132.959391914278</v>
      </c>
      <c r="AA189" s="16" t="n">
        <f aca="false">SUMIFS(Calc!$AM$5:$AM$1369,Calc!$A$5:$A$1369,A189)</f>
        <v>0.00199666387346238</v>
      </c>
      <c r="AB189" s="16" t="n">
        <f aca="false">SUMIFS(Calc!$AN$5:$AN$1369,Calc!$A$5:$A$1369,A189)</f>
        <v>0.0635007051632802</v>
      </c>
      <c r="AC189" s="17" t="n">
        <f aca="false">Country_Data!DY189</f>
        <v>0.27</v>
      </c>
      <c r="AD189" s="12" t="str">
        <f aca="false">IF(Country_Data!BD189="","",Country_Data!BD189)</f>
        <v/>
      </c>
      <c r="AE189" s="7" t="str">
        <f aca="false">IF(Country_Data!BC189="","",Country_Data!BC189)</f>
        <v/>
      </c>
      <c r="AF189" s="12" t="n">
        <f aca="false">IF(Country_Data!BL189="","",Country_Data!BL189)</f>
        <v>1.015</v>
      </c>
      <c r="AG189" s="7" t="n">
        <f aca="false">IF(Country_Data!BA189="","",Country_Data!BA189)</f>
        <v>102.838</v>
      </c>
    </row>
    <row r="190" customFormat="false" ht="15" hidden="false" customHeight="false" outlineLevel="0" collapsed="false">
      <c r="A190" s="14" t="str">
        <f aca="false">Country_Data!A190</f>
        <v>KNA</v>
      </c>
      <c r="B190" s="14" t="str">
        <f aca="false">Country_Data!B190</f>
        <v>St. Kitts and Nevis</v>
      </c>
      <c r="C190" s="14" t="str">
        <f aca="false">Country_Data!E190</f>
        <v>EMDC</v>
      </c>
      <c r="D190" s="14" t="str">
        <f aca="false">Country_Data!D190</f>
        <v>High income</v>
      </c>
      <c r="E190" s="15" t="n">
        <f aca="false">Country_Data!BV190</f>
        <v>1.17999001654529</v>
      </c>
      <c r="F190" s="16" t="n">
        <f aca="false">SUMIFS(Calc!$J$5:$J$1369,Calc!$A$5:$A$1369,A190)</f>
        <v>0.0628351287283249</v>
      </c>
      <c r="G190" s="11" t="n">
        <f aca="false">IFERROR(F190/E190,"")</f>
        <v>0.0532505596210807</v>
      </c>
      <c r="H190" s="16" t="n">
        <f aca="false">SUMIFS(Calc!$L$5:$L$1369,Calc!$A$5:$A$1369,A190)</f>
        <v>0.015080430894798</v>
      </c>
      <c r="I190" s="11" t="n">
        <f aca="false">IFERROR(H190/E190,"")</f>
        <v>0.0127801343090594</v>
      </c>
      <c r="J190" s="17" t="n">
        <f aca="false">Country_Data!DW190</f>
        <v>0.105</v>
      </c>
      <c r="K190" s="14" t="str">
        <f aca="false">Country_Data!DV190</f>
        <v>Group default (IHLEG)</v>
      </c>
      <c r="L190" s="16" t="n">
        <f aca="false">SUMIFS(Calc!$W$5:$W$1369,Calc!$A$5:$A$1369,A190)</f>
        <v>0.0024641052151266</v>
      </c>
      <c r="M190" s="16" t="n">
        <f aca="false">SUMIFS(Calc!$X$5:$X$1369,Calc!$A$5:$A$1369,A190)</f>
        <v>0.000252477206753995</v>
      </c>
      <c r="N190" s="18" t="n">
        <f aca="false">SUMIFS(Calc!$AC$5:$AC$1369,Calc!$A$5:$A$1369,A190)</f>
        <v>-0.00061816622090634</v>
      </c>
      <c r="O190" s="18" t="n">
        <f aca="false">SUMIFS(Calc!$AD$5:$AD$1369,Calc!$A$5:$A$1369,A190)</f>
        <v>-2.58850615902657E-005</v>
      </c>
      <c r="P190" s="18" t="n">
        <f aca="false">SUMIFS(Calc!$AE$5:$AE$1369,Calc!$A$5:$A$1369,A190)</f>
        <v>-0.00115614577981885</v>
      </c>
      <c r="Q190" s="18" t="n">
        <f aca="false">SUMIFS(Calc!$AF$5:$AF$1369,Calc!$A$5:$A$1369,A190)</f>
        <v>-0.00140862298657285</v>
      </c>
      <c r="R190" s="11" t="n">
        <f aca="false">IFERROR(N190/E190,"")</f>
        <v>-0.000523874110999832</v>
      </c>
      <c r="S190" s="11" t="n">
        <f aca="false">IFERROR(P190/E190,"")</f>
        <v>-0.000979792848759651</v>
      </c>
      <c r="T190" s="11" t="n">
        <f aca="false">IFERROR(Q190/E190,"")</f>
        <v>-0.00119375839356416</v>
      </c>
      <c r="U190" s="16" t="n">
        <f aca="false">SUMIFS(Calc!$AG$5:$AG$1369,Calc!$A$5:$A$1369,A190)</f>
        <v>-0.00195578167009367</v>
      </c>
      <c r="V190" s="16" t="n">
        <f aca="false">SUMIFS(Calc!$AH$5:$AH$1369,Calc!$A$5:$A$1369,A190)</f>
        <v>-0.00250294035361448</v>
      </c>
      <c r="W190" s="16" t="n">
        <f aca="false">SUMIFS(Calc!$Y$5:$Y$1369,Calc!$A$5:$A$1369,A190)</f>
        <v>0.0109431736704163</v>
      </c>
      <c r="X190" s="7" t="n">
        <f aca="false">IFERROR(N190/W190*1000,"")</f>
        <v>-56.4887517574069</v>
      </c>
      <c r="Y190" s="7" t="n">
        <f aca="false">IFERROR(P190/W190*1000,"")</f>
        <v>-105.649952622462</v>
      </c>
      <c r="Z190" s="7" t="n">
        <f aca="false">IFERROR(Q190/W190*1000,"")</f>
        <v>-128.721614862141</v>
      </c>
      <c r="AA190" s="16" t="n">
        <f aca="false">SUMIFS(Calc!$AM$5:$AM$1369,Calc!$A$5:$A$1369,A190)</f>
        <v>0.00224158149546881</v>
      </c>
      <c r="AB190" s="16" t="n">
        <f aca="false">SUMIFS(Calc!$AN$5:$AN$1369,Calc!$A$5:$A$1369,A190)</f>
        <v>0.0721312847593647</v>
      </c>
      <c r="AC190" s="17" t="n">
        <f aca="false">Country_Data!DY190</f>
        <v>0.27</v>
      </c>
      <c r="AD190" s="12" t="str">
        <f aca="false">IF(Country_Data!BD190="","",Country_Data!BD190)</f>
        <v/>
      </c>
      <c r="AE190" s="7" t="str">
        <f aca="false">IF(Country_Data!BC190="","",Country_Data!BC190)</f>
        <v/>
      </c>
      <c r="AF190" s="12" t="str">
        <f aca="false">IF(Country_Data!BL190="","",Country_Data!BL190)</f>
        <v/>
      </c>
      <c r="AG190" s="7" t="n">
        <f aca="false">IF(Country_Data!BA190="","",Country_Data!BA190)</f>
        <v>58.125</v>
      </c>
    </row>
    <row r="191" customFormat="false" ht="15" hidden="false" customHeight="false" outlineLevel="0" collapsed="false">
      <c r="A191" s="14" t="str">
        <f aca="false">Country_Data!A191</f>
        <v>STP</v>
      </c>
      <c r="B191" s="14" t="str">
        <f aca="false">Country_Data!B191</f>
        <v>São Tomé and Principe</v>
      </c>
      <c r="C191" s="14" t="str">
        <f aca="false">Country_Data!E191</f>
        <v>EMDC</v>
      </c>
      <c r="D191" s="14" t="str">
        <f aca="false">Country_Data!D191</f>
        <v>Lower middle income</v>
      </c>
      <c r="E191" s="15" t="n">
        <f aca="false">Country_Data!BV191</f>
        <v>0.999214603602174</v>
      </c>
      <c r="F191" s="16" t="n">
        <f aca="false">SUMIFS(Calc!$J$5:$J$1369,Calc!$A$5:$A$1369,A191)</f>
        <v>0.0379648442494214</v>
      </c>
      <c r="G191" s="11" t="n">
        <f aca="false">IFERROR(F191/E191,"")</f>
        <v>0.0379946851382655</v>
      </c>
      <c r="H191" s="16" t="n">
        <f aca="false">SUMIFS(Calc!$L$5:$L$1369,Calc!$A$5:$A$1369,A191)</f>
        <v>0.00911156261986113</v>
      </c>
      <c r="I191" s="11" t="n">
        <f aca="false">IFERROR(H191/E191,"")</f>
        <v>0.00911872443318372</v>
      </c>
      <c r="J191" s="17" t="n">
        <f aca="false">Country_Data!DW191</f>
        <v>0.105</v>
      </c>
      <c r="K191" s="14" t="str">
        <f aca="false">Country_Data!DV191</f>
        <v>Group default (IHLEG)</v>
      </c>
      <c r="L191" s="16" t="n">
        <f aca="false">SUMIFS(Calc!$W$5:$W$1369,Calc!$A$5:$A$1369,A191)</f>
        <v>0.000851102026784483</v>
      </c>
      <c r="M191" s="16" t="n">
        <f aca="false">SUMIFS(Calc!$X$5:$X$1369,Calc!$A$5:$A$1369,A191)</f>
        <v>0.000348754555228179</v>
      </c>
      <c r="N191" s="18" t="n">
        <f aca="false">SUMIFS(Calc!$AC$5:$AC$1369,Calc!$A$5:$A$1369,A191)</f>
        <v>0.000215958687349701</v>
      </c>
      <c r="O191" s="18" t="n">
        <f aca="false">SUMIFS(Calc!$AD$5:$AD$1369,Calc!$A$5:$A$1369,A191)</f>
        <v>0.000583255794552098</v>
      </c>
      <c r="P191" s="18" t="n">
        <f aca="false">SUMIFS(Calc!$AE$5:$AE$1369,Calc!$A$5:$A$1369,A191)</f>
        <v>-0.000117431363246175</v>
      </c>
      <c r="Q191" s="18" t="n">
        <f aca="false">SUMIFS(Calc!$AF$5:$AF$1369,Calc!$A$5:$A$1369,A191)</f>
        <v>-0.000466185918474354</v>
      </c>
      <c r="R191" s="11" t="n">
        <f aca="false">IFERROR(N191/E191,"")</f>
        <v>0.000216128433843109</v>
      </c>
      <c r="S191" s="11" t="n">
        <f aca="false">IFERROR(P191/E191,"")</f>
        <v>-0.00011752366591004</v>
      </c>
      <c r="T191" s="11" t="n">
        <f aca="false">IFERROR(Q191/E191,"")</f>
        <v>-0.00046655234700709</v>
      </c>
      <c r="U191" s="16" t="n">
        <f aca="false">SUMIFS(Calc!$AG$5:$AG$1369,Calc!$A$5:$A$1369,A191)</f>
        <v>-0.000875563936628372</v>
      </c>
      <c r="V191" s="16" t="n">
        <f aca="false">SUMIFS(Calc!$AH$5:$AH$1369,Calc!$A$5:$A$1369,A191)</f>
        <v>-0.00128494195478239</v>
      </c>
      <c r="W191" s="16" t="n">
        <f aca="false">SUMIFS(Calc!$Y$5:$Y$1369,Calc!$A$5:$A$1369,A191)</f>
        <v>0.00818756036308037</v>
      </c>
      <c r="X191" s="7" t="n">
        <f aca="false">IFERROR(N191/W191*1000,"")</f>
        <v>26.3764391067588</v>
      </c>
      <c r="Y191" s="7" t="n">
        <f aca="false">IFERROR(P191/W191*1000,"")</f>
        <v>-14.3426561806738</v>
      </c>
      <c r="Z191" s="7" t="n">
        <f aca="false">IFERROR(Q191/W191*1000,"")</f>
        <v>-56.9383183513975</v>
      </c>
      <c r="AA191" s="16" t="n">
        <f aca="false">SUMIFS(Calc!$AM$5:$AM$1369,Calc!$A$5:$A$1369,A191)</f>
        <v>0.00138912521081615</v>
      </c>
      <c r="AB191" s="16" t="n">
        <f aca="false">SUMIFS(Calc!$AN$5:$AN$1369,Calc!$A$5:$A$1369,A191)</f>
        <v>0.0480888027159337</v>
      </c>
      <c r="AC191" s="17" t="n">
        <f aca="false">Country_Data!DY191</f>
        <v>0.4</v>
      </c>
      <c r="AD191" s="12" t="n">
        <f aca="false">IF(Country_Data!BD191="","",Country_Data!BD191)</f>
        <v>1</v>
      </c>
      <c r="AE191" s="7" t="n">
        <f aca="false">IF(Country_Data!BC191="","",Country_Data!BC191)</f>
        <v>57.04</v>
      </c>
      <c r="AF191" s="12" t="n">
        <f aca="false">IF(Country_Data!BL191="","",Country_Data!BL191)</f>
        <v>1.35</v>
      </c>
      <c r="AG191" s="7" t="n">
        <f aca="false">IF(Country_Data!BA191="","",Country_Data!BA191)</f>
        <v>65.223</v>
      </c>
    </row>
    <row r="192" customFormat="false" ht="15" hidden="false" customHeight="false" outlineLevel="0" collapsed="false">
      <c r="A192" s="14" t="str">
        <f aca="false">Country_Data!A192</f>
        <v>DMA</v>
      </c>
      <c r="B192" s="14" t="str">
        <f aca="false">Country_Data!B192</f>
        <v>Dominica</v>
      </c>
      <c r="C192" s="14" t="str">
        <f aca="false">Country_Data!E192</f>
        <v>EMDC</v>
      </c>
      <c r="D192" s="14" t="str">
        <f aca="false">Country_Data!D192</f>
        <v>Upper middle income</v>
      </c>
      <c r="E192" s="15" t="n">
        <f aca="false">Country_Data!BV192</f>
        <v>0.840586672103695</v>
      </c>
      <c r="F192" s="16" t="n">
        <f aca="false">SUMIFS(Calc!$J$5:$J$1369,Calc!$A$5:$A$1369,A192)</f>
        <v>0.0385037986260943</v>
      </c>
      <c r="G192" s="11" t="n">
        <f aca="false">IFERROR(F192/E192,"")</f>
        <v>0.0458058638138203</v>
      </c>
      <c r="H192" s="16" t="n">
        <f aca="false">SUMIFS(Calc!$L$5:$L$1369,Calc!$A$5:$A$1369,A192)</f>
        <v>0.00924091167026263</v>
      </c>
      <c r="I192" s="11" t="n">
        <f aca="false">IFERROR(H192/E192,"")</f>
        <v>0.0109934073153169</v>
      </c>
      <c r="J192" s="17" t="n">
        <f aca="false">Country_Data!DW192</f>
        <v>0.105</v>
      </c>
      <c r="K192" s="14" t="str">
        <f aca="false">Country_Data!DV192</f>
        <v>Group default (IHLEG)</v>
      </c>
      <c r="L192" s="16" t="n">
        <f aca="false">SUMIFS(Calc!$W$5:$W$1369,Calc!$A$5:$A$1369,A192)</f>
        <v>0.00147716829114455</v>
      </c>
      <c r="M192" s="16" t="n">
        <f aca="false">SUMIFS(Calc!$X$5:$X$1369,Calc!$A$5:$A$1369,A192)</f>
        <v>0.00019780752403693</v>
      </c>
      <c r="N192" s="18" t="n">
        <f aca="false">SUMIFS(Calc!$AC$5:$AC$1369,Calc!$A$5:$A$1369,A192)</f>
        <v>-0.000388358320851826</v>
      </c>
      <c r="O192" s="18" t="n">
        <f aca="false">SUMIFS(Calc!$AD$5:$AD$1369,Calc!$A$5:$A$1369,A192)</f>
        <v>-1.70414055096643E-005</v>
      </c>
      <c r="P192" s="18" t="n">
        <f aca="false">SUMIFS(Calc!$AE$5:$AE$1369,Calc!$A$5:$A$1369,A192)</f>
        <v>-0.000725679649288811</v>
      </c>
      <c r="Q192" s="18" t="n">
        <f aca="false">SUMIFS(Calc!$AF$5:$AF$1369,Calc!$A$5:$A$1369,A192)</f>
        <v>-0.000923487173325741</v>
      </c>
      <c r="R192" s="11" t="n">
        <f aca="false">IFERROR(N192/E192,"")</f>
        <v>-0.000462008658643017</v>
      </c>
      <c r="S192" s="11" t="n">
        <f aca="false">IFERROR(P192/E192,"")</f>
        <v>-0.000863301398144571</v>
      </c>
      <c r="T192" s="11" t="n">
        <f aca="false">IFERROR(Q192/E192,"")</f>
        <v>-0.00109862219325293</v>
      </c>
      <c r="U192" s="16" t="n">
        <f aca="false">SUMIFS(Calc!$AG$5:$AG$1369,Calc!$A$5:$A$1369,A192)</f>
        <v>-0.00130040995431311</v>
      </c>
      <c r="V192" s="16" t="n">
        <f aca="false">SUMIFS(Calc!$AH$5:$AH$1369,Calc!$A$5:$A$1369,A192)</f>
        <v>-0.00167733273530048</v>
      </c>
      <c r="W192" s="16" t="n">
        <f aca="false">SUMIFS(Calc!$Y$5:$Y$1369,Calc!$A$5:$A$1369,A192)</f>
        <v>0.00753845561974735</v>
      </c>
      <c r="X192" s="7" t="n">
        <f aca="false">IFERROR(N192/W192*1000,"")</f>
        <v>-51.5169605607947</v>
      </c>
      <c r="Y192" s="7" t="n">
        <f aca="false">IFERROR(P192/W192*1000,"")</f>
        <v>-96.2637025265305</v>
      </c>
      <c r="Z192" s="7" t="n">
        <f aca="false">IFERROR(Q192/W192*1000,"")</f>
        <v>-122.503496725061</v>
      </c>
      <c r="AA192" s="16" t="n">
        <f aca="false">SUMIFS(Calc!$AM$5:$AM$1369,Calc!$A$5:$A$1369,A192)</f>
        <v>0.00140550553515411</v>
      </c>
      <c r="AB192" s="16" t="n">
        <f aca="false">SUMIFS(Calc!$AN$5:$AN$1369,Calc!$A$5:$A$1369,A192)</f>
        <v>0.0442002510255713</v>
      </c>
      <c r="AC192" s="17" t="n">
        <f aca="false">Country_Data!DY192</f>
        <v>0.27</v>
      </c>
      <c r="AD192" s="12" t="str">
        <f aca="false">IF(Country_Data!BD192="","",Country_Data!BD192)</f>
        <v/>
      </c>
      <c r="AE192" s="7" t="n">
        <f aca="false">IF(Country_Data!BC192="","",Country_Data!BC192)</f>
        <v>142.064</v>
      </c>
      <c r="AF192" s="12" t="n">
        <f aca="false">IF(Country_Data!BL192="","",Country_Data!BL192)</f>
        <v>2.431</v>
      </c>
      <c r="AG192" s="7" t="n">
        <f aca="false">IF(Country_Data!BA192="","",Country_Data!BA192)</f>
        <v>108.234</v>
      </c>
    </row>
    <row r="193" customFormat="false" ht="15" hidden="false" customHeight="false" outlineLevel="0" collapsed="false">
      <c r="A193" s="14" t="str">
        <f aca="false">Country_Data!A193</f>
        <v>TON</v>
      </c>
      <c r="B193" s="14" t="str">
        <f aca="false">Country_Data!B193</f>
        <v>Tonga</v>
      </c>
      <c r="C193" s="14" t="str">
        <f aca="false">Country_Data!E193</f>
        <v>EMDC</v>
      </c>
      <c r="D193" s="14" t="str">
        <f aca="false">Country_Data!D193</f>
        <v>Upper middle income</v>
      </c>
      <c r="E193" s="15" t="n">
        <f aca="false">Country_Data!BV193</f>
        <v>0.74488967784483</v>
      </c>
      <c r="F193" s="16" t="n">
        <f aca="false">SUMIFS(Calc!$J$5:$J$1369,Calc!$A$5:$A$1369,A193)</f>
        <v>0.0329616257866606</v>
      </c>
      <c r="G193" s="11" t="n">
        <f aca="false">IFERROR(F193/E193,"")</f>
        <v>0.0442503457451949</v>
      </c>
      <c r="H193" s="16" t="n">
        <f aca="false">SUMIFS(Calc!$L$5:$L$1369,Calc!$A$5:$A$1369,A193)</f>
        <v>0.00791079018879854</v>
      </c>
      <c r="I193" s="11" t="n">
        <f aca="false">IFERROR(H193/E193,"")</f>
        <v>0.0106200829788468</v>
      </c>
      <c r="J193" s="17" t="n">
        <f aca="false">Country_Data!DW193</f>
        <v>0.105</v>
      </c>
      <c r="K193" s="14" t="str">
        <f aca="false">Country_Data!DV193</f>
        <v>Group default (IHLEG)</v>
      </c>
      <c r="L193" s="16" t="n">
        <f aca="false">SUMIFS(Calc!$W$5:$W$1369,Calc!$A$5:$A$1369,A193)</f>
        <v>0.00083766754002078</v>
      </c>
      <c r="M193" s="16" t="n">
        <f aca="false">SUMIFS(Calc!$X$5:$X$1369,Calc!$A$5:$A$1369,A193)</f>
        <v>0.000196788362511054</v>
      </c>
      <c r="N193" s="18" t="n">
        <f aca="false">SUMIFS(Calc!$AC$5:$AC$1369,Calc!$A$5:$A$1369,A193)</f>
        <v>0.000126815962724835</v>
      </c>
      <c r="O193" s="18" t="n">
        <f aca="false">SUMIFS(Calc!$AD$5:$AD$1369,Calc!$A$5:$A$1369,A193)</f>
        <v>0.000438448064803724</v>
      </c>
      <c r="P193" s="18" t="n">
        <f aca="false">SUMIFS(Calc!$AE$5:$AE$1369,Calc!$A$5:$A$1369,A193)</f>
        <v>-0.000156238174776401</v>
      </c>
      <c r="Q193" s="18" t="n">
        <f aca="false">SUMIFS(Calc!$AF$5:$AF$1369,Calc!$A$5:$A$1369,A193)</f>
        <v>-0.000353026537287455</v>
      </c>
      <c r="R193" s="11" t="n">
        <f aca="false">IFERROR(N193/E193,"")</f>
        <v>0.000170247979662905</v>
      </c>
      <c r="S193" s="11" t="n">
        <f aca="false">IFERROR(P193/E193,"")</f>
        <v>-0.000209746730856092</v>
      </c>
      <c r="T193" s="11" t="n">
        <f aca="false">IFERROR(Q193/E193,"")</f>
        <v>-0.000473931305248929</v>
      </c>
      <c r="U193" s="16" t="n">
        <f aca="false">SUMIFS(Calc!$AG$5:$AG$1369,Calc!$A$5:$A$1369,A193)</f>
        <v>-0.0006493973055712</v>
      </c>
      <c r="V193" s="16" t="n">
        <f aca="false">SUMIFS(Calc!$AH$5:$AH$1369,Calc!$A$5:$A$1369,A193)</f>
        <v>-0.000945768073854945</v>
      </c>
      <c r="W193" s="16" t="n">
        <f aca="false">SUMIFS(Calc!$Y$5:$Y$1369,Calc!$A$5:$A$1369,A193)</f>
        <v>0.00592741536567491</v>
      </c>
      <c r="X193" s="7" t="n">
        <f aca="false">IFERROR(N193/W193*1000,"")</f>
        <v>21.3948162734155</v>
      </c>
      <c r="Y193" s="7" t="n">
        <f aca="false">IFERROR(P193/W193*1000,"")</f>
        <v>-26.3585669533404</v>
      </c>
      <c r="Z193" s="7" t="n">
        <f aca="false">IFERROR(Q193/W193*1000,"")</f>
        <v>-59.5582586183849</v>
      </c>
      <c r="AA193" s="16" t="n">
        <f aca="false">SUMIFS(Calc!$AM$5:$AM$1369,Calc!$A$5:$A$1369,A193)</f>
        <v>0.00117939223958848</v>
      </c>
      <c r="AB193" s="16" t="n">
        <f aca="false">SUMIFS(Calc!$AN$5:$AN$1369,Calc!$A$5:$A$1369,A193)</f>
        <v>0.0377152752198388</v>
      </c>
      <c r="AC193" s="17" t="n">
        <f aca="false">Country_Data!DY193</f>
        <v>0.265</v>
      </c>
      <c r="AD193" s="12" t="n">
        <f aca="false">IF(Country_Data!BD193="","",Country_Data!BD193)</f>
        <v>2.5</v>
      </c>
      <c r="AE193" s="7" t="n">
        <f aca="false">IF(Country_Data!BC193="","",Country_Data!BC193)</f>
        <v>88.862</v>
      </c>
      <c r="AF193" s="12" t="str">
        <f aca="false">IF(Country_Data!BL193="","",Country_Data!BL193)</f>
        <v/>
      </c>
      <c r="AG193" s="7" t="n">
        <f aca="false">IF(Country_Data!BA193="","",Country_Data!BA193)</f>
        <v>31.922</v>
      </c>
    </row>
    <row r="194" customFormat="false" ht="15" hidden="false" customHeight="false" outlineLevel="0" collapsed="false">
      <c r="A194" s="14" t="str">
        <f aca="false">Country_Data!A194</f>
        <v>FSM</v>
      </c>
      <c r="B194" s="14" t="str">
        <f aca="false">Country_Data!B194</f>
        <v>Micronesia, Fed. Sts.</v>
      </c>
      <c r="C194" s="14" t="str">
        <f aca="false">Country_Data!E194</f>
        <v>EMDC</v>
      </c>
      <c r="D194" s="14" t="str">
        <f aca="false">Country_Data!D194</f>
        <v>Upper middle income</v>
      </c>
      <c r="E194" s="15" t="n">
        <f aca="false">Country_Data!BV194</f>
        <v>0.502517653056664</v>
      </c>
      <c r="F194" s="16" t="n">
        <f aca="false">SUMIFS(Calc!$J$5:$J$1369,Calc!$A$5:$A$1369,A194)</f>
        <v>0.0192845705962067</v>
      </c>
      <c r="G194" s="11" t="n">
        <f aca="false">IFERROR(F194/E194,"")</f>
        <v>0.0383759067545279</v>
      </c>
      <c r="H194" s="16" t="n">
        <f aca="false">SUMIFS(Calc!$L$5:$L$1369,Calc!$A$5:$A$1369,A194)</f>
        <v>0.00462829694308962</v>
      </c>
      <c r="I194" s="11" t="n">
        <f aca="false">IFERROR(H194/E194,"")</f>
        <v>0.0092102176210867</v>
      </c>
      <c r="J194" s="17" t="n">
        <f aca="false">Country_Data!DW194</f>
        <v>0.105</v>
      </c>
      <c r="K194" s="14" t="str">
        <f aca="false">Country_Data!DV194</f>
        <v>Group default (IHLEG)</v>
      </c>
      <c r="L194" s="16" t="n">
        <f aca="false">SUMIFS(Calc!$W$5:$W$1369,Calc!$A$5:$A$1369,A194)</f>
        <v>0.000343708342711106</v>
      </c>
      <c r="M194" s="16" t="n">
        <f aca="false">SUMIFS(Calc!$X$5:$X$1369,Calc!$A$5:$A$1369,A194)</f>
        <v>0.00044020270447836</v>
      </c>
      <c r="N194" s="18" t="n">
        <f aca="false">SUMIFS(Calc!$AC$5:$AC$1369,Calc!$A$5:$A$1369,A194)</f>
        <v>0.000198253099755231</v>
      </c>
      <c r="O194" s="18" t="n">
        <f aca="false">SUMIFS(Calc!$AD$5:$AD$1369,Calc!$A$5:$A$1369,A194)</f>
        <v>0.000384825549722433</v>
      </c>
      <c r="P194" s="18" t="n">
        <f aca="false">SUMIFS(Calc!$AE$5:$AE$1369,Calc!$A$5:$A$1369,A194)</f>
        <v>2.88309383904795E-005</v>
      </c>
      <c r="Q194" s="18" t="n">
        <f aca="false">SUMIFS(Calc!$AF$5:$AF$1369,Calc!$A$5:$A$1369,A194)</f>
        <v>-0.00041137176608788</v>
      </c>
      <c r="R194" s="11" t="n">
        <f aca="false">IFERROR(N194/E194,"")</f>
        <v>0.000394519672193239</v>
      </c>
      <c r="S194" s="11" t="n">
        <f aca="false">IFERROR(P194/E194,"")</f>
        <v>5.73729862326419E-005</v>
      </c>
      <c r="T194" s="11" t="n">
        <f aca="false">IFERROR(Q194/E194,"")</f>
        <v>-0.000818621522220423</v>
      </c>
      <c r="U194" s="16" t="n">
        <f aca="false">SUMIFS(Calc!$AG$5:$AG$1369,Calc!$A$5:$A$1369,A194)</f>
        <v>-0.000530043349286238</v>
      </c>
      <c r="V194" s="16" t="n">
        <f aca="false">SUMIFS(Calc!$AH$5:$AH$1369,Calc!$A$5:$A$1369,A194)</f>
        <v>-0.000648714932484595</v>
      </c>
      <c r="W194" s="16" t="n">
        <f aca="false">SUMIFS(Calc!$Y$5:$Y$1369,Calc!$A$5:$A$1369,A194)</f>
        <v>0.00237343166396715</v>
      </c>
      <c r="X194" s="7" t="n">
        <f aca="false">IFERROR(N194/W194*1000,"")</f>
        <v>83.5301486725151</v>
      </c>
      <c r="Y194" s="7" t="n">
        <f aca="false">IFERROR(P194/W194*1000,"")</f>
        <v>12.1473640164929</v>
      </c>
      <c r="Z194" s="7" t="n">
        <f aca="false">IFERROR(Q194/W194*1000,"")</f>
        <v>-173.32361926961</v>
      </c>
      <c r="AA194" s="16" t="n">
        <f aca="false">SUMIFS(Calc!$AM$5:$AM$1369,Calc!$A$5:$A$1369,A194)</f>
        <v>0.000705925672353131</v>
      </c>
      <c r="AB194" s="16" t="n">
        <f aca="false">SUMIFS(Calc!$AN$5:$AN$1369,Calc!$A$5:$A$1369,A194)</f>
        <v>0.0221376303556455</v>
      </c>
      <c r="AC194" s="17" t="n">
        <f aca="false">Country_Data!DY194</f>
        <v>0.27</v>
      </c>
      <c r="AD194" s="12" t="str">
        <f aca="false">IF(Country_Data!BD194="","",Country_Data!BD194)</f>
        <v/>
      </c>
      <c r="AE194" s="7" t="str">
        <f aca="false">IF(Country_Data!BC194="","",Country_Data!BC194)</f>
        <v/>
      </c>
      <c r="AF194" s="12" t="str">
        <f aca="false">IF(Country_Data!BL194="","",Country_Data!BL194)</f>
        <v/>
      </c>
      <c r="AG194" s="7" t="n">
        <f aca="false">IF(Country_Data!BA194="","",Country_Data!BA194)</f>
        <v>10.413</v>
      </c>
    </row>
    <row r="195" customFormat="false" ht="15" hidden="false" customHeight="false" outlineLevel="0" collapsed="false">
      <c r="A195" s="14" t="str">
        <f aca="false">Country_Data!A195</f>
        <v>KIR</v>
      </c>
      <c r="B195" s="14" t="str">
        <f aca="false">Country_Data!B195</f>
        <v>Kiribati</v>
      </c>
      <c r="C195" s="14" t="str">
        <f aca="false">Country_Data!E195</f>
        <v>EMDC</v>
      </c>
      <c r="D195" s="14" t="str">
        <f aca="false">Country_Data!D195</f>
        <v>Lower middle income</v>
      </c>
      <c r="E195" s="15" t="n">
        <f aca="false">Country_Data!BV195</f>
        <v>0.416738772758675</v>
      </c>
      <c r="F195" s="16" t="n">
        <f aca="false">SUMIFS(Calc!$J$5:$J$1369,Calc!$A$5:$A$1369,A195)</f>
        <v>0.0164490988616035</v>
      </c>
      <c r="G195" s="11" t="n">
        <f aca="false">IFERROR(F195/E195,"")</f>
        <v>0.0394710066277631</v>
      </c>
      <c r="H195" s="16" t="n">
        <f aca="false">SUMIFS(Calc!$L$5:$L$1369,Calc!$A$5:$A$1369,A195)</f>
        <v>0.00394778372678484</v>
      </c>
      <c r="I195" s="11" t="n">
        <f aca="false">IFERROR(H195/E195,"")</f>
        <v>0.00947304159066313</v>
      </c>
      <c r="J195" s="17" t="n">
        <f aca="false">Country_Data!DW195</f>
        <v>0.105</v>
      </c>
      <c r="K195" s="14" t="str">
        <f aca="false">Country_Data!DV195</f>
        <v>Group default (IHLEG)</v>
      </c>
      <c r="L195" s="16" t="n">
        <f aca="false">SUMIFS(Calc!$W$5:$W$1369,Calc!$A$5:$A$1369,A195)</f>
        <v>0.000293171812180508</v>
      </c>
      <c r="M195" s="16" t="n">
        <f aca="false">SUMIFS(Calc!$X$5:$X$1369,Calc!$A$5:$A$1369,A195)</f>
        <v>0.000375478301110529</v>
      </c>
      <c r="N195" s="18" t="n">
        <f aca="false">SUMIFS(Calc!$AC$5:$AC$1369,Calc!$A$5:$A$1369,A195)</f>
        <v>0.000169103316105705</v>
      </c>
      <c r="O195" s="18" t="n">
        <f aca="false">SUMIFS(Calc!$AD$5:$AD$1369,Calc!$A$5:$A$1369,A195)</f>
        <v>0.000328243425503098</v>
      </c>
      <c r="P195" s="18" t="n">
        <f aca="false">SUMIFS(Calc!$AE$5:$AE$1369,Calc!$A$5:$A$1369,A195)</f>
        <v>2.45918338441552E-005</v>
      </c>
      <c r="Q195" s="18" t="n">
        <f aca="false">SUMIFS(Calc!$AF$5:$AF$1369,Calc!$A$5:$A$1369,A195)</f>
        <v>-0.000350886467266374</v>
      </c>
      <c r="R195" s="11" t="n">
        <f aca="false">IFERROR(N195/E195,"")</f>
        <v>0.000405777736941289</v>
      </c>
      <c r="S195" s="11" t="n">
        <f aca="false">IFERROR(P195/E195,"")</f>
        <v>5.9010189240049E-005</v>
      </c>
      <c r="T195" s="11" t="n">
        <f aca="false">IFERROR(Q195/E195,"")</f>
        <v>-0.000841981812595982</v>
      </c>
      <c r="U195" s="16" t="n">
        <f aca="false">SUMIFS(Calc!$AG$5:$AG$1369,Calc!$A$5:$A$1369,A195)</f>
        <v>-0.000452109390242774</v>
      </c>
      <c r="V195" s="16" t="n">
        <f aca="false">SUMIFS(Calc!$AH$5:$AH$1369,Calc!$A$5:$A$1369,A195)</f>
        <v>-0.000553332313219175</v>
      </c>
      <c r="W195" s="16" t="n">
        <f aca="false">SUMIFS(Calc!$Y$5:$Y$1369,Calc!$A$5:$A$1369,A195)</f>
        <v>0.00202445845952801</v>
      </c>
      <c r="X195" s="7" t="n">
        <f aca="false">IFERROR(N195/W195*1000,"")</f>
        <v>83.5301486725151</v>
      </c>
      <c r="Y195" s="7" t="n">
        <f aca="false">IFERROR(P195/W195*1000,"")</f>
        <v>12.1473640164929</v>
      </c>
      <c r="Z195" s="7" t="n">
        <f aca="false">IFERROR(Q195/W195*1000,"")</f>
        <v>-173.32361926961</v>
      </c>
      <c r="AA195" s="16" t="n">
        <f aca="false">SUMIFS(Calc!$AM$5:$AM$1369,Calc!$A$5:$A$1369,A195)</f>
        <v>0.000602131176089792</v>
      </c>
      <c r="AB195" s="16" t="n">
        <f aca="false">SUMIFS(Calc!$AN$5:$AN$1369,Calc!$A$5:$A$1369,A195)</f>
        <v>0.0188826641726353</v>
      </c>
      <c r="AC195" s="17" t="n">
        <f aca="false">Country_Data!DY195</f>
        <v>0.27</v>
      </c>
      <c r="AD195" s="12" t="str">
        <f aca="false">IF(Country_Data!BD195="","",Country_Data!BD195)</f>
        <v/>
      </c>
      <c r="AE195" s="7" t="n">
        <f aca="false">IF(Country_Data!BC195="","",Country_Data!BC195)</f>
        <v>146.641</v>
      </c>
      <c r="AF195" s="12" t="str">
        <f aca="false">IF(Country_Data!BL195="","",Country_Data!BL195)</f>
        <v/>
      </c>
      <c r="AG195" s="7" t="n">
        <f aca="false">IF(Country_Data!BA195="","",Country_Data!BA195)</f>
        <v>8.899</v>
      </c>
    </row>
    <row r="196" customFormat="false" ht="15" hidden="false" customHeight="false" outlineLevel="0" collapsed="false">
      <c r="A196" s="14" t="str">
        <f aca="false">Country_Data!A196</f>
        <v>PLW</v>
      </c>
      <c r="B196" s="14" t="str">
        <f aca="false">Country_Data!B196</f>
        <v>Palau</v>
      </c>
      <c r="C196" s="14" t="str">
        <f aca="false">Country_Data!E196</f>
        <v>EMDC</v>
      </c>
      <c r="D196" s="14" t="str">
        <f aca="false">Country_Data!D196</f>
        <v>High income</v>
      </c>
      <c r="E196" s="15" t="n">
        <f aca="false">Country_Data!BV196</f>
        <v>0.402706635888672</v>
      </c>
      <c r="F196" s="16" t="n">
        <f aca="false">SUMIFS(Calc!$J$5:$J$1369,Calc!$A$5:$A$1369,A196)</f>
        <v>0.0293050372409858</v>
      </c>
      <c r="G196" s="11" t="n">
        <f aca="false">IFERROR(F196/E196,"")</f>
        <v>0.0727701871023729</v>
      </c>
      <c r="H196" s="16" t="n">
        <f aca="false">SUMIFS(Calc!$L$5:$L$1369,Calc!$A$5:$A$1369,A196)</f>
        <v>0.0070332089378366</v>
      </c>
      <c r="I196" s="11" t="n">
        <f aca="false">IFERROR(H196/E196,"")</f>
        <v>0.0174648449045695</v>
      </c>
      <c r="J196" s="17" t="n">
        <f aca="false">Country_Data!DW196</f>
        <v>0.105</v>
      </c>
      <c r="K196" s="14" t="str">
        <f aca="false">Country_Data!DV196</f>
        <v>Group default (IHLEG)</v>
      </c>
      <c r="L196" s="16" t="n">
        <f aca="false">SUMIFS(Calc!$W$5:$W$1369,Calc!$A$5:$A$1369,A196)</f>
        <v>0.000155661734306859</v>
      </c>
      <c r="M196" s="16" t="n">
        <f aca="false">SUMIFS(Calc!$X$5:$X$1369,Calc!$A$5:$A$1369,A196)</f>
        <v>0.000235794977240106</v>
      </c>
      <c r="N196" s="18" t="n">
        <f aca="false">SUMIFS(Calc!$AC$5:$AC$1369,Calc!$A$5:$A$1369,A196)</f>
        <v>0.000718309339045845</v>
      </c>
      <c r="O196" s="18" t="n">
        <f aca="false">SUMIFS(Calc!$AD$5:$AD$1369,Calc!$A$5:$A$1369,A196)</f>
        <v>0.000992158147740578</v>
      </c>
      <c r="P196" s="18" t="n">
        <f aca="false">SUMIFS(Calc!$AE$5:$AE$1369,Calc!$A$5:$A$1369,A196)</f>
        <v>0.000469488580279588</v>
      </c>
      <c r="Q196" s="18" t="n">
        <f aca="false">SUMIFS(Calc!$AF$5:$AF$1369,Calc!$A$5:$A$1369,A196)</f>
        <v>0.000233693603039482</v>
      </c>
      <c r="R196" s="11" t="n">
        <f aca="false">IFERROR(N196/E196,"")</f>
        <v>0.00178370375611198</v>
      </c>
      <c r="S196" s="11" t="n">
        <f aca="false">IFERROR(P196/E196,"")</f>
        <v>0.00116583273887093</v>
      </c>
      <c r="T196" s="11" t="n">
        <f aca="false">IFERROR(Q196/E196,"")</f>
        <v>0.000580307306145525</v>
      </c>
      <c r="U196" s="16" t="n">
        <f aca="false">SUMIFS(Calc!$AG$5:$AG$1369,Calc!$A$5:$A$1369,A196)</f>
        <v>8.05871342737027E-005</v>
      </c>
      <c r="V196" s="16" t="n">
        <f aca="false">SUMIFS(Calc!$AH$5:$AH$1369,Calc!$A$5:$A$1369,A196)</f>
        <v>-7.25193344920765E-005</v>
      </c>
      <c r="W196" s="16" t="n">
        <f aca="false">SUMIFS(Calc!$Y$5:$Y$1369,Calc!$A$5:$A$1369,A196)</f>
        <v>0.00306212937531559</v>
      </c>
      <c r="X196" s="7" t="n">
        <f aca="false">IFERROR(N196/W196*1000,"")</f>
        <v>234.578377006627</v>
      </c>
      <c r="Y196" s="7" t="n">
        <f aca="false">IFERROR(P196/W196*1000,"")</f>
        <v>153.320948508651</v>
      </c>
      <c r="Z196" s="7" t="n">
        <f aca="false">IFERROR(Q196/W196*1000,"")</f>
        <v>76.3173512273293</v>
      </c>
      <c r="AA196" s="16" t="n">
        <f aca="false">SUMIFS(Calc!$AM$5:$AM$1369,Calc!$A$5:$A$1369,A196)</f>
        <v>0.00103675316152607</v>
      </c>
      <c r="AB196" s="16" t="n">
        <f aca="false">SUMIFS(Calc!$AN$5:$AN$1369,Calc!$A$5:$A$1369,A196)</f>
        <v>0.0335313419315226</v>
      </c>
      <c r="AC196" s="17" t="n">
        <f aca="false">Country_Data!DY196</f>
        <v>0.265</v>
      </c>
      <c r="AD196" s="12" t="n">
        <f aca="false">IF(Country_Data!BD196="","",Country_Data!BD196)</f>
        <v>2.5</v>
      </c>
      <c r="AE196" s="7" t="str">
        <f aca="false">IF(Country_Data!BC196="","",Country_Data!BC196)</f>
        <v/>
      </c>
      <c r="AF196" s="12" t="str">
        <f aca="false">IF(Country_Data!BL196="","",Country_Data!BL196)</f>
        <v/>
      </c>
      <c r="AG196" s="7" t="n">
        <f aca="false">IF(Country_Data!BA196="","",Country_Data!BA196)</f>
        <v>66.262</v>
      </c>
    </row>
    <row r="197" customFormat="false" ht="15" hidden="false" customHeight="false" outlineLevel="0" collapsed="false">
      <c r="A197" s="14" t="str">
        <f aca="false">Country_Data!A197</f>
        <v>MHL</v>
      </c>
      <c r="B197" s="14" t="str">
        <f aca="false">Country_Data!B197</f>
        <v>Marshall Islands</v>
      </c>
      <c r="C197" s="14" t="str">
        <f aca="false">Country_Data!E197</f>
        <v>EMDC</v>
      </c>
      <c r="D197" s="14" t="str">
        <f aca="false">Country_Data!D197</f>
        <v>Upper middle income</v>
      </c>
      <c r="E197" s="15" t="n">
        <f aca="false">Country_Data!BV197</f>
        <v>0.349903754505447</v>
      </c>
      <c r="F197" s="16" t="n">
        <f aca="false">SUMIFS(Calc!$J$5:$J$1369,Calc!$A$5:$A$1369,A197)</f>
        <v>0.0115328269841856</v>
      </c>
      <c r="G197" s="11" t="n">
        <f aca="false">IFERROR(F197/E197,"")</f>
        <v>0.0329599978156454</v>
      </c>
      <c r="H197" s="16" t="n">
        <f aca="false">SUMIFS(Calc!$L$5:$L$1369,Calc!$A$5:$A$1369,A197)</f>
        <v>0.00276787847620455</v>
      </c>
      <c r="I197" s="11" t="n">
        <f aca="false">IFERROR(H197/E197,"")</f>
        <v>0.0079103994757549</v>
      </c>
      <c r="J197" s="17" t="n">
        <f aca="false">Country_Data!DW197</f>
        <v>0.105</v>
      </c>
      <c r="K197" s="14" t="str">
        <f aca="false">Country_Data!DV197</f>
        <v>Group default (IHLEG)</v>
      </c>
      <c r="L197" s="16" t="n">
        <f aca="false">SUMIFS(Calc!$W$5:$W$1369,Calc!$A$5:$A$1369,A197)</f>
        <v>0.000205549241023187</v>
      </c>
      <c r="M197" s="16" t="n">
        <f aca="false">SUMIFS(Calc!$X$5:$X$1369,Calc!$A$5:$A$1369,A197)</f>
        <v>0.0002632561406225</v>
      </c>
      <c r="N197" s="18" t="n">
        <f aca="false">SUMIFS(Calc!$AC$5:$AC$1369,Calc!$A$5:$A$1369,A197)</f>
        <v>0.000118562074646625</v>
      </c>
      <c r="O197" s="18" t="n">
        <f aca="false">SUMIFS(Calc!$AD$5:$AD$1369,Calc!$A$5:$A$1369,A197)</f>
        <v>0.000230138724733437</v>
      </c>
      <c r="P197" s="18" t="n">
        <f aca="false">SUMIFS(Calc!$AE$5:$AE$1369,Calc!$A$5:$A$1369,A197)</f>
        <v>1.72418785572814E-005</v>
      </c>
      <c r="Q197" s="18" t="n">
        <f aca="false">SUMIFS(Calc!$AF$5:$AF$1369,Calc!$A$5:$A$1369,A197)</f>
        <v>-0.000246014262065219</v>
      </c>
      <c r="R197" s="11" t="n">
        <f aca="false">IFERROR(N197/E197,"")</f>
        <v>0.000338841961882349</v>
      </c>
      <c r="S197" s="11" t="n">
        <f aca="false">IFERROR(P197/E197,"")</f>
        <v>4.92760604459675E-005</v>
      </c>
      <c r="T197" s="11" t="n">
        <f aca="false">IFERROR(Q197/E197,"")</f>
        <v>-0.000703091232653204</v>
      </c>
      <c r="U197" s="16" t="n">
        <f aca="false">SUMIFS(Calc!$AG$5:$AG$1369,Calc!$A$5:$A$1369,A197)</f>
        <v>-0.000316983891911955</v>
      </c>
      <c r="V197" s="16" t="n">
        <f aca="false">SUMIFS(Calc!$AH$5:$AH$1369,Calc!$A$5:$A$1369,A197)</f>
        <v>-0.000387953521758692</v>
      </c>
      <c r="W197" s="16" t="n">
        <f aca="false">SUMIFS(Calc!$Y$5:$Y$1369,Calc!$A$5:$A$1369,A197)</f>
        <v>0.00141939259693473</v>
      </c>
      <c r="X197" s="7" t="n">
        <f aca="false">IFERROR(N197/W197*1000,"")</f>
        <v>83.5301486725151</v>
      </c>
      <c r="Y197" s="7" t="n">
        <f aca="false">IFERROR(P197/W197*1000,"")</f>
        <v>12.1473640164929</v>
      </c>
      <c r="Z197" s="7" t="n">
        <f aca="false">IFERROR(Q197/W197*1000,"")</f>
        <v>-173.32361926961</v>
      </c>
      <c r="AA197" s="16" t="n">
        <f aca="false">SUMIFS(Calc!$AM$5:$AM$1369,Calc!$A$5:$A$1369,A197)</f>
        <v>0.0004221674837056</v>
      </c>
      <c r="AB197" s="16" t="n">
        <f aca="false">SUMIFS(Calc!$AN$5:$AN$1369,Calc!$A$5:$A$1369,A197)</f>
        <v>0.01323905344212</v>
      </c>
      <c r="AC197" s="17" t="n">
        <f aca="false">Country_Data!DY197</f>
        <v>0.27</v>
      </c>
      <c r="AD197" s="12" t="str">
        <f aca="false">IF(Country_Data!BD197="","",Country_Data!BD197)</f>
        <v/>
      </c>
      <c r="AE197" s="7" t="str">
        <f aca="false">IF(Country_Data!BC197="","",Country_Data!BC197)</f>
        <v/>
      </c>
      <c r="AF197" s="12" t="str">
        <f aca="false">IF(Country_Data!BL197="","",Country_Data!BL197)</f>
        <v/>
      </c>
      <c r="AG197" s="7" t="n">
        <f aca="false">IF(Country_Data!BA197="","",Country_Data!BA197)</f>
        <v>14.18</v>
      </c>
    </row>
    <row r="198" customFormat="false" ht="15" hidden="false" customHeight="false" outlineLevel="0" collapsed="false">
      <c r="A198" s="14" t="str">
        <f aca="false">Country_Data!A198</f>
        <v>NRU</v>
      </c>
      <c r="B198" s="14" t="str">
        <f aca="false">Country_Data!B198</f>
        <v>Naoero</v>
      </c>
      <c r="C198" s="14" t="str">
        <f aca="false">Country_Data!E198</f>
        <v>EMDC</v>
      </c>
      <c r="D198" s="14" t="str">
        <f aca="false">Country_Data!D198</f>
        <v>High income</v>
      </c>
      <c r="E198" s="15" t="n">
        <f aca="false">Country_Data!BV198</f>
        <v>0.190801628228568</v>
      </c>
      <c r="F198" s="16" t="n">
        <f aca="false">SUMIFS(Calc!$J$5:$J$1369,Calc!$A$5:$A$1369,A198)</f>
        <v>0.0127907222379652</v>
      </c>
      <c r="G198" s="11" t="n">
        <f aca="false">IFERROR(F198/E198,"")</f>
        <v>0.0670367562201448</v>
      </c>
      <c r="H198" s="16" t="n">
        <f aca="false">SUMIFS(Calc!$L$5:$L$1369,Calc!$A$5:$A$1369,A198)</f>
        <v>0.00306977333711165</v>
      </c>
      <c r="I198" s="11" t="n">
        <f aca="false">IFERROR(H198/E198,"")</f>
        <v>0.0160888214928347</v>
      </c>
      <c r="J198" s="17" t="n">
        <f aca="false">Country_Data!DW198</f>
        <v>0.105</v>
      </c>
      <c r="K198" s="14" t="str">
        <f aca="false">Country_Data!DV198</f>
        <v>Group default (IHLEG)</v>
      </c>
      <c r="L198" s="16" t="n">
        <f aca="false">SUMIFS(Calc!$W$5:$W$1369,Calc!$A$5:$A$1369,A198)</f>
        <v>0.000330964250179633</v>
      </c>
      <c r="M198" s="16" t="n">
        <f aca="false">SUMIFS(Calc!$X$5:$X$1369,Calc!$A$5:$A$1369,A198)</f>
        <v>3.26201004321614E-005</v>
      </c>
      <c r="N198" s="18" t="n">
        <f aca="false">SUMIFS(Calc!$AC$5:$AC$1369,Calc!$A$5:$A$1369,A198)</f>
        <v>4.98621336190263E-005</v>
      </c>
      <c r="O198" s="18" t="n">
        <f aca="false">SUMIFS(Calc!$AD$5:$AD$1369,Calc!$A$5:$A$1369,A198)</f>
        <v>0.000169395825692649</v>
      </c>
      <c r="P198" s="18" t="n">
        <f aca="false">SUMIFS(Calc!$AE$5:$AE$1369,Calc!$A$5:$A$1369,A198)</f>
        <v>-5.87115454732932E-005</v>
      </c>
      <c r="Q198" s="18" t="n">
        <f aca="false">SUMIFS(Calc!$AF$5:$AF$1369,Calc!$A$5:$A$1369,A198)</f>
        <v>-9.13316459054546E-005</v>
      </c>
      <c r="R198" s="11" t="n">
        <f aca="false">IFERROR(N198/E198,"")</f>
        <v>0.000261329707099222</v>
      </c>
      <c r="S198" s="11" t="n">
        <f aca="false">IFERROR(P198/E198,"")</f>
        <v>-0.000307709876579044</v>
      </c>
      <c r="T198" s="11" t="n">
        <f aca="false">IFERROR(Q198/E198,"")</f>
        <v>-0.000478673304590699</v>
      </c>
      <c r="U198" s="16" t="n">
        <f aca="false">SUMIFS(Calc!$AG$5:$AG$1369,Calc!$A$5:$A$1369,A198)</f>
        <v>-0.000187018621338585</v>
      </c>
      <c r="V198" s="16" t="n">
        <f aca="false">SUMIFS(Calc!$AH$5:$AH$1369,Calc!$A$5:$A$1369,A198)</f>
        <v>-0.000282705596771716</v>
      </c>
      <c r="W198" s="16" t="n">
        <f aca="false">SUMIFS(Calc!$Y$5:$Y$1369,Calc!$A$5:$A$1369,A198)</f>
        <v>0.00191373950866261</v>
      </c>
      <c r="X198" s="7" t="n">
        <f aca="false">IFERROR(N198/W198*1000,"")</f>
        <v>26.0548174886517</v>
      </c>
      <c r="Y198" s="7" t="n">
        <f aca="false">IFERROR(P198/W198*1000,"")</f>
        <v>-30.6789639904142</v>
      </c>
      <c r="Z198" s="7" t="n">
        <f aca="false">IFERROR(Q198/W198*1000,"")</f>
        <v>-47.7241784955781</v>
      </c>
      <c r="AA198" s="16" t="n">
        <f aca="false">SUMIFS(Calc!$AM$5:$AM$1369,Calc!$A$5:$A$1369,A198)</f>
        <v>0.000452390329551331</v>
      </c>
      <c r="AB198" s="16" t="n">
        <f aca="false">SUMIFS(Calc!$AN$5:$AN$1369,Calc!$A$5:$A$1369,A198)</f>
        <v>0.0162015815014226</v>
      </c>
      <c r="AC198" s="17" t="n">
        <f aca="false">Country_Data!DY198</f>
        <v>0.4</v>
      </c>
      <c r="AD198" s="12" t="n">
        <f aca="false">IF(Country_Data!BD198="","",Country_Data!BD198)</f>
        <v>1</v>
      </c>
      <c r="AE198" s="7" t="str">
        <f aca="false">IF(Country_Data!BC198="","",Country_Data!BC198)</f>
        <v/>
      </c>
      <c r="AF198" s="12" t="str">
        <f aca="false">IF(Country_Data!BL198="","",Country_Data!BL198)</f>
        <v/>
      </c>
      <c r="AG198" s="7" t="n">
        <f aca="false">IF(Country_Data!BA198="","",Country_Data!BA198)</f>
        <v>16.853</v>
      </c>
    </row>
    <row r="199" customFormat="false" ht="15" hidden="false" customHeight="false" outlineLevel="0" collapsed="false">
      <c r="A199" s="14" t="str">
        <f aca="false">Country_Data!A199</f>
        <v>TUV</v>
      </c>
      <c r="B199" s="14" t="str">
        <f aca="false">Country_Data!B199</f>
        <v>Tuvalu</v>
      </c>
      <c r="C199" s="14" t="str">
        <f aca="false">Country_Data!E199</f>
        <v>EMDC</v>
      </c>
      <c r="D199" s="14" t="str">
        <f aca="false">Country_Data!D199</f>
        <v>Upper middle income</v>
      </c>
      <c r="E199" s="15" t="n">
        <f aca="false">Country_Data!BV199</f>
        <v>0.0648436860194777</v>
      </c>
      <c r="F199" s="16" t="n">
        <f aca="false">SUMIFS(Calc!$J$5:$J$1369,Calc!$A$5:$A$1369,A199)</f>
        <v>0.00237823058517142</v>
      </c>
      <c r="G199" s="11" t="n">
        <f aca="false">IFERROR(F199/E199,"")</f>
        <v>0.0366763632847314</v>
      </c>
      <c r="H199" s="16" t="n">
        <f aca="false">SUMIFS(Calc!$L$5:$L$1369,Calc!$A$5:$A$1369,A199)</f>
        <v>0.000570775340441141</v>
      </c>
      <c r="I199" s="11" t="n">
        <f aca="false">IFERROR(H199/E199,"")</f>
        <v>0.00880232718833553</v>
      </c>
      <c r="J199" s="17" t="n">
        <f aca="false">Country_Data!DW199</f>
        <v>0.105</v>
      </c>
      <c r="K199" s="14" t="str">
        <f aca="false">Country_Data!DV199</f>
        <v>Group default (IHLEG)</v>
      </c>
      <c r="L199" s="16" t="n">
        <f aca="false">SUMIFS(Calc!$W$5:$W$1369,Calc!$A$5:$A$1369,A199)</f>
        <v>4.23871347788744E-005</v>
      </c>
      <c r="M199" s="16" t="n">
        <f aca="false">SUMIFS(Calc!$X$5:$X$1369,Calc!$A$5:$A$1369,A199)</f>
        <v>5.42871063808669E-005</v>
      </c>
      <c r="N199" s="18" t="n">
        <f aca="false">SUMIFS(Calc!$AC$5:$AC$1369,Calc!$A$5:$A$1369,A199)</f>
        <v>2.44491617322127E-005</v>
      </c>
      <c r="O199" s="18" t="n">
        <f aca="false">SUMIFS(Calc!$AD$5:$AD$1369,Calc!$A$5:$A$1369,A199)</f>
        <v>4.74578310022271E-005</v>
      </c>
      <c r="P199" s="18" t="n">
        <f aca="false">SUMIFS(Calc!$AE$5:$AE$1369,Calc!$A$5:$A$1369,A199)</f>
        <v>3.55551704599107E-006</v>
      </c>
      <c r="Q199" s="18" t="n">
        <f aca="false">SUMIFS(Calc!$AF$5:$AF$1369,Calc!$A$5:$A$1369,A199)</f>
        <v>-5.07315893348758E-005</v>
      </c>
      <c r="R199" s="11" t="n">
        <f aca="false">IFERROR(N199/E199,"")</f>
        <v>0.000377047685488895</v>
      </c>
      <c r="S199" s="11" t="n">
        <f aca="false">IFERROR(P199/E199,"")</f>
        <v>5.48321242090257E-005</v>
      </c>
      <c r="T199" s="11" t="n">
        <f aca="false">IFERROR(Q199/E199,"")</f>
        <v>-0.00078236745085153</v>
      </c>
      <c r="U199" s="16" t="n">
        <f aca="false">SUMIFS(Calc!$AG$5:$AG$1369,Calc!$A$5:$A$1369,A199)</f>
        <v>-6.53665218237829E-005</v>
      </c>
      <c r="V199" s="16" t="n">
        <f aca="false">SUMIFS(Calc!$AH$5:$AH$1369,Calc!$A$5:$A$1369,A199)</f>
        <v>-8.000145431269E-005</v>
      </c>
      <c r="W199" s="16" t="n">
        <f aca="false">SUMIFS(Calc!$Y$5:$Y$1369,Calc!$A$5:$A$1369,A199)</f>
        <v>0.000292698649778142</v>
      </c>
      <c r="X199" s="7" t="n">
        <f aca="false">IFERROR(N199/W199*1000,"")</f>
        <v>83.5301486725151</v>
      </c>
      <c r="Y199" s="7" t="n">
        <f aca="false">IFERROR(P199/W199*1000,"")</f>
        <v>12.1473640164929</v>
      </c>
      <c r="Z199" s="7" t="n">
        <f aca="false">IFERROR(Q199/W199*1000,"")</f>
        <v>-173.32361926961</v>
      </c>
      <c r="AA199" s="16" t="n">
        <f aca="false">SUMIFS(Calc!$AM$5:$AM$1369,Calc!$A$5:$A$1369,A199)</f>
        <v>8.70568528592566E-005</v>
      </c>
      <c r="AB199" s="16" t="n">
        <f aca="false">SUMIFS(Calc!$AN$5:$AN$1369,Calc!$A$5:$A$1369,A199)</f>
        <v>0.0030124254078838</v>
      </c>
      <c r="AC199" s="17" t="n">
        <f aca="false">Country_Data!DY199</f>
        <v>0.4</v>
      </c>
      <c r="AD199" s="12" t="n">
        <f aca="false">IF(Country_Data!BD199="","",Country_Data!BD199)</f>
        <v>1</v>
      </c>
      <c r="AE199" s="7" t="n">
        <f aca="false">IF(Country_Data!BC199="","",Country_Data!BC199)</f>
        <v>170.025</v>
      </c>
      <c r="AF199" s="12" t="str">
        <f aca="false">IF(Country_Data!BL199="","",Country_Data!BL199)</f>
        <v/>
      </c>
      <c r="AG199" s="7" t="n">
        <f aca="false">IF(Country_Data!BA199="","",Country_Data!BA199)</f>
        <v>6.957</v>
      </c>
    </row>
  </sheetData>
  <autoFilter ref="A4:AG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1" min="10" style="0" width="11"/>
  </cols>
  <sheetData>
    <row r="1" customFormat="false" ht="16.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4" t="s">
        <v>120</v>
      </c>
    </row>
    <row r="4" customFormat="false" ht="36" hidden="false" customHeight="true" outlineLevel="0" collapsed="false">
      <c r="A4" s="19" t="s">
        <v>121</v>
      </c>
      <c r="B4" s="19" t="s">
        <v>122</v>
      </c>
      <c r="C4" s="19" t="s">
        <v>123</v>
      </c>
      <c r="D4" s="19" t="s">
        <v>124</v>
      </c>
      <c r="E4" s="19" t="s">
        <v>125</v>
      </c>
      <c r="F4" s="19" t="s">
        <v>126</v>
      </c>
      <c r="G4" s="19" t="s">
        <v>127</v>
      </c>
      <c r="H4" s="19" t="s">
        <v>128</v>
      </c>
      <c r="I4" s="19" t="s">
        <v>129</v>
      </c>
      <c r="J4" s="19" t="s">
        <v>130</v>
      </c>
      <c r="K4" s="19" t="s">
        <v>131</v>
      </c>
    </row>
    <row r="5" customFormat="false" ht="15" hidden="false" customHeight="false" outlineLevel="0" collapsed="false">
      <c r="A5" s="9" t="s">
        <v>132</v>
      </c>
      <c r="B5" s="9" t="s">
        <v>133</v>
      </c>
      <c r="C5" s="8" t="n">
        <v>39.6741125481807</v>
      </c>
      <c r="D5" s="8" t="n">
        <v>37.8727741601316</v>
      </c>
      <c r="E5" s="8" t="n">
        <v>-42.5248496516237</v>
      </c>
      <c r="F5" s="8" t="n">
        <v>25.9479194071525</v>
      </c>
      <c r="G5" s="8" t="n">
        <v>13.1638864080555</v>
      </c>
      <c r="H5" s="8" t="n">
        <v>-13.4098455939161</v>
      </c>
      <c r="I5" s="8" t="n">
        <v>1702.62</v>
      </c>
      <c r="J5" s="8" t="n">
        <v>921.08622585791</v>
      </c>
      <c r="K5" s="8" t="n">
        <v>41.1175122338373</v>
      </c>
    </row>
    <row r="6" customFormat="false" ht="15" hidden="false" customHeight="false" outlineLevel="0" collapsed="false">
      <c r="A6" s="6" t="s">
        <v>134</v>
      </c>
      <c r="B6" s="6" t="s">
        <v>135</v>
      </c>
      <c r="C6" s="7" t="n">
        <v>-7.0604189179884</v>
      </c>
      <c r="D6" s="7" t="n">
        <v>-8.86175730603755</v>
      </c>
      <c r="E6" s="7" t="n">
        <v>-166.398638589096</v>
      </c>
      <c r="F6" s="7" t="n">
        <v>20.135047625643</v>
      </c>
      <c r="G6" s="7" t="n">
        <v>7.35101462654599</v>
      </c>
      <c r="H6" s="7" t="n">
        <v>-38.9289989629459</v>
      </c>
      <c r="I6" s="7" t="n">
        <v>1702.62</v>
      </c>
      <c r="J6" s="7" t="n">
        <v>641.500858872543</v>
      </c>
      <c r="K6" s="7" t="n">
        <v>-13.8141004543819</v>
      </c>
    </row>
    <row r="7" customFormat="false" ht="15" hidden="false" customHeight="false" outlineLevel="0" collapsed="false">
      <c r="A7" s="6" t="s">
        <v>136</v>
      </c>
      <c r="B7" s="6" t="s">
        <v>137</v>
      </c>
      <c r="C7" s="7" t="n">
        <v>18.4693973927285</v>
      </c>
      <c r="D7" s="7" t="n">
        <v>16.6680590046794</v>
      </c>
      <c r="E7" s="7" t="n">
        <v>-79.3698864756796</v>
      </c>
      <c r="F7" s="7" t="n">
        <v>20.4928383276775</v>
      </c>
      <c r="G7" s="7" t="n">
        <v>7.70880532858051</v>
      </c>
      <c r="H7" s="7" t="n">
        <v>-22.0791489474863</v>
      </c>
      <c r="I7" s="7" t="n">
        <v>1702.62</v>
      </c>
      <c r="J7" s="7" t="n">
        <v>1250.12957276507</v>
      </c>
      <c r="K7" s="7" t="n">
        <v>13.3330651220517</v>
      </c>
    </row>
    <row r="8" customFormat="false" ht="15" hidden="false" customHeight="false" outlineLevel="0" collapsed="false">
      <c r="A8" s="6" t="s">
        <v>138</v>
      </c>
      <c r="B8" s="6" t="s">
        <v>139</v>
      </c>
      <c r="C8" s="7" t="n">
        <v>9.46957955657406</v>
      </c>
      <c r="D8" s="7" t="n">
        <v>7.66824116852491</v>
      </c>
      <c r="E8" s="7" t="n">
        <v>-77.9433559268805</v>
      </c>
      <c r="F8" s="7" t="n">
        <v>17.5503299255927</v>
      </c>
      <c r="G8" s="7" t="n">
        <v>4.76629692649574</v>
      </c>
      <c r="H8" s="7" t="n">
        <v>-23.0864181845803</v>
      </c>
      <c r="I8" s="7" t="n">
        <v>1702.62</v>
      </c>
      <c r="J8" s="7" t="n">
        <v>998.85261189415</v>
      </c>
      <c r="K8" s="7" t="n">
        <v>7.67704972406632</v>
      </c>
    </row>
    <row r="9" customFormat="false" ht="15" hidden="false" customHeight="false" outlineLevel="0" collapsed="false">
      <c r="A9" s="6" t="s">
        <v>140</v>
      </c>
      <c r="B9" s="6" t="s">
        <v>141</v>
      </c>
      <c r="C9" s="7" t="n">
        <v>54.7763790439841</v>
      </c>
      <c r="D9" s="7" t="n">
        <v>52.9750406559349</v>
      </c>
      <c r="E9" s="7" t="n">
        <v>-24.8155965139954</v>
      </c>
      <c r="F9" s="7" t="n">
        <v>30.1467141479323</v>
      </c>
      <c r="G9" s="7" t="n">
        <v>17.3626811488353</v>
      </c>
      <c r="H9" s="7" t="n">
        <v>-8.57155929858396</v>
      </c>
      <c r="I9" s="7" t="n">
        <v>1702.62</v>
      </c>
      <c r="J9" s="7" t="n">
        <v>882.203032839791</v>
      </c>
      <c r="K9" s="7" t="n">
        <v>60.0485814307501</v>
      </c>
    </row>
    <row r="10" customFormat="false" ht="15" hidden="false" customHeight="false" outlineLevel="0" collapsed="false">
      <c r="A10" s="6" t="s">
        <v>142</v>
      </c>
      <c r="B10" s="6" t="s">
        <v>143</v>
      </c>
      <c r="C10" s="7" t="n">
        <v>26.9673199179379</v>
      </c>
      <c r="D10" s="7" t="n">
        <v>25.1659815298888</v>
      </c>
      <c r="E10" s="7" t="n">
        <v>-62.5562892907388</v>
      </c>
      <c r="F10" s="7" t="n">
        <v>22.742376474941</v>
      </c>
      <c r="G10" s="7" t="n">
        <v>9.95834347584402</v>
      </c>
      <c r="H10" s="7" t="n">
        <v>-18.1339579338112</v>
      </c>
      <c r="I10" s="7" t="n">
        <v>1702.62</v>
      </c>
      <c r="J10" s="7" t="n">
        <v>1080.14682419754</v>
      </c>
      <c r="K10" s="7" t="n">
        <v>23.298667334957</v>
      </c>
    </row>
    <row r="11" customFormat="false" ht="15" hidden="false" customHeight="false" outlineLevel="0" collapsed="false">
      <c r="A11" s="6" t="s">
        <v>144</v>
      </c>
      <c r="B11" s="6" t="s">
        <v>145</v>
      </c>
      <c r="C11" s="7" t="n">
        <v>47.2981881263264</v>
      </c>
      <c r="D11" s="7" t="n">
        <v>45.4968497382773</v>
      </c>
      <c r="E11" s="7" t="n">
        <v>-30.5059858681547</v>
      </c>
      <c r="F11" s="7" t="n">
        <v>27.8712451664793</v>
      </c>
      <c r="G11" s="7" t="n">
        <v>15.0872121673823</v>
      </c>
      <c r="H11" s="7" t="n">
        <v>-10.575378189979</v>
      </c>
      <c r="I11" s="7" t="n">
        <v>1702.62</v>
      </c>
      <c r="J11" s="7" t="n">
        <v>825.649866854134</v>
      </c>
      <c r="K11" s="7" t="n">
        <v>55.1042900444325</v>
      </c>
    </row>
    <row r="12" customFormat="false" ht="15" hidden="false" customHeight="false" outlineLevel="0" collapsed="false">
      <c r="A12" s="6" t="s">
        <v>146</v>
      </c>
      <c r="B12" s="6" t="s">
        <v>147</v>
      </c>
      <c r="C12" s="7" t="n">
        <v>60.218143481199</v>
      </c>
      <c r="D12" s="7" t="n">
        <v>58.4168050931498</v>
      </c>
      <c r="E12" s="7" t="n">
        <v>-21.9808187186055</v>
      </c>
      <c r="F12" s="7" t="n">
        <v>30.1896843057067</v>
      </c>
      <c r="G12" s="7" t="n">
        <v>17.4056513066097</v>
      </c>
      <c r="H12" s="7" t="n">
        <v>-9.16808069536186</v>
      </c>
      <c r="I12" s="7" t="n">
        <v>1702.62</v>
      </c>
      <c r="J12" s="7" t="n">
        <v>921.08622585791</v>
      </c>
      <c r="K12" s="7" t="n">
        <v>63.4216465876902</v>
      </c>
    </row>
    <row r="13" customFormat="false" ht="15" hidden="false" customHeight="false" outlineLevel="0" collapsed="false">
      <c r="A13" s="6" t="s">
        <v>148</v>
      </c>
      <c r="B13" s="6" t="s">
        <v>149</v>
      </c>
      <c r="C13" s="7" t="n">
        <v>19.1300816151625</v>
      </c>
      <c r="D13" s="7" t="n">
        <v>17.3287432271133</v>
      </c>
      <c r="E13" s="7" t="n">
        <v>-63.068880584642</v>
      </c>
      <c r="F13" s="7" t="n">
        <v>21.7061545085983</v>
      </c>
      <c r="G13" s="7" t="n">
        <v>8.92212150950127</v>
      </c>
      <c r="H13" s="7" t="n">
        <v>-17.6516104924703</v>
      </c>
      <c r="I13" s="7" t="n">
        <v>1702.62</v>
      </c>
      <c r="J13" s="7" t="n">
        <v>921.08622585791</v>
      </c>
      <c r="K13" s="7" t="n">
        <v>18.8133778799842</v>
      </c>
    </row>
    <row r="14" customFormat="false" ht="15" hidden="false" customHeight="false" outlineLevel="0" collapsed="false">
      <c r="A14" s="6" t="s">
        <v>150</v>
      </c>
      <c r="B14" s="6" t="s">
        <v>151</v>
      </c>
      <c r="C14" s="7" t="n">
        <v>39.6741125481807</v>
      </c>
      <c r="D14" s="7" t="n">
        <v>37.8727741601316</v>
      </c>
      <c r="E14" s="7" t="n">
        <v>-15.9199949008796</v>
      </c>
      <c r="F14" s="7" t="n">
        <v>25.9479194071525</v>
      </c>
      <c r="G14" s="7" t="n">
        <v>13.1638864080555</v>
      </c>
      <c r="H14" s="7" t="n">
        <v>-3.0403252590081</v>
      </c>
      <c r="I14" s="7" t="n">
        <v>1702.62</v>
      </c>
      <c r="J14" s="7" t="n">
        <v>921.08622585791</v>
      </c>
      <c r="K14" s="7" t="n">
        <v>41.1175122338373</v>
      </c>
    </row>
    <row r="15" customFormat="false" ht="15" hidden="false" customHeight="false" outlineLevel="0" collapsed="false">
      <c r="A15" s="6" t="s">
        <v>152</v>
      </c>
      <c r="B15" s="6" t="s">
        <v>153</v>
      </c>
      <c r="C15" s="7" t="n">
        <v>44.3136295570683</v>
      </c>
      <c r="D15" s="7" t="n">
        <v>37.8727741601316</v>
      </c>
      <c r="E15" s="7" t="n">
        <v>-42.5248496516237</v>
      </c>
      <c r="F15" s="7" t="n">
        <v>30.58743641604</v>
      </c>
      <c r="G15" s="7" t="n">
        <v>13.1638864080555</v>
      </c>
      <c r="H15" s="7" t="n">
        <v>-13.4098455939161</v>
      </c>
      <c r="I15" s="7" t="n">
        <v>1702.62</v>
      </c>
      <c r="J15" s="7" t="n">
        <v>921.08622585791</v>
      </c>
      <c r="K15" s="7" t="n">
        <v>41.1175122338373</v>
      </c>
    </row>
    <row r="16" customFormat="false" ht="15" hidden="false" customHeight="false" outlineLevel="0" collapsed="false">
      <c r="A16" s="6" t="s">
        <v>154</v>
      </c>
      <c r="B16" s="6" t="s">
        <v>155</v>
      </c>
      <c r="C16" s="7" t="n">
        <v>14.4784659777815</v>
      </c>
      <c r="D16" s="7" t="n">
        <v>37.8727741601316</v>
      </c>
      <c r="E16" s="7" t="n">
        <v>-42.5248496516237</v>
      </c>
      <c r="F16" s="7" t="n">
        <v>17.8086830092374</v>
      </c>
      <c r="G16" s="7" t="n">
        <v>13.1638864080555</v>
      </c>
      <c r="H16" s="7" t="n">
        <v>-13.4098455939161</v>
      </c>
      <c r="I16" s="7" t="n">
        <v>1702.62</v>
      </c>
      <c r="J16" s="7" t="n">
        <v>921.08622585791</v>
      </c>
      <c r="K16" s="7" t="n">
        <v>41.1175122338373</v>
      </c>
    </row>
    <row r="17" customFormat="false" ht="15" hidden="false" customHeight="false" outlineLevel="0" collapsed="false">
      <c r="A17" s="6" t="s">
        <v>156</v>
      </c>
      <c r="B17" s="6" t="s">
        <v>157</v>
      </c>
      <c r="C17" s="7" t="n">
        <v>39.6741125481807</v>
      </c>
      <c r="D17" s="7" t="n">
        <v>37.8727741601316</v>
      </c>
      <c r="E17" s="7" t="n">
        <v>-42.5248496516237</v>
      </c>
      <c r="F17" s="7" t="n">
        <v>25.9479194071525</v>
      </c>
      <c r="G17" s="7" t="n">
        <v>13.1638864080555</v>
      </c>
      <c r="H17" s="7" t="n">
        <v>-13.4098455939161</v>
      </c>
      <c r="I17" s="7" t="n">
        <v>1702.62</v>
      </c>
      <c r="J17" s="7" t="n">
        <v>1032.68245878828</v>
      </c>
      <c r="K17" s="7" t="n">
        <v>36.6741720437185</v>
      </c>
    </row>
    <row r="18" customFormat="false" ht="15" hidden="false" customHeight="false" outlineLevel="0" collapsed="false">
      <c r="A18" s="6" t="s">
        <v>158</v>
      </c>
      <c r="B18" s="6" t="s">
        <v>159</v>
      </c>
      <c r="C18" s="7" t="n">
        <v>39.6741125481807</v>
      </c>
      <c r="D18" s="7" t="n">
        <v>37.8727741601316</v>
      </c>
      <c r="E18" s="7" t="n">
        <v>-42.5248496516237</v>
      </c>
      <c r="F18" s="7" t="n">
        <v>25.9479194071525</v>
      </c>
      <c r="G18" s="7" t="n">
        <v>13.1638864080555</v>
      </c>
      <c r="H18" s="7" t="n">
        <v>-13.4098455939161</v>
      </c>
      <c r="I18" s="7" t="n">
        <v>1702.62</v>
      </c>
      <c r="J18" s="7" t="n">
        <v>865.288109392725</v>
      </c>
      <c r="K18" s="7" t="n">
        <v>43.7689756151987</v>
      </c>
    </row>
    <row r="19" customFormat="false" ht="15" hidden="false" customHeight="false" outlineLevel="0" collapsed="false">
      <c r="A19" s="6" t="s">
        <v>160</v>
      </c>
      <c r="B19" s="6" t="s">
        <v>161</v>
      </c>
      <c r="C19" s="7" t="n">
        <v>19.8370562740904</v>
      </c>
      <c r="D19" s="7" t="n">
        <v>18.9363870800658</v>
      </c>
      <c r="E19" s="7" t="n">
        <v>-21.2624248258119</v>
      </c>
      <c r="F19" s="7" t="n">
        <v>12.9739597035762</v>
      </c>
      <c r="G19" s="7" t="n">
        <v>6.58194320402774</v>
      </c>
      <c r="H19" s="7" t="n">
        <v>-6.70492279695803</v>
      </c>
      <c r="I19" s="7" t="n">
        <v>851.31</v>
      </c>
      <c r="J19" s="7" t="n">
        <v>460.543112928955</v>
      </c>
      <c r="K19" s="7" t="n">
        <v>41.1175122338373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70"/>
    <col collapsed="false" customWidth="true" hidden="false" outlineLevel="0" max="6" min="6" style="0" width="8"/>
    <col collapsed="false" customWidth="true" hidden="false" outlineLevel="0" max="7" min="7" style="0" width="4"/>
  </cols>
  <sheetData>
    <row r="1" customFormat="false" ht="16.1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4" t="s">
        <v>163</v>
      </c>
    </row>
    <row r="4" customFormat="false" ht="36" hidden="false" customHeight="true" outlineLevel="0" collapsed="false">
      <c r="A4" s="5" t="s">
        <v>164</v>
      </c>
      <c r="B4" s="5" t="s">
        <v>165</v>
      </c>
      <c r="C4" s="5" t="s">
        <v>166</v>
      </c>
      <c r="D4" s="5" t="s">
        <v>167</v>
      </c>
      <c r="E4" s="5" t="s">
        <v>168</v>
      </c>
      <c r="F4" s="5" t="s">
        <v>169</v>
      </c>
    </row>
    <row r="5" customFormat="false" ht="15" hidden="false" customHeight="false" outlineLevel="0" collapsed="false">
      <c r="A5" s="20" t="s">
        <v>170</v>
      </c>
      <c r="B5" s="21"/>
      <c r="C5" s="21"/>
      <c r="D5" s="21"/>
      <c r="E5" s="21"/>
      <c r="F5" s="21"/>
    </row>
    <row r="6" customFormat="false" ht="15" hidden="false" customHeight="false" outlineLevel="0" collapsed="false">
      <c r="A6" s="4" t="s">
        <v>171</v>
      </c>
      <c r="B6" s="6" t="s">
        <v>172</v>
      </c>
      <c r="C6" s="22" t="n">
        <v>4800</v>
      </c>
      <c r="D6" s="6" t="s">
        <v>173</v>
      </c>
      <c r="E6" s="3" t="s">
        <v>174</v>
      </c>
      <c r="F6" s="23" t="s">
        <v>175</v>
      </c>
    </row>
    <row r="7" customFormat="false" ht="15" hidden="false" customHeight="false" outlineLevel="0" collapsed="false">
      <c r="A7" s="4" t="s">
        <v>176</v>
      </c>
      <c r="B7" s="6" t="s">
        <v>177</v>
      </c>
      <c r="C7" s="22" t="n">
        <v>1600</v>
      </c>
      <c r="D7" s="6" t="s">
        <v>173</v>
      </c>
      <c r="E7" s="3" t="s">
        <v>178</v>
      </c>
      <c r="F7" s="23" t="s">
        <v>175</v>
      </c>
    </row>
    <row r="8" customFormat="false" ht="22.35" hidden="false" customHeight="false" outlineLevel="0" collapsed="false">
      <c r="A8" s="4" t="s">
        <v>179</v>
      </c>
      <c r="B8" s="6" t="s">
        <v>180</v>
      </c>
      <c r="C8" s="24" t="n">
        <v>850</v>
      </c>
      <c r="D8" s="6" t="s">
        <v>173</v>
      </c>
      <c r="E8" s="3" t="s">
        <v>181</v>
      </c>
      <c r="F8" s="23" t="s">
        <v>182</v>
      </c>
    </row>
    <row r="9" customFormat="false" ht="15" hidden="false" customHeight="false" outlineLevel="0" collapsed="false">
      <c r="A9" s="4" t="s">
        <v>183</v>
      </c>
      <c r="B9" s="6" t="s">
        <v>184</v>
      </c>
      <c r="C9" s="7" t="n">
        <f aca="false">p_ce_world-p_ce_emdc-p_ce_chn</f>
        <v>2350</v>
      </c>
      <c r="D9" s="6" t="s">
        <v>173</v>
      </c>
      <c r="E9" s="3" t="s">
        <v>185</v>
      </c>
      <c r="F9" s="23" t="s">
        <v>182</v>
      </c>
    </row>
    <row r="10" customFormat="false" ht="22.35" hidden="false" customHeight="false" outlineLevel="0" collapsed="false">
      <c r="A10" s="4" t="s">
        <v>186</v>
      </c>
      <c r="B10" s="6" t="s">
        <v>187</v>
      </c>
      <c r="C10" s="24" t="n">
        <v>350</v>
      </c>
      <c r="D10" s="6" t="s">
        <v>173</v>
      </c>
      <c r="E10" s="3" t="s">
        <v>188</v>
      </c>
      <c r="F10" s="23" t="s">
        <v>182</v>
      </c>
    </row>
    <row r="11" customFormat="false" ht="22.35" hidden="false" customHeight="false" outlineLevel="0" collapsed="false">
      <c r="A11" s="4" t="s">
        <v>189</v>
      </c>
      <c r="B11" s="6" t="s">
        <v>190</v>
      </c>
      <c r="C11" s="22" t="n">
        <v>399</v>
      </c>
      <c r="D11" s="6" t="s">
        <v>173</v>
      </c>
      <c r="E11" s="3" t="s">
        <v>191</v>
      </c>
      <c r="F11" s="23" t="s">
        <v>182</v>
      </c>
    </row>
    <row r="12" customFormat="false" ht="15" hidden="false" customHeight="false" outlineLevel="0" collapsed="false">
      <c r="A12" s="4" t="s">
        <v>192</v>
      </c>
      <c r="B12" s="6" t="s">
        <v>193</v>
      </c>
      <c r="C12" s="25" t="n">
        <f aca="false">MAX(0,p_nbs_world-p_nat_emdc)*p_ce_ae/(p_ce_ae+p_ce_chn)</f>
        <v>35.984375</v>
      </c>
      <c r="D12" s="6" t="s">
        <v>173</v>
      </c>
      <c r="E12" s="3" t="s">
        <v>194</v>
      </c>
      <c r="F12" s="23" t="s">
        <v>195</v>
      </c>
    </row>
    <row r="13" customFormat="false" ht="15" hidden="false" customHeight="false" outlineLevel="0" collapsed="false">
      <c r="A13" s="4" t="s">
        <v>196</v>
      </c>
      <c r="B13" s="6" t="s">
        <v>197</v>
      </c>
      <c r="C13" s="25" t="n">
        <f aca="false">MAX(0,p_nbs_world-p_nat_emdc)*p_ce_chn/(p_ce_ae+p_ce_chn)</f>
        <v>13.015625</v>
      </c>
      <c r="D13" s="6" t="s">
        <v>173</v>
      </c>
      <c r="E13" s="3" t="s">
        <v>198</v>
      </c>
      <c r="F13" s="23" t="s">
        <v>195</v>
      </c>
    </row>
    <row r="14" customFormat="false" ht="15" hidden="false" customHeight="false" outlineLevel="0" collapsed="false">
      <c r="A14" s="20" t="s">
        <v>199</v>
      </c>
      <c r="B14" s="21"/>
      <c r="C14" s="21"/>
      <c r="D14" s="21"/>
      <c r="E14" s="21"/>
      <c r="F14" s="21"/>
    </row>
    <row r="15" customFormat="false" ht="15" hidden="false" customHeight="false" outlineLevel="0" collapsed="false">
      <c r="A15" s="4" t="s">
        <v>200</v>
      </c>
      <c r="B15" s="6" t="s">
        <v>201</v>
      </c>
      <c r="C15" s="26" t="n">
        <v>0.35</v>
      </c>
      <c r="D15" s="6" t="s">
        <v>202</v>
      </c>
      <c r="E15" s="3" t="s">
        <v>203</v>
      </c>
      <c r="F15" s="23" t="s">
        <v>182</v>
      </c>
    </row>
    <row r="16" customFormat="false" ht="15" hidden="false" customHeight="false" outlineLevel="0" collapsed="false">
      <c r="A16" s="4" t="s">
        <v>204</v>
      </c>
      <c r="B16" s="6" t="s">
        <v>78</v>
      </c>
      <c r="C16" s="26" t="n">
        <v>0.24</v>
      </c>
      <c r="D16" s="6" t="s">
        <v>202</v>
      </c>
      <c r="E16" s="3" t="s">
        <v>205</v>
      </c>
      <c r="F16" s="23" t="s">
        <v>182</v>
      </c>
    </row>
    <row r="17" customFormat="false" ht="15" hidden="false" customHeight="false" outlineLevel="0" collapsed="false">
      <c r="A17" s="4" t="s">
        <v>206</v>
      </c>
      <c r="B17" s="6" t="s">
        <v>207</v>
      </c>
      <c r="C17" s="26" t="n">
        <v>0.33</v>
      </c>
      <c r="D17" s="6" t="s">
        <v>202</v>
      </c>
      <c r="E17" s="3" t="s">
        <v>208</v>
      </c>
      <c r="F17" s="23" t="s">
        <v>182</v>
      </c>
    </row>
    <row r="18" customFormat="false" ht="15" hidden="false" customHeight="false" outlineLevel="0" collapsed="false">
      <c r="A18" s="4" t="s">
        <v>209</v>
      </c>
      <c r="B18" s="6" t="s">
        <v>82</v>
      </c>
      <c r="C18" s="26" t="n">
        <v>0.08</v>
      </c>
      <c r="D18" s="6" t="s">
        <v>202</v>
      </c>
      <c r="E18" s="3" t="s">
        <v>210</v>
      </c>
      <c r="F18" s="23" t="s">
        <v>182</v>
      </c>
    </row>
    <row r="19" customFormat="false" ht="15" hidden="false" customHeight="false" outlineLevel="0" collapsed="false">
      <c r="A19" s="4" t="s">
        <v>211</v>
      </c>
      <c r="B19" s="6" t="s">
        <v>212</v>
      </c>
      <c r="C19" s="27" t="n">
        <v>0.45</v>
      </c>
      <c r="D19" s="6" t="s">
        <v>213</v>
      </c>
      <c r="E19" s="3" t="s">
        <v>214</v>
      </c>
      <c r="F19" s="23" t="s">
        <v>195</v>
      </c>
    </row>
    <row r="20" customFormat="false" ht="15" hidden="false" customHeight="false" outlineLevel="0" collapsed="false">
      <c r="A20" s="4" t="s">
        <v>215</v>
      </c>
      <c r="B20" s="6" t="s">
        <v>216</v>
      </c>
      <c r="C20" s="27" t="n">
        <v>0.35</v>
      </c>
      <c r="D20" s="6" t="s">
        <v>213</v>
      </c>
      <c r="E20" s="3" t="s">
        <v>217</v>
      </c>
      <c r="F20" s="23" t="s">
        <v>195</v>
      </c>
    </row>
    <row r="21" customFormat="false" ht="15" hidden="false" customHeight="false" outlineLevel="0" collapsed="false">
      <c r="A21" s="4" t="s">
        <v>218</v>
      </c>
      <c r="B21" s="6" t="s">
        <v>219</v>
      </c>
      <c r="C21" s="28" t="n">
        <f aca="false">1-p_spl_trn-p_spl_bld</f>
        <v>0.2</v>
      </c>
      <c r="D21" s="6" t="s">
        <v>213</v>
      </c>
      <c r="E21" s="3" t="s">
        <v>220</v>
      </c>
      <c r="F21" s="23" t="s">
        <v>195</v>
      </c>
    </row>
    <row r="22" customFormat="false" ht="15" hidden="false" customHeight="false" outlineLevel="0" collapsed="false">
      <c r="A22" s="20" t="s">
        <v>221</v>
      </c>
      <c r="B22" s="21"/>
      <c r="C22" s="21"/>
      <c r="D22" s="21"/>
      <c r="E22" s="21"/>
      <c r="F22" s="21"/>
    </row>
    <row r="23" customFormat="false" ht="15" hidden="false" customHeight="false" outlineLevel="0" collapsed="false">
      <c r="A23" s="4" t="s">
        <v>222</v>
      </c>
      <c r="B23" s="6" t="s">
        <v>223</v>
      </c>
      <c r="C23" s="27" t="n">
        <v>0.38</v>
      </c>
      <c r="D23" s="6" t="s">
        <v>202</v>
      </c>
      <c r="E23" s="3" t="s">
        <v>224</v>
      </c>
      <c r="F23" s="23" t="s">
        <v>182</v>
      </c>
    </row>
    <row r="24" customFormat="false" ht="15" hidden="false" customHeight="false" outlineLevel="0" collapsed="false">
      <c r="A24" s="4" t="s">
        <v>225</v>
      </c>
      <c r="B24" s="6" t="s">
        <v>226</v>
      </c>
      <c r="C24" s="27" t="n">
        <v>0.38</v>
      </c>
      <c r="D24" s="6" t="s">
        <v>202</v>
      </c>
      <c r="E24" s="3" t="s">
        <v>227</v>
      </c>
      <c r="F24" s="23" t="s">
        <v>182</v>
      </c>
    </row>
    <row r="25" customFormat="false" ht="22.35" hidden="false" customHeight="false" outlineLevel="0" collapsed="false">
      <c r="A25" s="4" t="s">
        <v>228</v>
      </c>
      <c r="B25" s="6" t="s">
        <v>229</v>
      </c>
      <c r="C25" s="27" t="n">
        <v>0.24</v>
      </c>
      <c r="D25" s="6" t="s">
        <v>202</v>
      </c>
      <c r="E25" s="3" t="s">
        <v>230</v>
      </c>
      <c r="F25" s="23" t="s">
        <v>182</v>
      </c>
    </row>
    <row r="26" customFormat="false" ht="15" hidden="false" customHeight="false" outlineLevel="0" collapsed="false">
      <c r="A26" s="20" t="s">
        <v>231</v>
      </c>
      <c r="B26" s="21"/>
      <c r="C26" s="21"/>
      <c r="D26" s="21"/>
      <c r="E26" s="21"/>
      <c r="F26" s="21"/>
    </row>
    <row r="27" customFormat="false" ht="15" hidden="false" customHeight="false" outlineLevel="0" collapsed="false">
      <c r="A27" s="4" t="s">
        <v>232</v>
      </c>
      <c r="B27" s="6" t="s">
        <v>233</v>
      </c>
      <c r="C27" s="27" t="n">
        <v>0.055</v>
      </c>
      <c r="D27" s="6" t="s">
        <v>234</v>
      </c>
      <c r="E27" s="3" t="s">
        <v>235</v>
      </c>
      <c r="F27" s="23" t="s">
        <v>182</v>
      </c>
    </row>
    <row r="28" customFormat="false" ht="15" hidden="false" customHeight="false" outlineLevel="0" collapsed="false">
      <c r="A28" s="4" t="s">
        <v>236</v>
      </c>
      <c r="B28" s="6" t="s">
        <v>237</v>
      </c>
      <c r="C28" s="27" t="n">
        <v>0.06</v>
      </c>
      <c r="D28" s="6" t="s">
        <v>234</v>
      </c>
      <c r="E28" s="3" t="s">
        <v>238</v>
      </c>
      <c r="F28" s="23" t="s">
        <v>182</v>
      </c>
    </row>
    <row r="29" customFormat="false" ht="15" hidden="false" customHeight="false" outlineLevel="0" collapsed="false">
      <c r="A29" s="4" t="s">
        <v>239</v>
      </c>
      <c r="B29" s="6" t="s">
        <v>240</v>
      </c>
      <c r="C29" s="27" t="n">
        <v>0.105</v>
      </c>
      <c r="D29" s="6" t="s">
        <v>234</v>
      </c>
      <c r="E29" s="3" t="s">
        <v>241</v>
      </c>
      <c r="F29" s="23" t="s">
        <v>182</v>
      </c>
    </row>
    <row r="30" customFormat="false" ht="15" hidden="false" customHeight="false" outlineLevel="0" collapsed="false">
      <c r="A30" s="4" t="s">
        <v>242</v>
      </c>
      <c r="B30" s="6" t="s">
        <v>243</v>
      </c>
      <c r="C30" s="26" t="n">
        <v>0.07</v>
      </c>
      <c r="D30" s="6" t="s">
        <v>234</v>
      </c>
      <c r="E30" s="3" t="s">
        <v>244</v>
      </c>
      <c r="F30" s="23" t="s">
        <v>182</v>
      </c>
    </row>
    <row r="31" customFormat="false" ht="15" hidden="false" customHeight="false" outlineLevel="0" collapsed="false">
      <c r="A31" s="4" t="s">
        <v>245</v>
      </c>
      <c r="B31" s="6" t="s">
        <v>246</v>
      </c>
      <c r="C31" s="26" t="n">
        <v>0.08</v>
      </c>
      <c r="D31" s="6" t="s">
        <v>234</v>
      </c>
      <c r="E31" s="3" t="s">
        <v>244</v>
      </c>
      <c r="F31" s="23" t="s">
        <v>182</v>
      </c>
    </row>
    <row r="32" customFormat="false" ht="15" hidden="false" customHeight="false" outlineLevel="0" collapsed="false">
      <c r="A32" s="4" t="s">
        <v>247</v>
      </c>
      <c r="B32" s="6" t="s">
        <v>248</v>
      </c>
      <c r="C32" s="26" t="n">
        <v>0.15</v>
      </c>
      <c r="D32" s="6" t="s">
        <v>234</v>
      </c>
      <c r="E32" s="3" t="s">
        <v>244</v>
      </c>
      <c r="F32" s="23" t="s">
        <v>182</v>
      </c>
    </row>
    <row r="33" customFormat="false" ht="15" hidden="false" customHeight="false" outlineLevel="0" collapsed="false">
      <c r="A33" s="4" t="s">
        <v>249</v>
      </c>
      <c r="B33" s="6" t="s">
        <v>250</v>
      </c>
      <c r="C33" s="29" t="n">
        <v>1</v>
      </c>
      <c r="D33" s="6" t="s">
        <v>251</v>
      </c>
      <c r="E33" s="3" t="s">
        <v>252</v>
      </c>
      <c r="F33" s="23"/>
    </row>
    <row r="34" customFormat="false" ht="15" hidden="false" customHeight="false" outlineLevel="0" collapsed="false">
      <c r="A34" s="4" t="s">
        <v>253</v>
      </c>
      <c r="B34" s="6" t="s">
        <v>254</v>
      </c>
      <c r="C34" s="29" t="n">
        <v>1</v>
      </c>
      <c r="D34" s="6" t="s">
        <v>251</v>
      </c>
      <c r="E34" s="3" t="s">
        <v>255</v>
      </c>
      <c r="F34" s="23"/>
    </row>
    <row r="35" customFormat="false" ht="15" hidden="false" customHeight="false" outlineLevel="0" collapsed="false">
      <c r="A35" s="4" t="s">
        <v>256</v>
      </c>
      <c r="B35" s="6" t="s">
        <v>257</v>
      </c>
      <c r="C35" s="29" t="n">
        <v>1</v>
      </c>
      <c r="D35" s="6" t="s">
        <v>251</v>
      </c>
      <c r="E35" s="3" t="s">
        <v>258</v>
      </c>
      <c r="F35" s="23"/>
    </row>
    <row r="36" customFormat="false" ht="22.35" hidden="false" customHeight="false" outlineLevel="0" collapsed="false">
      <c r="A36" s="4" t="s">
        <v>259</v>
      </c>
      <c r="B36" s="6" t="s">
        <v>260</v>
      </c>
      <c r="C36" s="30" t="n">
        <v>0</v>
      </c>
      <c r="D36" s="6" t="s">
        <v>251</v>
      </c>
      <c r="E36" s="3" t="s">
        <v>261</v>
      </c>
      <c r="F36" s="23"/>
    </row>
    <row r="37" customFormat="false" ht="15" hidden="false" customHeight="false" outlineLevel="0" collapsed="false">
      <c r="A37" s="4" t="s">
        <v>262</v>
      </c>
      <c r="B37" s="6" t="s">
        <v>263</v>
      </c>
      <c r="C37" s="26" t="n">
        <v>0.02</v>
      </c>
      <c r="D37" s="6" t="s">
        <v>234</v>
      </c>
      <c r="E37" s="3" t="s">
        <v>264</v>
      </c>
      <c r="F37" s="23" t="s">
        <v>182</v>
      </c>
    </row>
    <row r="38" customFormat="false" ht="15" hidden="false" customHeight="false" outlineLevel="0" collapsed="false">
      <c r="A38" s="20" t="s">
        <v>265</v>
      </c>
      <c r="B38" s="21"/>
      <c r="C38" s="21"/>
      <c r="D38" s="21"/>
      <c r="E38" s="21"/>
      <c r="F38" s="21"/>
    </row>
    <row r="39" customFormat="false" ht="15" hidden="false" customHeight="false" outlineLevel="0" collapsed="false">
      <c r="A39" s="4" t="s">
        <v>266</v>
      </c>
      <c r="B39" s="6" t="s">
        <v>267</v>
      </c>
      <c r="C39" s="27" t="n">
        <v>0.042</v>
      </c>
      <c r="D39" s="6" t="s">
        <v>234</v>
      </c>
      <c r="E39" s="3" t="s">
        <v>268</v>
      </c>
      <c r="F39" s="23" t="s">
        <v>182</v>
      </c>
    </row>
    <row r="40" customFormat="false" ht="22.35" hidden="false" customHeight="false" outlineLevel="0" collapsed="false">
      <c r="A40" s="4" t="s">
        <v>269</v>
      </c>
      <c r="B40" s="6" t="s">
        <v>270</v>
      </c>
      <c r="C40" s="26" t="n">
        <v>0.042</v>
      </c>
      <c r="D40" s="6" t="s">
        <v>234</v>
      </c>
      <c r="E40" s="3" t="s">
        <v>271</v>
      </c>
      <c r="F40" s="23" t="s">
        <v>182</v>
      </c>
    </row>
    <row r="41" customFormat="false" ht="15" hidden="false" customHeight="false" outlineLevel="0" collapsed="false">
      <c r="A41" s="4" t="s">
        <v>272</v>
      </c>
      <c r="B41" s="6" t="s">
        <v>273</v>
      </c>
      <c r="C41" s="26" t="n">
        <v>0.7</v>
      </c>
      <c r="D41" s="6" t="s">
        <v>202</v>
      </c>
      <c r="E41" s="3" t="s">
        <v>274</v>
      </c>
      <c r="F41" s="23" t="s">
        <v>175</v>
      </c>
    </row>
    <row r="42" customFormat="false" ht="15" hidden="false" customHeight="false" outlineLevel="0" collapsed="false">
      <c r="A42" s="4" t="s">
        <v>275</v>
      </c>
      <c r="B42" s="6" t="s">
        <v>276</v>
      </c>
      <c r="C42" s="31" t="n">
        <v>1</v>
      </c>
      <c r="D42" s="6" t="s">
        <v>277</v>
      </c>
      <c r="E42" s="3" t="s">
        <v>278</v>
      </c>
      <c r="F42" s="23" t="s">
        <v>182</v>
      </c>
    </row>
    <row r="43" customFormat="false" ht="15" hidden="false" customHeight="false" outlineLevel="0" collapsed="false">
      <c r="A43" s="4" t="s">
        <v>279</v>
      </c>
      <c r="B43" s="6" t="s">
        <v>280</v>
      </c>
      <c r="C43" s="31" t="n">
        <v>1</v>
      </c>
      <c r="D43" s="6" t="s">
        <v>277</v>
      </c>
      <c r="E43" s="3" t="s">
        <v>281</v>
      </c>
      <c r="F43" s="23" t="s">
        <v>182</v>
      </c>
    </row>
    <row r="44" customFormat="false" ht="15" hidden="false" customHeight="false" outlineLevel="0" collapsed="false">
      <c r="A44" s="4" t="s">
        <v>282</v>
      </c>
      <c r="B44" s="6" t="s">
        <v>283</v>
      </c>
      <c r="C44" s="26" t="n">
        <v>0.25</v>
      </c>
      <c r="D44" s="6" t="s">
        <v>234</v>
      </c>
      <c r="E44" s="3" t="s">
        <v>284</v>
      </c>
      <c r="F44" s="23" t="s">
        <v>182</v>
      </c>
    </row>
    <row r="45" customFormat="false" ht="15" hidden="false" customHeight="false" outlineLevel="0" collapsed="false">
      <c r="A45" s="4" t="s">
        <v>285</v>
      </c>
      <c r="B45" s="6" t="s">
        <v>286</v>
      </c>
      <c r="C45" s="11" t="n">
        <f aca="false">IF(AND(p_calib=1,p_n_overlap&gt;0),SUM(Country_Data!$DP$5:$DP$199)/p_n_overlap-SUM(Country_Data!$DQ$5:$DQ$199)/p_n_overlap,0)</f>
        <v>0</v>
      </c>
      <c r="D45" s="6" t="s">
        <v>234</v>
      </c>
      <c r="E45" s="3" t="s">
        <v>287</v>
      </c>
      <c r="F45" s="23"/>
    </row>
    <row r="46" customFormat="false" ht="15" hidden="false" customHeight="false" outlineLevel="0" collapsed="false">
      <c r="A46" s="20" t="s">
        <v>288</v>
      </c>
      <c r="B46" s="21"/>
      <c r="C46" s="21"/>
      <c r="D46" s="21"/>
      <c r="E46" s="21"/>
      <c r="F46" s="21"/>
    </row>
    <row r="47" customFormat="false" ht="15" hidden="false" customHeight="false" outlineLevel="0" collapsed="false">
      <c r="A47" s="4" t="s">
        <v>289</v>
      </c>
      <c r="B47" s="6" t="s">
        <v>290</v>
      </c>
      <c r="C47" s="26" t="n">
        <v>0.06</v>
      </c>
      <c r="D47" s="6" t="s">
        <v>234</v>
      </c>
      <c r="E47" s="3" t="s">
        <v>291</v>
      </c>
      <c r="F47" s="23" t="s">
        <v>175</v>
      </c>
    </row>
    <row r="48" customFormat="false" ht="15" hidden="false" customHeight="false" outlineLevel="0" collapsed="false">
      <c r="A48" s="4" t="s">
        <v>292</v>
      </c>
      <c r="B48" s="6" t="s">
        <v>293</v>
      </c>
      <c r="C48" s="26" t="n">
        <v>0.052</v>
      </c>
      <c r="D48" s="6" t="s">
        <v>234</v>
      </c>
      <c r="E48" s="3" t="s">
        <v>294</v>
      </c>
      <c r="F48" s="23" t="s">
        <v>182</v>
      </c>
    </row>
    <row r="49" customFormat="false" ht="15" hidden="false" customHeight="false" outlineLevel="0" collapsed="false">
      <c r="A49" s="4" t="s">
        <v>295</v>
      </c>
      <c r="B49" s="6" t="s">
        <v>296</v>
      </c>
      <c r="C49" s="29" t="n">
        <v>0</v>
      </c>
      <c r="D49" s="6" t="s">
        <v>251</v>
      </c>
      <c r="E49" s="3" t="s">
        <v>297</v>
      </c>
      <c r="F49" s="23"/>
    </row>
    <row r="50" customFormat="false" ht="15" hidden="false" customHeight="false" outlineLevel="0" collapsed="false">
      <c r="A50" s="4" t="s">
        <v>298</v>
      </c>
      <c r="B50" s="6" t="s">
        <v>299</v>
      </c>
      <c r="C50" s="32" t="n">
        <v>0.133</v>
      </c>
      <c r="D50" s="6" t="s">
        <v>300</v>
      </c>
      <c r="E50" s="3" t="s">
        <v>301</v>
      </c>
      <c r="F50" s="23" t="s">
        <v>182</v>
      </c>
    </row>
    <row r="51" customFormat="false" ht="15" hidden="false" customHeight="false" outlineLevel="0" collapsed="false">
      <c r="A51" s="4" t="s">
        <v>302</v>
      </c>
      <c r="B51" s="6" t="s">
        <v>303</v>
      </c>
      <c r="C51" s="31" t="n">
        <v>1</v>
      </c>
      <c r="D51" s="6" t="s">
        <v>304</v>
      </c>
      <c r="E51" s="3" t="s">
        <v>305</v>
      </c>
      <c r="F51" s="23"/>
    </row>
    <row r="52" customFormat="false" ht="15" hidden="false" customHeight="false" outlineLevel="0" collapsed="false">
      <c r="A52" s="4" t="s">
        <v>306</v>
      </c>
      <c r="B52" s="6" t="s">
        <v>307</v>
      </c>
      <c r="C52" s="32" t="n">
        <v>0.129</v>
      </c>
      <c r="D52" s="6" t="s">
        <v>300</v>
      </c>
      <c r="E52" s="3" t="s">
        <v>308</v>
      </c>
      <c r="F52" s="23" t="s">
        <v>182</v>
      </c>
    </row>
    <row r="53" customFormat="false" ht="15" hidden="false" customHeight="false" outlineLevel="0" collapsed="false">
      <c r="A53" s="4" t="s">
        <v>309</v>
      </c>
      <c r="B53" s="6" t="s">
        <v>310</v>
      </c>
      <c r="C53" s="31" t="n">
        <v>1</v>
      </c>
      <c r="D53" s="6" t="s">
        <v>304</v>
      </c>
      <c r="E53" s="3" t="s">
        <v>311</v>
      </c>
      <c r="F53" s="23"/>
    </row>
    <row r="54" customFormat="false" ht="22.35" hidden="false" customHeight="false" outlineLevel="0" collapsed="false">
      <c r="A54" s="4" t="s">
        <v>312</v>
      </c>
      <c r="B54" s="6" t="s">
        <v>313</v>
      </c>
      <c r="C54" s="29" t="n">
        <v>0</v>
      </c>
      <c r="D54" s="6" t="s">
        <v>251</v>
      </c>
      <c r="E54" s="3" t="s">
        <v>314</v>
      </c>
      <c r="F54" s="23"/>
    </row>
    <row r="55" customFormat="false" ht="15" hidden="false" customHeight="false" outlineLevel="0" collapsed="false">
      <c r="A55" s="4" t="s">
        <v>315</v>
      </c>
      <c r="B55" s="6" t="s">
        <v>316</v>
      </c>
      <c r="C55" s="31" t="n">
        <v>0.25</v>
      </c>
      <c r="D55" s="6" t="s">
        <v>277</v>
      </c>
      <c r="E55" s="3" t="s">
        <v>317</v>
      </c>
      <c r="F55" s="23"/>
    </row>
    <row r="56" customFormat="false" ht="15" hidden="false" customHeight="false" outlineLevel="0" collapsed="false">
      <c r="A56" s="4" t="s">
        <v>318</v>
      </c>
      <c r="B56" s="6" t="s">
        <v>319</v>
      </c>
      <c r="C56" s="31" t="n">
        <v>4</v>
      </c>
      <c r="D56" s="6" t="s">
        <v>277</v>
      </c>
      <c r="E56" s="3" t="s">
        <v>320</v>
      </c>
      <c r="F56" s="23"/>
    </row>
    <row r="57" customFormat="false" ht="15" hidden="false" customHeight="false" outlineLevel="0" collapsed="false">
      <c r="A57" s="4" t="s">
        <v>321</v>
      </c>
      <c r="B57" s="6" t="s">
        <v>322</v>
      </c>
      <c r="C57" s="32" t="n">
        <v>0.35</v>
      </c>
      <c r="D57" s="6" t="s">
        <v>323</v>
      </c>
      <c r="E57" s="3" t="s">
        <v>324</v>
      </c>
      <c r="F57" s="23" t="s">
        <v>195</v>
      </c>
    </row>
    <row r="58" customFormat="false" ht="15" hidden="false" customHeight="false" outlineLevel="0" collapsed="false">
      <c r="A58" s="4" t="s">
        <v>325</v>
      </c>
      <c r="B58" s="6" t="s">
        <v>326</v>
      </c>
      <c r="C58" s="22" t="n">
        <v>50</v>
      </c>
      <c r="D58" s="6" t="s">
        <v>327</v>
      </c>
      <c r="E58" s="3" t="s">
        <v>328</v>
      </c>
      <c r="F58" s="23" t="s">
        <v>175</v>
      </c>
    </row>
    <row r="59" customFormat="false" ht="15" hidden="false" customHeight="false" outlineLevel="0" collapsed="false">
      <c r="A59" s="4" t="s">
        <v>329</v>
      </c>
      <c r="B59" s="6" t="s">
        <v>330</v>
      </c>
      <c r="C59" s="22" t="n">
        <v>100</v>
      </c>
      <c r="D59" s="6" t="s">
        <v>327</v>
      </c>
      <c r="E59" s="3" t="s">
        <v>328</v>
      </c>
      <c r="F59" s="23" t="s">
        <v>175</v>
      </c>
    </row>
    <row r="60" customFormat="false" ht="15" hidden="false" customHeight="false" outlineLevel="0" collapsed="false">
      <c r="A60" s="20" t="s">
        <v>331</v>
      </c>
      <c r="B60" s="21"/>
      <c r="C60" s="21"/>
      <c r="D60" s="21"/>
      <c r="E60" s="21"/>
      <c r="F60" s="21"/>
    </row>
    <row r="61" customFormat="false" ht="22.35" hidden="false" customHeight="false" outlineLevel="0" collapsed="false">
      <c r="A61" s="4" t="s">
        <v>332</v>
      </c>
      <c r="B61" s="6" t="s">
        <v>333</v>
      </c>
      <c r="C61" s="29" t="n">
        <v>1</v>
      </c>
      <c r="D61" s="6" t="s">
        <v>251</v>
      </c>
      <c r="E61" s="3" t="s">
        <v>334</v>
      </c>
      <c r="F61" s="23"/>
    </row>
    <row r="62" customFormat="false" ht="22.35" hidden="false" customHeight="false" outlineLevel="0" collapsed="false">
      <c r="A62" s="4" t="s">
        <v>335</v>
      </c>
      <c r="B62" s="6" t="s">
        <v>336</v>
      </c>
      <c r="C62" s="27" t="n">
        <v>0</v>
      </c>
      <c r="D62" s="6" t="s">
        <v>304</v>
      </c>
      <c r="E62" s="3" t="s">
        <v>337</v>
      </c>
      <c r="F62" s="23"/>
    </row>
    <row r="63" customFormat="false" ht="22.35" hidden="false" customHeight="false" outlineLevel="0" collapsed="false">
      <c r="A63" s="4" t="s">
        <v>338</v>
      </c>
      <c r="B63" s="6" t="s">
        <v>339</v>
      </c>
      <c r="C63" s="22" t="n">
        <v>760</v>
      </c>
      <c r="D63" s="6" t="s">
        <v>340</v>
      </c>
      <c r="E63" s="3" t="s">
        <v>341</v>
      </c>
      <c r="F63" s="23" t="s">
        <v>175</v>
      </c>
    </row>
    <row r="64" customFormat="false" ht="15" hidden="false" customHeight="false" outlineLevel="0" collapsed="false">
      <c r="A64" s="4" t="s">
        <v>342</v>
      </c>
      <c r="B64" s="6" t="s">
        <v>343</v>
      </c>
      <c r="C64" s="22" t="n">
        <v>1160</v>
      </c>
      <c r="D64" s="6" t="s">
        <v>340</v>
      </c>
      <c r="E64" s="3" t="s">
        <v>344</v>
      </c>
      <c r="F64" s="23" t="s">
        <v>175</v>
      </c>
    </row>
    <row r="65" customFormat="false" ht="15" hidden="false" customHeight="false" outlineLevel="0" collapsed="false">
      <c r="A65" s="4" t="s">
        <v>345</v>
      </c>
      <c r="B65" s="6" t="s">
        <v>346</v>
      </c>
      <c r="C65" s="27" t="n">
        <v>0.5</v>
      </c>
      <c r="D65" s="6" t="s">
        <v>202</v>
      </c>
      <c r="E65" s="3" t="s">
        <v>217</v>
      </c>
      <c r="F65" s="23" t="s">
        <v>182</v>
      </c>
    </row>
    <row r="66" customFormat="false" ht="15" hidden="false" customHeight="false" outlineLevel="0" collapsed="false">
      <c r="A66" s="4" t="s">
        <v>347</v>
      </c>
      <c r="B66" s="6" t="s">
        <v>348</v>
      </c>
      <c r="C66" s="26" t="n">
        <v>0.17</v>
      </c>
      <c r="D66" s="6" t="s">
        <v>202</v>
      </c>
      <c r="E66" s="3" t="s">
        <v>349</v>
      </c>
      <c r="F66" s="23" t="s">
        <v>182</v>
      </c>
    </row>
    <row r="67" customFormat="false" ht="15" hidden="false" customHeight="false" outlineLevel="0" collapsed="false">
      <c r="A67" s="4" t="s">
        <v>350</v>
      </c>
      <c r="B67" s="6" t="s">
        <v>351</v>
      </c>
      <c r="C67" s="26" t="n">
        <v>0.35</v>
      </c>
      <c r="D67" s="6" t="s">
        <v>202</v>
      </c>
      <c r="E67" s="3" t="s">
        <v>352</v>
      </c>
      <c r="F67" s="23" t="s">
        <v>182</v>
      </c>
    </row>
    <row r="68" customFormat="false" ht="15" hidden="false" customHeight="false" outlineLevel="0" collapsed="false">
      <c r="A68" s="4" t="s">
        <v>353</v>
      </c>
      <c r="B68" s="6" t="s">
        <v>354</v>
      </c>
      <c r="C68" s="26" t="n">
        <v>0.015</v>
      </c>
      <c r="D68" s="6" t="s">
        <v>202</v>
      </c>
      <c r="E68" s="3" t="s">
        <v>355</v>
      </c>
      <c r="F68" s="23" t="s">
        <v>182</v>
      </c>
    </row>
    <row r="69" customFormat="false" ht="15" hidden="false" customHeight="false" outlineLevel="0" collapsed="false">
      <c r="A69" s="4" t="s">
        <v>356</v>
      </c>
      <c r="B69" s="6" t="s">
        <v>357</v>
      </c>
      <c r="C69" s="29" t="n">
        <v>10</v>
      </c>
      <c r="D69" s="6" t="s">
        <v>358</v>
      </c>
      <c r="E69" s="3" t="s">
        <v>359</v>
      </c>
      <c r="F69" s="23" t="s">
        <v>182</v>
      </c>
    </row>
    <row r="70" customFormat="false" ht="15" hidden="false" customHeight="false" outlineLevel="0" collapsed="false">
      <c r="A70" s="4" t="s">
        <v>360</v>
      </c>
      <c r="B70" s="6" t="s">
        <v>361</v>
      </c>
      <c r="C70" s="29" t="n">
        <v>7.5</v>
      </c>
      <c r="D70" s="6" t="s">
        <v>358</v>
      </c>
      <c r="E70" s="3" t="s">
        <v>362</v>
      </c>
      <c r="F70" s="23" t="s">
        <v>182</v>
      </c>
    </row>
    <row r="71" customFormat="false" ht="15" hidden="false" customHeight="false" outlineLevel="0" collapsed="false">
      <c r="A71" s="4" t="s">
        <v>363</v>
      </c>
      <c r="B71" s="6" t="s">
        <v>364</v>
      </c>
      <c r="C71" s="29" t="n">
        <v>10.5</v>
      </c>
      <c r="D71" s="6" t="s">
        <v>358</v>
      </c>
      <c r="E71" s="3" t="s">
        <v>365</v>
      </c>
      <c r="F71" s="23" t="s">
        <v>182</v>
      </c>
    </row>
    <row r="72" customFormat="false" ht="15" hidden="false" customHeight="false" outlineLevel="0" collapsed="false">
      <c r="A72" s="4" t="s">
        <v>366</v>
      </c>
      <c r="B72" s="6" t="s">
        <v>367</v>
      </c>
      <c r="C72" s="29" t="n">
        <v>0.0946</v>
      </c>
      <c r="D72" s="6" t="s">
        <v>368</v>
      </c>
      <c r="E72" s="3" t="s">
        <v>369</v>
      </c>
      <c r="F72" s="23" t="s">
        <v>175</v>
      </c>
    </row>
    <row r="73" customFormat="false" ht="15" hidden="false" customHeight="false" outlineLevel="0" collapsed="false">
      <c r="A73" s="4" t="s">
        <v>370</v>
      </c>
      <c r="B73" s="6" t="s">
        <v>371</v>
      </c>
      <c r="C73" s="29" t="n">
        <v>0.0561</v>
      </c>
      <c r="D73" s="6" t="s">
        <v>368</v>
      </c>
      <c r="E73" s="3" t="s">
        <v>372</v>
      </c>
      <c r="F73" s="23" t="s">
        <v>175</v>
      </c>
    </row>
    <row r="74" customFormat="false" ht="15" hidden="false" customHeight="false" outlineLevel="0" collapsed="false">
      <c r="A74" s="4" t="s">
        <v>373</v>
      </c>
      <c r="B74" s="6" t="s">
        <v>374</v>
      </c>
      <c r="C74" s="29" t="n">
        <v>0.0774</v>
      </c>
      <c r="D74" s="6" t="s">
        <v>368</v>
      </c>
      <c r="E74" s="3" t="s">
        <v>372</v>
      </c>
      <c r="F74" s="23" t="s">
        <v>175</v>
      </c>
    </row>
    <row r="75" customFormat="false" ht="15" hidden="false" customHeight="false" outlineLevel="0" collapsed="false">
      <c r="A75" s="4" t="s">
        <v>375</v>
      </c>
      <c r="B75" s="6" t="s">
        <v>376</v>
      </c>
      <c r="C75" s="29" t="n">
        <v>0.0693</v>
      </c>
      <c r="D75" s="6" t="s">
        <v>368</v>
      </c>
      <c r="E75" s="3" t="s">
        <v>372</v>
      </c>
      <c r="F75" s="23" t="s">
        <v>175</v>
      </c>
    </row>
    <row r="76" customFormat="false" ht="15" hidden="false" customHeight="false" outlineLevel="0" collapsed="false">
      <c r="A76" s="4" t="s">
        <v>377</v>
      </c>
      <c r="B76" s="6" t="s">
        <v>378</v>
      </c>
      <c r="C76" s="29" t="n">
        <v>0.0386</v>
      </c>
      <c r="D76" s="6" t="s">
        <v>379</v>
      </c>
      <c r="E76" s="3" t="s">
        <v>380</v>
      </c>
      <c r="F76" s="23" t="s">
        <v>175</v>
      </c>
    </row>
    <row r="77" customFormat="false" ht="15" hidden="false" customHeight="false" outlineLevel="0" collapsed="false">
      <c r="A77" s="4" t="s">
        <v>381</v>
      </c>
      <c r="B77" s="6" t="s">
        <v>382</v>
      </c>
      <c r="C77" s="29" t="n">
        <v>0.0342</v>
      </c>
      <c r="D77" s="6" t="s">
        <v>379</v>
      </c>
      <c r="E77" s="3" t="s">
        <v>380</v>
      </c>
      <c r="F77" s="23" t="s">
        <v>175</v>
      </c>
    </row>
    <row r="78" customFormat="false" ht="22.35" hidden="false" customHeight="false" outlineLevel="0" collapsed="false">
      <c r="A78" s="4" t="s">
        <v>383</v>
      </c>
      <c r="B78" s="6" t="s">
        <v>384</v>
      </c>
      <c r="C78" s="24" t="n">
        <v>5000</v>
      </c>
      <c r="D78" s="6" t="s">
        <v>385</v>
      </c>
      <c r="E78" s="3" t="s">
        <v>386</v>
      </c>
      <c r="F78" s="23" t="s">
        <v>195</v>
      </c>
    </row>
    <row r="79" customFormat="false" ht="15" hidden="false" customHeight="false" outlineLevel="0" collapsed="false">
      <c r="A79" s="4" t="s">
        <v>387</v>
      </c>
      <c r="B79" s="6" t="s">
        <v>388</v>
      </c>
      <c r="C79" s="29" t="n">
        <v>15000</v>
      </c>
      <c r="D79" s="6" t="s">
        <v>389</v>
      </c>
      <c r="E79" s="3" t="s">
        <v>390</v>
      </c>
      <c r="F79" s="23" t="s">
        <v>182</v>
      </c>
    </row>
    <row r="80" customFormat="false" ht="15" hidden="false" customHeight="false" outlineLevel="0" collapsed="false">
      <c r="A80" s="4" t="s">
        <v>391</v>
      </c>
      <c r="B80" s="6" t="s">
        <v>392</v>
      </c>
      <c r="C80" s="29" t="n">
        <v>7.5</v>
      </c>
      <c r="D80" s="6" t="s">
        <v>393</v>
      </c>
      <c r="E80" s="3" t="s">
        <v>394</v>
      </c>
      <c r="F80" s="23" t="s">
        <v>182</v>
      </c>
    </row>
    <row r="81" customFormat="false" ht="15" hidden="false" customHeight="false" outlineLevel="0" collapsed="false">
      <c r="A81" s="4" t="s">
        <v>395</v>
      </c>
      <c r="B81" s="6" t="s">
        <v>396</v>
      </c>
      <c r="C81" s="29" t="n">
        <v>0.18</v>
      </c>
      <c r="D81" s="6" t="s">
        <v>397</v>
      </c>
      <c r="E81" s="3" t="s">
        <v>398</v>
      </c>
      <c r="F81" s="23" t="s">
        <v>182</v>
      </c>
    </row>
    <row r="82" customFormat="false" ht="15" hidden="false" customHeight="false" outlineLevel="0" collapsed="false">
      <c r="A82" s="4" t="s">
        <v>399</v>
      </c>
      <c r="B82" s="6" t="s">
        <v>400</v>
      </c>
      <c r="C82" s="22" t="n">
        <v>0.012</v>
      </c>
      <c r="D82" s="6" t="s">
        <v>401</v>
      </c>
      <c r="E82" s="3" t="s">
        <v>402</v>
      </c>
      <c r="F82" s="23" t="s">
        <v>182</v>
      </c>
    </row>
    <row r="83" customFormat="false" ht="22.35" hidden="false" customHeight="false" outlineLevel="0" collapsed="false">
      <c r="A83" s="4" t="s">
        <v>403</v>
      </c>
      <c r="B83" s="6" t="s">
        <v>404</v>
      </c>
      <c r="C83" s="24" t="n">
        <v>100</v>
      </c>
      <c r="D83" s="6" t="s">
        <v>327</v>
      </c>
      <c r="E83" s="3" t="s">
        <v>405</v>
      </c>
      <c r="F83" s="23" t="s">
        <v>182</v>
      </c>
    </row>
    <row r="84" customFormat="false" ht="22.35" hidden="false" customHeight="false" outlineLevel="0" collapsed="false">
      <c r="A84" s="4" t="s">
        <v>406</v>
      </c>
      <c r="B84" s="6" t="s">
        <v>407</v>
      </c>
      <c r="C84" s="24" t="n">
        <v>50</v>
      </c>
      <c r="D84" s="6" t="s">
        <v>327</v>
      </c>
      <c r="E84" s="3" t="s">
        <v>408</v>
      </c>
      <c r="F84" s="23" t="s">
        <v>195</v>
      </c>
    </row>
    <row r="85" customFormat="false" ht="15" hidden="false" customHeight="false" outlineLevel="0" collapsed="false">
      <c r="A85" s="20" t="s">
        <v>409</v>
      </c>
      <c r="B85" s="21"/>
      <c r="C85" s="21"/>
      <c r="D85" s="21"/>
      <c r="E85" s="21"/>
      <c r="F85" s="21"/>
    </row>
    <row r="86" customFormat="false" ht="22.35" hidden="false" customHeight="false" outlineLevel="0" collapsed="false">
      <c r="A86" s="4" t="s">
        <v>410</v>
      </c>
      <c r="B86" s="6" t="s">
        <v>411</v>
      </c>
      <c r="C86" s="32" t="n">
        <v>0.5</v>
      </c>
      <c r="D86" s="6" t="s">
        <v>304</v>
      </c>
      <c r="E86" s="3" t="s">
        <v>412</v>
      </c>
      <c r="F86" s="23" t="s">
        <v>195</v>
      </c>
    </row>
    <row r="87" customFormat="false" ht="22.35" hidden="false" customHeight="false" outlineLevel="0" collapsed="false">
      <c r="A87" s="4" t="s">
        <v>413</v>
      </c>
      <c r="B87" s="6" t="s">
        <v>414</v>
      </c>
      <c r="C87" s="32" t="n">
        <v>0.5</v>
      </c>
      <c r="D87" s="6" t="s">
        <v>415</v>
      </c>
      <c r="E87" s="3" t="s">
        <v>416</v>
      </c>
      <c r="F87" s="23" t="s">
        <v>195</v>
      </c>
    </row>
    <row r="88" customFormat="false" ht="15" hidden="false" customHeight="false" outlineLevel="0" collapsed="false">
      <c r="A88" s="20" t="s">
        <v>417</v>
      </c>
      <c r="B88" s="21"/>
      <c r="C88" s="21"/>
      <c r="D88" s="21"/>
      <c r="E88" s="21"/>
      <c r="F88" s="21"/>
    </row>
    <row r="89" customFormat="false" ht="15" hidden="false" customHeight="false" outlineLevel="0" collapsed="false">
      <c r="A89" s="4" t="s">
        <v>418</v>
      </c>
      <c r="B89" s="6" t="s">
        <v>419</v>
      </c>
      <c r="C89" s="27" t="n">
        <v>0.3</v>
      </c>
      <c r="D89" s="6" t="s">
        <v>202</v>
      </c>
      <c r="E89" s="3" t="s">
        <v>217</v>
      </c>
      <c r="F89" s="23" t="s">
        <v>195</v>
      </c>
    </row>
    <row r="90" customFormat="false" ht="15" hidden="false" customHeight="false" outlineLevel="0" collapsed="false">
      <c r="A90" s="4" t="s">
        <v>420</v>
      </c>
      <c r="B90" s="6" t="s">
        <v>421</v>
      </c>
      <c r="C90" s="27" t="n">
        <v>0.5</v>
      </c>
      <c r="D90" s="6" t="s">
        <v>202</v>
      </c>
      <c r="E90" s="3" t="s">
        <v>422</v>
      </c>
      <c r="F90" s="23" t="s">
        <v>195</v>
      </c>
    </row>
    <row r="91" customFormat="false" ht="15" hidden="false" customHeight="false" outlineLevel="0" collapsed="false">
      <c r="A91" s="4" t="s">
        <v>423</v>
      </c>
      <c r="B91" s="6" t="s">
        <v>424</v>
      </c>
      <c r="C91" s="26" t="n">
        <v>0.4</v>
      </c>
      <c r="D91" s="6" t="s">
        <v>202</v>
      </c>
      <c r="E91" s="3" t="s">
        <v>425</v>
      </c>
      <c r="F91" s="23" t="s">
        <v>182</v>
      </c>
    </row>
    <row r="92" customFormat="false" ht="15" hidden="false" customHeight="false" outlineLevel="0" collapsed="false">
      <c r="A92" s="4" t="s">
        <v>426</v>
      </c>
      <c r="B92" s="6" t="s">
        <v>427</v>
      </c>
      <c r="C92" s="26" t="n">
        <v>0.13</v>
      </c>
      <c r="D92" s="6" t="s">
        <v>202</v>
      </c>
      <c r="E92" s="3" t="s">
        <v>428</v>
      </c>
      <c r="F92" s="23" t="s">
        <v>175</v>
      </c>
    </row>
    <row r="93" customFormat="false" ht="15" hidden="false" customHeight="false" outlineLevel="0" collapsed="false">
      <c r="A93" s="4" t="s">
        <v>429</v>
      </c>
      <c r="B93" s="6" t="s">
        <v>430</v>
      </c>
      <c r="C93" s="26" t="n">
        <v>0.27</v>
      </c>
      <c r="D93" s="6" t="s">
        <v>202</v>
      </c>
      <c r="E93" s="3" t="s">
        <v>431</v>
      </c>
      <c r="F93" s="23" t="s">
        <v>175</v>
      </c>
    </row>
    <row r="94" customFormat="false" ht="15" hidden="false" customHeight="false" outlineLevel="0" collapsed="false">
      <c r="A94" s="4" t="s">
        <v>432</v>
      </c>
      <c r="B94" s="6" t="s">
        <v>433</v>
      </c>
      <c r="C94" s="26" t="n">
        <v>0.4</v>
      </c>
      <c r="D94" s="6" t="s">
        <v>202</v>
      </c>
      <c r="E94" s="3" t="s">
        <v>431</v>
      </c>
      <c r="F94" s="23" t="s">
        <v>175</v>
      </c>
    </row>
    <row r="95" customFormat="false" ht="15" hidden="false" customHeight="false" outlineLevel="0" collapsed="false">
      <c r="A95" s="4" t="s">
        <v>434</v>
      </c>
      <c r="B95" s="6" t="s">
        <v>435</v>
      </c>
      <c r="C95" s="29" t="n">
        <v>1</v>
      </c>
      <c r="D95" s="6" t="s">
        <v>251</v>
      </c>
      <c r="E95" s="3" t="s">
        <v>436</v>
      </c>
      <c r="F95" s="23"/>
    </row>
    <row r="96" customFormat="false" ht="15" hidden="false" customHeight="false" outlineLevel="0" collapsed="false">
      <c r="A96" s="4" t="s">
        <v>437</v>
      </c>
      <c r="B96" s="6" t="s">
        <v>438</v>
      </c>
      <c r="C96" s="29" t="n">
        <v>0</v>
      </c>
      <c r="D96" s="6" t="s">
        <v>251</v>
      </c>
      <c r="E96" s="3" t="s">
        <v>439</v>
      </c>
      <c r="F96" s="23"/>
    </row>
    <row r="97" customFormat="false" ht="15" hidden="false" customHeight="false" outlineLevel="0" collapsed="false">
      <c r="A97" s="4" t="s">
        <v>440</v>
      </c>
      <c r="B97" s="6" t="s">
        <v>441</v>
      </c>
      <c r="C97" s="26" t="n">
        <v>0.666666666666667</v>
      </c>
      <c r="D97" s="6" t="s">
        <v>202</v>
      </c>
      <c r="E97" s="3" t="s">
        <v>431</v>
      </c>
      <c r="F97" s="23" t="s">
        <v>182</v>
      </c>
    </row>
    <row r="99" customFormat="false" ht="15" hidden="false" customHeight="false" outlineLevel="0" collapsed="false">
      <c r="A99" s="4" t="s">
        <v>442</v>
      </c>
    </row>
    <row r="102" customFormat="false" ht="15" hidden="false" customHeight="false" outlineLevel="0" collapsed="false">
      <c r="A102" s="20" t="s">
        <v>443</v>
      </c>
      <c r="B102" s="21"/>
      <c r="C102" s="21"/>
      <c r="D102" s="21"/>
      <c r="E102" s="21"/>
      <c r="F102" s="21"/>
    </row>
    <row r="103" customFormat="false" ht="15" hidden="false" customHeight="false" outlineLevel="0" collapsed="false">
      <c r="A103" s="4" t="s">
        <v>444</v>
      </c>
      <c r="B103" s="6" t="s">
        <v>445</v>
      </c>
      <c r="C103" s="16" t="n">
        <f aca="false">SUM(Country_Data!$ED$5:$ED$199)/SUM(Country_Data!$EF$5:$EF$199)</f>
        <v>161.007344694237</v>
      </c>
      <c r="D103" s="6" t="s">
        <v>446</v>
      </c>
    </row>
    <row r="104" customFormat="false" ht="15" hidden="false" customHeight="false" outlineLevel="0" collapsed="false">
      <c r="A104" s="4" t="s">
        <v>447</v>
      </c>
      <c r="B104" s="6" t="s">
        <v>448</v>
      </c>
      <c r="C104" s="16" t="n">
        <f aca="false">SUM(Country_Data!$EE$5:$EE$199)/SUM(Country_Data!$EF$5:$EF$199)</f>
        <v>52.5907947357056</v>
      </c>
      <c r="D104" s="6" t="s">
        <v>446</v>
      </c>
    </row>
    <row r="105" customFormat="false" ht="15" hidden="false" customHeight="false" outlineLevel="0" collapsed="false">
      <c r="A105" s="4" t="s">
        <v>449</v>
      </c>
      <c r="B105" s="6" t="s">
        <v>450</v>
      </c>
      <c r="C105" s="13" t="n">
        <f aca="false">SUM(Country_Data!$DO$5:$DO$199)</f>
        <v>0</v>
      </c>
      <c r="D105" s="6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8" min="6" style="0" width="9"/>
    <col collapsed="false" customWidth="true" hidden="false" outlineLevel="0" max="10" min="9" style="0" width="10"/>
    <col collapsed="false" customWidth="true" hidden="false" outlineLevel="0" max="11" min="11" style="0" width="44"/>
    <col collapsed="false" customWidth="true" hidden="false" outlineLevel="0" max="13" min="12" style="0" width="34"/>
  </cols>
  <sheetData>
    <row r="1" customFormat="false" ht="16.15" hidden="false" customHeight="false" outlineLevel="0" collapsed="false">
      <c r="A1" s="1" t="s">
        <v>452</v>
      </c>
    </row>
    <row r="2" customFormat="false" ht="15" hidden="false" customHeight="false" outlineLevel="0" collapsed="false">
      <c r="A2" s="4" t="s">
        <v>453</v>
      </c>
    </row>
    <row r="4" customFormat="false" ht="36" hidden="false" customHeight="true" outlineLevel="0" collapsed="false">
      <c r="A4" s="5" t="s">
        <v>454</v>
      </c>
      <c r="B4" s="5" t="s">
        <v>68</v>
      </c>
      <c r="C4" s="5" t="s">
        <v>455</v>
      </c>
      <c r="D4" s="5" t="s">
        <v>456</v>
      </c>
      <c r="E4" s="5" t="s">
        <v>457</v>
      </c>
      <c r="F4" s="5" t="s">
        <v>458</v>
      </c>
      <c r="G4" s="5" t="s">
        <v>459</v>
      </c>
      <c r="H4" s="5" t="s">
        <v>460</v>
      </c>
      <c r="I4" s="5" t="s">
        <v>461</v>
      </c>
      <c r="J4" s="5" t="s">
        <v>462</v>
      </c>
      <c r="K4" s="5" t="s">
        <v>463</v>
      </c>
      <c r="L4" s="5" t="s">
        <v>464</v>
      </c>
      <c r="M4" s="5" t="s">
        <v>465</v>
      </c>
    </row>
    <row r="5" customFormat="false" ht="22.35" hidden="false" customHeight="false" outlineLevel="0" collapsed="false">
      <c r="A5" s="9" t="s">
        <v>466</v>
      </c>
      <c r="B5" s="6" t="s">
        <v>77</v>
      </c>
      <c r="C5" s="28" t="n">
        <f aca="false">p_sh_gen</f>
        <v>0.35</v>
      </c>
      <c r="D5" s="29" t="n">
        <v>25</v>
      </c>
      <c r="E5" s="26" t="n">
        <v>0</v>
      </c>
      <c r="F5" s="28" t="n">
        <f aca="false">p_inc_ae</f>
        <v>0.38</v>
      </c>
      <c r="G5" s="28" t="n">
        <f aca="false">p_inc_chn</f>
        <v>0.38</v>
      </c>
      <c r="H5" s="28" t="n">
        <f aca="false">p_inc_emdc</f>
        <v>0.24</v>
      </c>
      <c r="I5" s="33" t="n">
        <v>1</v>
      </c>
      <c r="J5" s="33" t="n">
        <v>1</v>
      </c>
      <c r="K5" s="3" t="s">
        <v>467</v>
      </c>
      <c r="L5" s="6" t="s">
        <v>468</v>
      </c>
      <c r="M5" s="6" t="s">
        <v>469</v>
      </c>
    </row>
    <row r="6" customFormat="false" ht="22.35" hidden="false" customHeight="false" outlineLevel="0" collapsed="false">
      <c r="A6" s="9" t="s">
        <v>470</v>
      </c>
      <c r="B6" s="6" t="s">
        <v>78</v>
      </c>
      <c r="C6" s="28" t="n">
        <f aca="false">p_sh_grid</f>
        <v>0.24</v>
      </c>
      <c r="D6" s="29" t="n">
        <v>40</v>
      </c>
      <c r="E6" s="26" t="n">
        <v>0</v>
      </c>
      <c r="F6" s="28" t="n">
        <f aca="false">p_inc_ae</f>
        <v>0.38</v>
      </c>
      <c r="G6" s="28" t="n">
        <f aca="false">p_inc_chn</f>
        <v>0.38</v>
      </c>
      <c r="H6" s="28" t="n">
        <f aca="false">p_inc_emdc</f>
        <v>0.24</v>
      </c>
      <c r="I6" s="33" t="n">
        <v>1</v>
      </c>
      <c r="J6" s="33" t="n">
        <v>1</v>
      </c>
      <c r="K6" s="3" t="s">
        <v>471</v>
      </c>
      <c r="L6" s="6" t="s">
        <v>468</v>
      </c>
      <c r="M6" s="6" t="s">
        <v>472</v>
      </c>
    </row>
    <row r="7" customFormat="false" ht="22.35" hidden="false" customHeight="false" outlineLevel="0" collapsed="false">
      <c r="A7" s="9" t="s">
        <v>473</v>
      </c>
      <c r="B7" s="6" t="s">
        <v>79</v>
      </c>
      <c r="C7" s="28" t="n">
        <f aca="false">p_sh_end*p_spl_trn</f>
        <v>0.1485</v>
      </c>
      <c r="D7" s="29" t="n">
        <v>12</v>
      </c>
      <c r="E7" s="26" t="n">
        <v>0</v>
      </c>
      <c r="F7" s="28" t="n">
        <f aca="false">p_inc_ae</f>
        <v>0.38</v>
      </c>
      <c r="G7" s="28" t="n">
        <f aca="false">p_inc_chn</f>
        <v>0.38</v>
      </c>
      <c r="H7" s="28" t="n">
        <f aca="false">p_inc_emdc</f>
        <v>0.24</v>
      </c>
      <c r="I7" s="33" t="n">
        <v>1</v>
      </c>
      <c r="J7" s="33" t="n">
        <v>1</v>
      </c>
      <c r="K7" s="3" t="s">
        <v>474</v>
      </c>
      <c r="L7" s="6" t="s">
        <v>475</v>
      </c>
      <c r="M7" s="6" t="s">
        <v>476</v>
      </c>
    </row>
    <row r="8" customFormat="false" ht="22.35" hidden="false" customHeight="false" outlineLevel="0" collapsed="false">
      <c r="A8" s="9" t="s">
        <v>477</v>
      </c>
      <c r="B8" s="6" t="s">
        <v>80</v>
      </c>
      <c r="C8" s="28" t="n">
        <f aca="false">p_sh_end*p_spl_bld</f>
        <v>0.1155</v>
      </c>
      <c r="D8" s="29" t="n">
        <v>25</v>
      </c>
      <c r="E8" s="26" t="n">
        <v>0</v>
      </c>
      <c r="F8" s="28" t="n">
        <f aca="false">p_inc_ae</f>
        <v>0.38</v>
      </c>
      <c r="G8" s="28" t="n">
        <f aca="false">p_inc_chn</f>
        <v>0.38</v>
      </c>
      <c r="H8" s="28" t="n">
        <f aca="false">p_inc_emdc</f>
        <v>0.24</v>
      </c>
      <c r="I8" s="33" t="n">
        <v>1</v>
      </c>
      <c r="J8" s="33" t="n">
        <v>1</v>
      </c>
      <c r="K8" s="3" t="s">
        <v>478</v>
      </c>
      <c r="L8" s="6" t="s">
        <v>479</v>
      </c>
      <c r="M8" s="6" t="s">
        <v>480</v>
      </c>
    </row>
    <row r="9" customFormat="false" ht="22.35" hidden="false" customHeight="false" outlineLevel="0" collapsed="false">
      <c r="A9" s="9" t="s">
        <v>481</v>
      </c>
      <c r="B9" s="6" t="s">
        <v>81</v>
      </c>
      <c r="C9" s="28" t="n">
        <f aca="false">p_sh_end*p_spl_ind</f>
        <v>0.066</v>
      </c>
      <c r="D9" s="29" t="n">
        <v>25</v>
      </c>
      <c r="E9" s="26" t="n">
        <v>0</v>
      </c>
      <c r="F9" s="28" t="n">
        <f aca="false">p_inc_ae</f>
        <v>0.38</v>
      </c>
      <c r="G9" s="28" t="n">
        <f aca="false">p_inc_chn</f>
        <v>0.38</v>
      </c>
      <c r="H9" s="28" t="n">
        <f aca="false">p_inc_emdc</f>
        <v>0.24</v>
      </c>
      <c r="I9" s="33" t="n">
        <v>1</v>
      </c>
      <c r="J9" s="33" t="n">
        <v>1</v>
      </c>
      <c r="K9" s="3" t="s">
        <v>478</v>
      </c>
      <c r="L9" s="6" t="s">
        <v>482</v>
      </c>
      <c r="M9" s="6" t="s">
        <v>483</v>
      </c>
    </row>
    <row r="10" customFormat="false" ht="22.35" hidden="false" customHeight="false" outlineLevel="0" collapsed="false">
      <c r="A10" s="9" t="s">
        <v>484</v>
      </c>
      <c r="B10" s="6" t="s">
        <v>82</v>
      </c>
      <c r="C10" s="28" t="n">
        <f aca="false">p_sh_fuel</f>
        <v>0.08</v>
      </c>
      <c r="D10" s="30" t="n">
        <v>20</v>
      </c>
      <c r="E10" s="26" t="n">
        <v>0</v>
      </c>
      <c r="F10" s="28" t="n">
        <f aca="false">p_inc_ae</f>
        <v>0.38</v>
      </c>
      <c r="G10" s="28" t="n">
        <f aca="false">p_inc_chn</f>
        <v>0.38</v>
      </c>
      <c r="H10" s="28" t="n">
        <f aca="false">p_inc_emdc</f>
        <v>0.24</v>
      </c>
      <c r="I10" s="33" t="n">
        <v>1</v>
      </c>
      <c r="J10" s="33" t="n">
        <v>1</v>
      </c>
      <c r="K10" s="3" t="s">
        <v>485</v>
      </c>
      <c r="L10" s="6" t="s">
        <v>486</v>
      </c>
      <c r="M10" s="6" t="s">
        <v>487</v>
      </c>
    </row>
    <row r="11" customFormat="false" ht="22.35" hidden="false" customHeight="false" outlineLevel="0" collapsed="false">
      <c r="A11" s="9" t="s">
        <v>488</v>
      </c>
      <c r="B11" s="6" t="s">
        <v>83</v>
      </c>
      <c r="C11" s="28" t="s">
        <v>489</v>
      </c>
      <c r="D11" s="30" t="n">
        <v>30</v>
      </c>
      <c r="E11" s="26" t="n">
        <v>0</v>
      </c>
      <c r="F11" s="28" t="n">
        <f aca="false">p_inc_ae</f>
        <v>0.38</v>
      </c>
      <c r="G11" s="28" t="n">
        <f aca="false">p_inc_chn</f>
        <v>0.38</v>
      </c>
      <c r="H11" s="28" t="n">
        <f aca="false">p_inc_emdc</f>
        <v>0.24</v>
      </c>
      <c r="I11" s="33" t="n">
        <v>1</v>
      </c>
      <c r="J11" s="33" t="n">
        <v>1</v>
      </c>
      <c r="K11" s="3" t="s">
        <v>490</v>
      </c>
      <c r="L11" s="6" t="s">
        <v>491</v>
      </c>
      <c r="M11" s="6" t="s">
        <v>487</v>
      </c>
    </row>
    <row r="12" customFormat="false" ht="15" hidden="false" customHeight="false" outlineLevel="0" collapsed="false">
      <c r="B12" s="9" t="s">
        <v>492</v>
      </c>
      <c r="C12" s="34" t="n">
        <f aca="false">SUM(C5:C10)</f>
        <v>1</v>
      </c>
    </row>
    <row r="14" customFormat="false" ht="15" hidden="false" customHeight="false" outlineLevel="0" collapsed="false">
      <c r="A14" s="2" t="s">
        <v>493</v>
      </c>
    </row>
    <row r="15" customFormat="false" ht="36" hidden="false" customHeight="true" outlineLevel="0" collapsed="false">
      <c r="A15" s="5" t="s">
        <v>454</v>
      </c>
      <c r="B15" s="5" t="s">
        <v>68</v>
      </c>
      <c r="C15" s="5" t="s">
        <v>29</v>
      </c>
      <c r="D15" s="5" t="s">
        <v>30</v>
      </c>
      <c r="E15" s="5" t="s">
        <v>31</v>
      </c>
      <c r="F15" s="5" t="s">
        <v>32</v>
      </c>
    </row>
    <row r="16" customFormat="false" ht="15" hidden="false" customHeight="false" outlineLevel="0" collapsed="false">
      <c r="A16" s="9" t="s">
        <v>466</v>
      </c>
      <c r="B16" s="6" t="s">
        <v>77</v>
      </c>
      <c r="C16" s="7" t="n">
        <f aca="false">p_ce_ae*C5</f>
        <v>822.5</v>
      </c>
      <c r="D16" s="7" t="n">
        <f aca="false">p_ce_chn*C5</f>
        <v>297.5</v>
      </c>
      <c r="E16" s="7" t="n">
        <f aca="false">p_ce_emdc*C5</f>
        <v>560</v>
      </c>
      <c r="F16" s="8" t="n">
        <f aca="false">SUM(C16:E16)</f>
        <v>1680</v>
      </c>
    </row>
    <row r="17" customFormat="false" ht="15" hidden="false" customHeight="false" outlineLevel="0" collapsed="false">
      <c r="A17" s="9" t="s">
        <v>470</v>
      </c>
      <c r="B17" s="6" t="s">
        <v>78</v>
      </c>
      <c r="C17" s="7" t="n">
        <f aca="false">p_ce_ae*C6</f>
        <v>564</v>
      </c>
      <c r="D17" s="7" t="n">
        <f aca="false">p_ce_chn*C6</f>
        <v>204</v>
      </c>
      <c r="E17" s="7" t="n">
        <f aca="false">p_ce_emdc*C6</f>
        <v>384</v>
      </c>
      <c r="F17" s="8" t="n">
        <f aca="false">SUM(C17:E17)</f>
        <v>1152</v>
      </c>
    </row>
    <row r="18" customFormat="false" ht="15" hidden="false" customHeight="false" outlineLevel="0" collapsed="false">
      <c r="A18" s="9" t="s">
        <v>473</v>
      </c>
      <c r="B18" s="6" t="s">
        <v>79</v>
      </c>
      <c r="C18" s="7" t="n">
        <f aca="false">p_ce_ae*C7</f>
        <v>348.975</v>
      </c>
      <c r="D18" s="7" t="n">
        <f aca="false">p_ce_chn*C7</f>
        <v>126.225</v>
      </c>
      <c r="E18" s="7" t="n">
        <f aca="false">p_ce_emdc*C7</f>
        <v>237.6</v>
      </c>
      <c r="F18" s="8" t="n">
        <f aca="false">SUM(C18:E18)</f>
        <v>712.8</v>
      </c>
    </row>
    <row r="19" customFormat="false" ht="15" hidden="false" customHeight="false" outlineLevel="0" collapsed="false">
      <c r="A19" s="9" t="s">
        <v>477</v>
      </c>
      <c r="B19" s="6" t="s">
        <v>80</v>
      </c>
      <c r="C19" s="7" t="n">
        <f aca="false">p_ce_ae*C8</f>
        <v>271.425</v>
      </c>
      <c r="D19" s="7" t="n">
        <f aca="false">p_ce_chn*C8</f>
        <v>98.175</v>
      </c>
      <c r="E19" s="7" t="n">
        <f aca="false">p_ce_emdc*C8</f>
        <v>184.8</v>
      </c>
      <c r="F19" s="8" t="n">
        <f aca="false">SUM(C19:E19)</f>
        <v>554.4</v>
      </c>
    </row>
    <row r="20" customFormat="false" ht="15" hidden="false" customHeight="false" outlineLevel="0" collapsed="false">
      <c r="A20" s="9" t="s">
        <v>481</v>
      </c>
      <c r="B20" s="6" t="s">
        <v>81</v>
      </c>
      <c r="C20" s="7" t="n">
        <f aca="false">p_ce_ae*C9</f>
        <v>155.1</v>
      </c>
      <c r="D20" s="7" t="n">
        <f aca="false">p_ce_chn*C9</f>
        <v>56.1</v>
      </c>
      <c r="E20" s="7" t="n">
        <f aca="false">p_ce_emdc*C9</f>
        <v>105.6</v>
      </c>
      <c r="F20" s="8" t="n">
        <f aca="false">SUM(C20:E20)</f>
        <v>316.8</v>
      </c>
    </row>
    <row r="21" customFormat="false" ht="15" hidden="false" customHeight="false" outlineLevel="0" collapsed="false">
      <c r="A21" s="9" t="s">
        <v>484</v>
      </c>
      <c r="B21" s="6" t="s">
        <v>82</v>
      </c>
      <c r="C21" s="7" t="n">
        <f aca="false">p_ce_ae*C10</f>
        <v>188</v>
      </c>
      <c r="D21" s="7" t="n">
        <f aca="false">p_ce_chn*C10</f>
        <v>68</v>
      </c>
      <c r="E21" s="7" t="n">
        <f aca="false">p_ce_emdc*C10</f>
        <v>128</v>
      </c>
      <c r="F21" s="8" t="n">
        <f aca="false">SUM(C21:E21)</f>
        <v>384</v>
      </c>
    </row>
    <row r="22" customFormat="false" ht="15" hidden="false" customHeight="false" outlineLevel="0" collapsed="false">
      <c r="A22" s="9" t="s">
        <v>488</v>
      </c>
      <c r="B22" s="6" t="s">
        <v>83</v>
      </c>
      <c r="C22" s="7" t="n">
        <f aca="false">p_nat_ae</f>
        <v>35.984375</v>
      </c>
      <c r="D22" s="7" t="n">
        <f aca="false">p_nat_chn</f>
        <v>13.015625</v>
      </c>
      <c r="E22" s="7" t="n">
        <f aca="false">p_nat_emdc</f>
        <v>350</v>
      </c>
      <c r="F22" s="8" t="n">
        <f aca="false">SUM(C22:E22)</f>
        <v>399</v>
      </c>
    </row>
    <row r="23" customFormat="false" ht="15" hidden="false" customHeight="false" outlineLevel="0" collapsed="false">
      <c r="B23" s="9" t="s">
        <v>84</v>
      </c>
      <c r="C23" s="8" t="n">
        <f aca="false">SUM(C16:C22)</f>
        <v>2385.984375</v>
      </c>
      <c r="D23" s="8" t="n">
        <f aca="false">SUM(D16:D22)</f>
        <v>863.015625</v>
      </c>
      <c r="E23" s="8" t="n">
        <f aca="false">SUM(E16:E22)</f>
        <v>1950</v>
      </c>
      <c r="F23" s="8" t="n">
        <f aca="false">SUM(F16:F22)</f>
        <v>5199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125" min="6" style="0" width="11"/>
    <col collapsed="false" customWidth="true" hidden="false" outlineLevel="0" max="126" min="126" style="0" width="20"/>
    <col collapsed="false" customWidth="true" hidden="false" outlineLevel="0" max="129" min="127" style="0" width="11"/>
    <col collapsed="false" customWidth="true" hidden="false" outlineLevel="0" max="130" min="130" style="0" width="18"/>
    <col collapsed="false" customWidth="true" hidden="false" outlineLevel="0" max="136" min="131" style="0" width="11"/>
  </cols>
  <sheetData>
    <row r="1" customFormat="false" ht="16.15" hidden="false" customHeight="false" outlineLevel="0" collapsed="false">
      <c r="A1" s="1" t="s">
        <v>494</v>
      </c>
    </row>
    <row r="2" customFormat="false" ht="15" hidden="false" customHeight="false" outlineLevel="0" collapsed="false">
      <c r="A2" s="4" t="s">
        <v>495</v>
      </c>
    </row>
    <row r="3" customFormat="false" ht="15" hidden="false" customHeight="false" outlineLevel="0" collapsed="false">
      <c r="A3" s="4" t="s">
        <v>496</v>
      </c>
      <c r="B3" s="4" t="s">
        <v>497</v>
      </c>
      <c r="C3" s="4" t="s">
        <v>498</v>
      </c>
      <c r="D3" s="4" t="s">
        <v>499</v>
      </c>
      <c r="E3" s="4" t="s">
        <v>500</v>
      </c>
      <c r="F3" s="4" t="s">
        <v>501</v>
      </c>
      <c r="G3" s="4" t="s">
        <v>502</v>
      </c>
      <c r="H3" s="4" t="s">
        <v>503</v>
      </c>
      <c r="I3" s="4" t="s">
        <v>504</v>
      </c>
      <c r="J3" s="4" t="s">
        <v>505</v>
      </c>
      <c r="K3" s="4" t="s">
        <v>506</v>
      </c>
      <c r="L3" s="4" t="s">
        <v>507</v>
      </c>
      <c r="M3" s="4" t="s">
        <v>508</v>
      </c>
      <c r="N3" s="4" t="s">
        <v>509</v>
      </c>
      <c r="O3" s="4" t="s">
        <v>510</v>
      </c>
      <c r="P3" s="4" t="s">
        <v>511</v>
      </c>
      <c r="Q3" s="4" t="s">
        <v>512</v>
      </c>
      <c r="R3" s="4" t="s">
        <v>513</v>
      </c>
      <c r="S3" s="4" t="s">
        <v>514</v>
      </c>
      <c r="T3" s="4" t="s">
        <v>515</v>
      </c>
      <c r="U3" s="4" t="s">
        <v>516</v>
      </c>
      <c r="V3" s="4" t="s">
        <v>517</v>
      </c>
      <c r="W3" s="4" t="s">
        <v>518</v>
      </c>
      <c r="X3" s="4" t="s">
        <v>519</v>
      </c>
      <c r="Y3" s="4" t="s">
        <v>520</v>
      </c>
      <c r="Z3" s="4" t="s">
        <v>521</v>
      </c>
      <c r="AA3" s="4" t="s">
        <v>522</v>
      </c>
      <c r="AB3" s="4" t="s">
        <v>523</v>
      </c>
      <c r="AC3" s="4" t="s">
        <v>524</v>
      </c>
      <c r="AD3" s="4" t="s">
        <v>525</v>
      </c>
      <c r="AE3" s="4" t="s">
        <v>526</v>
      </c>
      <c r="AF3" s="4" t="s">
        <v>527</v>
      </c>
      <c r="AG3" s="4" t="s">
        <v>528</v>
      </c>
      <c r="AH3" s="4" t="s">
        <v>529</v>
      </c>
      <c r="AI3" s="4" t="s">
        <v>530</v>
      </c>
      <c r="AJ3" s="4" t="s">
        <v>531</v>
      </c>
      <c r="AK3" s="4" t="s">
        <v>532</v>
      </c>
      <c r="AL3" s="4" t="s">
        <v>533</v>
      </c>
      <c r="AM3" s="4" t="s">
        <v>534</v>
      </c>
      <c r="AN3" s="4" t="s">
        <v>535</v>
      </c>
      <c r="AO3" s="4" t="s">
        <v>536</v>
      </c>
      <c r="AP3" s="4" t="s">
        <v>537</v>
      </c>
      <c r="AQ3" s="4" t="s">
        <v>538</v>
      </c>
      <c r="AR3" s="4" t="s">
        <v>539</v>
      </c>
      <c r="AS3" s="4" t="s">
        <v>540</v>
      </c>
      <c r="AT3" s="4" t="s">
        <v>541</v>
      </c>
      <c r="AU3" s="4" t="s">
        <v>542</v>
      </c>
      <c r="AV3" s="4" t="s">
        <v>543</v>
      </c>
      <c r="AW3" s="4" t="s">
        <v>544</v>
      </c>
      <c r="AX3" s="4" t="s">
        <v>545</v>
      </c>
      <c r="AY3" s="4" t="s">
        <v>546</v>
      </c>
      <c r="AZ3" s="4" t="s">
        <v>547</v>
      </c>
      <c r="BA3" s="4" t="s">
        <v>548</v>
      </c>
      <c r="BB3" s="4" t="s">
        <v>549</v>
      </c>
      <c r="BC3" s="4" t="s">
        <v>550</v>
      </c>
      <c r="BD3" s="4" t="s">
        <v>551</v>
      </c>
      <c r="BE3" s="4" t="s">
        <v>552</v>
      </c>
      <c r="BF3" s="4" t="s">
        <v>553</v>
      </c>
      <c r="BG3" s="4" t="s">
        <v>554</v>
      </c>
      <c r="BH3" s="4" t="s">
        <v>555</v>
      </c>
      <c r="BI3" s="4" t="s">
        <v>556</v>
      </c>
      <c r="BJ3" s="4" t="s">
        <v>557</v>
      </c>
      <c r="BK3" s="4" t="s">
        <v>558</v>
      </c>
      <c r="BL3" s="4" t="s">
        <v>559</v>
      </c>
      <c r="BM3" s="4" t="s">
        <v>560</v>
      </c>
      <c r="BN3" s="4" t="s">
        <v>561</v>
      </c>
      <c r="BO3" s="4" t="s">
        <v>562</v>
      </c>
      <c r="BP3" s="4" t="s">
        <v>563</v>
      </c>
      <c r="BQ3" s="4" t="s">
        <v>564</v>
      </c>
      <c r="BR3" s="4" t="s">
        <v>565</v>
      </c>
      <c r="BS3" s="4" t="s">
        <v>566</v>
      </c>
      <c r="BT3" s="4" t="s">
        <v>567</v>
      </c>
      <c r="BU3" s="4" t="s">
        <v>568</v>
      </c>
      <c r="BV3" s="4" t="s">
        <v>569</v>
      </c>
      <c r="BW3" s="4" t="s">
        <v>570</v>
      </c>
      <c r="BX3" s="4" t="s">
        <v>571</v>
      </c>
      <c r="BY3" s="4" t="s">
        <v>572</v>
      </c>
      <c r="BZ3" s="4" t="s">
        <v>573</v>
      </c>
      <c r="CA3" s="4" t="s">
        <v>574</v>
      </c>
      <c r="CB3" s="4" t="s">
        <v>575</v>
      </c>
      <c r="CC3" s="4" t="s">
        <v>576</v>
      </c>
      <c r="CD3" s="4" t="s">
        <v>577</v>
      </c>
      <c r="CE3" s="4" t="s">
        <v>578</v>
      </c>
      <c r="CF3" s="4" t="s">
        <v>579</v>
      </c>
      <c r="CG3" s="4" t="s">
        <v>580</v>
      </c>
      <c r="CH3" s="4" t="s">
        <v>581</v>
      </c>
      <c r="CI3" s="4" t="s">
        <v>582</v>
      </c>
      <c r="CJ3" s="4" t="s">
        <v>583</v>
      </c>
      <c r="CK3" s="4" t="s">
        <v>584</v>
      </c>
      <c r="CL3" s="4" t="s">
        <v>585</v>
      </c>
      <c r="CM3" s="4" t="s">
        <v>586</v>
      </c>
      <c r="CN3" s="4" t="s">
        <v>587</v>
      </c>
      <c r="CO3" s="4" t="s">
        <v>588</v>
      </c>
      <c r="CP3" s="4" t="s">
        <v>589</v>
      </c>
      <c r="CQ3" s="4" t="s">
        <v>590</v>
      </c>
      <c r="CR3" s="4" t="s">
        <v>591</v>
      </c>
      <c r="CS3" s="4" t="s">
        <v>592</v>
      </c>
      <c r="CT3" s="4" t="s">
        <v>593</v>
      </c>
      <c r="CU3" s="4" t="s">
        <v>594</v>
      </c>
      <c r="CV3" s="4" t="s">
        <v>595</v>
      </c>
      <c r="CW3" s="4" t="s">
        <v>596</v>
      </c>
      <c r="CX3" s="4" t="s">
        <v>597</v>
      </c>
      <c r="CY3" s="4" t="s">
        <v>598</v>
      </c>
      <c r="CZ3" s="4" t="s">
        <v>599</v>
      </c>
      <c r="DA3" s="4" t="s">
        <v>600</v>
      </c>
      <c r="DB3" s="4" t="s">
        <v>601</v>
      </c>
      <c r="DC3" s="4" t="s">
        <v>602</v>
      </c>
      <c r="DD3" s="4" t="s">
        <v>603</v>
      </c>
      <c r="DE3" s="4" t="s">
        <v>604</v>
      </c>
      <c r="DF3" s="4" t="s">
        <v>605</v>
      </c>
      <c r="DG3" s="4" t="s">
        <v>606</v>
      </c>
      <c r="DH3" s="4" t="s">
        <v>607</v>
      </c>
      <c r="DI3" s="4" t="s">
        <v>608</v>
      </c>
      <c r="DJ3" s="4" t="s">
        <v>609</v>
      </c>
      <c r="DK3" s="4" t="s">
        <v>610</v>
      </c>
      <c r="DL3" s="4" t="s">
        <v>611</v>
      </c>
      <c r="DM3" s="4" t="s">
        <v>612</v>
      </c>
      <c r="DN3" s="4" t="s">
        <v>613</v>
      </c>
      <c r="DO3" s="4" t="s">
        <v>614</v>
      </c>
      <c r="DP3" s="4" t="s">
        <v>615</v>
      </c>
      <c r="DQ3" s="4" t="s">
        <v>616</v>
      </c>
      <c r="DR3" s="4" t="s">
        <v>617</v>
      </c>
      <c r="DS3" s="4" t="s">
        <v>618</v>
      </c>
      <c r="DT3" s="4" t="s">
        <v>619</v>
      </c>
      <c r="DU3" s="4" t="s">
        <v>620</v>
      </c>
      <c r="DV3" s="4" t="s">
        <v>621</v>
      </c>
      <c r="DW3" s="4" t="s">
        <v>622</v>
      </c>
      <c r="DX3" s="4" t="s">
        <v>623</v>
      </c>
      <c r="DY3" s="4" t="s">
        <v>624</v>
      </c>
      <c r="DZ3" s="4" t="s">
        <v>625</v>
      </c>
      <c r="EA3" s="4" t="s">
        <v>626</v>
      </c>
      <c r="EB3" s="4" t="s">
        <v>627</v>
      </c>
      <c r="EC3" s="4" t="s">
        <v>628</v>
      </c>
      <c r="ED3" s="4" t="s">
        <v>629</v>
      </c>
      <c r="EE3" s="4" t="s">
        <v>630</v>
      </c>
      <c r="EF3" s="4" t="s">
        <v>631</v>
      </c>
    </row>
    <row r="4" customFormat="false" ht="60" hidden="false" customHeight="true" outlineLevel="0" collapsed="false">
      <c r="A4" s="5" t="s">
        <v>87</v>
      </c>
      <c r="B4" s="5" t="s">
        <v>88</v>
      </c>
      <c r="C4" s="5" t="s">
        <v>632</v>
      </c>
      <c r="D4" s="5" t="s">
        <v>633</v>
      </c>
      <c r="E4" s="5" t="s">
        <v>634</v>
      </c>
      <c r="F4" s="5" t="s">
        <v>635</v>
      </c>
      <c r="G4" s="5" t="s">
        <v>636</v>
      </c>
      <c r="H4" s="5" t="s">
        <v>637</v>
      </c>
      <c r="I4" s="5" t="s">
        <v>638</v>
      </c>
      <c r="J4" s="5" t="s">
        <v>639</v>
      </c>
      <c r="K4" s="5" t="s">
        <v>640</v>
      </c>
      <c r="L4" s="5" t="s">
        <v>641</v>
      </c>
      <c r="M4" s="5" t="s">
        <v>642</v>
      </c>
      <c r="N4" s="5" t="s">
        <v>643</v>
      </c>
      <c r="O4" s="5" t="s">
        <v>644</v>
      </c>
      <c r="P4" s="5" t="s">
        <v>645</v>
      </c>
      <c r="Q4" s="5" t="s">
        <v>646</v>
      </c>
      <c r="R4" s="5" t="s">
        <v>647</v>
      </c>
      <c r="S4" s="5" t="s">
        <v>648</v>
      </c>
      <c r="T4" s="5" t="s">
        <v>649</v>
      </c>
      <c r="U4" s="5" t="s">
        <v>650</v>
      </c>
      <c r="V4" s="5" t="s">
        <v>651</v>
      </c>
      <c r="W4" s="5" t="s">
        <v>652</v>
      </c>
      <c r="X4" s="5" t="s">
        <v>653</v>
      </c>
      <c r="Y4" s="5" t="s">
        <v>654</v>
      </c>
      <c r="Z4" s="5" t="s">
        <v>655</v>
      </c>
      <c r="AA4" s="5" t="s">
        <v>656</v>
      </c>
      <c r="AB4" s="5" t="s">
        <v>657</v>
      </c>
      <c r="AC4" s="5" t="s">
        <v>658</v>
      </c>
      <c r="AD4" s="5" t="s">
        <v>659</v>
      </c>
      <c r="AE4" s="5" t="s">
        <v>660</v>
      </c>
      <c r="AF4" s="5" t="s">
        <v>661</v>
      </c>
      <c r="AG4" s="5" t="s">
        <v>662</v>
      </c>
      <c r="AH4" s="5" t="s">
        <v>663</v>
      </c>
      <c r="AI4" s="5" t="s">
        <v>664</v>
      </c>
      <c r="AJ4" s="5" t="s">
        <v>665</v>
      </c>
      <c r="AK4" s="5" t="s">
        <v>666</v>
      </c>
      <c r="AL4" s="5" t="s">
        <v>667</v>
      </c>
      <c r="AM4" s="5" t="s">
        <v>668</v>
      </c>
      <c r="AN4" s="5" t="s">
        <v>669</v>
      </c>
      <c r="AO4" s="5" t="s">
        <v>670</v>
      </c>
      <c r="AP4" s="5" t="s">
        <v>671</v>
      </c>
      <c r="AQ4" s="5" t="s">
        <v>672</v>
      </c>
      <c r="AR4" s="5" t="s">
        <v>673</v>
      </c>
      <c r="AS4" s="5" t="s">
        <v>674</v>
      </c>
      <c r="AT4" s="5" t="s">
        <v>675</v>
      </c>
      <c r="AU4" s="5" t="s">
        <v>676</v>
      </c>
      <c r="AV4" s="5" t="s">
        <v>677</v>
      </c>
      <c r="AW4" s="5" t="s">
        <v>678</v>
      </c>
      <c r="AX4" s="5" t="s">
        <v>679</v>
      </c>
      <c r="AY4" s="5" t="s">
        <v>680</v>
      </c>
      <c r="AZ4" s="5" t="s">
        <v>681</v>
      </c>
      <c r="BA4" s="5" t="s">
        <v>682</v>
      </c>
      <c r="BB4" s="5" t="s">
        <v>683</v>
      </c>
      <c r="BC4" s="5" t="s">
        <v>684</v>
      </c>
      <c r="BD4" s="5" t="s">
        <v>685</v>
      </c>
      <c r="BE4" s="5" t="s">
        <v>686</v>
      </c>
      <c r="BF4" s="5" t="s">
        <v>687</v>
      </c>
      <c r="BG4" s="5" t="s">
        <v>688</v>
      </c>
      <c r="BH4" s="5" t="s">
        <v>689</v>
      </c>
      <c r="BI4" s="5" t="s">
        <v>690</v>
      </c>
      <c r="BJ4" s="5" t="s">
        <v>691</v>
      </c>
      <c r="BK4" s="5" t="s">
        <v>692</v>
      </c>
      <c r="BL4" s="5" t="s">
        <v>693</v>
      </c>
      <c r="BM4" s="5" t="s">
        <v>694</v>
      </c>
      <c r="BN4" s="5" t="s">
        <v>695</v>
      </c>
      <c r="BO4" s="5" t="s">
        <v>696</v>
      </c>
      <c r="BP4" s="5" t="s">
        <v>697</v>
      </c>
      <c r="BQ4" s="5" t="s">
        <v>698</v>
      </c>
      <c r="BR4" s="5" t="s">
        <v>699</v>
      </c>
      <c r="BS4" s="5" t="s">
        <v>700</v>
      </c>
      <c r="BT4" s="5" t="s">
        <v>701</v>
      </c>
      <c r="BU4" s="5" t="s">
        <v>702</v>
      </c>
      <c r="BV4" s="5" t="s">
        <v>49</v>
      </c>
      <c r="BW4" s="5" t="s">
        <v>703</v>
      </c>
      <c r="BX4" s="5" t="s">
        <v>704</v>
      </c>
      <c r="BY4" s="5" t="s">
        <v>705</v>
      </c>
      <c r="BZ4" s="5" t="s">
        <v>468</v>
      </c>
      <c r="CA4" s="5" t="s">
        <v>475</v>
      </c>
      <c r="CB4" s="5" t="s">
        <v>479</v>
      </c>
      <c r="CC4" s="5" t="s">
        <v>482</v>
      </c>
      <c r="CD4" s="5" t="s">
        <v>486</v>
      </c>
      <c r="CE4" s="5" t="s">
        <v>491</v>
      </c>
      <c r="CF4" s="5" t="s">
        <v>706</v>
      </c>
      <c r="CG4" s="5" t="s">
        <v>707</v>
      </c>
      <c r="CH4" s="5" t="s">
        <v>708</v>
      </c>
      <c r="CI4" s="5" t="s">
        <v>709</v>
      </c>
      <c r="CJ4" s="5" t="s">
        <v>710</v>
      </c>
      <c r="CK4" s="5" t="s">
        <v>711</v>
      </c>
      <c r="CL4" s="5" t="s">
        <v>712</v>
      </c>
      <c r="CM4" s="5" t="s">
        <v>713</v>
      </c>
      <c r="CN4" s="5" t="s">
        <v>714</v>
      </c>
      <c r="CO4" s="5" t="s">
        <v>715</v>
      </c>
      <c r="CP4" s="5" t="s">
        <v>716</v>
      </c>
      <c r="CQ4" s="5" t="s">
        <v>717</v>
      </c>
      <c r="CR4" s="5" t="s">
        <v>718</v>
      </c>
      <c r="CS4" s="5" t="s">
        <v>719</v>
      </c>
      <c r="CT4" s="5" t="s">
        <v>720</v>
      </c>
      <c r="CU4" s="5" t="s">
        <v>721</v>
      </c>
      <c r="CV4" s="5" t="s">
        <v>722</v>
      </c>
      <c r="CW4" s="5" t="s">
        <v>723</v>
      </c>
      <c r="CX4" s="5" t="s">
        <v>724</v>
      </c>
      <c r="CY4" s="5" t="s">
        <v>725</v>
      </c>
      <c r="CZ4" s="5" t="s">
        <v>726</v>
      </c>
      <c r="DA4" s="5" t="s">
        <v>727</v>
      </c>
      <c r="DB4" s="5" t="s">
        <v>728</v>
      </c>
      <c r="DC4" s="5" t="s">
        <v>729</v>
      </c>
      <c r="DD4" s="5" t="s">
        <v>730</v>
      </c>
      <c r="DE4" s="5" t="s">
        <v>731</v>
      </c>
      <c r="DF4" s="5" t="s">
        <v>732</v>
      </c>
      <c r="DG4" s="5" t="s">
        <v>733</v>
      </c>
      <c r="DH4" s="5" t="s">
        <v>734</v>
      </c>
      <c r="DI4" s="5" t="s">
        <v>735</v>
      </c>
      <c r="DJ4" s="5" t="s">
        <v>736</v>
      </c>
      <c r="DK4" s="5" t="s">
        <v>737</v>
      </c>
      <c r="DL4" s="5" t="s">
        <v>738</v>
      </c>
      <c r="DM4" s="5" t="s">
        <v>739</v>
      </c>
      <c r="DN4" s="5" t="s">
        <v>740</v>
      </c>
      <c r="DO4" s="5" t="s">
        <v>741</v>
      </c>
      <c r="DP4" s="5" t="s">
        <v>742</v>
      </c>
      <c r="DQ4" s="5" t="s">
        <v>743</v>
      </c>
      <c r="DR4" s="5" t="s">
        <v>744</v>
      </c>
      <c r="DS4" s="5" t="s">
        <v>745</v>
      </c>
      <c r="DT4" s="5" t="s">
        <v>746</v>
      </c>
      <c r="DU4" s="5" t="s">
        <v>747</v>
      </c>
      <c r="DV4" s="5" t="s">
        <v>97</v>
      </c>
      <c r="DW4" s="5" t="s">
        <v>748</v>
      </c>
      <c r="DX4" s="5" t="s">
        <v>749</v>
      </c>
      <c r="DY4" s="5" t="s">
        <v>114</v>
      </c>
      <c r="DZ4" s="5" t="s">
        <v>750</v>
      </c>
      <c r="EA4" s="5" t="s">
        <v>751</v>
      </c>
      <c r="EB4" s="5" t="s">
        <v>752</v>
      </c>
      <c r="EC4" s="5" t="s">
        <v>753</v>
      </c>
      <c r="ED4" s="5" t="s">
        <v>754</v>
      </c>
      <c r="EE4" s="5" t="s">
        <v>755</v>
      </c>
      <c r="EF4" s="5" t="s">
        <v>756</v>
      </c>
    </row>
    <row r="5" customFormat="false" ht="15" hidden="false" customHeight="false" outlineLevel="0" collapsed="false">
      <c r="A5" s="35" t="s">
        <v>757</v>
      </c>
      <c r="B5" s="35" t="s">
        <v>758</v>
      </c>
      <c r="C5" s="35" t="s">
        <v>759</v>
      </c>
      <c r="D5" s="35" t="s">
        <v>760</v>
      </c>
      <c r="E5" s="35" t="s">
        <v>29</v>
      </c>
      <c r="F5" s="36" t="n">
        <v>29298.025</v>
      </c>
      <c r="G5" s="36" t="n">
        <v>29298.025</v>
      </c>
      <c r="H5" s="33" t="n">
        <v>2.117</v>
      </c>
      <c r="I5" s="33" t="n">
        <v>2.324</v>
      </c>
      <c r="J5" s="36" t="n">
        <v>345.426571</v>
      </c>
      <c r="K5" s="36" t="n">
        <v>5445.106</v>
      </c>
      <c r="L5" s="36" t="n">
        <v>6817.344</v>
      </c>
      <c r="M5" s="36" t="n">
        <v>6080.938</v>
      </c>
      <c r="N5" s="36" t="n">
        <v>2439.45116927731</v>
      </c>
      <c r="O5" s="36" t="n">
        <v>1639.08655606108</v>
      </c>
      <c r="P5" s="36" t="n">
        <v>146.609757094929</v>
      </c>
      <c r="Q5" s="31" t="n">
        <v>10.2689961950758</v>
      </c>
      <c r="R5" s="31" t="n">
        <v>10.308220934408</v>
      </c>
      <c r="S5" s="31" t="n">
        <v>13.159987138388</v>
      </c>
      <c r="T5" s="31" t="n">
        <v>0.0609604461023882</v>
      </c>
      <c r="U5" s="31" t="n">
        <v>0.579889977327387</v>
      </c>
      <c r="V5" s="31" t="n">
        <v>0.140754786248015</v>
      </c>
      <c r="W5" s="31" t="n">
        <v>8.59992380205236</v>
      </c>
      <c r="X5" s="31" t="n">
        <v>0</v>
      </c>
      <c r="Y5" s="36" t="n">
        <v>482.724172254177</v>
      </c>
      <c r="Z5" s="36" t="n">
        <v>245.05622953118</v>
      </c>
      <c r="AA5" s="36" t="n">
        <v>14.2127036790187</v>
      </c>
      <c r="AB5" s="36" t="n">
        <v>62.002549194124</v>
      </c>
      <c r="AC5" s="36" t="n">
        <v>36.4302893775377</v>
      </c>
      <c r="AD5" s="31" t="n">
        <v>0.801113</v>
      </c>
      <c r="AE5" s="31" t="n">
        <v>0.65939</v>
      </c>
      <c r="AF5" s="31" t="n">
        <v>0.550196</v>
      </c>
      <c r="AG5" s="31" t="n">
        <v>0.703138</v>
      </c>
      <c r="AH5" s="31" t="n">
        <v>0.419228467470841</v>
      </c>
      <c r="AI5" s="31" t="n">
        <v>2.845</v>
      </c>
      <c r="AJ5" s="31" t="n">
        <v>6.01126</v>
      </c>
      <c r="AK5" s="31" t="n">
        <v>1.746</v>
      </c>
      <c r="AL5" s="31" t="n">
        <v>1.87878748350602</v>
      </c>
      <c r="AM5" s="31" t="n">
        <v>8.52</v>
      </c>
      <c r="AN5" s="31" t="n">
        <v>12.69448</v>
      </c>
      <c r="AO5" s="31" t="n">
        <v>2.492</v>
      </c>
      <c r="AP5" s="31" t="n">
        <v>7.4441272022501</v>
      </c>
      <c r="AQ5" s="36" t="n">
        <v>117.015650268524</v>
      </c>
      <c r="AR5" s="36" t="n">
        <v>469.283425400533</v>
      </c>
      <c r="AS5" s="36" t="n">
        <v>61.3764438955372</v>
      </c>
      <c r="AT5" s="36" t="n">
        <v>38.9643821238625</v>
      </c>
      <c r="AU5" s="31" t="n">
        <v>0.283146627654694</v>
      </c>
      <c r="AV5" s="36" t="n">
        <v>0.190364</v>
      </c>
      <c r="AW5" s="31" t="n">
        <v>1.467504</v>
      </c>
      <c r="AX5" s="31" t="n">
        <v>1.182382</v>
      </c>
      <c r="AY5" s="31" t="n">
        <v>0.18348090002438</v>
      </c>
      <c r="AZ5" s="31" t="n">
        <v>0.038074</v>
      </c>
      <c r="BA5" s="33" t="n">
        <v>122.27</v>
      </c>
      <c r="BB5" s="33" t="n">
        <v>11.67</v>
      </c>
      <c r="BC5" s="33"/>
      <c r="BD5" s="33"/>
      <c r="BE5" s="33"/>
      <c r="BF5" s="33" t="n">
        <v>0</v>
      </c>
      <c r="BG5" s="33"/>
      <c r="BH5" s="33" t="n">
        <v>5.705</v>
      </c>
      <c r="BI5" s="29" t="n">
        <v>2020</v>
      </c>
      <c r="BJ5" s="33" t="n">
        <v>1</v>
      </c>
      <c r="BK5" s="33"/>
      <c r="BL5" s="33"/>
      <c r="BM5" s="33"/>
      <c r="BN5" s="29"/>
      <c r="BO5" s="33"/>
      <c r="BP5" s="33"/>
      <c r="BQ5" s="29" t="n">
        <v>2025</v>
      </c>
      <c r="BR5" s="36" t="n">
        <v>4519.79</v>
      </c>
      <c r="BS5" s="36" t="n">
        <v>737.15</v>
      </c>
      <c r="BT5" s="36" t="n">
        <v>1807.34</v>
      </c>
      <c r="BU5" s="36" t="n">
        <v>31.72</v>
      </c>
      <c r="BV5" s="16" t="n">
        <f aca="false">F5*(1+N(H5)/100)*(1+N(I5)/100)^5</f>
        <v>33560.1534554062</v>
      </c>
      <c r="BW5" s="16" t="n">
        <f aca="false">IF(N(G5)&gt;0,G5,F5)</f>
        <v>29298.025</v>
      </c>
      <c r="BX5" s="12" t="n">
        <f aca="false">F5/BW5</f>
        <v>1</v>
      </c>
      <c r="BY5" s="13" t="n">
        <f aca="false">IF(ISNUMBER(K5),1,0)</f>
        <v>1</v>
      </c>
      <c r="BZ5" s="16" t="n">
        <f aca="false">IF(BY5=0,"",N(N5)+N(O5)+N(P5))</f>
        <v>4225.14748243332</v>
      </c>
      <c r="CA5" s="37" t="n">
        <f aca="false">IF(BY5=0,"",(N(Y5)*34.2+N(Z5)*38.6)/1000)</f>
        <v>25.9683371509964</v>
      </c>
      <c r="CB5" s="37" t="n">
        <f aca="false">IF(BY5=0,"",N(O5)*0.0036+N(R5)+N(V5)+(N(AA5)*25.3+N(AB5)*37)/1000)</f>
        <v>19.0033630457377</v>
      </c>
      <c r="CC5" s="37" t="n">
        <f aca="false">IF(BY5=0,"",N(N5)*0.0036+N(Q5)+N(U5)+N(T5)+N(X5)+N(AC5)*38/1000)</f>
        <v>21.0762218242503</v>
      </c>
      <c r="CD5" s="37" t="n">
        <f aca="false">IF(BY5=0,"",N(Q5)+N(R5)+N(S5)+N(T5)+N(U5)+N(V5)+N(W5)+N(X5)+(N(Y5)*34.2+N(Z5)*38.6+N(AA5)*25.3+N(AB5)*37+N(AC5)*38)/1000)</f>
        <v>73.1250971502065</v>
      </c>
      <c r="CE5" s="16" t="n">
        <f aca="false">IF(BY5=0,"",MAX(0,N(L5)-N(K5))+MAX(0,N(M5)-N(L5)))</f>
        <v>1372.238</v>
      </c>
      <c r="CF5" s="16" t="n">
        <f aca="false">IF(BY5=0,"",N(Y5)*N(AD5)+N(Z5)*N(AE5)+N(AA5)*N(AF5)+N(AB5)*N(AG5)+N(AC5)*N(AH5)+N(U5)*N(AI5)+N(V5)*N(AJ5)+N(W5)*N(AK5)+N(X5)*N(AL5)+N(Q5)*N(AM5)+N(R5)*N(AN5)+N(S5)*N(AO5)+N(T5)*N(AP5))</f>
        <v>884.102177425214</v>
      </c>
      <c r="CG5" s="16" t="n">
        <f aca="false">IF(AND(BY5=1,N(K5)&gt;0),K5,0)</f>
        <v>5445.106</v>
      </c>
      <c r="CH5" s="16" t="n">
        <f aca="false">IF(CG5&gt;0,CF5*1000/CG5,"")</f>
        <v>162.366385048375</v>
      </c>
      <c r="CI5" s="16" t="n">
        <f aca="false">IF(BY5=0,"",N(AQ5)+p_road*(N(AR5)+N(AS5)+N(AT5)))</f>
        <v>117.015650268524</v>
      </c>
      <c r="CJ5" s="16" t="n">
        <f aca="false">IF(CG5&gt;0,CI5*1000/CG5,"")</f>
        <v>21.4900591960054</v>
      </c>
      <c r="CK5" s="12" t="n">
        <f aca="false">IF(CH5="",1,MIN(p_idx_max,MAX(p_idx_min,CH5/p_fc_world)))</f>
        <v>1.00844085937023</v>
      </c>
      <c r="CL5" s="12" t="n">
        <f aca="false">IF(CJ5="",1,MIN(p_idx_max,MAX(p_idx_min,CJ5/p_cb_world)))</f>
        <v>0.408627770392203</v>
      </c>
      <c r="CM5" s="37" t="n">
        <f aca="false">p_b*(1-p_wb_idx+p_wb_idx*CK5)</f>
        <v>0.13412263429624</v>
      </c>
      <c r="CN5" s="37" t="n">
        <f aca="false">p_c*(1-p_wc_idx+p_wc_idx*CL5)</f>
        <v>0.0527129823805942</v>
      </c>
      <c r="CO5" s="28" t="n">
        <f aca="false">IF(N(BR5)&gt;0,(N(BS5)+N(BT5)+N(BU5))/BR5,"")</f>
        <v>0.569984446180022</v>
      </c>
      <c r="CP5" s="16" t="n">
        <f aca="false">N(BS5)+N(BT5)+N(BU5)</f>
        <v>2576.21</v>
      </c>
      <c r="CQ5" s="28" t="n">
        <f aca="false">IF(CP5&gt;0,N(BS5)/CP5,"")</f>
        <v>0.286137387868225</v>
      </c>
      <c r="CR5" s="28" t="n">
        <f aca="false">IF(CP5&gt;0,N(BT5)/CP5,"")</f>
        <v>0.701549951285027</v>
      </c>
      <c r="CS5" s="28" t="n">
        <f aca="false">IF(CP5&gt;0,N(BU5)/CP5,"")</f>
        <v>0.0123126608467477</v>
      </c>
      <c r="CT5" s="7" t="n">
        <f aca="false">1000*(p_sh_pv*p_cf_pv/p_capex_pv+(1-p_sh_pv)*p_cf_wind/p_capex_wind)*8760</f>
        <v>2301.28856624319</v>
      </c>
      <c r="CU5" s="13" t="n">
        <f aca="false">IF(AND(ISNUMBER(CO5),ISNUMBER(CQ5),BY5=1),1,0)</f>
        <v>1</v>
      </c>
      <c r="CV5" s="16" t="n">
        <f aca="false">IF(CU5=0,"",CQ5*p_hr_coal*N(AK5)+CR5*p_hr_gas*N(AO5)+CS5*p_hr_oil*N(AH5)/p_gj_l_oil)</f>
        <v>19.5120488413165</v>
      </c>
      <c r="CW5" s="37" t="n">
        <f aca="false">IF(CU5=0,"",CQ5*p_hr_coal*p_ef_coal+CR5*p_hr_gas*p_ef_gas+CS5*p_hr_oil*p_ef_oil)</f>
        <v>0.575869610396668</v>
      </c>
      <c r="CX5" s="16" t="n">
        <f aca="false">IF(CU5=0,"",CQ5*p_hr_coal*N(AW5)+CR5*p_hr_gas*N(AX5)+CS5*p_hr_oil*N(AY5)/p_gj_l_oil)</f>
        <v>11.0348602542577</v>
      </c>
      <c r="CY5" s="37" t="n">
        <f aca="false">IF(CU5=0,"",CO5*CW5)</f>
        <v>0.32823672095385</v>
      </c>
      <c r="CZ5" s="37" t="n">
        <f aca="false">IF(CU5=0,"",CT5*CO5*CV5/1000/1000-p_om_re)</f>
        <v>0.0105939288835036</v>
      </c>
      <c r="DA5" s="37" t="n">
        <f aca="false">IF(CU5=0,"",CT5*CO5*CX5/1000/1000)</f>
        <v>0.0144744117280416</v>
      </c>
      <c r="DB5" s="37" t="n">
        <f aca="false">IF(CU5=0,"",CT5*CO5*CW5/1000)</f>
        <v>0.755367412952252</v>
      </c>
      <c r="DC5" s="13" t="n">
        <f aca="false">IF(AND(CU5=1,ISNUMBER(AD5),ISNUMBER(AV5)),1,0)</f>
        <v>1</v>
      </c>
      <c r="DD5" s="7" t="n">
        <f aca="false">IF(DC5=0,"",p_ev_km*p_ice_l/100*AD5-p_ev_km*p_ev_kwh*AV5+p_ev_km*p_ev_maint)</f>
        <v>567.269325</v>
      </c>
      <c r="DE5" s="37" t="n">
        <f aca="false">IF(DC5=0,"",DD5/p_ev_prem)</f>
        <v>0.113453865</v>
      </c>
      <c r="DF5" s="37" t="n">
        <f aca="false">IF(DC5=0,"",p_ev_km*p_ice_l/100*N(AZ5)/p_ev_prem)</f>
        <v>0.00856665</v>
      </c>
      <c r="DG5" s="37" t="n">
        <f aca="false">IF(DC5=0,"",1000/p_ev_prem*(p_ev_km*p_ice_l/100*p_gj_l_gso*p_ef_gso-p_ev_km*p_ev_kwh/1000*CY5))</f>
        <v>0.356015670684921</v>
      </c>
      <c r="DH5" s="11" t="str">
        <f aca="false">IFERROR(IF(INDEX(Damodaran!$D:$D,MATCH(A5,Damodaran!$A:$A,0))="","",INDEX(Damodaran!$D:$D,MATCH(A5,Damodaran!$A:$A,0))),"")</f>
        <v/>
      </c>
      <c r="DI5" s="11" t="str">
        <f aca="false">IFERROR(IF(INDEX(Damodaran!$E:$E,MATCH(A5,Damodaran!$A:$A,0))="","",INDEX(Damodaran!$E:$E,MATCH(A5,Damodaran!$A:$A,0))),"")</f>
        <v/>
      </c>
      <c r="DJ5" s="11" t="str">
        <f aca="false">IFERROR(IF(INDEX(Damodaran!$G:$G,MATCH(A5,Damodaran!$A:$A,0))="","",INDEX(Damodaran!$G:$G,MATCH(A5,Damodaran!$A:$A,0))),"")</f>
        <v/>
      </c>
      <c r="DK5" s="11" t="str">
        <f aca="false">IF(ISNUMBER(BG5),(1+BG5/100)*(1+p_infl)-1,"")</f>
        <v/>
      </c>
      <c r="DL5" s="11" t="n">
        <f aca="false">IF(ISNUMBER(BH5),BH5/100,"")</f>
        <v>0.05705</v>
      </c>
      <c r="DM5" s="11" t="n">
        <f aca="false">IF(COUNT(DK5,DL5)=0,"",AVERAGE(DK5,DL5))</f>
        <v>0.05705</v>
      </c>
      <c r="DN5" s="11" t="str">
        <f aca="false">IF(OR(DH5="",DI5=""),"",p_dv*(p_rf+DH5)*(1-IF(DJ5="",p_tax_def,DJ5))+(1-p_dv)*(p_rf+p_beta*p_erp+p_lambda*DI5))</f>
        <v/>
      </c>
      <c r="DO5" s="13" t="n">
        <f aca="false">IF(AND(ISNUMBER(DM5),ISNUMBER(DN5)),1,0)</f>
        <v>0</v>
      </c>
      <c r="DP5" s="11" t="n">
        <f aca="false">IF(DO5=1,DM5,0)</f>
        <v>0</v>
      </c>
      <c r="DQ5" s="11" t="n">
        <f aca="false">IF(DO5=1,DN5,0)</f>
        <v>0</v>
      </c>
      <c r="DR5" s="11" t="str">
        <f aca="false">IF(DN5="","",DN5+p_shift)</f>
        <v/>
      </c>
      <c r="DS5" s="11" t="n">
        <f aca="false">IF(E5="AE",p_r_ae,IF(E5="China",p_r_chn,p_r_emdc))</f>
        <v>0.055</v>
      </c>
      <c r="DT5" s="11" t="n">
        <f aca="false">IF(E5="AE",p_rh_ae,IF(E5="China",p_rh_chn,p_rh_emdc))</f>
        <v>0.07</v>
      </c>
      <c r="DU5" s="11" t="n">
        <f aca="false">IF(AND(p_use_obs=1,ISNUMBER(DM5)),DM5,IF(AND(p_use_dam=1,ISNUMBER(DR5)),DR5,DS5))</f>
        <v>0.05705</v>
      </c>
      <c r="DV5" s="6" t="str">
        <f aca="false">IF(AND(p_use_obs=1,ISNUMBER(DM5)),"Observed (IRENA/Steffen)",IF(AND(p_use_dam=1,ISNUMBER(DR5)),"Damodaran (eq. 5)","Group default (IHLEG)"))</f>
        <v>Observed (IRENA/Steffen)</v>
      </c>
      <c r="DW5" s="11" t="n">
        <f aca="false">IF(p_basis=1,(1+DU5)/(1+p_infl)-1,DU5)</f>
        <v>0.05705</v>
      </c>
      <c r="DX5" s="11" t="n">
        <f aca="false">DW5+(DT5-DS5)</f>
        <v>0.07205</v>
      </c>
      <c r="DY5" s="28" t="n">
        <f aca="false">IF(AND(p_use_pefa=1,ISNUMBER(BD5)),p_gap_lic-(BD5-1)/3*(p_gap_lic-p_gap_ae),IF(E5="AE",p_gap_ae,IF(D5="Low income",p_gap_lic,p_gap_em)))*(1-p_reform*p_reform_close)</f>
        <v>0.13</v>
      </c>
      <c r="DZ5" s="6" t="str">
        <f aca="false">IF(AND(p_use_pefa=1,ISNUMBER(BD5)),"PEFA PI-11","Income-group default (IMF 2015)")</f>
        <v>Income-group default (IMF 2015)</v>
      </c>
      <c r="EA5" s="28" t="n">
        <f aca="false">IF(E5="AE",p_ps_ae,IF(E5="China",p_ps_chn,p_ps_emdc))</f>
        <v>0.3</v>
      </c>
      <c r="EB5" s="37" t="n">
        <f aca="false">(1-EA5)+EA5/(1-DY5)</f>
        <v>1.0448275862069</v>
      </c>
      <c r="EC5" s="16" t="n">
        <f aca="false">Results_Country!F5</f>
        <v>1069.09363391628</v>
      </c>
      <c r="ED5" s="16" t="n">
        <f aca="false">IF(CH5="",0,CH5*EC5)</f>
        <v>173584.868617216</v>
      </c>
      <c r="EE5" s="16" t="n">
        <f aca="false">IF(CJ5="",0,CJ5*EC5)</f>
        <v>22974.8854789333</v>
      </c>
      <c r="EF5" s="16" t="n">
        <f aca="false">IF(CH5="",0,EC5)</f>
        <v>1069.09363391628</v>
      </c>
    </row>
    <row r="6" customFormat="false" ht="15" hidden="false" customHeight="false" outlineLevel="0" collapsed="false">
      <c r="A6" s="35" t="s">
        <v>761</v>
      </c>
      <c r="B6" s="35" t="s">
        <v>30</v>
      </c>
      <c r="C6" s="35" t="s">
        <v>762</v>
      </c>
      <c r="D6" s="35" t="s">
        <v>763</v>
      </c>
      <c r="E6" s="35" t="s">
        <v>30</v>
      </c>
      <c r="F6" s="36" t="n">
        <v>18945.112</v>
      </c>
      <c r="G6" s="36" t="n">
        <v>38209.549</v>
      </c>
      <c r="H6" s="33" t="n">
        <v>4.959</v>
      </c>
      <c r="I6" s="33" t="n">
        <v>4.413</v>
      </c>
      <c r="J6" s="36" t="n">
        <v>1419.321277</v>
      </c>
      <c r="K6" s="36" t="n">
        <v>13206.767</v>
      </c>
      <c r="L6" s="36" t="n">
        <v>16257.103</v>
      </c>
      <c r="M6" s="36" t="n">
        <v>15609.747</v>
      </c>
      <c r="N6" s="36" t="n">
        <v>6415.86318377725</v>
      </c>
      <c r="O6" s="36" t="n">
        <v>1531.51537826313</v>
      </c>
      <c r="P6" s="36" t="n">
        <v>1101.25968627372</v>
      </c>
      <c r="Q6" s="31" t="n">
        <v>6.71715192885949</v>
      </c>
      <c r="R6" s="31" t="n">
        <v>3.25632995222854</v>
      </c>
      <c r="S6" s="31" t="n">
        <v>1.10504681901245</v>
      </c>
      <c r="T6" s="31" t="n">
        <v>1.23830121458948</v>
      </c>
      <c r="U6" s="31" t="n">
        <v>21.1953760213163</v>
      </c>
      <c r="V6" s="31" t="n">
        <v>2.62609005012589</v>
      </c>
      <c r="W6" s="31" t="n">
        <v>57.938197589929</v>
      </c>
      <c r="X6" s="31" t="n">
        <v>0.548464688913223</v>
      </c>
      <c r="Y6" s="36" t="n">
        <v>208.098951073883</v>
      </c>
      <c r="Z6" s="36" t="n">
        <v>203.267010317767</v>
      </c>
      <c r="AA6" s="36" t="n">
        <v>116.983982825587</v>
      </c>
      <c r="AB6" s="36" t="n">
        <v>44.2195717755086</v>
      </c>
      <c r="AC6" s="36" t="n">
        <v>142.656512810409</v>
      </c>
      <c r="AD6" s="31" t="n">
        <v>0.794906</v>
      </c>
      <c r="AE6" s="31" t="n">
        <v>0.736181</v>
      </c>
      <c r="AF6" s="31" t="n">
        <v>0.596575</v>
      </c>
      <c r="AG6" s="31" t="n">
        <v>0.653034</v>
      </c>
      <c r="AH6" s="31" t="n">
        <v>0.543345303403777</v>
      </c>
      <c r="AI6" s="31" t="n">
        <v>7.656</v>
      </c>
      <c r="AJ6" s="31" t="n">
        <v>2.21593</v>
      </c>
      <c r="AK6" s="31" t="n">
        <v>4.109</v>
      </c>
      <c r="AL6" s="31" t="n">
        <v>4.96771960955226</v>
      </c>
      <c r="AM6" s="31" t="n">
        <v>13.283</v>
      </c>
      <c r="AN6" s="31" t="n">
        <v>18.25741</v>
      </c>
      <c r="AO6" s="31" t="n">
        <v>13.283</v>
      </c>
      <c r="AP6" s="31" t="n">
        <v>14.7451364186671</v>
      </c>
      <c r="AQ6" s="36" t="n">
        <v>1790.26593983548</v>
      </c>
      <c r="AR6" s="36" t="n">
        <v>49.3749881600067</v>
      </c>
      <c r="AS6" s="36" t="n">
        <v>35.5082065545851</v>
      </c>
      <c r="AT6" s="36" t="n">
        <v>33.9906162064186</v>
      </c>
      <c r="AU6" s="31" t="n">
        <v>0.478973784077652</v>
      </c>
      <c r="AV6" s="36" t="n">
        <v>0.074173</v>
      </c>
      <c r="AW6" s="31" t="n">
        <v>9.186285</v>
      </c>
      <c r="AX6" s="31" t="n">
        <v>3.78587</v>
      </c>
      <c r="AY6" s="31" t="n">
        <v>0.797618459577733</v>
      </c>
      <c r="AZ6" s="31" t="n">
        <v>0.240084</v>
      </c>
      <c r="BA6" s="33" t="n">
        <v>90.421</v>
      </c>
      <c r="BB6" s="33" t="n">
        <v>3.693</v>
      </c>
      <c r="BC6" s="33"/>
      <c r="BD6" s="33"/>
      <c r="BE6" s="33"/>
      <c r="BF6" s="33" t="n">
        <v>1</v>
      </c>
      <c r="BG6" s="33" t="n">
        <v>2.5</v>
      </c>
      <c r="BH6" s="33" t="n">
        <v>3.23</v>
      </c>
      <c r="BI6" s="29" t="n">
        <v>2020</v>
      </c>
      <c r="BJ6" s="33" t="n">
        <v>2</v>
      </c>
      <c r="BK6" s="33"/>
      <c r="BL6" s="33" t="n">
        <v>0.656</v>
      </c>
      <c r="BM6" s="33" t="n">
        <v>5.003</v>
      </c>
      <c r="BN6" s="29" t="n">
        <v>12.477</v>
      </c>
      <c r="BO6" s="33" t="n">
        <v>0.01</v>
      </c>
      <c r="BP6" s="33" t="n">
        <v>0.137</v>
      </c>
      <c r="BQ6" s="29" t="n">
        <v>2025</v>
      </c>
      <c r="BR6" s="36" t="n">
        <v>10578.05</v>
      </c>
      <c r="BS6" s="36" t="n">
        <v>5772.37</v>
      </c>
      <c r="BT6" s="36" t="n">
        <v>317.89</v>
      </c>
      <c r="BU6" s="36" t="n">
        <v>88.71</v>
      </c>
      <c r="BV6" s="16" t="n">
        <f aca="false">F6*(1+N(H6)/100)*(1+N(I6)/100)^5</f>
        <v>24676.85061081</v>
      </c>
      <c r="BW6" s="16" t="n">
        <f aca="false">IF(N(G6)&gt;0,G6,F6)</f>
        <v>38209.549</v>
      </c>
      <c r="BX6" s="12" t="n">
        <f aca="false">F6/BW6</f>
        <v>0.495821397944268</v>
      </c>
      <c r="BY6" s="13" t="n">
        <f aca="false">IF(ISNUMBER(K6),1,0)</f>
        <v>1</v>
      </c>
      <c r="BZ6" s="16" t="n">
        <f aca="false">IF(BY6=0,"",N(N6)+N(O6)+N(P6))</f>
        <v>9048.6382483141</v>
      </c>
      <c r="CA6" s="37" t="n">
        <f aca="false">IF(BY6=0,"",(N(Y6)*34.2+N(Z6)*38.6)/1000)</f>
        <v>14.9630907249926</v>
      </c>
      <c r="CB6" s="37" t="n">
        <f aca="false">IF(BY6=0,"",N(O6)*0.0036+N(R6)+N(V6)+(N(AA6)*25.3+N(AB6)*37)/1000)</f>
        <v>15.9916942852829</v>
      </c>
      <c r="CC6" s="37" t="n">
        <f aca="false">IF(BY6=0,"",N(N6)*0.0036+N(Q6)+N(U6)+N(T6)+N(X6)+N(AC6)*38/1000)</f>
        <v>58.2173488020721</v>
      </c>
      <c r="CD6" s="37" t="n">
        <f aca="false">IF(BY6=0,"",N(Q6)+N(R6)+N(S6)+N(T6)+N(U6)+N(V6)+N(W6)+N(X6)+(N(Y6)*34.2+N(Z6)*38.6+N(AA6)*25.3+N(AB6)*37+N(AC6)*38)/1000)</f>
        <v>119.604815397944</v>
      </c>
      <c r="CE6" s="16" t="n">
        <f aca="false">IF(BY6=0,"",MAX(0,N(L6)-N(K6))+MAX(0,N(M6)-N(L6)))</f>
        <v>3050.336</v>
      </c>
      <c r="CF6" s="16" t="n">
        <f aca="false">IF(BY6=0,"",N(Y6)*N(AD6)+N(Z6)*N(AE6)+N(AA6)*N(AF6)+N(AB6)*N(AG6)+N(AC6)*N(AH6)+N(U6)*N(AI6)+N(V6)*N(AJ6)+N(W6)*N(AK6)+N(X6)*N(AL6)+N(Q6)*N(AM6)+N(R6)*N(AN6)+N(S6)*N(AO6)+N(T6)*N(AP6))</f>
        <v>1081.73580591847</v>
      </c>
      <c r="CG6" s="16" t="n">
        <f aca="false">IF(AND(BY6=1,N(K6)&gt;0),K6,0)</f>
        <v>13206.767</v>
      </c>
      <c r="CH6" s="16" t="n">
        <f aca="false">IF(CG6&gt;0,CF6*1000/CG6,"")</f>
        <v>81.9076921640607</v>
      </c>
      <c r="CI6" s="16" t="n">
        <f aca="false">IF(BY6=0,"",N(AQ6)+p_road*(N(AR6)+N(AS6)+N(AT6)))</f>
        <v>1790.26593983548</v>
      </c>
      <c r="CJ6" s="16" t="n">
        <f aca="false">IF(CG6&gt;0,CI6*1000/CG6,"")</f>
        <v>135.556714208366</v>
      </c>
      <c r="CK6" s="12" t="n">
        <f aca="false">IF(CH6="",1,MIN(p_idx_max,MAX(p_idx_min,CH6/p_fc_world)))</f>
        <v>0.508720222171284</v>
      </c>
      <c r="CL6" s="12" t="n">
        <f aca="false">IF(CJ6="",1,MIN(p_idx_max,MAX(p_idx_min,CJ6/p_cb_world)))</f>
        <v>2.57757493283007</v>
      </c>
      <c r="CM6" s="37" t="n">
        <f aca="false">p_b*(1-p_wb_idx+p_wb_idx*CK6)</f>
        <v>0.0676597895487808</v>
      </c>
      <c r="CN6" s="37" t="n">
        <f aca="false">p_c*(1-p_wc_idx+p_wc_idx*CL6)</f>
        <v>0.332507166335079</v>
      </c>
      <c r="CO6" s="28" t="n">
        <f aca="false">IF(N(BR6)&gt;0,(N(BS6)+N(BT6)+N(BU6))/BR6,"")</f>
        <v>0.584131290738841</v>
      </c>
      <c r="CP6" s="16" t="n">
        <f aca="false">N(BS6)+N(BT6)+N(BU6)</f>
        <v>6178.97</v>
      </c>
      <c r="CQ6" s="28" t="n">
        <f aca="false">IF(CP6&gt;0,N(BS6)/CP6,"")</f>
        <v>0.934196152433172</v>
      </c>
      <c r="CR6" s="28" t="n">
        <f aca="false">IF(CP6&gt;0,N(BT6)/CP6,"")</f>
        <v>0.0514470858411677</v>
      </c>
      <c r="CS6" s="28" t="n">
        <f aca="false">IF(CP6&gt;0,N(BU6)/CP6,"")</f>
        <v>0.0143567617256598</v>
      </c>
      <c r="CT6" s="7" t="n">
        <f aca="false">1000*(p_sh_pv*p_cf_pv/p_capex_pv+(1-p_sh_pv)*p_cf_wind/p_capex_wind)*8760</f>
        <v>2301.28856624319</v>
      </c>
      <c r="CU6" s="13" t="n">
        <f aca="false">IF(AND(ISNUMBER(CO6),ISNUMBER(CQ6),BY6=1),1,0)</f>
        <v>1</v>
      </c>
      <c r="CV6" s="16" t="n">
        <f aca="false">IF(CU6=0,"",CQ6*p_hr_coal*N(AK6)+CR6*p_hr_gas*N(AO6)+CS6*p_hr_oil*N(AH6)/p_gj_l_oil)</f>
        <v>45.6333535879526</v>
      </c>
      <c r="CW6" s="37" t="n">
        <f aca="false">IF(CU6=0,"",CQ6*p_hr_coal*p_ef_coal+CR6*p_hr_gas*p_ef_gas+CS6*p_hr_oil*p_ef_oil)</f>
        <v>0.917063661823896</v>
      </c>
      <c r="CX6" s="16" t="n">
        <f aca="false">IF(CU6=0,"",CQ6*p_hr_coal*N(AW6)+CR6*p_hr_gas*N(AX6)+CS6*p_hr_oil*N(AY6)/p_gj_l_oil)</f>
        <v>90.393679536867</v>
      </c>
      <c r="CY6" s="37" t="n">
        <f aca="false">IF(CU6=0,"",CO6*CW6)</f>
        <v>0.535685580470881</v>
      </c>
      <c r="CZ6" s="37" t="n">
        <f aca="false">IF(CU6=0,"",CT6*CO6*CV6/1000/1000-p_om_re)</f>
        <v>0.0463428482376869</v>
      </c>
      <c r="DA6" s="37" t="n">
        <f aca="false">IF(CU6=0,"",CT6*CO6*CX6/1000/1000)</f>
        <v>0.121512125002797</v>
      </c>
      <c r="DB6" s="37" t="n">
        <f aca="false">IF(CU6=0,"",CT6*CO6*CW6/1000)</f>
        <v>1.23276710143899</v>
      </c>
      <c r="DC6" s="13" t="n">
        <f aca="false">IF(AND(CU6=1,ISNUMBER(AD6),ISNUMBER(AV6)),1,0)</f>
        <v>1</v>
      </c>
      <c r="DD6" s="7" t="n">
        <f aca="false">IF(DC6=0,"",p_ev_km*p_ice_l/100*AD6-p_ev_km*p_ev_kwh*AV6+p_ev_km*p_ev_maint)</f>
        <v>874.00215</v>
      </c>
      <c r="DE6" s="37" t="n">
        <f aca="false">IF(DC6=0,"",DD6/p_ev_prem)</f>
        <v>0.17480043</v>
      </c>
      <c r="DF6" s="37" t="n">
        <f aca="false">IF(DC6=0,"",p_ev_km*p_ice_l/100*N(AZ6)/p_ev_prem)</f>
        <v>0.0540189</v>
      </c>
      <c r="DG6" s="37" t="n">
        <f aca="false">IF(DC6=0,"",1000/p_ev_prem*(p_ev_km*p_ice_l/100*p_gj_l_gso*p_ef_gso-p_ev_km*p_ev_kwh/1000*CY6))</f>
        <v>0.243993286545724</v>
      </c>
      <c r="DH6" s="11" t="str">
        <f aca="false">IFERROR(IF(INDEX(Damodaran!$D:$D,MATCH(A6,Damodaran!$A:$A,0))="","",INDEX(Damodaran!$D:$D,MATCH(A6,Damodaran!$A:$A,0))),"")</f>
        <v/>
      </c>
      <c r="DI6" s="11" t="str">
        <f aca="false">IFERROR(IF(INDEX(Damodaran!$E:$E,MATCH(A6,Damodaran!$A:$A,0))="","",INDEX(Damodaran!$E:$E,MATCH(A6,Damodaran!$A:$A,0))),"")</f>
        <v/>
      </c>
      <c r="DJ6" s="11" t="str">
        <f aca="false">IFERROR(IF(INDEX(Damodaran!$G:$G,MATCH(A6,Damodaran!$A:$A,0))="","",INDEX(Damodaran!$G:$G,MATCH(A6,Damodaran!$A:$A,0))),"")</f>
        <v/>
      </c>
      <c r="DK6" s="11" t="n">
        <f aca="false">IF(ISNUMBER(BG6),(1+BG6/100)*(1+p_infl)-1,"")</f>
        <v>0.0454999999999999</v>
      </c>
      <c r="DL6" s="11" t="n">
        <f aca="false">IF(ISNUMBER(BH6),BH6/100,"")</f>
        <v>0.0323</v>
      </c>
      <c r="DM6" s="11" t="n">
        <f aca="false">IF(COUNT(DK6,DL6)=0,"",AVERAGE(DK6,DL6))</f>
        <v>0.0388999999999999</v>
      </c>
      <c r="DN6" s="11" t="str">
        <f aca="false">IF(OR(DH6="",DI6=""),"",p_dv*(p_rf+DH6)*(1-IF(DJ6="",p_tax_def,DJ6))+(1-p_dv)*(p_rf+p_beta*p_erp+p_lambda*DI6))</f>
        <v/>
      </c>
      <c r="DO6" s="13" t="n">
        <f aca="false">IF(AND(ISNUMBER(DM6),ISNUMBER(DN6)),1,0)</f>
        <v>0</v>
      </c>
      <c r="DP6" s="11" t="n">
        <f aca="false">IF(DO6=1,DM6,0)</f>
        <v>0</v>
      </c>
      <c r="DQ6" s="11" t="n">
        <f aca="false">IF(DO6=1,DN6,0)</f>
        <v>0</v>
      </c>
      <c r="DR6" s="11" t="str">
        <f aca="false">IF(DN6="","",DN6+p_shift)</f>
        <v/>
      </c>
      <c r="DS6" s="11" t="n">
        <f aca="false">IF(E6="AE",p_r_ae,IF(E6="China",p_r_chn,p_r_emdc))</f>
        <v>0.06</v>
      </c>
      <c r="DT6" s="11" t="n">
        <f aca="false">IF(E6="AE",p_rh_ae,IF(E6="China",p_rh_chn,p_rh_emdc))</f>
        <v>0.08</v>
      </c>
      <c r="DU6" s="11" t="n">
        <f aca="false">IF(AND(p_use_obs=1,ISNUMBER(DM6)),DM6,IF(AND(p_use_dam=1,ISNUMBER(DR6)),DR6,DS6))</f>
        <v>0.0388999999999999</v>
      </c>
      <c r="DV6" s="6" t="str">
        <f aca="false">IF(AND(p_use_obs=1,ISNUMBER(DM6)),"Observed (IRENA/Steffen)",IF(AND(p_use_dam=1,ISNUMBER(DR6)),"Damodaran (eq. 5)","Group default (IHLEG)"))</f>
        <v>Observed (IRENA/Steffen)</v>
      </c>
      <c r="DW6" s="11" t="n">
        <f aca="false">IF(p_basis=1,(1+DU6)/(1+p_infl)-1,DU6)</f>
        <v>0.0388999999999999</v>
      </c>
      <c r="DX6" s="11" t="n">
        <f aca="false">DW6+(DT6-DS6)</f>
        <v>0.0588999999999999</v>
      </c>
      <c r="DY6" s="28" t="n">
        <f aca="false">IF(AND(p_use_pefa=1,ISNUMBER(BD6)),p_gap_lic-(BD6-1)/3*(p_gap_lic-p_gap_ae),IF(E6="AE",p_gap_ae,IF(D6="Low income",p_gap_lic,p_gap_em)))*(1-p_reform*p_reform_close)</f>
        <v>0.27</v>
      </c>
      <c r="DZ6" s="6" t="str">
        <f aca="false">IF(AND(p_use_pefa=1,ISNUMBER(BD6)),"PEFA PI-11","Income-group default (IMF 2015)")</f>
        <v>Income-group default (IMF 2015)</v>
      </c>
      <c r="EA6" s="28" t="n">
        <f aca="false">IF(E6="AE",p_ps_ae,IF(E6="China",p_ps_chn,p_ps_emdc))</f>
        <v>0.5</v>
      </c>
      <c r="EB6" s="37" t="n">
        <f aca="false">(1-EA6)+EA6/(1-DY6)</f>
        <v>1.18493150684932</v>
      </c>
      <c r="EC6" s="16" t="n">
        <f aca="false">Results_Country!F6</f>
        <v>863.015625</v>
      </c>
      <c r="ED6" s="16" t="n">
        <f aca="false">IF(CH6="",0,CH6*EC6)</f>
        <v>70687.6181452744</v>
      </c>
      <c r="EE6" s="16" t="n">
        <f aca="false">IF(CJ6="",0,CJ6*EC6)</f>
        <v>116987.56243548</v>
      </c>
      <c r="EF6" s="16" t="n">
        <f aca="false">IF(CH6="",0,EC6)</f>
        <v>863.015625</v>
      </c>
    </row>
    <row r="7" customFormat="false" ht="15" hidden="false" customHeight="false" outlineLevel="0" collapsed="false">
      <c r="A7" s="35" t="s">
        <v>764</v>
      </c>
      <c r="B7" s="35" t="s">
        <v>765</v>
      </c>
      <c r="C7" s="35" t="s">
        <v>766</v>
      </c>
      <c r="D7" s="35" t="s">
        <v>760</v>
      </c>
      <c r="E7" s="35" t="s">
        <v>29</v>
      </c>
      <c r="F7" s="36" t="n">
        <v>4684.182</v>
      </c>
      <c r="G7" s="36" t="n">
        <v>5996.196</v>
      </c>
      <c r="H7" s="33" t="n">
        <v>0.24</v>
      </c>
      <c r="I7" s="33" t="n">
        <v>0.791</v>
      </c>
      <c r="J7" s="36" t="n">
        <v>84.552242</v>
      </c>
      <c r="K7" s="36" t="n">
        <v>658.368</v>
      </c>
      <c r="L7" s="36" t="n">
        <v>742.151</v>
      </c>
      <c r="M7" s="36" t="n">
        <v>744.658</v>
      </c>
      <c r="N7" s="36" t="n">
        <v>380.567946055013</v>
      </c>
      <c r="O7" s="36" t="n">
        <v>140.704017493633</v>
      </c>
      <c r="P7" s="36" t="n">
        <v>12.0145049166909</v>
      </c>
      <c r="Q7" s="31" t="n">
        <v>1.11305333675174</v>
      </c>
      <c r="R7" s="31" t="n">
        <v>1.92812640734932</v>
      </c>
      <c r="S7" s="31" t="n">
        <v>0.602823063070758</v>
      </c>
      <c r="T7" s="31" t="n">
        <v>0.00802735078870202</v>
      </c>
      <c r="U7" s="31" t="n">
        <v>0.304231410213816</v>
      </c>
      <c r="V7" s="31" t="n">
        <v>0.0230875346545981</v>
      </c>
      <c r="W7" s="31" t="n">
        <v>0.603447637122309</v>
      </c>
      <c r="X7" s="31" t="n">
        <v>0</v>
      </c>
      <c r="Y7" s="36" t="n">
        <v>22.4568135308788</v>
      </c>
      <c r="Z7" s="36" t="n">
        <v>58.5539614254807</v>
      </c>
      <c r="AA7" s="36" t="n">
        <v>3.23658357514382</v>
      </c>
      <c r="AB7" s="36" t="n">
        <v>0.335223201655501</v>
      </c>
      <c r="AC7" s="36" t="n">
        <v>16.1013962745414</v>
      </c>
      <c r="AD7" s="31" t="n">
        <v>0.856088</v>
      </c>
      <c r="AE7" s="31" t="n">
        <v>0.831054</v>
      </c>
      <c r="AF7" s="31" t="n">
        <v>0.559265</v>
      </c>
      <c r="AG7" s="31" t="n">
        <v>0.70329</v>
      </c>
      <c r="AH7" s="31" t="n">
        <v>0.519462891908447</v>
      </c>
      <c r="AI7" s="31" t="n">
        <v>6.908</v>
      </c>
      <c r="AJ7" s="31" t="n">
        <v>12.20107</v>
      </c>
      <c r="AK7" s="31" t="n">
        <v>7.042</v>
      </c>
      <c r="AL7" s="31" t="n">
        <v>7.12617061802357</v>
      </c>
      <c r="AM7" s="31" t="n">
        <v>17.078</v>
      </c>
      <c r="AN7" s="31" t="n">
        <v>30.69843</v>
      </c>
      <c r="AO7" s="31" t="n">
        <v>17.078</v>
      </c>
      <c r="AP7" s="31" t="n">
        <v>24.2848854367418</v>
      </c>
      <c r="AQ7" s="36" t="n">
        <v>21.4824241307493</v>
      </c>
      <c r="AR7" s="36" t="n">
        <v>7.08233308552994</v>
      </c>
      <c r="AS7" s="36" t="n">
        <v>1.05731260648402</v>
      </c>
      <c r="AT7" s="36" t="n">
        <v>4.41959688997356</v>
      </c>
      <c r="AU7" s="31" t="n">
        <v>0.635951235820113</v>
      </c>
      <c r="AV7" s="36" t="n">
        <v>0.344945</v>
      </c>
      <c r="AW7" s="31" t="n">
        <v>1.654682</v>
      </c>
      <c r="AX7" s="31" t="n">
        <v>0.833046</v>
      </c>
      <c r="AY7" s="31" t="n">
        <v>0.0959618807546381</v>
      </c>
      <c r="AZ7" s="31" t="n">
        <v>0.115105</v>
      </c>
      <c r="BA7" s="33" t="n">
        <v>62.227</v>
      </c>
      <c r="BB7" s="33" t="n">
        <v>1.73</v>
      </c>
      <c r="BC7" s="33"/>
      <c r="BD7" s="33"/>
      <c r="BE7" s="33"/>
      <c r="BF7" s="33" t="n">
        <v>0</v>
      </c>
      <c r="BG7" s="33"/>
      <c r="BH7" s="33" t="n">
        <v>2.32</v>
      </c>
      <c r="BI7" s="29" t="n">
        <v>2020</v>
      </c>
      <c r="BJ7" s="33" t="n">
        <v>1</v>
      </c>
      <c r="BK7" s="33"/>
      <c r="BL7" s="33"/>
      <c r="BM7" s="33"/>
      <c r="BN7" s="29"/>
      <c r="BO7" s="33"/>
      <c r="BP7" s="33"/>
      <c r="BQ7" s="29" t="n">
        <v>2025</v>
      </c>
      <c r="BR7" s="36" t="n">
        <v>499.89</v>
      </c>
      <c r="BS7" s="36" t="n">
        <v>103.15</v>
      </c>
      <c r="BT7" s="36" t="n">
        <v>82.67</v>
      </c>
      <c r="BU7" s="36" t="n">
        <v>18.91</v>
      </c>
      <c r="BV7" s="16" t="n">
        <f aca="false">F7*(1+N(H7)/100)*(1+N(I7)/100)^5</f>
        <v>4884.08922541054</v>
      </c>
      <c r="BW7" s="16" t="n">
        <f aca="false">IF(N(G7)&gt;0,G7,F7)</f>
        <v>5996.196</v>
      </c>
      <c r="BX7" s="12" t="n">
        <f aca="false">F7/BW7</f>
        <v>0.781192275902922</v>
      </c>
      <c r="BY7" s="13" t="n">
        <f aca="false">IF(ISNUMBER(K7),1,0)</f>
        <v>1</v>
      </c>
      <c r="BZ7" s="16" t="n">
        <f aca="false">IF(BY7=0,"",N(N7)+N(O7)+N(P7))</f>
        <v>533.286468465338</v>
      </c>
      <c r="CA7" s="37" t="n">
        <f aca="false">IF(BY7=0,"",(N(Y7)*34.2+N(Z7)*38.6)/1000)</f>
        <v>3.02820593377961</v>
      </c>
      <c r="CB7" s="37" t="n">
        <f aca="false">IF(BY7=0,"",N(O7)*0.0036+N(R7)+N(V7)+(N(AA7)*25.3+N(AB7)*37)/1000)</f>
        <v>2.55203722789339</v>
      </c>
      <c r="CC7" s="37" t="n">
        <f aca="false">IF(BY7=0,"",N(N7)*0.0036+N(Q7)+N(U7)+N(T7)+N(X7)+N(AC7)*38/1000)</f>
        <v>3.40720976198488</v>
      </c>
      <c r="CD7" s="37" t="n">
        <f aca="false">IF(BY7=0,"",N(Q7)+N(R7)+N(S7)+N(T7)+N(U7)+N(V7)+N(W7)+N(X7)+(N(Y7)*34.2+N(Z7)*38.6+N(AA7)*25.3+N(AB7)*37+N(AC7)*38)/1000)</f>
        <v>8.31714455507582</v>
      </c>
      <c r="CE7" s="16" t="n">
        <f aca="false">IF(BY7=0,"",MAX(0,N(L7)-N(K7))+MAX(0,N(M7)-N(L7)))</f>
        <v>86.29</v>
      </c>
      <c r="CF7" s="16" t="n">
        <f aca="false">IF(BY7=0,"",N(Y7)*N(AD7)+N(Z7)*N(AE7)+N(AA7)*N(AF7)+N(AB7)*N(AG7)+N(AC7)*N(AH7)+N(U7)*N(AI7)+N(V7)*N(AJ7)+N(W7)*N(AK7)+N(X7)*N(AL7)+N(Q7)*N(AM7)+N(R7)*N(AN7)+N(S7)*N(AO7)+N(T7)*N(AP7))</f>
        <v>173.618392818115</v>
      </c>
      <c r="CG7" s="16" t="n">
        <f aca="false">IF(AND(BY7=1,N(K7)&gt;0),K7,0)</f>
        <v>658.368</v>
      </c>
      <c r="CH7" s="16" t="n">
        <f aca="false">IF(CG7&gt;0,CF7*1000/CG7,"")</f>
        <v>263.710254474875</v>
      </c>
      <c r="CI7" s="16" t="n">
        <f aca="false">IF(BY7=0,"",N(AQ7)+p_road*(N(AR7)+N(AS7)+N(AT7)))</f>
        <v>21.4824241307493</v>
      </c>
      <c r="CJ7" s="16" t="n">
        <f aca="false">IF(CG7&gt;0,CI7*1000/CG7,"")</f>
        <v>32.6298120971087</v>
      </c>
      <c r="CK7" s="12" t="n">
        <f aca="false">IF(CH7="",1,MIN(p_idx_max,MAX(p_idx_min,CH7/p_fc_world)))</f>
        <v>1.63787717247109</v>
      </c>
      <c r="CL7" s="12" t="n">
        <f aca="false">IF(CJ7="",1,MIN(p_idx_max,MAX(p_idx_min,CJ7/p_cb_world)))</f>
        <v>0.620447214404905</v>
      </c>
      <c r="CM7" s="37" t="n">
        <f aca="false">p_b*(1-p_wb_idx+p_wb_idx*CK7)</f>
        <v>0.217837663938655</v>
      </c>
      <c r="CN7" s="37" t="n">
        <f aca="false">p_c*(1-p_wc_idx+p_wc_idx*CL7)</f>
        <v>0.0800376906582328</v>
      </c>
      <c r="CO7" s="28" t="n">
        <f aca="false">IF(N(BR7)&gt;0,(N(BS7)+N(BT7)+N(BU7))/BR7,"")</f>
        <v>0.409550101022225</v>
      </c>
      <c r="CP7" s="16" t="n">
        <f aca="false">N(BS7)+N(BT7)+N(BU7)</f>
        <v>204.73</v>
      </c>
      <c r="CQ7" s="28" t="n">
        <f aca="false">IF(CP7&gt;0,N(BS7)/CP7,"")</f>
        <v>0.503834318370537</v>
      </c>
      <c r="CR7" s="28" t="n">
        <f aca="false">IF(CP7&gt;0,N(BT7)/CP7,"")</f>
        <v>0.403800126996532</v>
      </c>
      <c r="CS7" s="28" t="n">
        <f aca="false">IF(CP7&gt;0,N(BU7)/CP7,"")</f>
        <v>0.0923655546329312</v>
      </c>
      <c r="CT7" s="7" t="n">
        <f aca="false">1000*(p_sh_pv*p_cf_pv/p_capex_pv+(1-p_sh_pv)*p_cf_wind/p_capex_wind)*8760</f>
        <v>2301.28856624319</v>
      </c>
      <c r="CU7" s="13" t="n">
        <f aca="false">IF(AND(ISNUMBER(CO7),ISNUMBER(CQ7),BY7=1),1,0)</f>
        <v>1</v>
      </c>
      <c r="CV7" s="16" t="n">
        <f aca="false">IF(CU7=0,"",CQ7*p_hr_coal*N(AK7)+CR7*p_hr_gas*N(AO7)+CS7*p_hr_oil*N(AH7)/p_gj_l_oil)</f>
        <v>100.252436429338</v>
      </c>
      <c r="CW7" s="37" t="n">
        <f aca="false">IF(CU7=0,"",CQ7*p_hr_coal*p_ef_coal+CR7*p_hr_gas*p_ef_gas+CS7*p_hr_oil*p_ef_oil)</f>
        <v>0.721591654862502</v>
      </c>
      <c r="CX7" s="16" t="n">
        <f aca="false">IF(CU7=0,"",CQ7*p_hr_coal*N(AW7)+CR7*p_hr_gas*N(AX7)+CS7*p_hr_oil*N(AY7)/p_gj_l_oil)</f>
        <v>13.2708117576856</v>
      </c>
      <c r="CY7" s="37" t="n">
        <f aca="false">IF(CU7=0,"",CO7*CW7)</f>
        <v>0.295527935145732</v>
      </c>
      <c r="CZ7" s="37" t="n">
        <f aca="false">IF(CU7=0,"",CT7*CO7*CV7/1000/1000-p_om_re)</f>
        <v>0.0794872160373255</v>
      </c>
      <c r="DA7" s="37" t="n">
        <f aca="false">IF(CU7=0,"",CT7*CO7*CX7/1000/1000)</f>
        <v>0.0125076467186205</v>
      </c>
      <c r="DB7" s="37" t="n">
        <f aca="false">IF(CU7=0,"",CT7*CO7*CW7/1000)</f>
        <v>0.680095058156333</v>
      </c>
      <c r="DC7" s="13" t="n">
        <f aca="false">IF(AND(CU7=1,ISNUMBER(AD7),ISNUMBER(AV7)),1,0)</f>
        <v>1</v>
      </c>
      <c r="DD7" s="7" t="n">
        <f aca="false">IF(DC7=0,"",p_ev_km*p_ice_l/100*AD7-p_ev_km*p_ev_kwh*AV7+p_ev_km*p_ev_maint)</f>
        <v>211.7475</v>
      </c>
      <c r="DE7" s="37" t="n">
        <f aca="false">IF(DC7=0,"",DD7/p_ev_prem)</f>
        <v>0.0423495</v>
      </c>
      <c r="DF7" s="37" t="n">
        <f aca="false">IF(DC7=0,"",p_ev_km*p_ice_l/100*N(AZ7)/p_ev_prem)</f>
        <v>0.025898625</v>
      </c>
      <c r="DG7" s="37" t="n">
        <f aca="false">IF(DC7=0,"",1000/p_ev_prem*(p_ev_km*p_ice_l/100*p_gj_l_gso*p_ef_gso-p_ev_km*p_ev_kwh/1000*CY7))</f>
        <v>0.373678415021305</v>
      </c>
      <c r="DH7" s="11" t="str">
        <f aca="false">IFERROR(IF(INDEX(Damodaran!$D:$D,MATCH(A7,Damodaran!$A:$A,0))="","",INDEX(Damodaran!$D:$D,MATCH(A7,Damodaran!$A:$A,0))),"")</f>
        <v/>
      </c>
      <c r="DI7" s="11" t="str">
        <f aca="false">IFERROR(IF(INDEX(Damodaran!$E:$E,MATCH(A7,Damodaran!$A:$A,0))="","",INDEX(Damodaran!$E:$E,MATCH(A7,Damodaran!$A:$A,0))),"")</f>
        <v/>
      </c>
      <c r="DJ7" s="11" t="str">
        <f aca="false">IFERROR(IF(INDEX(Damodaran!$G:$G,MATCH(A7,Damodaran!$A:$A,0))="","",INDEX(Damodaran!$G:$G,MATCH(A7,Damodaran!$A:$A,0))),"")</f>
        <v/>
      </c>
      <c r="DK7" s="11" t="str">
        <f aca="false">IF(ISNUMBER(BG7),(1+BG7/100)*(1+p_infl)-1,"")</f>
        <v/>
      </c>
      <c r="DL7" s="11" t="n">
        <f aca="false">IF(ISNUMBER(BH7),BH7/100,"")</f>
        <v>0.0232</v>
      </c>
      <c r="DM7" s="11" t="n">
        <f aca="false">IF(COUNT(DK7,DL7)=0,"",AVERAGE(DK7,DL7))</f>
        <v>0.0232</v>
      </c>
      <c r="DN7" s="11" t="str">
        <f aca="false">IF(OR(DH7="",DI7=""),"",p_dv*(p_rf+DH7)*(1-IF(DJ7="",p_tax_def,DJ7))+(1-p_dv)*(p_rf+p_beta*p_erp+p_lambda*DI7))</f>
        <v/>
      </c>
      <c r="DO7" s="13" t="n">
        <f aca="false">IF(AND(ISNUMBER(DM7),ISNUMBER(DN7)),1,0)</f>
        <v>0</v>
      </c>
      <c r="DP7" s="11" t="n">
        <f aca="false">IF(DO7=1,DM7,0)</f>
        <v>0</v>
      </c>
      <c r="DQ7" s="11" t="n">
        <f aca="false">IF(DO7=1,DN7,0)</f>
        <v>0</v>
      </c>
      <c r="DR7" s="11" t="str">
        <f aca="false">IF(DN7="","",DN7+p_shift)</f>
        <v/>
      </c>
      <c r="DS7" s="11" t="n">
        <f aca="false">IF(E7="AE",p_r_ae,IF(E7="China",p_r_chn,p_r_emdc))</f>
        <v>0.055</v>
      </c>
      <c r="DT7" s="11" t="n">
        <f aca="false">IF(E7="AE",p_rh_ae,IF(E7="China",p_rh_chn,p_rh_emdc))</f>
        <v>0.07</v>
      </c>
      <c r="DU7" s="11" t="n">
        <f aca="false">IF(AND(p_use_obs=1,ISNUMBER(DM7)),DM7,IF(AND(p_use_dam=1,ISNUMBER(DR7)),DR7,DS7))</f>
        <v>0.0232</v>
      </c>
      <c r="DV7" s="6" t="str">
        <f aca="false">IF(AND(p_use_obs=1,ISNUMBER(DM7)),"Observed (IRENA/Steffen)",IF(AND(p_use_dam=1,ISNUMBER(DR7)),"Damodaran (eq. 5)","Group default (IHLEG)"))</f>
        <v>Observed (IRENA/Steffen)</v>
      </c>
      <c r="DW7" s="11" t="n">
        <f aca="false">IF(p_basis=1,(1+DU7)/(1+p_infl)-1,DU7)</f>
        <v>0.0232</v>
      </c>
      <c r="DX7" s="11" t="n">
        <f aca="false">DW7+(DT7-DS7)</f>
        <v>0.0382</v>
      </c>
      <c r="DY7" s="28" t="n">
        <f aca="false">IF(AND(p_use_pefa=1,ISNUMBER(BD7)),p_gap_lic-(BD7-1)/3*(p_gap_lic-p_gap_ae),IF(E7="AE",p_gap_ae,IF(D7="Low income",p_gap_lic,p_gap_em)))*(1-p_reform*p_reform_close)</f>
        <v>0.13</v>
      </c>
      <c r="DZ7" s="6" t="str">
        <f aca="false">IF(AND(p_use_pefa=1,ISNUMBER(BD7)),"PEFA PI-11","Income-group default (IMF 2015)")</f>
        <v>Income-group default (IMF 2015)</v>
      </c>
      <c r="EA7" s="28" t="n">
        <f aca="false">IF(E7="AE",p_ps_ae,IF(E7="China",p_ps_chn,p_ps_emdc))</f>
        <v>0.3</v>
      </c>
      <c r="EB7" s="37" t="n">
        <f aca="false">(1-EA7)+EA7/(1-DY7)</f>
        <v>1.0448275862069</v>
      </c>
      <c r="EC7" s="16" t="n">
        <f aca="false">Results_Country!F7</f>
        <v>152.274704467105</v>
      </c>
      <c r="ED7" s="16" t="n">
        <f aca="false">IF(CH7="",0,CH7*EC7)</f>
        <v>40156.4010651067</v>
      </c>
      <c r="EE7" s="16" t="n">
        <f aca="false">IF(CJ7="",0,CJ7*EC7)</f>
        <v>4968.6949939044</v>
      </c>
      <c r="EF7" s="16" t="n">
        <f aca="false">IF(CH7="",0,EC7)</f>
        <v>152.274704467105</v>
      </c>
    </row>
    <row r="8" customFormat="false" ht="15" hidden="false" customHeight="false" outlineLevel="0" collapsed="false">
      <c r="A8" s="35" t="s">
        <v>767</v>
      </c>
      <c r="B8" s="35" t="s">
        <v>768</v>
      </c>
      <c r="C8" s="35" t="s">
        <v>762</v>
      </c>
      <c r="D8" s="35" t="s">
        <v>760</v>
      </c>
      <c r="E8" s="35" t="s">
        <v>29</v>
      </c>
      <c r="F8" s="36" t="n">
        <v>4190.008</v>
      </c>
      <c r="G8" s="36" t="n">
        <v>6735.801</v>
      </c>
      <c r="H8" s="33" t="n">
        <v>1.193</v>
      </c>
      <c r="I8" s="33" t="n">
        <v>0.719</v>
      </c>
      <c r="J8" s="36" t="n">
        <v>123.753041</v>
      </c>
      <c r="K8" s="36" t="n">
        <v>1205.177</v>
      </c>
      <c r="L8" s="36" t="n">
        <v>1316.091</v>
      </c>
      <c r="M8" s="36" t="n">
        <v>1263.984</v>
      </c>
      <c r="N8" s="36" t="n">
        <v>801.316005087797</v>
      </c>
      <c r="O8" s="36" t="n">
        <v>301.490739138429</v>
      </c>
      <c r="P8" s="36" t="n">
        <v>19.2817740067758</v>
      </c>
      <c r="Q8" s="31" t="n">
        <v>0.47574462671579</v>
      </c>
      <c r="R8" s="31" t="n">
        <v>0.900472189124335</v>
      </c>
      <c r="S8" s="31" t="n">
        <v>1.07705662253464</v>
      </c>
      <c r="T8" s="31" t="n">
        <v>0.000921393033630662</v>
      </c>
      <c r="U8" s="31" t="n">
        <v>0.979287165878401</v>
      </c>
      <c r="V8" s="31" t="n">
        <v>0.00723857580895179</v>
      </c>
      <c r="W8" s="31" t="n">
        <v>3.24957247135426</v>
      </c>
      <c r="X8" s="31" t="n">
        <v>1.71346522741083E-005</v>
      </c>
      <c r="Y8" s="36" t="n">
        <v>44.6516355955981</v>
      </c>
      <c r="Z8" s="36" t="n">
        <v>43.6230533518783</v>
      </c>
      <c r="AA8" s="36" t="n">
        <v>14.3359882385666</v>
      </c>
      <c r="AB8" s="36" t="n">
        <v>16.8338115011102</v>
      </c>
      <c r="AC8" s="36" t="n">
        <v>70.9525999663227</v>
      </c>
      <c r="AD8" s="31" t="n">
        <v>0.792</v>
      </c>
      <c r="AE8" s="31" t="n">
        <v>0.754814</v>
      </c>
      <c r="AF8" s="31" t="n">
        <v>0.537673</v>
      </c>
      <c r="AG8" s="31" t="n">
        <v>0.68874</v>
      </c>
      <c r="AH8" s="31" t="n">
        <v>0.543345303403777</v>
      </c>
      <c r="AI8" s="31" t="n">
        <v>7.404</v>
      </c>
      <c r="AJ8" s="31" t="n">
        <v>14.7983</v>
      </c>
      <c r="AK8" s="31" t="n">
        <v>7.372</v>
      </c>
      <c r="AL8" s="31" t="n">
        <v>7.39208759489479</v>
      </c>
      <c r="AM8" s="31" t="n">
        <v>20.553</v>
      </c>
      <c r="AN8" s="31" t="n">
        <v>24.3694</v>
      </c>
      <c r="AO8" s="31" t="n">
        <v>20.53</v>
      </c>
      <c r="AP8" s="31" t="n">
        <v>21.943709126381</v>
      </c>
      <c r="AQ8" s="36" t="n">
        <v>57.5384148009049</v>
      </c>
      <c r="AR8" s="36" t="n">
        <v>33.6294063227116</v>
      </c>
      <c r="AS8" s="36" t="n">
        <v>4.10832987291004</v>
      </c>
      <c r="AT8" s="36" t="n">
        <v>5.29083013966438</v>
      </c>
      <c r="AU8" s="31" t="n">
        <v>0.386177484187671</v>
      </c>
      <c r="AV8" s="36" t="n">
        <v>0.18271</v>
      </c>
      <c r="AW8" s="31" t="n">
        <v>1.653466</v>
      </c>
      <c r="AX8" s="31" t="n">
        <v>0.979454</v>
      </c>
      <c r="AY8" s="31" t="n">
        <v>0.157775278955448</v>
      </c>
      <c r="AZ8" s="31" t="n">
        <v>0.083558</v>
      </c>
      <c r="BA8" s="33" t="n">
        <v>214.487</v>
      </c>
      <c r="BB8" s="33" t="n">
        <v>0.325</v>
      </c>
      <c r="BC8" s="33"/>
      <c r="BD8" s="33"/>
      <c r="BE8" s="33"/>
      <c r="BF8" s="33" t="n">
        <v>0</v>
      </c>
      <c r="BG8" s="33"/>
      <c r="BH8" s="33"/>
      <c r="BI8" s="29"/>
      <c r="BJ8" s="33"/>
      <c r="BK8" s="33"/>
      <c r="BL8" s="33"/>
      <c r="BM8" s="33"/>
      <c r="BN8" s="29"/>
      <c r="BO8" s="33"/>
      <c r="BP8" s="33"/>
      <c r="BQ8" s="29" t="n">
        <v>2025</v>
      </c>
      <c r="BR8" s="36" t="n">
        <v>1029.97</v>
      </c>
      <c r="BS8" s="36" t="n">
        <v>330.12</v>
      </c>
      <c r="BT8" s="36" t="n">
        <v>337.64</v>
      </c>
      <c r="BU8" s="36" t="n">
        <v>25.39</v>
      </c>
      <c r="BV8" s="16" t="n">
        <f aca="false">F8*(1+N(H8)/100)*(1+N(I8)/100)^5</f>
        <v>4394.63033687055</v>
      </c>
      <c r="BW8" s="16" t="n">
        <f aca="false">IF(N(G8)&gt;0,G8,F8)</f>
        <v>6735.801</v>
      </c>
      <c r="BX8" s="12" t="n">
        <f aca="false">F8/BW8</f>
        <v>0.62205044359238</v>
      </c>
      <c r="BY8" s="13" t="n">
        <f aca="false">IF(ISNUMBER(K8),1,0)</f>
        <v>1</v>
      </c>
      <c r="BZ8" s="16" t="n">
        <f aca="false">IF(BY8=0,"",N(N8)+N(O8)+N(P8))</f>
        <v>1122.088518233</v>
      </c>
      <c r="CA8" s="37" t="n">
        <f aca="false">IF(BY8=0,"",(N(Y8)*34.2+N(Z8)*38.6)/1000)</f>
        <v>3.21093579675196</v>
      </c>
      <c r="CB8" s="37" t="n">
        <f aca="false">IF(BY8=0,"",N(O8)*0.0036+N(R8)+N(V8)+(N(AA8)*25.3+N(AB8)*37)/1000)</f>
        <v>2.97862895380844</v>
      </c>
      <c r="CC8" s="37" t="n">
        <f aca="false">IF(BY8=0,"",N(N8)*0.0036+N(Q8)+N(U8)+N(T8)+N(X8)+N(AC8)*38/1000)</f>
        <v>7.03690673731643</v>
      </c>
      <c r="CD8" s="37" t="n">
        <f aca="false">IF(BY8=0,"",N(Q8)+N(R8)+N(S8)+N(T8)+N(U8)+N(V8)+N(W8)+N(X8)+(N(Y8)*34.2+N(Z8)*38.6+N(AA8)*25.3+N(AB8)*37+N(AC8)*38)/1000)</f>
        <v>13.5829963025513</v>
      </c>
      <c r="CE8" s="16" t="n">
        <f aca="false">IF(BY8=0,"",MAX(0,N(L8)-N(K8))+MAX(0,N(M8)-N(L8)))</f>
        <v>110.914</v>
      </c>
      <c r="CF8" s="16" t="n">
        <f aca="false">IF(BY8=0,"",N(Y8)*N(AD8)+N(Z8)*N(AE8)+N(AA8)*N(AF8)+N(AB8)*N(AG8)+N(AC8)*N(AH8)+N(U8)*N(AI8)+N(V8)*N(AJ8)+N(W8)*N(AK8)+N(X8)*N(AL8)+N(Q8)*N(AM8)+N(R8)*N(AN8)+N(S8)*N(AO8)+N(T8)*N(AP8))</f>
        <v>211.313215110041</v>
      </c>
      <c r="CG8" s="16" t="n">
        <f aca="false">IF(AND(BY8=1,N(K8)&gt;0),K8,0)</f>
        <v>1205.177</v>
      </c>
      <c r="CH8" s="16" t="n">
        <f aca="false">IF(CG8&gt;0,CF8*1000/CG8,"")</f>
        <v>175.337908962784</v>
      </c>
      <c r="CI8" s="16" t="n">
        <f aca="false">IF(BY8=0,"",N(AQ8)+p_road*(N(AR8)+N(AS8)+N(AT8)))</f>
        <v>57.5384148009049</v>
      </c>
      <c r="CJ8" s="16" t="n">
        <f aca="false">IF(CG8&gt;0,CI8*1000/CG8,"")</f>
        <v>47.7427089970228</v>
      </c>
      <c r="CK8" s="12" t="n">
        <f aca="false">IF(CH8="",1,MIN(p_idx_max,MAX(p_idx_min,CH8/p_fc_world)))</f>
        <v>1.08900565558523</v>
      </c>
      <c r="CL8" s="12" t="n">
        <f aca="false">IF(CJ8="",1,MIN(p_idx_max,MAX(p_idx_min,CJ8/p_cb_world)))</f>
        <v>0.907814936757529</v>
      </c>
      <c r="CM8" s="37" t="n">
        <f aca="false">p_b*(1-p_wb_idx+p_wb_idx*CK8)</f>
        <v>0.144837752192835</v>
      </c>
      <c r="CN8" s="37" t="n">
        <f aca="false">p_c*(1-p_wc_idx+p_wc_idx*CL8)</f>
        <v>0.117108126841721</v>
      </c>
      <c r="CO8" s="28" t="n">
        <f aca="false">IF(N(BR8)&gt;0,(N(BS8)+N(BT8)+N(BU8))/BR8,"")</f>
        <v>0.67298076643009</v>
      </c>
      <c r="CP8" s="16" t="n">
        <f aca="false">N(BS8)+N(BT8)+N(BU8)</f>
        <v>693.15</v>
      </c>
      <c r="CQ8" s="28" t="n">
        <f aca="false">IF(CP8&gt;0,N(BS8)/CP8,"")</f>
        <v>0.476260549664575</v>
      </c>
      <c r="CR8" s="28" t="n">
        <f aca="false">IF(CP8&gt;0,N(BT8)/CP8,"")</f>
        <v>0.48710957224266</v>
      </c>
      <c r="CS8" s="28" t="n">
        <f aca="false">IF(CP8&gt;0,N(BU8)/CP8,"")</f>
        <v>0.0366298780927649</v>
      </c>
      <c r="CT8" s="7" t="n">
        <f aca="false">1000*(p_sh_pv*p_cf_pv/p_capex_pv+(1-p_sh_pv)*p_cf_wind/p_capex_wind)*8760</f>
        <v>2301.28856624319</v>
      </c>
      <c r="CU8" s="13" t="n">
        <f aca="false">IF(AND(ISNUMBER(CO8),ISNUMBER(CQ8),BY8=1),1,0)</f>
        <v>1</v>
      </c>
      <c r="CV8" s="16" t="n">
        <f aca="false">IF(CU8=0,"",CQ8*p_hr_coal*N(AK8)+CR8*p_hr_gas*N(AO8)+CS8*p_hr_oil*N(AH8)/p_gj_l_oil)</f>
        <v>115.526563443412</v>
      </c>
      <c r="CW8" s="37" t="n">
        <f aca="false">IF(CU8=0,"",CQ8*p_hr_coal*p_ef_coal+CR8*p_hr_gas*p_ef_gas+CS8*p_hr_oil*p_ef_oil)</f>
        <v>0.685262934429777</v>
      </c>
      <c r="CX8" s="16" t="n">
        <f aca="false">IF(CU8=0,"",CQ8*p_hr_coal*N(AW8)+CR8*p_hr_gas*N(AX8)+CS8*p_hr_oil*N(AY8)/p_gj_l_oil)</f>
        <v>13.025153352117</v>
      </c>
      <c r="CY8" s="37" t="n">
        <f aca="false">IF(CU8=0,"",CO8*CW8)</f>
        <v>0.461168774818684</v>
      </c>
      <c r="CZ8" s="37" t="n">
        <f aca="false">IF(CU8=0,"",CT8*CO8*CV8/1000/1000-p_om_re)</f>
        <v>0.163918639340826</v>
      </c>
      <c r="DA8" s="37" t="n">
        <f aca="false">IF(CU8=0,"",CT8*CO8*CX8/1000/1000)</f>
        <v>0.020172353833652</v>
      </c>
      <c r="DB8" s="37" t="n">
        <f aca="false">IF(CU8=0,"",CT8*CO8*CW8/1000)</f>
        <v>1.06128242859862</v>
      </c>
      <c r="DC8" s="13" t="n">
        <f aca="false">IF(AND(CU8=1,ISNUMBER(AD8),ISNUMBER(AV8)),1,0)</f>
        <v>1</v>
      </c>
      <c r="DD8" s="7" t="n">
        <f aca="false">IF(DC8=0,"",p_ev_km*p_ice_l/100*AD8-p_ev_km*p_ev_kwh*AV8+p_ev_km*p_ev_maint)</f>
        <v>577.683</v>
      </c>
      <c r="DE8" s="37" t="n">
        <f aca="false">IF(DC8=0,"",DD8/p_ev_prem)</f>
        <v>0.1155366</v>
      </c>
      <c r="DF8" s="37" t="n">
        <f aca="false">IF(DC8=0,"",p_ev_km*p_ice_l/100*N(AZ8)/p_ev_prem)</f>
        <v>0.01880055</v>
      </c>
      <c r="DG8" s="37" t="n">
        <f aca="false">IF(DC8=0,"",1000/p_ev_prem*(p_ev_km*p_ice_l/100*p_gj_l_gso*p_ef_gso-p_ev_km*p_ev_kwh/1000*CY8))</f>
        <v>0.284232361597911</v>
      </c>
      <c r="DH8" s="11" t="str">
        <f aca="false">IFERROR(IF(INDEX(Damodaran!$D:$D,MATCH(A8,Damodaran!$A:$A,0))="","",INDEX(Damodaran!$D:$D,MATCH(A8,Damodaran!$A:$A,0))),"")</f>
        <v/>
      </c>
      <c r="DI8" s="11" t="str">
        <f aca="false">IFERROR(IF(INDEX(Damodaran!$E:$E,MATCH(A8,Damodaran!$A:$A,0))="","",INDEX(Damodaran!$E:$E,MATCH(A8,Damodaran!$A:$A,0))),"")</f>
        <v/>
      </c>
      <c r="DJ8" s="11" t="str">
        <f aca="false">IFERROR(IF(INDEX(Damodaran!$G:$G,MATCH(A8,Damodaran!$A:$A,0))="","",INDEX(Damodaran!$G:$G,MATCH(A8,Damodaran!$A:$A,0))),"")</f>
        <v/>
      </c>
      <c r="DK8" s="11" t="str">
        <f aca="false">IF(ISNUMBER(BG8),(1+BG8/100)*(1+p_infl)-1,"")</f>
        <v/>
      </c>
      <c r="DL8" s="11" t="str">
        <f aca="false">IF(ISNUMBER(BH8),BH8/100,"")</f>
        <v/>
      </c>
      <c r="DM8" s="11" t="str">
        <f aca="false">IF(COUNT(DK8,DL8)=0,"",AVERAGE(DK8,DL8))</f>
        <v/>
      </c>
      <c r="DN8" s="11" t="str">
        <f aca="false">IF(OR(DH8="",DI8=""),"",p_dv*(p_rf+DH8)*(1-IF(DJ8="",p_tax_def,DJ8))+(1-p_dv)*(p_rf+p_beta*p_erp+p_lambda*DI8))</f>
        <v/>
      </c>
      <c r="DO8" s="13" t="n">
        <f aca="false">IF(AND(ISNUMBER(DM8),ISNUMBER(DN8)),1,0)</f>
        <v>0</v>
      </c>
      <c r="DP8" s="11" t="n">
        <f aca="false">IF(DO8=1,DM8,0)</f>
        <v>0</v>
      </c>
      <c r="DQ8" s="11" t="n">
        <f aca="false">IF(DO8=1,DN8,0)</f>
        <v>0</v>
      </c>
      <c r="DR8" s="11" t="str">
        <f aca="false">IF(DN8="","",DN8+p_shift)</f>
        <v/>
      </c>
      <c r="DS8" s="11" t="n">
        <f aca="false">IF(E8="AE",p_r_ae,IF(E8="China",p_r_chn,p_r_emdc))</f>
        <v>0.055</v>
      </c>
      <c r="DT8" s="11" t="n">
        <f aca="false">IF(E8="AE",p_rh_ae,IF(E8="China",p_rh_chn,p_rh_emdc))</f>
        <v>0.07</v>
      </c>
      <c r="DU8" s="11" t="n">
        <f aca="false">IF(AND(p_use_obs=1,ISNUMBER(DM8)),DM8,IF(AND(p_use_dam=1,ISNUMBER(DR8)),DR8,DS8))</f>
        <v>0.055</v>
      </c>
      <c r="DV8" s="6" t="str">
        <f aca="false">IF(AND(p_use_obs=1,ISNUMBER(DM8)),"Observed (IRENA/Steffen)",IF(AND(p_use_dam=1,ISNUMBER(DR8)),"Damodaran (eq. 5)","Group default (IHLEG)"))</f>
        <v>Group default (IHLEG)</v>
      </c>
      <c r="DW8" s="11" t="n">
        <f aca="false">IF(p_basis=1,(1+DU8)/(1+p_infl)-1,DU8)</f>
        <v>0.055</v>
      </c>
      <c r="DX8" s="11" t="n">
        <f aca="false">DW8+(DT8-DS8)</f>
        <v>0.07</v>
      </c>
      <c r="DY8" s="28" t="n">
        <f aca="false">IF(AND(p_use_pefa=1,ISNUMBER(BD8)),p_gap_lic-(BD8-1)/3*(p_gap_lic-p_gap_ae),IF(E8="AE",p_gap_ae,IF(D8="Low income",p_gap_lic,p_gap_em)))*(1-p_reform*p_reform_close)</f>
        <v>0.13</v>
      </c>
      <c r="DZ8" s="6" t="str">
        <f aca="false">IF(AND(p_use_pefa=1,ISNUMBER(BD8)),"PEFA PI-11","Income-group default (IMF 2015)")</f>
        <v>Income-group default (IMF 2015)</v>
      </c>
      <c r="EA8" s="28" t="n">
        <f aca="false">IF(E8="AE",p_ps_ae,IF(E8="China",p_ps_chn,p_ps_emdc))</f>
        <v>0.3</v>
      </c>
      <c r="EB8" s="37" t="n">
        <f aca="false">(1-EA8)+EA8/(1-DY8)</f>
        <v>1.0448275862069</v>
      </c>
      <c r="EC8" s="16" t="n">
        <f aca="false">Results_Country!F8</f>
        <v>190.590344404394</v>
      </c>
      <c r="ED8" s="16" t="n">
        <f aca="false">IF(CH8="",0,CH8*EC8)</f>
        <v>33417.7124563634</v>
      </c>
      <c r="EE8" s="16" t="n">
        <f aca="false">IF(CJ8="",0,CJ8*EC8)</f>
        <v>9099.29935054135</v>
      </c>
      <c r="EF8" s="16" t="n">
        <f aca="false">IF(CH8="",0,EC8)</f>
        <v>190.590344404394</v>
      </c>
    </row>
    <row r="9" customFormat="false" ht="15" hidden="false" customHeight="false" outlineLevel="0" collapsed="false">
      <c r="A9" s="35" t="s">
        <v>481</v>
      </c>
      <c r="B9" s="35" t="s">
        <v>769</v>
      </c>
      <c r="C9" s="35" t="s">
        <v>770</v>
      </c>
      <c r="D9" s="35" t="s">
        <v>771</v>
      </c>
      <c r="E9" s="35" t="s">
        <v>31</v>
      </c>
      <c r="F9" s="36" t="n">
        <v>3760.814</v>
      </c>
      <c r="G9" s="36" t="n">
        <v>15593.814</v>
      </c>
      <c r="H9" s="33" t="n">
        <v>7.618</v>
      </c>
      <c r="I9" s="33" t="n">
        <v>6.478</v>
      </c>
      <c r="J9" s="36" t="n">
        <v>1450.935791</v>
      </c>
      <c r="K9" s="36" t="n">
        <v>2845.008</v>
      </c>
      <c r="L9" s="36" t="n">
        <v>4131.845</v>
      </c>
      <c r="M9" s="36" t="n">
        <v>4096.604</v>
      </c>
      <c r="N9" s="36" t="n">
        <v>1086.98468800696</v>
      </c>
      <c r="O9" s="36" t="n">
        <v>418.58493369016</v>
      </c>
      <c r="P9" s="36" t="n">
        <v>120.14133601836</v>
      </c>
      <c r="Q9" s="31" t="n">
        <v>1.1753929116105</v>
      </c>
      <c r="R9" s="31" t="n">
        <v>0.241485724789096</v>
      </c>
      <c r="S9" s="31" t="n">
        <v>2.46519823005983</v>
      </c>
      <c r="T9" s="31" t="n">
        <v>0.194505894608764</v>
      </c>
      <c r="U9" s="31" t="n">
        <v>5.19258769713586</v>
      </c>
      <c r="V9" s="31" t="n">
        <v>0.430484273660367</v>
      </c>
      <c r="W9" s="31" t="n">
        <v>10.5330048807375</v>
      </c>
      <c r="X9" s="31" t="n">
        <v>0.126239642221348</v>
      </c>
      <c r="Y9" s="36" t="n">
        <v>51.4898941582099</v>
      </c>
      <c r="Z9" s="36" t="n">
        <v>110.40620872788</v>
      </c>
      <c r="AA9" s="36" t="n">
        <v>70.0747497718943</v>
      </c>
      <c r="AB9" s="36" t="n">
        <v>7.94006004691981</v>
      </c>
      <c r="AC9" s="36" t="n">
        <v>58.8374839957</v>
      </c>
      <c r="AD9" s="31" t="n">
        <v>0.70564</v>
      </c>
      <c r="AE9" s="31" t="n">
        <v>0.569088</v>
      </c>
      <c r="AF9" s="31" t="n">
        <v>0.474114</v>
      </c>
      <c r="AG9" s="31" t="n">
        <v>0.331677</v>
      </c>
      <c r="AH9" s="31" t="n">
        <v>0.385691196442897</v>
      </c>
      <c r="AI9" s="31" t="n">
        <v>4.396</v>
      </c>
      <c r="AJ9" s="31" t="n">
        <v>8.01574</v>
      </c>
      <c r="AK9" s="31" t="n">
        <v>2.629</v>
      </c>
      <c r="AL9" s="31" t="n">
        <v>3.34044804662434</v>
      </c>
      <c r="AM9" s="31" t="n">
        <v>9.792</v>
      </c>
      <c r="AN9" s="31" t="n">
        <v>18.51656</v>
      </c>
      <c r="AO9" s="31" t="n">
        <v>8.809</v>
      </c>
      <c r="AP9" s="31" t="n">
        <v>9.71048869149996</v>
      </c>
      <c r="AQ9" s="36" t="n">
        <v>151.402859338289</v>
      </c>
      <c r="AR9" s="36" t="n">
        <v>3.83323187647089</v>
      </c>
      <c r="AS9" s="36" t="n">
        <v>25.2985781289535</v>
      </c>
      <c r="AT9" s="36" t="n">
        <v>11.6833490553976</v>
      </c>
      <c r="AU9" s="31" t="n">
        <v>0.345002368170853</v>
      </c>
      <c r="AV9" s="36" t="n">
        <v>0.1239</v>
      </c>
      <c r="AW9" s="31" t="n">
        <v>2.749538</v>
      </c>
      <c r="AX9" s="31" t="n">
        <v>0.386554</v>
      </c>
      <c r="AY9" s="31" t="n">
        <v>0.503070301349856</v>
      </c>
      <c r="AZ9" s="31" t="n">
        <v>0.111705</v>
      </c>
      <c r="BA9" s="33" t="n">
        <v>84.782</v>
      </c>
      <c r="BB9" s="33" t="n">
        <v>22.859</v>
      </c>
      <c r="BC9" s="33" t="n">
        <v>106.972</v>
      </c>
      <c r="BD9" s="33"/>
      <c r="BE9" s="33"/>
      <c r="BF9" s="33" t="n">
        <v>0</v>
      </c>
      <c r="BG9" s="33"/>
      <c r="BH9" s="33" t="n">
        <v>9.5</v>
      </c>
      <c r="BI9" s="29" t="n">
        <v>2022</v>
      </c>
      <c r="BJ9" s="33" t="n">
        <v>1</v>
      </c>
      <c r="BK9" s="33"/>
      <c r="BL9" s="33" t="n">
        <v>0.904</v>
      </c>
      <c r="BM9" s="33" t="n">
        <v>4.463</v>
      </c>
      <c r="BN9" s="29" t="n">
        <v>14.5</v>
      </c>
      <c r="BO9" s="33" t="n">
        <v>0.219</v>
      </c>
      <c r="BP9" s="33" t="n">
        <v>0.197</v>
      </c>
      <c r="BQ9" s="29" t="n">
        <v>2025</v>
      </c>
      <c r="BR9" s="36" t="n">
        <v>2081.6</v>
      </c>
      <c r="BS9" s="36" t="n">
        <v>1474.15</v>
      </c>
      <c r="BT9" s="36" t="n">
        <v>48.54</v>
      </c>
      <c r="BU9" s="36" t="n">
        <v>4.1</v>
      </c>
      <c r="BV9" s="16" t="n">
        <f aca="false">F9*(1+N(H9)/100)*(1+N(I9)/100)^5</f>
        <v>5539.4442652124</v>
      </c>
      <c r="BW9" s="16" t="n">
        <f aca="false">IF(N(G9)&gt;0,G9,F9)</f>
        <v>15593.814</v>
      </c>
      <c r="BX9" s="12" t="n">
        <f aca="false">F9/BW9</f>
        <v>0.241173455063655</v>
      </c>
      <c r="BY9" s="13" t="n">
        <f aca="false">IF(ISNUMBER(K9),1,0)</f>
        <v>1</v>
      </c>
      <c r="BZ9" s="16" t="n">
        <f aca="false">IF(BY9=0,"",N(N9)+N(O9)+N(P9))</f>
        <v>1625.71095771548</v>
      </c>
      <c r="CA9" s="37" t="n">
        <f aca="false">IF(BY9=0,"",(N(Y9)*34.2+N(Z9)*38.6)/1000)</f>
        <v>6.02263403710696</v>
      </c>
      <c r="CB9" s="37" t="n">
        <f aca="false">IF(BY9=0,"",N(O9)*0.0036+N(R9)+N(V9)+(N(AA9)*25.3+N(AB9)*37)/1000)</f>
        <v>4.245549150699</v>
      </c>
      <c r="CC9" s="37" t="n">
        <f aca="false">IF(BY9=0,"",N(N9)*0.0036+N(Q9)+N(U9)+N(T9)+N(X9)+N(AC9)*38/1000)</f>
        <v>12.8376954142381</v>
      </c>
      <c r="CD9" s="37" t="n">
        <f aca="false">IF(BY9=0,"",N(Q9)+N(R9)+N(S9)+N(T9)+N(U9)+N(V9)+N(W9)+N(X9)+(N(Y9)*34.2+N(Z9)*38.6+N(AA9)*25.3+N(AB9)*37+N(AC9)*38)/1000)</f>
        <v>30.6840310747318</v>
      </c>
      <c r="CE9" s="16" t="n">
        <f aca="false">IF(BY9=0,"",MAX(0,N(L9)-N(K9))+MAX(0,N(M9)-N(L9)))</f>
        <v>1286.837</v>
      </c>
      <c r="CF9" s="16" t="n">
        <f aca="false">IF(BY9=0,"",N(Y9)*N(AD9)+N(Z9)*N(AE9)+N(AA9)*N(AF9)+N(AB9)*N(AG9)+N(AC9)*N(AH9)+N(U9)*N(AI9)+N(V9)*N(AJ9)+N(W9)*N(AK9)+N(X9)*N(AL9)+N(Q9)*N(AM9)+N(R9)*N(AN9)+N(S9)*N(AO9)+N(T9)*N(AP9))</f>
        <v>251.690075361256</v>
      </c>
      <c r="CG9" s="16" t="n">
        <f aca="false">IF(AND(BY9=1,N(K9)&gt;0),K9,0)</f>
        <v>2845.008</v>
      </c>
      <c r="CH9" s="16" t="n">
        <f aca="false">IF(CG9&gt;0,CF9*1000/CG9,"")</f>
        <v>88.4672645424042</v>
      </c>
      <c r="CI9" s="16" t="n">
        <f aca="false">IF(BY9=0,"",N(AQ9)+p_road*(N(AR9)+N(AS9)+N(AT9)))</f>
        <v>151.402859338289</v>
      </c>
      <c r="CJ9" s="16" t="n">
        <f aca="false">IF(CG9&gt;0,CI9*1000/CG9,"")</f>
        <v>53.2170241132149</v>
      </c>
      <c r="CK9" s="12" t="n">
        <f aca="false">IF(CH9="",1,MIN(p_idx_max,MAX(p_idx_min,CH9/p_fc_world)))</f>
        <v>0.549461049186353</v>
      </c>
      <c r="CL9" s="12" t="n">
        <f aca="false">IF(CJ9="",1,MIN(p_idx_max,MAX(p_idx_min,CJ9/p_cb_world)))</f>
        <v>1.01190758536083</v>
      </c>
      <c r="CM9" s="37" t="n">
        <f aca="false">p_b*(1-p_wb_idx+p_wb_idx*CK9)</f>
        <v>0.073078319541785</v>
      </c>
      <c r="CN9" s="37" t="n">
        <f aca="false">p_c*(1-p_wc_idx+p_wc_idx*CL9)</f>
        <v>0.130536078511547</v>
      </c>
      <c r="CO9" s="28" t="n">
        <f aca="false">IF(N(BR9)&gt;0,(N(BS9)+N(BT9)+N(BU9))/BR9,"")</f>
        <v>0.733469446579554</v>
      </c>
      <c r="CP9" s="16" t="n">
        <f aca="false">N(BS9)+N(BT9)+N(BU9)</f>
        <v>1526.79</v>
      </c>
      <c r="CQ9" s="28" t="n">
        <f aca="false">IF(CP9&gt;0,N(BS9)/CP9,"")</f>
        <v>0.965522435960414</v>
      </c>
      <c r="CR9" s="28" t="n">
        <f aca="false">IF(CP9&gt;0,N(BT9)/CP9,"")</f>
        <v>0.0317921914605152</v>
      </c>
      <c r="CS9" s="28" t="n">
        <f aca="false">IF(CP9&gt;0,N(BU9)/CP9,"")</f>
        <v>0.00268537257907112</v>
      </c>
      <c r="CT9" s="7" t="n">
        <f aca="false">1000*(p_sh_pv*p_cf_pv/p_capex_pv+(1-p_sh_pv)*p_cf_wind/p_capex_wind)*8760</f>
        <v>2301.28856624319</v>
      </c>
      <c r="CU9" s="13" t="n">
        <f aca="false">IF(AND(ISNUMBER(CO9),ISNUMBER(CQ9),BY9=1),1,0)</f>
        <v>1</v>
      </c>
      <c r="CV9" s="16" t="n">
        <f aca="false">IF(CU9=0,"",CQ9*p_hr_coal*N(AK9)+CR9*p_hr_gas*N(AO9)+CS9*p_hr_oil*N(AH9)/p_gj_l_oil)</f>
        <v>27.7657539976243</v>
      </c>
      <c r="CW9" s="37" t="n">
        <f aca="false">IF(CU9=0,"",CQ9*p_hr_coal*p_ef_coal+CR9*p_hr_gas*p_ef_gas+CS9*p_hr_oil*p_ef_oil)</f>
        <v>0.928943191270574</v>
      </c>
      <c r="CX9" s="16" t="n">
        <f aca="false">IF(CU9=0,"",CQ9*p_hr_coal*N(AW9)+CR9*p_hr_gas*N(AX9)+CS9*p_hr_oil*N(AY9)/p_gj_l_oil)</f>
        <v>27.0070580490494</v>
      </c>
      <c r="CY9" s="37" t="n">
        <f aca="false">IF(CU9=0,"",CO9*CW9)</f>
        <v>0.681351448405073</v>
      </c>
      <c r="CZ9" s="37" t="n">
        <f aca="false">IF(CU9=0,"",CT9*CO9*CV9/1000/1000-p_om_re)</f>
        <v>0.0318665061821817</v>
      </c>
      <c r="DA9" s="37" t="n">
        <f aca="false">IF(CU9=0,"",CT9*CO9*CX9/1000/1000)</f>
        <v>0.0455858844361515</v>
      </c>
      <c r="DB9" s="37" t="n">
        <f aca="false">IF(CU9=0,"",CT9*CO9*CW9/1000)</f>
        <v>1.56798629780783</v>
      </c>
      <c r="DC9" s="13" t="n">
        <f aca="false">IF(AND(CU9=1,ISNUMBER(AD9),ISNUMBER(AV9)),1,0)</f>
        <v>1</v>
      </c>
      <c r="DD9" s="7" t="n">
        <f aca="false">IF(DC9=0,"",p_ev_km*p_ice_l/100*AD9-p_ev_km*p_ev_kwh*AV9+p_ev_km*p_ev_maint)</f>
        <v>639.315</v>
      </c>
      <c r="DE9" s="37" t="n">
        <f aca="false">IF(DC9=0,"",DD9/p_ev_prem)</f>
        <v>0.127863</v>
      </c>
      <c r="DF9" s="37" t="n">
        <f aca="false">IF(DC9=0,"",p_ev_km*p_ice_l/100*N(AZ9)/p_ev_prem)</f>
        <v>0.025133625</v>
      </c>
      <c r="DG9" s="37" t="n">
        <f aca="false">IF(DC9=0,"",1000/p_ev_prem*(p_ev_km*p_ice_l/100*p_gj_l_gso*p_ef_gso-p_ev_km*p_ev_kwh/1000*CY9))</f>
        <v>0.165333717861261</v>
      </c>
      <c r="DH9" s="11" t="str">
        <f aca="false">IFERROR(IF(INDEX(Damodaran!$D:$D,MATCH(A9,Damodaran!$A:$A,0))="","",INDEX(Damodaran!$D:$D,MATCH(A9,Damodaran!$A:$A,0))),"")</f>
        <v/>
      </c>
      <c r="DI9" s="11" t="str">
        <f aca="false">IFERROR(IF(INDEX(Damodaran!$E:$E,MATCH(A9,Damodaran!$A:$A,0))="","",INDEX(Damodaran!$E:$E,MATCH(A9,Damodaran!$A:$A,0))),"")</f>
        <v/>
      </c>
      <c r="DJ9" s="11" t="str">
        <f aca="false">IFERROR(IF(INDEX(Damodaran!$G:$G,MATCH(A9,Damodaran!$A:$A,0))="","",INDEX(Damodaran!$G:$G,MATCH(A9,Damodaran!$A:$A,0))),"")</f>
        <v/>
      </c>
      <c r="DK9" s="11" t="str">
        <f aca="false">IF(ISNUMBER(BG9),(1+BG9/100)*(1+p_infl)-1,"")</f>
        <v/>
      </c>
      <c r="DL9" s="11" t="n">
        <f aca="false">IF(ISNUMBER(BH9),BH9/100,"")</f>
        <v>0.095</v>
      </c>
      <c r="DM9" s="11" t="n">
        <f aca="false">IF(COUNT(DK9,DL9)=0,"",AVERAGE(DK9,DL9))</f>
        <v>0.095</v>
      </c>
      <c r="DN9" s="11" t="str">
        <f aca="false">IF(OR(DH9="",DI9=""),"",p_dv*(p_rf+DH9)*(1-IF(DJ9="",p_tax_def,DJ9))+(1-p_dv)*(p_rf+p_beta*p_erp+p_lambda*DI9))</f>
        <v/>
      </c>
      <c r="DO9" s="13" t="n">
        <f aca="false">IF(AND(ISNUMBER(DM9),ISNUMBER(DN9)),1,0)</f>
        <v>0</v>
      </c>
      <c r="DP9" s="11" t="n">
        <f aca="false">IF(DO9=1,DM9,0)</f>
        <v>0</v>
      </c>
      <c r="DQ9" s="11" t="n">
        <f aca="false">IF(DO9=1,DN9,0)</f>
        <v>0</v>
      </c>
      <c r="DR9" s="11" t="str">
        <f aca="false">IF(DN9="","",DN9+p_shift)</f>
        <v/>
      </c>
      <c r="DS9" s="11" t="n">
        <f aca="false">IF(E9="AE",p_r_ae,IF(E9="China",p_r_chn,p_r_emdc))</f>
        <v>0.105</v>
      </c>
      <c r="DT9" s="11" t="n">
        <f aca="false">IF(E9="AE",p_rh_ae,IF(E9="China",p_rh_chn,p_rh_emdc))</f>
        <v>0.15</v>
      </c>
      <c r="DU9" s="11" t="n">
        <f aca="false">IF(AND(p_use_obs=1,ISNUMBER(DM9)),DM9,IF(AND(p_use_dam=1,ISNUMBER(DR9)),DR9,DS9))</f>
        <v>0.095</v>
      </c>
      <c r="DV9" s="6" t="str">
        <f aca="false">IF(AND(p_use_obs=1,ISNUMBER(DM9)),"Observed (IRENA/Steffen)",IF(AND(p_use_dam=1,ISNUMBER(DR9)),"Damodaran (eq. 5)","Group default (IHLEG)"))</f>
        <v>Observed (IRENA/Steffen)</v>
      </c>
      <c r="DW9" s="11" t="n">
        <f aca="false">IF(p_basis=1,(1+DU9)/(1+p_infl)-1,DU9)</f>
        <v>0.095</v>
      </c>
      <c r="DX9" s="11" t="n">
        <f aca="false">DW9+(DT9-DS9)</f>
        <v>0.14</v>
      </c>
      <c r="DY9" s="28" t="n">
        <f aca="false">IF(AND(p_use_pefa=1,ISNUMBER(BD9)),p_gap_lic-(BD9-1)/3*(p_gap_lic-p_gap_ae),IF(E9="AE",p_gap_ae,IF(D9="Low income",p_gap_lic,p_gap_em)))*(1-p_reform*p_reform_close)</f>
        <v>0.27</v>
      </c>
      <c r="DZ9" s="6" t="str">
        <f aca="false">IF(AND(p_use_pefa=1,ISNUMBER(BD9)),"PEFA PI-11","Income-group default (IMF 2015)")</f>
        <v>Income-group default (IMF 2015)</v>
      </c>
      <c r="EA9" s="28" t="n">
        <f aca="false">IF(E9="AE",p_ps_ae,IF(E9="China",p_ps_chn,p_ps_emdc))</f>
        <v>0.4</v>
      </c>
      <c r="EB9" s="37" t="n">
        <f aca="false">(1-EA9)+EA9/(1-DY9)</f>
        <v>1.14794520547945</v>
      </c>
      <c r="EC9" s="16" t="n">
        <f aca="false">Results_Country!F9</f>
        <v>291.815551733157</v>
      </c>
      <c r="ED9" s="16" t="n">
        <f aca="false">IF(CH9="",0,CH9*EC9)</f>
        <v>25816.1236127648</v>
      </c>
      <c r="EE9" s="16" t="n">
        <f aca="false">IF(CJ9="",0,CJ9*EC9)</f>
        <v>15529.5552531945</v>
      </c>
      <c r="EF9" s="16" t="n">
        <f aca="false">IF(CH9="",0,EC9)</f>
        <v>291.815551733157</v>
      </c>
    </row>
    <row r="10" customFormat="false" ht="15" hidden="false" customHeight="false" outlineLevel="0" collapsed="false">
      <c r="A10" s="35" t="s">
        <v>772</v>
      </c>
      <c r="B10" s="35" t="s">
        <v>773</v>
      </c>
      <c r="C10" s="35" t="s">
        <v>766</v>
      </c>
      <c r="D10" s="35" t="s">
        <v>760</v>
      </c>
      <c r="E10" s="35" t="s">
        <v>29</v>
      </c>
      <c r="F10" s="36" t="n">
        <v>3695.355</v>
      </c>
      <c r="G10" s="36" t="n">
        <v>4369.68</v>
      </c>
      <c r="H10" s="33" t="n">
        <v>1.323</v>
      </c>
      <c r="I10" s="33" t="n">
        <v>0.797</v>
      </c>
      <c r="J10" s="36" t="n">
        <v>69.138192</v>
      </c>
      <c r="K10" s="36" t="n">
        <v>370.094</v>
      </c>
      <c r="L10" s="36" t="n">
        <v>454.233</v>
      </c>
      <c r="M10" s="36" t="n">
        <v>450.982</v>
      </c>
      <c r="N10" s="36" t="n">
        <v>158.558941877221</v>
      </c>
      <c r="O10" s="36" t="n">
        <v>98.9977612799115</v>
      </c>
      <c r="P10" s="36" t="n">
        <v>6.77678001696407</v>
      </c>
      <c r="Q10" s="31" t="n">
        <v>0.616077385411652</v>
      </c>
      <c r="R10" s="31" t="n">
        <v>1.54485100090682</v>
      </c>
      <c r="S10" s="31" t="n">
        <v>0.578013702160473</v>
      </c>
      <c r="T10" s="31" t="n">
        <v>0.193017277741311</v>
      </c>
      <c r="U10" s="31" t="n">
        <v>0.0766305854781598</v>
      </c>
      <c r="V10" s="31" t="n">
        <v>0.0224227416213996</v>
      </c>
      <c r="W10" s="31" t="n">
        <v>0.0457180566430589</v>
      </c>
      <c r="X10" s="31" t="n">
        <v>0.000666816871781649</v>
      </c>
      <c r="Y10" s="36" t="n">
        <v>14.475101348912</v>
      </c>
      <c r="Z10" s="36" t="n">
        <v>33.4357215964115</v>
      </c>
      <c r="AA10" s="36" t="n">
        <v>1.99141510842233</v>
      </c>
      <c r="AB10" s="36" t="n">
        <v>4.58749820156329</v>
      </c>
      <c r="AC10" s="36" t="n">
        <v>4.31654625646536</v>
      </c>
      <c r="AD10" s="31" t="n">
        <v>0.8688</v>
      </c>
      <c r="AE10" s="31" t="n">
        <v>0.844368</v>
      </c>
      <c r="AF10" s="31" t="n">
        <v>0.534979</v>
      </c>
      <c r="AG10" s="31" t="n">
        <v>0.654577</v>
      </c>
      <c r="AH10" s="31" t="n">
        <v>0.519462891908447</v>
      </c>
      <c r="AI10" s="31" t="n">
        <v>14.313</v>
      </c>
      <c r="AJ10" s="31" t="n">
        <v>37.428</v>
      </c>
      <c r="AK10" s="31" t="n">
        <v>13.133</v>
      </c>
      <c r="AL10" s="31" t="n">
        <v>17.5205010525933</v>
      </c>
      <c r="AM10" s="31" t="n">
        <v>19.634</v>
      </c>
      <c r="AN10" s="31" t="n">
        <v>32.5296</v>
      </c>
      <c r="AO10" s="31" t="n">
        <v>32.277</v>
      </c>
      <c r="AP10" s="31" t="n">
        <v>29.5756515297082</v>
      </c>
      <c r="AQ10" s="36" t="n">
        <v>6.42434755406806</v>
      </c>
      <c r="AR10" s="36" t="n">
        <v>0.1604092733923</v>
      </c>
      <c r="AS10" s="36" t="n">
        <v>0.0215203379571722</v>
      </c>
      <c r="AT10" s="36" t="n">
        <v>0</v>
      </c>
      <c r="AU10" s="31" t="n">
        <v>0.520060837641064</v>
      </c>
      <c r="AV10" s="36" t="n">
        <v>0.37416</v>
      </c>
      <c r="AW10" s="31" t="n">
        <v>1.867267</v>
      </c>
      <c r="AX10" s="31" t="n">
        <v>0.95413</v>
      </c>
      <c r="AY10" s="31" t="n">
        <v>0.24720599228223</v>
      </c>
      <c r="AZ10" s="31" t="n">
        <v>0.037778</v>
      </c>
      <c r="BA10" s="33" t="n">
        <v>99.901</v>
      </c>
      <c r="BB10" s="33" t="n">
        <v>5.403</v>
      </c>
      <c r="BC10" s="33"/>
      <c r="BD10" s="33"/>
      <c r="BE10" s="33"/>
      <c r="BF10" s="33" t="n">
        <v>0</v>
      </c>
      <c r="BG10" s="33"/>
      <c r="BH10" s="33" t="n">
        <v>3.587</v>
      </c>
      <c r="BI10" s="29" t="n">
        <v>2020</v>
      </c>
      <c r="BJ10" s="33" t="n">
        <v>1</v>
      </c>
      <c r="BK10" s="33"/>
      <c r="BL10" s="33"/>
      <c r="BM10" s="33"/>
      <c r="BN10" s="29"/>
      <c r="BO10" s="33"/>
      <c r="BP10" s="33"/>
      <c r="BQ10" s="29" t="n">
        <v>2025</v>
      </c>
      <c r="BR10" s="36" t="n">
        <v>292.41</v>
      </c>
      <c r="BS10" s="36" t="n">
        <v>0.33</v>
      </c>
      <c r="BT10" s="36" t="n">
        <v>90.91</v>
      </c>
      <c r="BU10" s="36" t="n">
        <v>12.77</v>
      </c>
      <c r="BV10" s="16" t="n">
        <f aca="false">F10*(1+N(H10)/100)*(1+N(I10)/100)^5</f>
        <v>3895.85010099833</v>
      </c>
      <c r="BW10" s="16" t="n">
        <f aca="false">IF(N(G10)&gt;0,G10,F10)</f>
        <v>4369.68</v>
      </c>
      <c r="BX10" s="12" t="n">
        <f aca="false">F10/BW10</f>
        <v>0.845680919426594</v>
      </c>
      <c r="BY10" s="13" t="n">
        <f aca="false">IF(ISNUMBER(K10),1,0)</f>
        <v>1</v>
      </c>
      <c r="BZ10" s="16" t="n">
        <f aca="false">IF(BY10=0,"",N(N10)+N(O10)+N(P10))</f>
        <v>264.333483174097</v>
      </c>
      <c r="CA10" s="37" t="n">
        <f aca="false">IF(BY10=0,"",(N(Y10)*34.2+N(Z10)*38.6)/1000)</f>
        <v>1.78566731975428</v>
      </c>
      <c r="CB10" s="37" t="n">
        <f aca="false">IF(BY10=0,"",N(O10)*0.0036+N(R10)+N(V10)+(N(AA10)*25.3+N(AB10)*37)/1000)</f>
        <v>2.14378591883683</v>
      </c>
      <c r="CC10" s="37" t="n">
        <f aca="false">IF(BY10=0,"",N(N10)*0.0036+N(Q10)+N(U10)+N(T10)+N(X10)+N(AC10)*38/1000)</f>
        <v>1.62123301400658</v>
      </c>
      <c r="CD10" s="37" t="n">
        <f aca="false">IF(BY10=0,"",N(Q10)+N(R10)+N(S10)+N(T10)+N(U10)+N(V10)+N(W10)+N(X10)+(N(Y10)*34.2+N(Z10)*38.6+N(AA10)*25.3+N(AB10)*37+N(AC10)*38)/1000)</f>
        <v>5.24721388003554</v>
      </c>
      <c r="CE10" s="16" t="n">
        <f aca="false">IF(BY10=0,"",MAX(0,N(L10)-N(K10))+MAX(0,N(M10)-N(L10)))</f>
        <v>84.139</v>
      </c>
      <c r="CF10" s="16" t="n">
        <f aca="false">IF(BY10=0,"",N(Y10)*N(AD10)+N(Z10)*N(AE10)+N(AA10)*N(AF10)+N(AB10)*N(AG10)+N(AC10)*N(AH10)+N(U10)*N(AI10)+N(V10)*N(AJ10)+N(W10)*N(AK10)+N(X10)*N(AL10)+N(Q10)*N(AM10)+N(R10)*N(AN10)+N(S10)*N(AO10)+N(T10)*N(AP10))</f>
        <v>136.381301761413</v>
      </c>
      <c r="CG10" s="16" t="n">
        <f aca="false">IF(AND(BY10=1,N(K10)&gt;0),K10,0)</f>
        <v>370.094</v>
      </c>
      <c r="CH10" s="16" t="n">
        <f aca="false">IF(CG10&gt;0,CF10*1000/CG10,"")</f>
        <v>368.50449280835</v>
      </c>
      <c r="CI10" s="16" t="n">
        <f aca="false">IF(BY10=0,"",N(AQ10)+p_road*(N(AR10)+N(AS10)+N(AT10)))</f>
        <v>6.42434755406806</v>
      </c>
      <c r="CJ10" s="16" t="n">
        <f aca="false">IF(CG10&gt;0,CI10*1000/CG10,"")</f>
        <v>17.3586914515449</v>
      </c>
      <c r="CK10" s="12" t="n">
        <f aca="false">IF(CH10="",1,MIN(p_idx_max,MAX(p_idx_min,CH10/p_fc_world)))</f>
        <v>2.28874337073357</v>
      </c>
      <c r="CL10" s="12" t="n">
        <f aca="false">IF(CJ10="",1,MIN(p_idx_max,MAX(p_idx_min,CJ10/p_cb_world)))</f>
        <v>0.330070909534279</v>
      </c>
      <c r="CM10" s="37" t="n">
        <f aca="false">p_b*(1-p_wb_idx+p_wb_idx*CK10)</f>
        <v>0.304402868307565</v>
      </c>
      <c r="CN10" s="37" t="n">
        <f aca="false">p_c*(1-p_wc_idx+p_wc_idx*CL10)</f>
        <v>0.0425791473299219</v>
      </c>
      <c r="CO10" s="28" t="n">
        <f aca="false">IF(N(BR10)&gt;0,(N(BS10)+N(BT10)+N(BU10))/BR10,"")</f>
        <v>0.355699189494203</v>
      </c>
      <c r="CP10" s="16" t="n">
        <f aca="false">N(BS10)+N(BT10)+N(BU10)</f>
        <v>104.01</v>
      </c>
      <c r="CQ10" s="28" t="n">
        <f aca="false">IF(CP10&gt;0,N(BS10)/CP10,"")</f>
        <v>0.00317277184886069</v>
      </c>
      <c r="CR10" s="28" t="n">
        <f aca="false">IF(CP10&gt;0,N(BT10)/CP10,"")</f>
        <v>0.874050572060379</v>
      </c>
      <c r="CS10" s="28" t="n">
        <f aca="false">IF(CP10&gt;0,N(BU10)/CP10,"")</f>
        <v>0.122776656090761</v>
      </c>
      <c r="CT10" s="7" t="n">
        <f aca="false">1000*(p_sh_pv*p_cf_pv/p_capex_pv+(1-p_sh_pv)*p_cf_wind/p_capex_wind)*8760</f>
        <v>2301.28856624319</v>
      </c>
      <c r="CU10" s="13" t="n">
        <f aca="false">IF(AND(ISNUMBER(CO10),ISNUMBER(CQ10),BY10=1),1,0)</f>
        <v>1</v>
      </c>
      <c r="CV10" s="16" t="n">
        <f aca="false">IF(CU10=0,"",CQ10*p_hr_coal*N(AK10)+CR10*p_hr_gas*N(AO10)+CS10*p_hr_oil*N(AH10)/p_gj_l_oil)</f>
        <v>229.353572685205</v>
      </c>
      <c r="CW10" s="37" t="n">
        <f aca="false">IF(CU10=0,"",CQ10*p_hr_coal*p_ef_coal+CR10*p_hr_gas*p_ef_gas+CS10*p_hr_oil*p_ef_oil)</f>
        <v>0.470538808768388</v>
      </c>
      <c r="CX10" s="16" t="n">
        <f aca="false">IF(CU10=0,"",CQ10*p_hr_coal*N(AW10)+CR10*p_hr_gas*N(AX10)+CS10*p_hr_oil*N(AY10)/p_gj_l_oil)</f>
        <v>14.5700632296398</v>
      </c>
      <c r="CY10" s="37" t="n">
        <f aca="false">IF(CU10=0,"",CO10*CW10)</f>
        <v>0.167370272904483</v>
      </c>
      <c r="CZ10" s="37" t="n">
        <f aca="false">IF(CU10=0,"",CT10*CO10*CV10/1000/1000-p_om_re)</f>
        <v>0.172741146164917</v>
      </c>
      <c r="DA10" s="37" t="n">
        <f aca="false">IF(CU10=0,"",CT10*CO10*CX10/1000/1000)</f>
        <v>0.0119265653392822</v>
      </c>
      <c r="DB10" s="37" t="n">
        <f aca="false">IF(CU10=0,"",CT10*CO10*CW10/1000)</f>
        <v>0.385167295364091</v>
      </c>
      <c r="DC10" s="13" t="n">
        <f aca="false">IF(AND(CU10=1,ISNUMBER(AD10),ISNUMBER(AV10)),1,0)</f>
        <v>1</v>
      </c>
      <c r="DD10" s="7" t="n">
        <f aca="false">IF(DC10=0,"",p_ev_km*p_ice_l/100*AD10-p_ev_km*p_ev_kwh*AV10+p_ev_km*p_ev_maint)</f>
        <v>147.168</v>
      </c>
      <c r="DE10" s="37" t="n">
        <f aca="false">IF(DC10=0,"",DD10/p_ev_prem)</f>
        <v>0.0294336</v>
      </c>
      <c r="DF10" s="37" t="n">
        <f aca="false">IF(DC10=0,"",p_ev_km*p_ice_l/100*N(AZ10)/p_ev_prem)</f>
        <v>0.00850005</v>
      </c>
      <c r="DG10" s="37" t="n">
        <f aca="false">IF(DC10=0,"",1000/p_ev_prem*(p_ev_km*p_ice_l/100*p_gj_l_gso*p_ef_gso-p_ev_km*p_ev_kwh/1000*CY10))</f>
        <v>0.442883552631579</v>
      </c>
      <c r="DH10" s="11" t="str">
        <f aca="false">IFERROR(IF(INDEX(Damodaran!$D:$D,MATCH(A10,Damodaran!$A:$A,0))="","",INDEX(Damodaran!$D:$D,MATCH(A10,Damodaran!$A:$A,0))),"")</f>
        <v/>
      </c>
      <c r="DI10" s="11" t="str">
        <f aca="false">IFERROR(IF(INDEX(Damodaran!$E:$E,MATCH(A10,Damodaran!$A:$A,0))="","",INDEX(Damodaran!$E:$E,MATCH(A10,Damodaran!$A:$A,0))),"")</f>
        <v/>
      </c>
      <c r="DJ10" s="11" t="str">
        <f aca="false">IFERROR(IF(INDEX(Damodaran!$G:$G,MATCH(A10,Damodaran!$A:$A,0))="","",INDEX(Damodaran!$G:$G,MATCH(A10,Damodaran!$A:$A,0))),"")</f>
        <v/>
      </c>
      <c r="DK10" s="11" t="str">
        <f aca="false">IF(ISNUMBER(BG10),(1+BG10/100)*(1+p_infl)-1,"")</f>
        <v/>
      </c>
      <c r="DL10" s="11" t="n">
        <f aca="false">IF(ISNUMBER(BH10),BH10/100,"")</f>
        <v>0.03587</v>
      </c>
      <c r="DM10" s="11" t="n">
        <f aca="false">IF(COUNT(DK10,DL10)=0,"",AVERAGE(DK10,DL10))</f>
        <v>0.03587</v>
      </c>
      <c r="DN10" s="11" t="str">
        <f aca="false">IF(OR(DH10="",DI10=""),"",p_dv*(p_rf+DH10)*(1-IF(DJ10="",p_tax_def,DJ10))+(1-p_dv)*(p_rf+p_beta*p_erp+p_lambda*DI10))</f>
        <v/>
      </c>
      <c r="DO10" s="13" t="n">
        <f aca="false">IF(AND(ISNUMBER(DM10),ISNUMBER(DN10)),1,0)</f>
        <v>0</v>
      </c>
      <c r="DP10" s="11" t="n">
        <f aca="false">IF(DO10=1,DM10,0)</f>
        <v>0</v>
      </c>
      <c r="DQ10" s="11" t="n">
        <f aca="false">IF(DO10=1,DN10,0)</f>
        <v>0</v>
      </c>
      <c r="DR10" s="11" t="str">
        <f aca="false">IF(DN10="","",DN10+p_shift)</f>
        <v/>
      </c>
      <c r="DS10" s="11" t="n">
        <f aca="false">IF(E10="AE",p_r_ae,IF(E10="China",p_r_chn,p_r_emdc))</f>
        <v>0.055</v>
      </c>
      <c r="DT10" s="11" t="n">
        <f aca="false">IF(E10="AE",p_rh_ae,IF(E10="China",p_rh_chn,p_rh_emdc))</f>
        <v>0.07</v>
      </c>
      <c r="DU10" s="11" t="n">
        <f aca="false">IF(AND(p_use_obs=1,ISNUMBER(DM10)),DM10,IF(AND(p_use_dam=1,ISNUMBER(DR10)),DR10,DS10))</f>
        <v>0.03587</v>
      </c>
      <c r="DV10" s="6" t="str">
        <f aca="false">IF(AND(p_use_obs=1,ISNUMBER(DM10)),"Observed (IRENA/Steffen)",IF(AND(p_use_dam=1,ISNUMBER(DR10)),"Damodaran (eq. 5)","Group default (IHLEG)"))</f>
        <v>Observed (IRENA/Steffen)</v>
      </c>
      <c r="DW10" s="11" t="n">
        <f aca="false">IF(p_basis=1,(1+DU10)/(1+p_infl)-1,DU10)</f>
        <v>0.03587</v>
      </c>
      <c r="DX10" s="11" t="n">
        <f aca="false">DW10+(DT10-DS10)</f>
        <v>0.05087</v>
      </c>
      <c r="DY10" s="28" t="n">
        <f aca="false">IF(AND(p_use_pefa=1,ISNUMBER(BD10)),p_gap_lic-(BD10-1)/3*(p_gap_lic-p_gap_ae),IF(E10="AE",p_gap_ae,IF(D10="Low income",p_gap_lic,p_gap_em)))*(1-p_reform*p_reform_close)</f>
        <v>0.13</v>
      </c>
      <c r="DZ10" s="6" t="str">
        <f aca="false">IF(AND(p_use_pefa=1,ISNUMBER(BD10)),"PEFA PI-11","Income-group default (IMF 2015)")</f>
        <v>Income-group default (IMF 2015)</v>
      </c>
      <c r="EA10" s="28" t="n">
        <f aca="false">IF(E10="AE",p_ps_ae,IF(E10="China",p_ps_chn,p_ps_emdc))</f>
        <v>0.3</v>
      </c>
      <c r="EB10" s="37" t="n">
        <f aca="false">(1-EA10)+EA10/(1-DY10)</f>
        <v>1.0448275862069</v>
      </c>
      <c r="EC10" s="16" t="n">
        <f aca="false">Results_Country!F10</f>
        <v>104.589828567484</v>
      </c>
      <c r="ED10" s="16" t="n">
        <f aca="false">IF(CH10="",0,CH10*EC10)</f>
        <v>38541.8217291728</v>
      </c>
      <c r="EE10" s="16" t="n">
        <f aca="false">IF(CJ10="",0,CJ10*EC10)</f>
        <v>1815.54256307293</v>
      </c>
      <c r="EF10" s="16" t="n">
        <f aca="false">IF(CH10="",0,EC10)</f>
        <v>104.589828567484</v>
      </c>
    </row>
    <row r="11" customFormat="false" ht="15" hidden="false" customHeight="false" outlineLevel="0" collapsed="false">
      <c r="A11" s="35" t="s">
        <v>774</v>
      </c>
      <c r="B11" s="35" t="s">
        <v>775</v>
      </c>
      <c r="C11" s="35" t="s">
        <v>766</v>
      </c>
      <c r="D11" s="35" t="s">
        <v>760</v>
      </c>
      <c r="E11" s="35" t="s">
        <v>29</v>
      </c>
      <c r="F11" s="36" t="n">
        <v>3161.042</v>
      </c>
      <c r="G11" s="36" t="n">
        <v>4396.548</v>
      </c>
      <c r="H11" s="33" t="n">
        <v>0.928</v>
      </c>
      <c r="I11" s="33" t="n">
        <v>0.858</v>
      </c>
      <c r="J11" s="36" t="n">
        <v>66.54853</v>
      </c>
      <c r="K11" s="36" t="n">
        <v>322.969</v>
      </c>
      <c r="L11" s="36" t="n">
        <v>423.894</v>
      </c>
      <c r="M11" s="36" t="n">
        <v>405.322</v>
      </c>
      <c r="N11" s="36" t="n">
        <v>250.175516176029</v>
      </c>
      <c r="O11" s="36" t="n">
        <v>167.914327537625</v>
      </c>
      <c r="P11" s="36" t="n">
        <v>10.2116770504332</v>
      </c>
      <c r="Q11" s="31" t="n">
        <v>0.442547013701471</v>
      </c>
      <c r="R11" s="31" t="n">
        <v>0.910653514940348</v>
      </c>
      <c r="S11" s="31" t="n">
        <v>0.101739123074348</v>
      </c>
      <c r="T11" s="31" t="n">
        <v>0.0115109920097474</v>
      </c>
      <c r="U11" s="31" t="n">
        <v>0.170854643119936</v>
      </c>
      <c r="V11" s="31" t="n">
        <v>0.0142636283823416</v>
      </c>
      <c r="W11" s="31" t="n">
        <v>0.0795352571157312</v>
      </c>
      <c r="X11" s="31" t="n">
        <v>0</v>
      </c>
      <c r="Y11" s="36" t="n">
        <v>10.4364449856954</v>
      </c>
      <c r="Z11" s="36" t="n">
        <v>45.1829233687247</v>
      </c>
      <c r="AA11" s="36" t="n">
        <v>3.21375125445486</v>
      </c>
      <c r="AB11" s="36" t="n">
        <v>1.6959795017037</v>
      </c>
      <c r="AC11" s="36" t="n">
        <v>2.20311519940544</v>
      </c>
      <c r="AD11" s="31" t="n">
        <v>0.862416</v>
      </c>
      <c r="AE11" s="31" t="n">
        <v>0.835659</v>
      </c>
      <c r="AF11" s="31" t="n">
        <v>0.559218</v>
      </c>
      <c r="AG11" s="31" t="n">
        <v>0.7092</v>
      </c>
      <c r="AH11" s="31" t="n">
        <v>0.519462891908447</v>
      </c>
      <c r="AI11" s="31" t="n">
        <v>15.063</v>
      </c>
      <c r="AJ11" s="31" t="n">
        <v>18.8268</v>
      </c>
      <c r="AK11" s="31" t="n">
        <v>18.133</v>
      </c>
      <c r="AL11" s="31" t="n">
        <v>16.1884665124102</v>
      </c>
      <c r="AM11" s="31" t="n">
        <v>17.329</v>
      </c>
      <c r="AN11" s="31" t="n">
        <v>30.9912</v>
      </c>
      <c r="AO11" s="31" t="n">
        <v>17.329</v>
      </c>
      <c r="AP11" s="31" t="n">
        <v>25.8802347107611</v>
      </c>
      <c r="AQ11" s="36" t="n">
        <v>2.16832018329991</v>
      </c>
      <c r="AR11" s="36" t="n">
        <v>4.29980764601773</v>
      </c>
      <c r="AS11" s="36" t="n">
        <v>0.63389444470311</v>
      </c>
      <c r="AT11" s="36" t="n">
        <v>0.660574429527814</v>
      </c>
      <c r="AU11" s="31" t="n">
        <v>0.314833849369143</v>
      </c>
      <c r="AV11" s="36" t="n">
        <v>0.26712</v>
      </c>
      <c r="AW11" s="31" t="n">
        <v>2.240789</v>
      </c>
      <c r="AX11" s="31" t="n">
        <v>0.120672</v>
      </c>
      <c r="AY11" s="31" t="n">
        <v>0.196416423345637</v>
      </c>
      <c r="AZ11" s="31" t="n">
        <v>0.024442</v>
      </c>
      <c r="BA11" s="33" t="n">
        <v>113.171</v>
      </c>
      <c r="BB11" s="33" t="n">
        <v>3.499</v>
      </c>
      <c r="BC11" s="33"/>
      <c r="BD11" s="33"/>
      <c r="BE11" s="33"/>
      <c r="BF11" s="33" t="n">
        <v>0</v>
      </c>
      <c r="BG11" s="33"/>
      <c r="BH11" s="33" t="n">
        <v>3.297</v>
      </c>
      <c r="BI11" s="29" t="n">
        <v>2020</v>
      </c>
      <c r="BJ11" s="33" t="n">
        <v>1</v>
      </c>
      <c r="BK11" s="33"/>
      <c r="BL11" s="33"/>
      <c r="BM11" s="33"/>
      <c r="BN11" s="29"/>
      <c r="BO11" s="33"/>
      <c r="BP11" s="33"/>
      <c r="BQ11" s="29" t="n">
        <v>2025</v>
      </c>
      <c r="BR11" s="36" t="n">
        <v>570.14</v>
      </c>
      <c r="BS11" s="36" t="n">
        <v>1.74</v>
      </c>
      <c r="BT11" s="36" t="n">
        <v>17.25</v>
      </c>
      <c r="BU11" s="36" t="n">
        <v>10.36</v>
      </c>
      <c r="BV11" s="16" t="n">
        <f aca="false">F11*(1+N(H11)/100)*(1+N(I11)/100)^5</f>
        <v>3329.61249854756</v>
      </c>
      <c r="BW11" s="16" t="n">
        <f aca="false">IF(N(G11)&gt;0,G11,F11)</f>
        <v>4396.548</v>
      </c>
      <c r="BX11" s="12" t="n">
        <f aca="false">F11/BW11</f>
        <v>0.718982710981434</v>
      </c>
      <c r="BY11" s="13" t="n">
        <f aca="false">IF(ISNUMBER(K11),1,0)</f>
        <v>1</v>
      </c>
      <c r="BZ11" s="16" t="n">
        <f aca="false">IF(BY11=0,"",N(N11)+N(O11)+N(P11))</f>
        <v>428.301520764088</v>
      </c>
      <c r="CA11" s="37" t="n">
        <f aca="false">IF(BY11=0,"",(N(Y11)*34.2+N(Z11)*38.6)/1000)</f>
        <v>2.10098726054355</v>
      </c>
      <c r="CB11" s="37" t="n">
        <f aca="false">IF(BY11=0,"",N(O11)*0.0036+N(R11)+N(V11)+(N(AA11)*25.3+N(AB11)*37)/1000)</f>
        <v>1.67346787075889</v>
      </c>
      <c r="CC11" s="37" t="n">
        <f aca="false">IF(BY11=0,"",N(N11)*0.0036+N(Q11)+N(U11)+N(T11)+N(X11)+N(AC11)*38/1000)</f>
        <v>1.60926288464227</v>
      </c>
      <c r="CD11" s="37" t="n">
        <f aca="false">IF(BY11=0,"",N(Q11)+N(R11)+N(S11)+N(T11)+N(U11)+N(V11)+N(W11)+N(X11)+(N(Y11)*34.2+N(Z11)*38.6+N(AA11)*25.3+N(AB11)*37+N(AC11)*38)/1000)</f>
        <v>4.05986895876563</v>
      </c>
      <c r="CE11" s="16" t="n">
        <f aca="false">IF(BY11=0,"",MAX(0,N(L11)-N(K11))+MAX(0,N(M11)-N(L11)))</f>
        <v>100.925</v>
      </c>
      <c r="CF11" s="16" t="n">
        <f aca="false">IF(BY11=0,"",N(Y11)*N(AD11)+N(Z11)*N(AE11)+N(AA11)*N(AF11)+N(AB11)*N(AG11)+N(AC11)*N(AH11)+N(U11)*N(AI11)+N(V11)*N(AJ11)+N(W11)*N(AK11)+N(X11)*N(AL11)+N(Q11)*N(AM11)+N(R11)*N(AN11)+N(S11)*N(AO11)+N(T11)*N(AP11))</f>
        <v>93.1389081392784</v>
      </c>
      <c r="CG11" s="16" t="n">
        <f aca="false">IF(AND(BY11=1,N(K11)&gt;0),K11,0)</f>
        <v>322.969</v>
      </c>
      <c r="CH11" s="16" t="n">
        <f aca="false">IF(CG11&gt;0,CF11*1000/CG11,"")</f>
        <v>288.383430419881</v>
      </c>
      <c r="CI11" s="16" t="n">
        <f aca="false">IF(BY11=0,"",N(AQ11)+p_road*(N(AR11)+N(AS11)+N(AT11)))</f>
        <v>2.16832018329991</v>
      </c>
      <c r="CJ11" s="16" t="n">
        <f aca="false">IF(CG11&gt;0,CI11*1000/CG11,"")</f>
        <v>6.71370993284158</v>
      </c>
      <c r="CK11" s="12" t="n">
        <f aca="false">IF(CH11="",1,MIN(p_idx_max,MAX(p_idx_min,CH11/p_fc_world)))</f>
        <v>1.79111972169679</v>
      </c>
      <c r="CL11" s="12" t="n">
        <f aca="false">IF(CJ11="",1,MIN(p_idx_max,MAX(p_idx_min,CJ11/p_cb_world)))</f>
        <v>0.25</v>
      </c>
      <c r="CM11" s="37" t="n">
        <f aca="false">p_b*(1-p_wb_idx+p_wb_idx*CK11)</f>
        <v>0.238218922985673</v>
      </c>
      <c r="CN11" s="37" t="n">
        <f aca="false">p_c*(1-p_wc_idx+p_wc_idx*CL11)</f>
        <v>0.03225</v>
      </c>
      <c r="CO11" s="28" t="n">
        <f aca="false">IF(N(BR11)&gt;0,(N(BS11)+N(BT11)+N(BU11))/BR11,"")</f>
        <v>0.0514785842073877</v>
      </c>
      <c r="CP11" s="16" t="n">
        <f aca="false">N(BS11)+N(BT11)+N(BU11)</f>
        <v>29.35</v>
      </c>
      <c r="CQ11" s="28" t="n">
        <f aca="false">IF(CP11&gt;0,N(BS11)/CP11,"")</f>
        <v>0.0592844974446337</v>
      </c>
      <c r="CR11" s="28" t="n">
        <f aca="false">IF(CP11&gt;0,N(BT11)/CP11,"")</f>
        <v>0.587734241908007</v>
      </c>
      <c r="CS11" s="28" t="n">
        <f aca="false">IF(CP11&gt;0,N(BU11)/CP11,"")</f>
        <v>0.352981260647359</v>
      </c>
      <c r="CT11" s="7" t="n">
        <f aca="false">1000*(p_sh_pv*p_cf_pv/p_capex_pv+(1-p_sh_pv)*p_cf_wind/p_capex_wind)*8760</f>
        <v>2301.28856624319</v>
      </c>
      <c r="CU11" s="13" t="n">
        <f aca="false">IF(AND(ISNUMBER(CO11),ISNUMBER(CQ11),BY11=1),1,0)</f>
        <v>1</v>
      </c>
      <c r="CV11" s="16" t="n">
        <f aca="false">IF(CU11=0,"",CQ11*p_hr_coal*N(AK11)+CR11*p_hr_gas*N(AO11)+CS11*p_hr_oil*N(AH11)/p_gj_l_oil)</f>
        <v>137.01430950102</v>
      </c>
      <c r="CW11" s="37" t="n">
        <f aca="false">IF(CU11=0,"",CQ11*p_hr_coal*p_ef_coal+CR11*p_hr_gas*p_ef_gas+CS11*p_hr_oil*p_ef_oil)</f>
        <v>0.590240187393526</v>
      </c>
      <c r="CX11" s="16" t="n">
        <f aca="false">IF(CU11=0,"",CQ11*p_hr_coal*N(AW11)+CR11*p_hr_gas*N(AX11)+CS11*p_hr_oil*N(AY11)/p_gj_l_oil)</f>
        <v>20.719918563256</v>
      </c>
      <c r="CY11" s="37" t="n">
        <f aca="false">IF(CU11=0,"",CO11*CW11)</f>
        <v>0.0303847291893219</v>
      </c>
      <c r="CZ11" s="37" t="n">
        <f aca="false">IF(CU11=0,"",CT11*CO11*CV11/1000/1000-p_om_re)</f>
        <v>0.00123168478703293</v>
      </c>
      <c r="DA11" s="37" t="n">
        <f aca="false">IF(CU11=0,"",CT11*CO11*CX11/1000/1000)</f>
        <v>0.00245462819289879</v>
      </c>
      <c r="DB11" s="37" t="n">
        <f aca="false">IF(CU11=0,"",CT11*CO11*CW11/1000)</f>
        <v>0.0699240298717824</v>
      </c>
      <c r="DC11" s="13" t="n">
        <f aca="false">IF(AND(CU11=1,ISNUMBER(AD11),ISNUMBER(AV11)),1,0)</f>
        <v>1</v>
      </c>
      <c r="DD11" s="7" t="n">
        <f aca="false">IF(DC11=0,"",p_ev_km*p_ice_l/100*AD11-p_ev_km*p_ev_kwh*AV11+p_ev_km*p_ev_maint)</f>
        <v>428.994</v>
      </c>
      <c r="DE11" s="37" t="n">
        <f aca="false">IF(DC11=0,"",DD11/p_ev_prem)</f>
        <v>0.0857988</v>
      </c>
      <c r="DF11" s="37" t="n">
        <f aca="false">IF(DC11=0,"",p_ev_km*p_ice_l/100*N(AZ11)/p_ev_prem)</f>
        <v>0.00549945</v>
      </c>
      <c r="DG11" s="37" t="n">
        <f aca="false">IF(DC11=0,"",1000/p_ev_prem*(p_ev_km*p_ice_l/100*p_gj_l_gso*p_ef_gso-p_ev_km*p_ev_kwh/1000*CY11))</f>
        <v>0.516855746237766</v>
      </c>
      <c r="DH11" s="11" t="str">
        <f aca="false">IFERROR(IF(INDEX(Damodaran!$D:$D,MATCH(A11,Damodaran!$A:$A,0))="","",INDEX(Damodaran!$D:$D,MATCH(A11,Damodaran!$A:$A,0))),"")</f>
        <v/>
      </c>
      <c r="DI11" s="11" t="str">
        <f aca="false">IFERROR(IF(INDEX(Damodaran!$E:$E,MATCH(A11,Damodaran!$A:$A,0))="","",INDEX(Damodaran!$E:$E,MATCH(A11,Damodaran!$A:$A,0))),"")</f>
        <v/>
      </c>
      <c r="DJ11" s="11" t="str">
        <f aca="false">IFERROR(IF(INDEX(Damodaran!$G:$G,MATCH(A11,Damodaran!$A:$A,0))="","",INDEX(Damodaran!$G:$G,MATCH(A11,Damodaran!$A:$A,0))),"")</f>
        <v/>
      </c>
      <c r="DK11" s="11" t="str">
        <f aca="false">IF(ISNUMBER(BG11),(1+BG11/100)*(1+p_infl)-1,"")</f>
        <v/>
      </c>
      <c r="DL11" s="11" t="n">
        <f aca="false">IF(ISNUMBER(BH11),BH11/100,"")</f>
        <v>0.03297</v>
      </c>
      <c r="DM11" s="11" t="n">
        <f aca="false">IF(COUNT(DK11,DL11)=0,"",AVERAGE(DK11,DL11))</f>
        <v>0.03297</v>
      </c>
      <c r="DN11" s="11" t="str">
        <f aca="false">IF(OR(DH11="",DI11=""),"",p_dv*(p_rf+DH11)*(1-IF(DJ11="",p_tax_def,DJ11))+(1-p_dv)*(p_rf+p_beta*p_erp+p_lambda*DI11))</f>
        <v/>
      </c>
      <c r="DO11" s="13" t="n">
        <f aca="false">IF(AND(ISNUMBER(DM11),ISNUMBER(DN11)),1,0)</f>
        <v>0</v>
      </c>
      <c r="DP11" s="11" t="n">
        <f aca="false">IF(DO11=1,DM11,0)</f>
        <v>0</v>
      </c>
      <c r="DQ11" s="11" t="n">
        <f aca="false">IF(DO11=1,DN11,0)</f>
        <v>0</v>
      </c>
      <c r="DR11" s="11" t="str">
        <f aca="false">IF(DN11="","",DN11+p_shift)</f>
        <v/>
      </c>
      <c r="DS11" s="11" t="n">
        <f aca="false">IF(E11="AE",p_r_ae,IF(E11="China",p_r_chn,p_r_emdc))</f>
        <v>0.055</v>
      </c>
      <c r="DT11" s="11" t="n">
        <f aca="false">IF(E11="AE",p_rh_ae,IF(E11="China",p_rh_chn,p_rh_emdc))</f>
        <v>0.07</v>
      </c>
      <c r="DU11" s="11" t="n">
        <f aca="false">IF(AND(p_use_obs=1,ISNUMBER(DM11)),DM11,IF(AND(p_use_dam=1,ISNUMBER(DR11)),DR11,DS11))</f>
        <v>0.03297</v>
      </c>
      <c r="DV11" s="6" t="str">
        <f aca="false">IF(AND(p_use_obs=1,ISNUMBER(DM11)),"Observed (IRENA/Steffen)",IF(AND(p_use_dam=1,ISNUMBER(DR11)),"Damodaran (eq. 5)","Group default (IHLEG)"))</f>
        <v>Observed (IRENA/Steffen)</v>
      </c>
      <c r="DW11" s="11" t="n">
        <f aca="false">IF(p_basis=1,(1+DU11)/(1+p_infl)-1,DU11)</f>
        <v>0.03297</v>
      </c>
      <c r="DX11" s="11" t="n">
        <f aca="false">DW11+(DT11-DS11)</f>
        <v>0.04797</v>
      </c>
      <c r="DY11" s="28" t="n">
        <f aca="false">IF(AND(p_use_pefa=1,ISNUMBER(BD11)),p_gap_lic-(BD11-1)/3*(p_gap_lic-p_gap_ae),IF(E11="AE",p_gap_ae,IF(D11="Low income",p_gap_lic,p_gap_em)))*(1-p_reform*p_reform_close)</f>
        <v>0.13</v>
      </c>
      <c r="DZ11" s="6" t="str">
        <f aca="false">IF(AND(p_use_pefa=1,ISNUMBER(BD11)),"PEFA PI-11","Income-group default (IMF 2015)")</f>
        <v>Income-group default (IMF 2015)</v>
      </c>
      <c r="EA11" s="28" t="n">
        <f aca="false">IF(E11="AE",p_ps_ae,IF(E11="China",p_ps_chn,p_ps_emdc))</f>
        <v>0.3</v>
      </c>
      <c r="EB11" s="37" t="n">
        <f aca="false">(1-EA11)+EA11/(1-DY11)</f>
        <v>1.0448275862069</v>
      </c>
      <c r="EC11" s="16" t="n">
        <f aca="false">Results_Country!F11</f>
        <v>106.428158278965</v>
      </c>
      <c r="ED11" s="16" t="n">
        <f aca="false">IF(CH11="",0,CH11*EC11)</f>
        <v>30692.117377758</v>
      </c>
      <c r="EE11" s="16" t="n">
        <f aca="false">IF(CJ11="",0,CJ11*EC11)</f>
        <v>714.527783371525</v>
      </c>
      <c r="EF11" s="16" t="n">
        <f aca="false">IF(CH11="",0,EC11)</f>
        <v>106.428158278965</v>
      </c>
    </row>
    <row r="12" customFormat="false" ht="15" hidden="false" customHeight="false" outlineLevel="0" collapsed="false">
      <c r="A12" s="35" t="s">
        <v>776</v>
      </c>
      <c r="B12" s="35" t="s">
        <v>777</v>
      </c>
      <c r="C12" s="35" t="s">
        <v>766</v>
      </c>
      <c r="D12" s="35" t="s">
        <v>760</v>
      </c>
      <c r="E12" s="35" t="s">
        <v>29</v>
      </c>
      <c r="F12" s="36" t="n">
        <v>2382.718</v>
      </c>
      <c r="G12" s="36" t="n">
        <v>3621.731</v>
      </c>
      <c r="H12" s="33" t="n">
        <v>0.54</v>
      </c>
      <c r="I12" s="33" t="n">
        <v>0.521</v>
      </c>
      <c r="J12" s="36" t="n">
        <v>59.342867</v>
      </c>
      <c r="K12" s="36" t="n">
        <v>363.035</v>
      </c>
      <c r="L12" s="36" t="n">
        <v>447.538</v>
      </c>
      <c r="M12" s="36" t="n">
        <v>420.033</v>
      </c>
      <c r="N12" s="36" t="n">
        <v>213.616477669687</v>
      </c>
      <c r="O12" s="36" t="n">
        <v>66.2699693120211</v>
      </c>
      <c r="P12" s="36" t="n">
        <v>8.4038798350188</v>
      </c>
      <c r="Q12" s="31" t="n">
        <v>0.694195606054289</v>
      </c>
      <c r="R12" s="31" t="n">
        <v>1.19529850819276</v>
      </c>
      <c r="S12" s="31" t="n">
        <v>0.756730718665215</v>
      </c>
      <c r="T12" s="31" t="n">
        <v>0.0379307396715029</v>
      </c>
      <c r="U12" s="31" t="n">
        <v>0.0492499029413765</v>
      </c>
      <c r="V12" s="31" t="n">
        <v>0</v>
      </c>
      <c r="W12" s="31" t="n">
        <v>0.272451647281286</v>
      </c>
      <c r="X12" s="31" t="n">
        <v>0</v>
      </c>
      <c r="Y12" s="36" t="n">
        <v>10.2639264447703</v>
      </c>
      <c r="Z12" s="36" t="n">
        <v>32.3186255415242</v>
      </c>
      <c r="AA12" s="36" t="n">
        <v>6.30670593223006</v>
      </c>
      <c r="AB12" s="36" t="n">
        <v>0.590851866450187</v>
      </c>
      <c r="AC12" s="36" t="n">
        <v>7.12393529883131</v>
      </c>
      <c r="AD12" s="31" t="n">
        <v>0.882842</v>
      </c>
      <c r="AE12" s="31" t="n">
        <v>0.83926</v>
      </c>
      <c r="AF12" s="31" t="n">
        <v>0.550196</v>
      </c>
      <c r="AG12" s="31" t="n">
        <v>0.65601</v>
      </c>
      <c r="AH12" s="31" t="n">
        <v>0.519462891908447</v>
      </c>
      <c r="AI12" s="31" t="n">
        <v>7.119</v>
      </c>
      <c r="AJ12" s="31" t="n">
        <v>14.5851</v>
      </c>
      <c r="AK12" s="31" t="n">
        <v>5.342</v>
      </c>
      <c r="AL12" s="31" t="n">
        <v>5.61404431394954</v>
      </c>
      <c r="AM12" s="31" t="n">
        <v>15.923</v>
      </c>
      <c r="AN12" s="31" t="n">
        <v>34.78342</v>
      </c>
      <c r="AO12" s="31" t="n">
        <v>15.923</v>
      </c>
      <c r="AP12" s="31" t="n">
        <v>24.4422428131961</v>
      </c>
      <c r="AQ12" s="36" t="n">
        <v>11.8711010123947</v>
      </c>
      <c r="AR12" s="36" t="n">
        <v>2.08954493881249</v>
      </c>
      <c r="AS12" s="36" t="n">
        <v>0.711879643427697</v>
      </c>
      <c r="AT12" s="36" t="n">
        <v>1.54981519147143</v>
      </c>
      <c r="AU12" s="31" t="n">
        <v>0.531757660903502</v>
      </c>
      <c r="AV12" s="36" t="n">
        <v>0.256054</v>
      </c>
      <c r="AW12" s="31" t="n">
        <v>2.919646</v>
      </c>
      <c r="AX12" s="31" t="n">
        <v>0.66781</v>
      </c>
      <c r="AY12" s="31" t="n">
        <v>0.227741124319875</v>
      </c>
      <c r="AZ12" s="31" t="n">
        <v>0.085076</v>
      </c>
      <c r="BA12" s="33" t="n">
        <v>134.735</v>
      </c>
      <c r="BB12" s="33" t="n">
        <v>7.677</v>
      </c>
      <c r="BC12" s="33"/>
      <c r="BD12" s="33"/>
      <c r="BE12" s="33"/>
      <c r="BF12" s="33" t="n">
        <v>0</v>
      </c>
      <c r="BG12" s="33"/>
      <c r="BH12" s="33" t="n">
        <v>4.38</v>
      </c>
      <c r="BI12" s="29" t="n">
        <v>2020</v>
      </c>
      <c r="BJ12" s="33" t="n">
        <v>1</v>
      </c>
      <c r="BK12" s="33"/>
      <c r="BL12" s="33"/>
      <c r="BM12" s="33"/>
      <c r="BN12" s="29"/>
      <c r="BO12" s="33"/>
      <c r="BP12" s="33"/>
      <c r="BQ12" s="29" t="n">
        <v>2025</v>
      </c>
      <c r="BR12" s="36" t="n">
        <v>264.94</v>
      </c>
      <c r="BS12" s="36" t="n">
        <v>3.58</v>
      </c>
      <c r="BT12" s="36" t="n">
        <v>125.53</v>
      </c>
      <c r="BU12" s="36" t="n">
        <v>6.72</v>
      </c>
      <c r="BV12" s="16" t="n">
        <f aca="false">F12*(1+N(H12)/100)*(1+N(I12)/100)^5</f>
        <v>2458.64331463006</v>
      </c>
      <c r="BW12" s="16" t="n">
        <f aca="false">IF(N(G12)&gt;0,G12,F12)</f>
        <v>3621.731</v>
      </c>
      <c r="BX12" s="12" t="n">
        <f aca="false">F12/BW12</f>
        <v>0.657894802236831</v>
      </c>
      <c r="BY12" s="13" t="n">
        <f aca="false">IF(ISNUMBER(K12),1,0)</f>
        <v>1</v>
      </c>
      <c r="BZ12" s="16" t="n">
        <f aca="false">IF(BY12=0,"",N(N12)+N(O12)+N(P12))</f>
        <v>288.290326816727</v>
      </c>
      <c r="CA12" s="37" t="n">
        <f aca="false">IF(BY12=0,"",(N(Y12)*34.2+N(Z12)*38.6)/1000)</f>
        <v>1.59852523031398</v>
      </c>
      <c r="CB12" s="37" t="n">
        <f aca="false">IF(BY12=0,"",N(O12)*0.0036+N(R12)+N(V12)+(N(AA12)*25.3+N(AB12)*37)/1000)</f>
        <v>1.61529157686011</v>
      </c>
      <c r="CC12" s="37" t="n">
        <f aca="false">IF(BY12=0,"",N(N12)*0.0036+N(Q12)+N(U12)+N(T12)+N(X12)+N(AC12)*38/1000)</f>
        <v>1.82110510963363</v>
      </c>
      <c r="CD12" s="37" t="n">
        <f aca="false">IF(BY12=0,"",N(Q12)+N(R12)+N(S12)+N(T12)+N(U12)+N(V12)+N(W12)+N(X12)+(N(Y12)*34.2+N(Z12)*38.6+N(AA12)*25.3+N(AB12)*37+N(AC12)*38)/1000)</f>
        <v>5.05651307362008</v>
      </c>
      <c r="CE12" s="16" t="n">
        <f aca="false">IF(BY12=0,"",MAX(0,N(L12)-N(K12))+MAX(0,N(M12)-N(L12)))</f>
        <v>84.503</v>
      </c>
      <c r="CF12" s="16" t="n">
        <f aca="false">IF(BY12=0,"",N(Y12)*N(AD12)+N(Z12)*N(AE12)+N(AA12)*N(AF12)+N(AB12)*N(AG12)+N(AC12)*N(AH12)+N(U12)*N(AI12)+N(V12)*N(AJ12)+N(W12)*N(AK12)+N(X12)*N(AL12)+N(Q12)*N(AM12)+N(R12)*N(AN12)+N(S12)*N(AO12)+N(T12)*N(AP12))</f>
        <v>111.156133176735</v>
      </c>
      <c r="CG12" s="16" t="n">
        <f aca="false">IF(AND(BY12=1,N(K12)&gt;0),K12,0)</f>
        <v>363.035</v>
      </c>
      <c r="CH12" s="16" t="n">
        <f aca="false">IF(CG12&gt;0,CF12*1000/CG12,"")</f>
        <v>306.185720871912</v>
      </c>
      <c r="CI12" s="16" t="n">
        <f aca="false">IF(BY12=0,"",N(AQ12)+p_road*(N(AR12)+N(AS12)+N(AT12)))</f>
        <v>11.8711010123947</v>
      </c>
      <c r="CJ12" s="16" t="n">
        <f aca="false">IF(CG12&gt;0,CI12*1000/CG12,"")</f>
        <v>32.6996047554498</v>
      </c>
      <c r="CK12" s="12" t="n">
        <f aca="false">IF(CH12="",1,MIN(p_idx_max,MAX(p_idx_min,CH12/p_fc_world)))</f>
        <v>1.90168791028371</v>
      </c>
      <c r="CL12" s="12" t="n">
        <f aca="false">IF(CJ12="",1,MIN(p_idx_max,MAX(p_idx_min,CJ12/p_cb_world)))</f>
        <v>0.621774303274579</v>
      </c>
      <c r="CM12" s="37" t="n">
        <f aca="false">p_b*(1-p_wb_idx+p_wb_idx*CK12)</f>
        <v>0.252924492067733</v>
      </c>
      <c r="CN12" s="37" t="n">
        <f aca="false">p_c*(1-p_wc_idx+p_wc_idx*CL12)</f>
        <v>0.0802088851224208</v>
      </c>
      <c r="CO12" s="28" t="n">
        <f aca="false">IF(N(BR12)&gt;0,(N(BS12)+N(BT12)+N(BU12))/BR12,"")</f>
        <v>0.512682116705669</v>
      </c>
      <c r="CP12" s="16" t="n">
        <f aca="false">N(BS12)+N(BT12)+N(BU12)</f>
        <v>135.83</v>
      </c>
      <c r="CQ12" s="28" t="n">
        <f aca="false">IF(CP12&gt;0,N(BS12)/CP12,"")</f>
        <v>0.0263564750055216</v>
      </c>
      <c r="CR12" s="28" t="n">
        <f aca="false">IF(CP12&gt;0,N(BT12)/CP12,"")</f>
        <v>0.924169918280203</v>
      </c>
      <c r="CS12" s="28" t="n">
        <f aca="false">IF(CP12&gt;0,N(BU12)/CP12,"")</f>
        <v>0.0494736067142752</v>
      </c>
      <c r="CT12" s="7" t="n">
        <f aca="false">1000*(p_sh_pv*p_cf_pv/p_capex_pv+(1-p_sh_pv)*p_cf_wind/p_capex_wind)*8760</f>
        <v>2301.28856624319</v>
      </c>
      <c r="CU12" s="13" t="n">
        <f aca="false">IF(AND(ISNUMBER(CO12),ISNUMBER(CQ12),BY12=1),1,0)</f>
        <v>1</v>
      </c>
      <c r="CV12" s="16" t="n">
        <f aca="false">IF(CU12=0,"",CQ12*p_hr_coal*N(AK12)+CR12*p_hr_gas*N(AO12)+CS12*p_hr_oil*N(AH12)/p_gj_l_oil)</f>
        <v>118.765496763148</v>
      </c>
      <c r="CW12" s="37" t="n">
        <f aca="false">IF(CU12=0,"",CQ12*p_hr_coal*p_ef_coal+CR12*p_hr_gas*p_ef_gas+CS12*p_hr_oil*p_ef_oil)</f>
        <v>0.45398491864831</v>
      </c>
      <c r="CX12" s="16" t="n">
        <f aca="false">IF(CU12=0,"",CQ12*p_hr_coal*N(AW12)+CR12*p_hr_gas*N(AX12)+CS12*p_hr_oil*N(AY12)/p_gj_l_oil)</f>
        <v>8.46319518356349</v>
      </c>
      <c r="CY12" s="37" t="n">
        <f aca="false">IF(CU12=0,"",CO12*CW12)</f>
        <v>0.232749949045067</v>
      </c>
      <c r="CZ12" s="37" t="n">
        <f aca="false">IF(CU12=0,"",CT12*CO12*CV12/1000/1000-p_om_re)</f>
        <v>0.125123035866651</v>
      </c>
      <c r="DA12" s="37" t="n">
        <f aca="false">IF(CU12=0,"",CT12*CO12*CX12/1000/1000)</f>
        <v>0.00998512728505598</v>
      </c>
      <c r="DB12" s="37" t="n">
        <f aca="false">IF(CU12=0,"",CT12*CO12*CW12/1000)</f>
        <v>0.535624796531098</v>
      </c>
      <c r="DC12" s="13" t="n">
        <f aca="false">IF(AND(CU12=1,ISNUMBER(AD12),ISNUMBER(AV12)),1,0)</f>
        <v>1</v>
      </c>
      <c r="DD12" s="7" t="n">
        <f aca="false">IF(DC12=0,"",p_ev_km*p_ice_l/100*AD12-p_ev_km*p_ev_kwh*AV12+p_ev_km*p_ev_maint)</f>
        <v>481.85145</v>
      </c>
      <c r="DE12" s="37" t="n">
        <f aca="false">IF(DC12=0,"",DD12/p_ev_prem)</f>
        <v>0.09637029</v>
      </c>
      <c r="DF12" s="37" t="n">
        <f aca="false">IF(DC12=0,"",p_ev_km*p_ice_l/100*N(AZ12)/p_ev_prem)</f>
        <v>0.0191421</v>
      </c>
      <c r="DG12" s="37" t="n">
        <f aca="false">IF(DC12=0,"",1000/p_ev_prem*(p_ev_km*p_ice_l/100*p_gj_l_gso*p_ef_gso-p_ev_km*p_ev_kwh/1000*CY12))</f>
        <v>0.407578527515664</v>
      </c>
      <c r="DH12" s="11" t="str">
        <f aca="false">IFERROR(IF(INDEX(Damodaran!$D:$D,MATCH(A12,Damodaran!$A:$A,0))="","",INDEX(Damodaran!$D:$D,MATCH(A12,Damodaran!$A:$A,0))),"")</f>
        <v/>
      </c>
      <c r="DI12" s="11" t="str">
        <f aca="false">IFERROR(IF(INDEX(Damodaran!$E:$E,MATCH(A12,Damodaran!$A:$A,0))="","",INDEX(Damodaran!$E:$E,MATCH(A12,Damodaran!$A:$A,0))),"")</f>
        <v/>
      </c>
      <c r="DJ12" s="11" t="str">
        <f aca="false">IFERROR(IF(INDEX(Damodaran!$G:$G,MATCH(A12,Damodaran!$A:$A,0))="","",INDEX(Damodaran!$G:$G,MATCH(A12,Damodaran!$A:$A,0))),"")</f>
        <v/>
      </c>
      <c r="DK12" s="11" t="str">
        <f aca="false">IF(ISNUMBER(BG12),(1+BG12/100)*(1+p_infl)-1,"")</f>
        <v/>
      </c>
      <c r="DL12" s="11" t="n">
        <f aca="false">IF(ISNUMBER(BH12),BH12/100,"")</f>
        <v>0.0438</v>
      </c>
      <c r="DM12" s="11" t="n">
        <f aca="false">IF(COUNT(DK12,DL12)=0,"",AVERAGE(DK12,DL12))</f>
        <v>0.0438</v>
      </c>
      <c r="DN12" s="11" t="str">
        <f aca="false">IF(OR(DH12="",DI12=""),"",p_dv*(p_rf+DH12)*(1-IF(DJ12="",p_tax_def,DJ12))+(1-p_dv)*(p_rf+p_beta*p_erp+p_lambda*DI12))</f>
        <v/>
      </c>
      <c r="DO12" s="13" t="n">
        <f aca="false">IF(AND(ISNUMBER(DM12),ISNUMBER(DN12)),1,0)</f>
        <v>0</v>
      </c>
      <c r="DP12" s="11" t="n">
        <f aca="false">IF(DO12=1,DM12,0)</f>
        <v>0</v>
      </c>
      <c r="DQ12" s="11" t="n">
        <f aca="false">IF(DO12=1,DN12,0)</f>
        <v>0</v>
      </c>
      <c r="DR12" s="11" t="str">
        <f aca="false">IF(DN12="","",DN12+p_shift)</f>
        <v/>
      </c>
      <c r="DS12" s="11" t="n">
        <f aca="false">IF(E12="AE",p_r_ae,IF(E12="China",p_r_chn,p_r_emdc))</f>
        <v>0.055</v>
      </c>
      <c r="DT12" s="11" t="n">
        <f aca="false">IF(E12="AE",p_rh_ae,IF(E12="China",p_rh_chn,p_rh_emdc))</f>
        <v>0.07</v>
      </c>
      <c r="DU12" s="11" t="n">
        <f aca="false">IF(AND(p_use_obs=1,ISNUMBER(DM12)),DM12,IF(AND(p_use_dam=1,ISNUMBER(DR12)),DR12,DS12))</f>
        <v>0.0438</v>
      </c>
      <c r="DV12" s="6" t="str">
        <f aca="false">IF(AND(p_use_obs=1,ISNUMBER(DM12)),"Observed (IRENA/Steffen)",IF(AND(p_use_dam=1,ISNUMBER(DR12)),"Damodaran (eq. 5)","Group default (IHLEG)"))</f>
        <v>Observed (IRENA/Steffen)</v>
      </c>
      <c r="DW12" s="11" t="n">
        <f aca="false">IF(p_basis=1,(1+DU12)/(1+p_infl)-1,DU12)</f>
        <v>0.0438</v>
      </c>
      <c r="DX12" s="11" t="n">
        <f aca="false">DW12+(DT12-DS12)</f>
        <v>0.0588</v>
      </c>
      <c r="DY12" s="28" t="n">
        <f aca="false">IF(AND(p_use_pefa=1,ISNUMBER(BD12)),p_gap_lic-(BD12-1)/3*(p_gap_lic-p_gap_ae),IF(E12="AE",p_gap_ae,IF(D12="Low income",p_gap_lic,p_gap_em)))*(1-p_reform*p_reform_close)</f>
        <v>0.13</v>
      </c>
      <c r="DZ12" s="6" t="str">
        <f aca="false">IF(AND(p_use_pefa=1,ISNUMBER(BD12)),"PEFA PI-11","Income-group default (IMF 2015)")</f>
        <v>Income-group default (IMF 2015)</v>
      </c>
      <c r="EA12" s="28" t="n">
        <f aca="false">IF(E12="AE",p_ps_ae,IF(E12="China",p_ps_chn,p_ps_emdc))</f>
        <v>0.3</v>
      </c>
      <c r="EB12" s="37" t="n">
        <f aca="false">(1-EA12)+EA12/(1-DY12)</f>
        <v>1.0448275862069</v>
      </c>
      <c r="EC12" s="16" t="n">
        <f aca="false">Results_Country!F12</f>
        <v>81.7379719113723</v>
      </c>
      <c r="ED12" s="16" t="n">
        <f aca="false">IF(CH12="",0,CH12*EC12)</f>
        <v>25026.9998522916</v>
      </c>
      <c r="EE12" s="16" t="n">
        <f aca="false">IF(CJ12="",0,CJ12*EC12)</f>
        <v>2672.79937501393</v>
      </c>
      <c r="EF12" s="16" t="n">
        <f aca="false">IF(CH12="",0,EC12)</f>
        <v>81.7379719113723</v>
      </c>
    </row>
    <row r="13" customFormat="false" ht="15" hidden="false" customHeight="false" outlineLevel="0" collapsed="false">
      <c r="A13" s="35" t="s">
        <v>778</v>
      </c>
      <c r="B13" s="35" t="s">
        <v>779</v>
      </c>
      <c r="C13" s="35" t="s">
        <v>759</v>
      </c>
      <c r="D13" s="35" t="s">
        <v>760</v>
      </c>
      <c r="E13" s="35" t="s">
        <v>29</v>
      </c>
      <c r="F13" s="36" t="n">
        <v>2270.076</v>
      </c>
      <c r="G13" s="36" t="n">
        <v>2664.499</v>
      </c>
      <c r="H13" s="33" t="n">
        <v>1.743</v>
      </c>
      <c r="I13" s="33" t="n">
        <v>1.5</v>
      </c>
      <c r="J13" s="36" t="n">
        <v>39.74243</v>
      </c>
      <c r="K13" s="36" t="n">
        <v>554.217</v>
      </c>
      <c r="L13" s="36" t="n">
        <v>692.775</v>
      </c>
      <c r="M13" s="36" t="n">
        <v>674.974</v>
      </c>
      <c r="N13" s="36" t="n">
        <v>361.005771013169</v>
      </c>
      <c r="O13" s="36" t="n">
        <v>183.855965793266</v>
      </c>
      <c r="P13" s="36" t="n">
        <v>1.34757572933997</v>
      </c>
      <c r="Q13" s="31" t="n">
        <v>2.47816926099228</v>
      </c>
      <c r="R13" s="31" t="n">
        <v>1.39056661753195</v>
      </c>
      <c r="S13" s="31" t="n">
        <v>0.690457227665986</v>
      </c>
      <c r="T13" s="31" t="n">
        <v>0.00449823902007473</v>
      </c>
      <c r="U13" s="31" t="n">
        <v>0.0855627529715355</v>
      </c>
      <c r="V13" s="31" t="n">
        <v>0.00054807210679821</v>
      </c>
      <c r="W13" s="31" t="n">
        <v>0.12823314458222</v>
      </c>
      <c r="X13" s="31" t="n">
        <v>0</v>
      </c>
      <c r="Y13" s="36" t="n">
        <v>40.8584032756518</v>
      </c>
      <c r="Z13" s="36" t="n">
        <v>33.1260496617665</v>
      </c>
      <c r="AA13" s="36" t="n">
        <v>3.25285224856111</v>
      </c>
      <c r="AB13" s="36" t="n">
        <v>2.53435056670444</v>
      </c>
      <c r="AC13" s="36" t="n">
        <v>14.9745896969833</v>
      </c>
      <c r="AD13" s="31" t="n">
        <v>0.791261</v>
      </c>
      <c r="AE13" s="31" t="n">
        <v>0.656437</v>
      </c>
      <c r="AF13" s="31" t="n">
        <v>0.539014</v>
      </c>
      <c r="AG13" s="31" t="n">
        <v>0.571502</v>
      </c>
      <c r="AH13" s="31" t="n">
        <v>0.519462891908447</v>
      </c>
      <c r="AI13" s="31" t="n">
        <v>5.678</v>
      </c>
      <c r="AJ13" s="31" t="n">
        <v>9.8679</v>
      </c>
      <c r="AK13" s="31" t="n">
        <v>4.055</v>
      </c>
      <c r="AL13" s="31" t="n">
        <v>4.71773959863379</v>
      </c>
      <c r="AM13" s="31" t="n">
        <v>5.223</v>
      </c>
      <c r="AN13" s="31" t="n">
        <v>8.75175</v>
      </c>
      <c r="AO13" s="31" t="n">
        <v>5.223</v>
      </c>
      <c r="AP13" s="31" t="n">
        <v>6.29927859520876</v>
      </c>
      <c r="AQ13" s="36" t="n">
        <v>0.708127245026028</v>
      </c>
      <c r="AR13" s="36" t="n">
        <v>8.70351997696669</v>
      </c>
      <c r="AS13" s="36" t="n">
        <v>0.789183228020054</v>
      </c>
      <c r="AT13" s="36" t="n">
        <v>0.420187677861843</v>
      </c>
      <c r="AU13" s="31" t="n">
        <v>0.74209332559859</v>
      </c>
      <c r="AV13" s="36" t="n">
        <v>0.113295</v>
      </c>
      <c r="AW13" s="31" t="n">
        <v>1.047297</v>
      </c>
      <c r="AX13" s="31" t="n">
        <v>0.169866</v>
      </c>
      <c r="AY13" s="31" t="n">
        <v>0.08051068162386</v>
      </c>
      <c r="AZ13" s="31" t="n">
        <v>0.018358</v>
      </c>
      <c r="BA13" s="33" t="n">
        <v>110.019</v>
      </c>
      <c r="BB13" s="33" t="n">
        <v>0.014</v>
      </c>
      <c r="BC13" s="33"/>
      <c r="BD13" s="33"/>
      <c r="BE13" s="33"/>
      <c r="BF13" s="33" t="n">
        <v>0</v>
      </c>
      <c r="BG13" s="33"/>
      <c r="BH13" s="33"/>
      <c r="BI13" s="29"/>
      <c r="BJ13" s="33"/>
      <c r="BK13" s="33"/>
      <c r="BL13" s="33"/>
      <c r="BM13" s="33"/>
      <c r="BN13" s="29"/>
      <c r="BO13" s="33"/>
      <c r="BP13" s="33"/>
      <c r="BQ13" s="29" t="n">
        <v>2025</v>
      </c>
      <c r="BR13" s="36" t="n">
        <v>652.43</v>
      </c>
      <c r="BS13" s="36" t="n">
        <v>26.05</v>
      </c>
      <c r="BT13" s="36" t="n">
        <v>116.61</v>
      </c>
      <c r="BU13" s="36" t="n">
        <v>7.61</v>
      </c>
      <c r="BV13" s="16" t="n">
        <f aca="false">F13*(1+N(H13)/100)*(1+N(I13)/100)^5</f>
        <v>2488.14191608449</v>
      </c>
      <c r="BW13" s="16" t="n">
        <f aca="false">IF(N(G13)&gt;0,G13,F13)</f>
        <v>2664.499</v>
      </c>
      <c r="BX13" s="12" t="n">
        <f aca="false">F13/BW13</f>
        <v>0.851971045963988</v>
      </c>
      <c r="BY13" s="13" t="n">
        <f aca="false">IF(ISNUMBER(K13),1,0)</f>
        <v>1</v>
      </c>
      <c r="BZ13" s="16" t="n">
        <f aca="false">IF(BY13=0,"",N(N13)+N(O13)+N(P13))</f>
        <v>546.209312535774</v>
      </c>
      <c r="CA13" s="37" t="n">
        <f aca="false">IF(BY13=0,"",(N(Y13)*34.2+N(Z13)*38.6)/1000)</f>
        <v>2.67602290897148</v>
      </c>
      <c r="CB13" s="37" t="n">
        <f aca="false">IF(BY13=0,"",N(O13)*0.0036+N(R13)+N(V13)+(N(AA13)*25.3+N(AB13)*37)/1000)</f>
        <v>2.22906429935116</v>
      </c>
      <c r="CC13" s="37" t="n">
        <f aca="false">IF(BY13=0,"",N(N13)*0.0036+N(Q13)+N(U13)+N(T13)+N(X13)+N(AC13)*38/1000)</f>
        <v>4.43688543711666</v>
      </c>
      <c r="CD13" s="37" t="n">
        <f aca="false">IF(BY13=0,"",N(Q13)+N(R13)+N(S13)+N(T13)+N(U13)+N(V13)+N(W13)+N(X13)+(N(Y13)*34.2+N(Z13)*38.6+N(AA13)*25.3+N(AB13)*37+N(AC13)*38)/1000)</f>
        <v>8.19916076518434</v>
      </c>
      <c r="CE13" s="16" t="n">
        <f aca="false">IF(BY13=0,"",MAX(0,N(L13)-N(K13))+MAX(0,N(M13)-N(L13)))</f>
        <v>138.558</v>
      </c>
      <c r="CF13" s="16" t="n">
        <f aca="false">IF(BY13=0,"",N(Y13)*N(AD13)+N(Z13)*N(AE13)+N(AA13)*N(AF13)+N(AB13)*N(AG13)+N(AC13)*N(AH13)+N(U13)*N(AI13)+N(V13)*N(AJ13)+N(W13)*N(AK13)+N(X13)*N(AL13)+N(Q13)*N(AM13)+N(R13)*N(AN13)+N(S13)*N(AO13)+N(T13)*N(AP13))</f>
        <v>94.8144709241511</v>
      </c>
      <c r="CG13" s="16" t="n">
        <f aca="false">IF(AND(BY13=1,N(K13)&gt;0),K13,0)</f>
        <v>554.217</v>
      </c>
      <c r="CH13" s="16" t="n">
        <f aca="false">IF(CG13&gt;0,CF13*1000/CG13,"")</f>
        <v>171.078243583562</v>
      </c>
      <c r="CI13" s="16" t="n">
        <f aca="false">IF(BY13=0,"",N(AQ13)+p_road*(N(AR13)+N(AS13)+N(AT13)))</f>
        <v>0.708127245026028</v>
      </c>
      <c r="CJ13" s="16" t="n">
        <f aca="false">IF(CG13&gt;0,CI13*1000/CG13,"")</f>
        <v>1.2777075496169</v>
      </c>
      <c r="CK13" s="12" t="n">
        <f aca="false">IF(CH13="",1,MIN(p_idx_max,MAX(p_idx_min,CH13/p_fc_world)))</f>
        <v>1.06254931356362</v>
      </c>
      <c r="CL13" s="12" t="n">
        <f aca="false">IF(CJ13="",1,MIN(p_idx_max,MAX(p_idx_min,CJ13/p_cb_world)))</f>
        <v>0.25</v>
      </c>
      <c r="CM13" s="37" t="n">
        <f aca="false">p_b*(1-p_wb_idx+p_wb_idx*CK13)</f>
        <v>0.141319058703961</v>
      </c>
      <c r="CN13" s="37" t="n">
        <f aca="false">p_c*(1-p_wc_idx+p_wc_idx*CL13)</f>
        <v>0.03225</v>
      </c>
      <c r="CO13" s="28" t="n">
        <f aca="false">IF(N(BR13)&gt;0,(N(BS13)+N(BT13)+N(BU13))/BR13,"")</f>
        <v>0.230323559615591</v>
      </c>
      <c r="CP13" s="16" t="n">
        <f aca="false">N(BS13)+N(BT13)+N(BU13)</f>
        <v>150.27</v>
      </c>
      <c r="CQ13" s="28" t="n">
        <f aca="false">IF(CP13&gt;0,N(BS13)/CP13,"")</f>
        <v>0.173354628335662</v>
      </c>
      <c r="CR13" s="28" t="n">
        <f aca="false">IF(CP13&gt;0,N(BT13)/CP13,"")</f>
        <v>0.776003194250349</v>
      </c>
      <c r="CS13" s="28" t="n">
        <f aca="false">IF(CP13&gt;0,N(BU13)/CP13,"")</f>
        <v>0.0506421774139882</v>
      </c>
      <c r="CT13" s="7" t="n">
        <f aca="false">1000*(p_sh_pv*p_cf_pv/p_capex_pv+(1-p_sh_pv)*p_cf_wind/p_capex_wind)*8760</f>
        <v>2301.28856624319</v>
      </c>
      <c r="CU13" s="13" t="n">
        <f aca="false">IF(AND(ISNUMBER(CO13),ISNUMBER(CQ13),BY13=1),1,0)</f>
        <v>1</v>
      </c>
      <c r="CV13" s="16" t="n">
        <f aca="false">IF(CU13=0,"",CQ13*p_hr_coal*N(AK13)+CR13*p_hr_gas*N(AO13)+CS13*p_hr_oil*N(AH13)/p_gj_l_oil)</f>
        <v>44.583491608532</v>
      </c>
      <c r="CW13" s="37" t="n">
        <f aca="false">IF(CU13=0,"",CQ13*p_hr_coal*p_ef_coal+CR13*p_hr_gas*p_ef_gas+CS13*p_hr_oil*p_ef_oil)</f>
        <v>0.531653719970719</v>
      </c>
      <c r="CX13" s="16" t="n">
        <f aca="false">IF(CU13=0,"",CQ13*p_hr_coal*N(AW13)+CR13*p_hr_gas*N(AX13)+CS13*p_hr_oil*N(AY13)/p_gj_l_oil)</f>
        <v>3.91325476620917</v>
      </c>
      <c r="CY13" s="37" t="n">
        <f aca="false">IF(CU13=0,"",CO13*CW13)</f>
        <v>0.122452377266527</v>
      </c>
      <c r="CZ13" s="37" t="n">
        <f aca="false">IF(CU13=0,"",CT13*CO13*CV13/1000/1000-p_om_re)</f>
        <v>0.00863107732898124</v>
      </c>
      <c r="DA13" s="37" t="n">
        <f aca="false">IF(CU13=0,"",CT13*CO13*CX13/1000/1000)</f>
        <v>0.00207418536888655</v>
      </c>
      <c r="DB13" s="37" t="n">
        <f aca="false">IF(CU13=0,"",CT13*CO13*CW13/1000)</f>
        <v>0.281798255712756</v>
      </c>
      <c r="DC13" s="13" t="n">
        <f aca="false">IF(AND(CU13=1,ISNUMBER(AD13),ISNUMBER(AV13)),1,0)</f>
        <v>1</v>
      </c>
      <c r="DD13" s="7" t="n">
        <f aca="false">IF(DC13=0,"",p_ev_km*p_ice_l/100*AD13-p_ev_km*p_ev_kwh*AV13+p_ev_km*p_ev_maint)</f>
        <v>764.272125</v>
      </c>
      <c r="DE13" s="37" t="n">
        <f aca="false">IF(DC13=0,"",DD13/p_ev_prem)</f>
        <v>0.152854425</v>
      </c>
      <c r="DF13" s="37" t="n">
        <f aca="false">IF(DC13=0,"",p_ev_km*p_ice_l/100*N(AZ13)/p_ev_prem)</f>
        <v>0.00413055</v>
      </c>
      <c r="DG13" s="37" t="n">
        <f aca="false">IF(DC13=0,"",1000/p_ev_prem*(p_ev_km*p_ice_l/100*p_gj_l_gso*p_ef_gso-p_ev_km*p_ev_kwh/1000*CY13))</f>
        <v>0.467139216276076</v>
      </c>
      <c r="DH13" s="11" t="str">
        <f aca="false">IFERROR(IF(INDEX(Damodaran!$D:$D,MATCH(A13,Damodaran!$A:$A,0))="","",INDEX(Damodaran!$D:$D,MATCH(A13,Damodaran!$A:$A,0))),"")</f>
        <v/>
      </c>
      <c r="DI13" s="11" t="str">
        <f aca="false">IFERROR(IF(INDEX(Damodaran!$E:$E,MATCH(A13,Damodaran!$A:$A,0))="","",INDEX(Damodaran!$E:$E,MATCH(A13,Damodaran!$A:$A,0))),"")</f>
        <v/>
      </c>
      <c r="DJ13" s="11" t="str">
        <f aca="false">IFERROR(IF(INDEX(Damodaran!$G:$G,MATCH(A13,Damodaran!$A:$A,0))="","",INDEX(Damodaran!$G:$G,MATCH(A13,Damodaran!$A:$A,0))),"")</f>
        <v/>
      </c>
      <c r="DK13" s="11" t="str">
        <f aca="false">IF(ISNUMBER(BG13),(1+BG13/100)*(1+p_infl)-1,"")</f>
        <v/>
      </c>
      <c r="DL13" s="11" t="str">
        <f aca="false">IF(ISNUMBER(BH13),BH13/100,"")</f>
        <v/>
      </c>
      <c r="DM13" s="11" t="str">
        <f aca="false">IF(COUNT(DK13,DL13)=0,"",AVERAGE(DK13,DL13))</f>
        <v/>
      </c>
      <c r="DN13" s="11" t="str">
        <f aca="false">IF(OR(DH13="",DI13=""),"",p_dv*(p_rf+DH13)*(1-IF(DJ13="",p_tax_def,DJ13))+(1-p_dv)*(p_rf+p_beta*p_erp+p_lambda*DI13))</f>
        <v/>
      </c>
      <c r="DO13" s="13" t="n">
        <f aca="false">IF(AND(ISNUMBER(DM13),ISNUMBER(DN13)),1,0)</f>
        <v>0</v>
      </c>
      <c r="DP13" s="11" t="n">
        <f aca="false">IF(DO13=1,DM13,0)</f>
        <v>0</v>
      </c>
      <c r="DQ13" s="11" t="n">
        <f aca="false">IF(DO13=1,DN13,0)</f>
        <v>0</v>
      </c>
      <c r="DR13" s="11" t="str">
        <f aca="false">IF(DN13="","",DN13+p_shift)</f>
        <v/>
      </c>
      <c r="DS13" s="11" t="n">
        <f aca="false">IF(E13="AE",p_r_ae,IF(E13="China",p_r_chn,p_r_emdc))</f>
        <v>0.055</v>
      </c>
      <c r="DT13" s="11" t="n">
        <f aca="false">IF(E13="AE",p_rh_ae,IF(E13="China",p_rh_chn,p_rh_emdc))</f>
        <v>0.07</v>
      </c>
      <c r="DU13" s="11" t="n">
        <f aca="false">IF(AND(p_use_obs=1,ISNUMBER(DM13)),DM13,IF(AND(p_use_dam=1,ISNUMBER(DR13)),DR13,DS13))</f>
        <v>0.055</v>
      </c>
      <c r="DV13" s="6" t="str">
        <f aca="false">IF(AND(p_use_obs=1,ISNUMBER(DM13)),"Observed (IRENA/Steffen)",IF(AND(p_use_dam=1,ISNUMBER(DR13)),"Damodaran (eq. 5)","Group default (IHLEG)"))</f>
        <v>Group default (IHLEG)</v>
      </c>
      <c r="DW13" s="11" t="n">
        <f aca="false">IF(p_basis=1,(1+DU13)/(1+p_infl)-1,DU13)</f>
        <v>0.055</v>
      </c>
      <c r="DX13" s="11" t="n">
        <f aca="false">DW13+(DT13-DS13)</f>
        <v>0.07</v>
      </c>
      <c r="DY13" s="28" t="n">
        <f aca="false">IF(AND(p_use_pefa=1,ISNUMBER(BD13)),p_gap_lic-(BD13-1)/3*(p_gap_lic-p_gap_ae),IF(E13="AE",p_gap_ae,IF(D13="Low income",p_gap_lic,p_gap_em)))*(1-p_reform*p_reform_close)</f>
        <v>0.13</v>
      </c>
      <c r="DZ13" s="6" t="str">
        <f aca="false">IF(AND(p_use_pefa=1,ISNUMBER(BD13)),"PEFA PI-11","Income-group default (IMF 2015)")</f>
        <v>Income-group default (IMF 2015)</v>
      </c>
      <c r="EA13" s="28" t="n">
        <f aca="false">IF(E13="AE",p_ps_ae,IF(E13="China",p_ps_chn,p_ps_emdc))</f>
        <v>0.3</v>
      </c>
      <c r="EB13" s="37" t="n">
        <f aca="false">(1-EA13)+EA13/(1-DY13)</f>
        <v>1.0448275862069</v>
      </c>
      <c r="EC13" s="16" t="n">
        <f aca="false">Results_Country!F13</f>
        <v>108.786065870837</v>
      </c>
      <c r="ED13" s="16" t="n">
        <f aca="false">IF(CH13="",0,CH13*EC13)</f>
        <v>18610.9290755485</v>
      </c>
      <c r="EE13" s="16" t="n">
        <f aca="false">IF(CJ13="",0,CJ13*EC13)</f>
        <v>138.996777656289</v>
      </c>
      <c r="EF13" s="16" t="n">
        <f aca="false">IF(CH13="",0,EC13)</f>
        <v>108.786065870837</v>
      </c>
    </row>
    <row r="14" customFormat="false" ht="15" hidden="false" customHeight="false" outlineLevel="0" collapsed="false">
      <c r="A14" s="35" t="s">
        <v>780</v>
      </c>
      <c r="B14" s="35" t="s">
        <v>781</v>
      </c>
      <c r="C14" s="35" t="s">
        <v>766</v>
      </c>
      <c r="D14" s="35" t="s">
        <v>760</v>
      </c>
      <c r="E14" s="35" t="s">
        <v>31</v>
      </c>
      <c r="F14" s="36" t="n">
        <v>2185.848</v>
      </c>
      <c r="G14" s="36" t="n">
        <v>6968.614</v>
      </c>
      <c r="H14" s="33" t="n">
        <v>0.981</v>
      </c>
      <c r="I14" s="33" t="n">
        <v>1.091</v>
      </c>
      <c r="J14" s="36" t="n">
        <v>144.820423</v>
      </c>
      <c r="K14" s="36" t="n">
        <v>1982.113</v>
      </c>
      <c r="L14" s="36" t="n">
        <v>2446.295</v>
      </c>
      <c r="M14" s="36" t="n">
        <v>1907.973</v>
      </c>
      <c r="N14" s="36" t="n">
        <v>662.081964828776</v>
      </c>
      <c r="O14" s="36" t="n">
        <v>203.203993911674</v>
      </c>
      <c r="P14" s="36" t="n">
        <v>68.5161590249484</v>
      </c>
      <c r="Q14" s="31" t="n">
        <v>5.76513472259764</v>
      </c>
      <c r="R14" s="31" t="n">
        <v>3.23126420566246</v>
      </c>
      <c r="S14" s="31" t="n">
        <v>6.82940246982475</v>
      </c>
      <c r="T14" s="31" t="n">
        <v>0.0240395717792261</v>
      </c>
      <c r="U14" s="31" t="n">
        <v>2.30284632273934</v>
      </c>
      <c r="V14" s="31" t="n">
        <v>0.127554573197415</v>
      </c>
      <c r="W14" s="31" t="n">
        <v>3.85355497488071</v>
      </c>
      <c r="X14" s="31" t="n">
        <v>0</v>
      </c>
      <c r="Y14" s="36" t="n">
        <v>48.6776887870414</v>
      </c>
      <c r="Z14" s="36" t="n">
        <v>48.2381728407996</v>
      </c>
      <c r="AA14" s="36" t="n">
        <v>27.1251988173184</v>
      </c>
      <c r="AB14" s="36" t="n">
        <v>7.49773584613597</v>
      </c>
      <c r="AC14" s="36" t="n">
        <v>6.91372297478772</v>
      </c>
      <c r="AD14" s="31" t="n">
        <v>0.659127</v>
      </c>
      <c r="AE14" s="31" t="n">
        <v>0.686362</v>
      </c>
      <c r="AF14" s="31" t="n">
        <v>0.512933</v>
      </c>
      <c r="AG14" s="31" t="n">
        <v>0.781</v>
      </c>
      <c r="AH14" s="31" t="n">
        <v>0.425676798101636</v>
      </c>
      <c r="AI14" s="31" t="n">
        <v>4.347</v>
      </c>
      <c r="AJ14" s="31" t="n">
        <v>3.1116</v>
      </c>
      <c r="AK14" s="31" t="n">
        <v>1.376</v>
      </c>
      <c r="AL14" s="31" t="n">
        <v>2.49999582162902</v>
      </c>
      <c r="AM14" s="31" t="n">
        <v>2.456</v>
      </c>
      <c r="AN14" s="31" t="n">
        <v>7.7652</v>
      </c>
      <c r="AO14" s="31" t="n">
        <v>2.456</v>
      </c>
      <c r="AP14" s="31" t="n">
        <v>3.54001637864476</v>
      </c>
      <c r="AQ14" s="36" t="n">
        <v>195.177956979242</v>
      </c>
      <c r="AR14" s="36" t="n">
        <v>21.2309749624001</v>
      </c>
      <c r="AS14" s="36" t="n">
        <v>14.2721785694813</v>
      </c>
      <c r="AT14" s="36" t="n">
        <v>6.47071078544899</v>
      </c>
      <c r="AU14" s="31" t="n">
        <v>0.267286122877196</v>
      </c>
      <c r="AV14" s="36" t="n">
        <v>0.0948</v>
      </c>
      <c r="AW14" s="31" t="n">
        <v>13.272426</v>
      </c>
      <c r="AX14" s="31" t="n">
        <v>1.406916</v>
      </c>
      <c r="AY14" s="31" t="n">
        <v>0.40822490867612</v>
      </c>
      <c r="AZ14" s="31" t="n">
        <v>0.282325</v>
      </c>
      <c r="BA14" s="33" t="n">
        <v>14.758</v>
      </c>
      <c r="BB14" s="33" t="n">
        <v>0.285</v>
      </c>
      <c r="BC14" s="33"/>
      <c r="BD14" s="33"/>
      <c r="BE14" s="33"/>
      <c r="BF14" s="33" t="n">
        <v>0</v>
      </c>
      <c r="BG14" s="33"/>
      <c r="BH14" s="33"/>
      <c r="BI14" s="29"/>
      <c r="BJ14" s="33"/>
      <c r="BK14" s="33"/>
      <c r="BL14" s="33"/>
      <c r="BM14" s="33"/>
      <c r="BN14" s="29"/>
      <c r="BO14" s="33"/>
      <c r="BP14" s="33" t="n">
        <v>0.015</v>
      </c>
      <c r="BQ14" s="29" t="n">
        <v>2025</v>
      </c>
      <c r="BR14" s="36" t="n">
        <v>1192.78</v>
      </c>
      <c r="BS14" s="36" t="n">
        <v>219.52</v>
      </c>
      <c r="BT14" s="36" t="n">
        <v>533.17</v>
      </c>
      <c r="BU14" s="36" t="n">
        <v>14.47</v>
      </c>
      <c r="BV14" s="16" t="n">
        <f aca="false">F14*(1+N(H14)/100)*(1+N(I14)/100)^5</f>
        <v>2330.35501939187</v>
      </c>
      <c r="BW14" s="16" t="n">
        <f aca="false">IF(N(G14)&gt;0,G14,F14)</f>
        <v>6968.614</v>
      </c>
      <c r="BX14" s="12" t="n">
        <f aca="false">F14/BW14</f>
        <v>0.313670408491559</v>
      </c>
      <c r="BY14" s="13" t="n">
        <f aca="false">IF(ISNUMBER(K14),1,0)</f>
        <v>1</v>
      </c>
      <c r="BZ14" s="16" t="n">
        <f aca="false">IF(BY14=0,"",N(N14)+N(O14)+N(P14))</f>
        <v>933.802117765399</v>
      </c>
      <c r="CA14" s="37" t="n">
        <f aca="false">IF(BY14=0,"",(N(Y14)*34.2+N(Z14)*38.6)/1000)</f>
        <v>3.52677042817168</v>
      </c>
      <c r="CB14" s="37" t="n">
        <f aca="false">IF(BY14=0,"",N(O14)*0.0036+N(R14)+N(V14)+(N(AA14)*25.3+N(AB14)*37)/1000)</f>
        <v>5.05403691332708</v>
      </c>
      <c r="CC14" s="37" t="n">
        <f aca="false">IF(BY14=0,"",N(N14)*0.0036+N(Q14)+N(U14)+N(T14)+N(X14)+N(AC14)*38/1000)</f>
        <v>10.7382371635417</v>
      </c>
      <c r="CD14" s="37" t="n">
        <f aca="false">IF(BY14=0,"",N(Q14)+N(R14)+N(S14)+N(T14)+N(U14)+N(V14)+N(W14)+N(X14)+(N(Y14)*34.2+N(Z14)*38.6+N(AA14)*25.3+N(AB14)*37+N(AC14)*38)/1000)</f>
        <v>26.8869724982803</v>
      </c>
      <c r="CE14" s="16" t="n">
        <f aca="false">IF(BY14=0,"",MAX(0,N(L14)-N(K14))+MAX(0,N(M14)-N(L14)))</f>
        <v>464.182</v>
      </c>
      <c r="CF14" s="16" t="n">
        <f aca="false">IF(BY14=0,"",N(Y14)*N(AD14)+N(Z14)*N(AE14)+N(AA14)*N(AF14)+N(AB14)*N(AG14)+N(AC14)*N(AH14)+N(U14)*N(AI14)+N(V14)*N(AJ14)+N(W14)*N(AK14)+N(X14)*N(AL14)+N(Q14)*N(AM14)+N(R14)*N(AN14)+N(S14)*N(AO14)+N(T14)*N(AP14))</f>
        <v>159.724340576737</v>
      </c>
      <c r="CG14" s="16" t="n">
        <f aca="false">IF(AND(BY14=1,N(K14)&gt;0),K14,0)</f>
        <v>1982.113</v>
      </c>
      <c r="CH14" s="16" t="n">
        <f aca="false">IF(CG14&gt;0,CF14*1000/CG14,"")</f>
        <v>80.5828631247243</v>
      </c>
      <c r="CI14" s="16" t="n">
        <f aca="false">IF(BY14=0,"",N(AQ14)+p_road*(N(AR14)+N(AS14)+N(AT14)))</f>
        <v>195.177956979242</v>
      </c>
      <c r="CJ14" s="16" t="n">
        <f aca="false">IF(CG14&gt;0,CI14*1000/CG14,"")</f>
        <v>98.469641730437</v>
      </c>
      <c r="CK14" s="12" t="n">
        <f aca="false">IF(CH14="",1,MIN(p_idx_max,MAX(p_idx_min,CH14/p_fc_world)))</f>
        <v>0.500491845746269</v>
      </c>
      <c r="CL14" s="12" t="n">
        <f aca="false">IF(CJ14="",1,MIN(p_idx_max,MAX(p_idx_min,CJ14/p_cb_world)))</f>
        <v>1.87237409560542</v>
      </c>
      <c r="CM14" s="37" t="n">
        <f aca="false">p_b*(1-p_wb_idx+p_wb_idx*CK14)</f>
        <v>0.0665654154842537</v>
      </c>
      <c r="CN14" s="37" t="n">
        <f aca="false">p_c*(1-p_wc_idx+p_wc_idx*CL14)</f>
        <v>0.241536258333099</v>
      </c>
      <c r="CO14" s="28" t="n">
        <f aca="false">IF(N(BR14)&gt;0,(N(BS14)+N(BT14)+N(BU14))/BR14,"")</f>
        <v>0.643169737923171</v>
      </c>
      <c r="CP14" s="16" t="n">
        <f aca="false">N(BS14)+N(BT14)+N(BU14)</f>
        <v>767.16</v>
      </c>
      <c r="CQ14" s="28" t="n">
        <f aca="false">IF(CP14&gt;0,N(BS14)/CP14,"")</f>
        <v>0.286146305855363</v>
      </c>
      <c r="CR14" s="28" t="n">
        <f aca="false">IF(CP14&gt;0,N(BT14)/CP14,"")</f>
        <v>0.694991918243913</v>
      </c>
      <c r="CS14" s="28" t="n">
        <f aca="false">IF(CP14&gt;0,N(BU14)/CP14,"")</f>
        <v>0.0188617759007248</v>
      </c>
      <c r="CT14" s="7" t="n">
        <f aca="false">1000*(p_sh_pv*p_cf_pv/p_capex_pv+(1-p_sh_pv)*p_cf_wind/p_capex_wind)*8760</f>
        <v>2301.28856624319</v>
      </c>
      <c r="CU14" s="13" t="n">
        <f aca="false">IF(AND(ISNUMBER(CO14),ISNUMBER(CQ14),BY14=1),1,0)</f>
        <v>1</v>
      </c>
      <c r="CV14" s="16" t="n">
        <f aca="false">IF(CU14=0,"",CQ14*p_hr_coal*N(AK14)+CR14*p_hr_gas*N(AO14)+CS14*p_hr_oil*N(AH14)/p_gj_l_oil)</f>
        <v>18.9231842483552</v>
      </c>
      <c r="CW14" s="37" t="n">
        <f aca="false">IF(CU14=0,"",CQ14*p_hr_coal*p_ef_coal+CR14*p_hr_gas*p_ef_gas+CS14*p_hr_oil*p_ef_oil)</f>
        <v>0.578441220214818</v>
      </c>
      <c r="CX14" s="16" t="n">
        <f aca="false">IF(CU14=0,"",CQ14*p_hr_coal*N(AW14)+CR14*p_hr_gas*N(AX14)+CS14*p_hr_oil*N(AY14)/p_gj_l_oil)</f>
        <v>47.4065389655787</v>
      </c>
      <c r="CY14" s="37" t="n">
        <f aca="false">IF(CU14=0,"",CO14*CW14)</f>
        <v>0.372035888009524</v>
      </c>
      <c r="CZ14" s="37" t="n">
        <f aca="false">IF(CU14=0,"",CT14*CO14*CV14/1000/1000-p_om_re)</f>
        <v>0.013008567650579</v>
      </c>
      <c r="DA14" s="37" t="n">
        <f aca="false">IF(CU14=0,"",CT14*CO14*CX14/1000/1000)</f>
        <v>0.070167326823583</v>
      </c>
      <c r="DB14" s="37" t="n">
        <f aca="false">IF(CU14=0,"",CT14*CO14*CW14/1000)</f>
        <v>0.856161935308451</v>
      </c>
      <c r="DC14" s="13" t="n">
        <f aca="false">IF(AND(CU14=1,ISNUMBER(AD14),ISNUMBER(AV14)),1,0)</f>
        <v>1</v>
      </c>
      <c r="DD14" s="7" t="n">
        <f aca="false">IF(DC14=0,"",p_ev_km*p_ice_l/100*AD14-p_ev_km*p_ev_kwh*AV14+p_ev_km*p_ev_maint)</f>
        <v>665.557875</v>
      </c>
      <c r="DE14" s="37" t="n">
        <f aca="false">IF(DC14=0,"",DD14/p_ev_prem)</f>
        <v>0.133111575</v>
      </c>
      <c r="DF14" s="37" t="n">
        <f aca="false">IF(DC14=0,"",p_ev_km*p_ice_l/100*N(AZ14)/p_ev_prem)</f>
        <v>0.063523125</v>
      </c>
      <c r="DG14" s="37" t="n">
        <f aca="false">IF(DC14=0,"",1000/p_ev_prem*(p_ev_km*p_ice_l/100*p_gj_l_gso*p_ef_gso-p_ev_km*p_ev_kwh/1000*CY14))</f>
        <v>0.332364120474857</v>
      </c>
      <c r="DH14" s="11" t="str">
        <f aca="false">IFERROR(IF(INDEX(Damodaran!$D:$D,MATCH(A14,Damodaran!$A:$A,0))="","",INDEX(Damodaran!$D:$D,MATCH(A14,Damodaran!$A:$A,0))),"")</f>
        <v/>
      </c>
      <c r="DI14" s="11" t="str">
        <f aca="false">IFERROR(IF(INDEX(Damodaran!$E:$E,MATCH(A14,Damodaran!$A:$A,0))="","",INDEX(Damodaran!$E:$E,MATCH(A14,Damodaran!$A:$A,0))),"")</f>
        <v/>
      </c>
      <c r="DJ14" s="11" t="str">
        <f aca="false">IFERROR(IF(INDEX(Damodaran!$G:$G,MATCH(A14,Damodaran!$A:$A,0))="","",INDEX(Damodaran!$G:$G,MATCH(A14,Damodaran!$A:$A,0))),"")</f>
        <v/>
      </c>
      <c r="DK14" s="11" t="str">
        <f aca="false">IF(ISNUMBER(BG14),(1+BG14/100)*(1+p_infl)-1,"")</f>
        <v/>
      </c>
      <c r="DL14" s="11" t="str">
        <f aca="false">IF(ISNUMBER(BH14),BH14/100,"")</f>
        <v/>
      </c>
      <c r="DM14" s="11" t="str">
        <f aca="false">IF(COUNT(DK14,DL14)=0,"",AVERAGE(DK14,DL14))</f>
        <v/>
      </c>
      <c r="DN14" s="11" t="str">
        <f aca="false">IF(OR(DH14="",DI14=""),"",p_dv*(p_rf+DH14)*(1-IF(DJ14="",p_tax_def,DJ14))+(1-p_dv)*(p_rf+p_beta*p_erp+p_lambda*DI14))</f>
        <v/>
      </c>
      <c r="DO14" s="13" t="n">
        <f aca="false">IF(AND(ISNUMBER(DM14),ISNUMBER(DN14)),1,0)</f>
        <v>0</v>
      </c>
      <c r="DP14" s="11" t="n">
        <f aca="false">IF(DO14=1,DM14,0)</f>
        <v>0</v>
      </c>
      <c r="DQ14" s="11" t="n">
        <f aca="false">IF(DO14=1,DN14,0)</f>
        <v>0</v>
      </c>
      <c r="DR14" s="11" t="str">
        <f aca="false">IF(DN14="","",DN14+p_shift)</f>
        <v/>
      </c>
      <c r="DS14" s="11" t="n">
        <f aca="false">IF(E14="AE",p_r_ae,IF(E14="China",p_r_chn,p_r_emdc))</f>
        <v>0.105</v>
      </c>
      <c r="DT14" s="11" t="n">
        <f aca="false">IF(E14="AE",p_rh_ae,IF(E14="China",p_rh_chn,p_rh_emdc))</f>
        <v>0.15</v>
      </c>
      <c r="DU14" s="11" t="n">
        <f aca="false">IF(AND(p_use_obs=1,ISNUMBER(DM14)),DM14,IF(AND(p_use_dam=1,ISNUMBER(DR14)),DR14,DS14))</f>
        <v>0.105</v>
      </c>
      <c r="DV14" s="6" t="str">
        <f aca="false">IF(AND(p_use_obs=1,ISNUMBER(DM14)),"Observed (IRENA/Steffen)",IF(AND(p_use_dam=1,ISNUMBER(DR14)),"Damodaran (eq. 5)","Group default (IHLEG)"))</f>
        <v>Group default (IHLEG)</v>
      </c>
      <c r="DW14" s="11" t="n">
        <f aca="false">IF(p_basis=1,(1+DU14)/(1+p_infl)-1,DU14)</f>
        <v>0.105</v>
      </c>
      <c r="DX14" s="11" t="n">
        <f aca="false">DW14+(DT14-DS14)</f>
        <v>0.15</v>
      </c>
      <c r="DY14" s="28" t="n">
        <f aca="false">IF(AND(p_use_pefa=1,ISNUMBER(BD14)),p_gap_lic-(BD14-1)/3*(p_gap_lic-p_gap_ae),IF(E14="AE",p_gap_ae,IF(D14="Low income",p_gap_lic,p_gap_em)))*(1-p_reform*p_reform_close)</f>
        <v>0.27</v>
      </c>
      <c r="DZ14" s="6" t="str">
        <f aca="false">IF(AND(p_use_pefa=1,ISNUMBER(BD14)),"PEFA PI-11","Income-group default (IMF 2015)")</f>
        <v>Income-group default (IMF 2015)</v>
      </c>
      <c r="EA14" s="28" t="n">
        <f aca="false">IF(E14="AE",p_ps_ae,IF(E14="China",p_ps_chn,p_ps_emdc))</f>
        <v>0.4</v>
      </c>
      <c r="EB14" s="37" t="n">
        <f aca="false">(1-EA14)+EA14/(1-DY14)</f>
        <v>1.14794520547945</v>
      </c>
      <c r="EC14" s="16" t="n">
        <f aca="false">Results_Country!F14</f>
        <v>177.399054556307</v>
      </c>
      <c r="ED14" s="16" t="n">
        <f aca="false">IF(CH14="",0,CH14*EC14)</f>
        <v>14295.3237317664</v>
      </c>
      <c r="EE14" s="16" t="n">
        <f aca="false">IF(CJ14="",0,CJ14*EC14)</f>
        <v>17468.4213454778</v>
      </c>
      <c r="EF14" s="16" t="n">
        <f aca="false">IF(CH14="",0,EC14)</f>
        <v>177.399054556307</v>
      </c>
    </row>
    <row r="15" customFormat="false" ht="15" hidden="false" customHeight="false" outlineLevel="0" collapsed="false">
      <c r="A15" s="35" t="s">
        <v>782</v>
      </c>
      <c r="B15" s="35" t="s">
        <v>783</v>
      </c>
      <c r="C15" s="35" t="s">
        <v>784</v>
      </c>
      <c r="D15" s="35" t="s">
        <v>763</v>
      </c>
      <c r="E15" s="35" t="s">
        <v>31</v>
      </c>
      <c r="F15" s="36" t="n">
        <v>2185.822</v>
      </c>
      <c r="G15" s="36" t="n">
        <v>4742.6</v>
      </c>
      <c r="H15" s="33" t="n">
        <v>2.286</v>
      </c>
      <c r="I15" s="33" t="n">
        <v>1.911</v>
      </c>
      <c r="J15" s="36" t="n">
        <v>211.998574</v>
      </c>
      <c r="K15" s="36" t="n">
        <v>505.632</v>
      </c>
      <c r="L15" s="36" t="n">
        <v>1357.434</v>
      </c>
      <c r="M15" s="36" t="n">
        <v>1767.337</v>
      </c>
      <c r="N15" s="36" t="n">
        <v>375.780383564716</v>
      </c>
      <c r="O15" s="36" t="n">
        <v>149.00535801181</v>
      </c>
      <c r="P15" s="36" t="n">
        <v>2.00318854602417</v>
      </c>
      <c r="Q15" s="31" t="n">
        <v>0.571412545288515</v>
      </c>
      <c r="R15" s="31" t="n">
        <v>0.0662386012961551</v>
      </c>
      <c r="S15" s="31" t="n">
        <v>0.156518634735986</v>
      </c>
      <c r="T15" s="31" t="n">
        <v>0.0812420379782979</v>
      </c>
      <c r="U15" s="31" t="n">
        <v>0.370017479130748</v>
      </c>
      <c r="V15" s="31" t="n">
        <v>0.00101971061994648</v>
      </c>
      <c r="W15" s="31" t="n">
        <v>0.534700079467993</v>
      </c>
      <c r="X15" s="31" t="n">
        <v>0</v>
      </c>
      <c r="Y15" s="36" t="n">
        <v>25.3445374911258</v>
      </c>
      <c r="Z15" s="36" t="n">
        <v>50.9566757109976</v>
      </c>
      <c r="AA15" s="36" t="n">
        <v>13.4941081701488</v>
      </c>
      <c r="AB15" s="36" t="n">
        <v>2.64141707978784</v>
      </c>
      <c r="AC15" s="36" t="n">
        <v>17.9193367682517</v>
      </c>
      <c r="AD15" s="31" t="n">
        <v>0.88452</v>
      </c>
      <c r="AE15" s="31" t="n">
        <v>0.669963</v>
      </c>
      <c r="AF15" s="31" t="n">
        <v>0.605352</v>
      </c>
      <c r="AG15" s="31" t="n">
        <v>0.628336</v>
      </c>
      <c r="AH15" s="31" t="n">
        <v>0.519462891908447</v>
      </c>
      <c r="AI15" s="31" t="n">
        <v>6.222</v>
      </c>
      <c r="AJ15" s="31" t="n">
        <v>12.95424</v>
      </c>
      <c r="AK15" s="31" t="n">
        <v>6.222</v>
      </c>
      <c r="AL15" s="31" t="n">
        <v>6.22957939068793</v>
      </c>
      <c r="AM15" s="31" t="n">
        <v>17.367</v>
      </c>
      <c r="AN15" s="31" t="n">
        <v>53.76852</v>
      </c>
      <c r="AO15" s="31" t="n">
        <v>17.661</v>
      </c>
      <c r="AP15" s="31" t="n">
        <v>20.4610515570615</v>
      </c>
      <c r="AQ15" s="36" t="n">
        <v>18.3032978095601</v>
      </c>
      <c r="AR15" s="36" t="n">
        <v>4.61647041819594</v>
      </c>
      <c r="AS15" s="36" t="n">
        <v>1.69072183499796</v>
      </c>
      <c r="AT15" s="36" t="n">
        <v>8.18345725301125</v>
      </c>
      <c r="AU15" s="31" t="n">
        <v>0.829390739679148</v>
      </c>
      <c r="AV15" s="36" t="n">
        <v>0.1638</v>
      </c>
      <c r="AW15" s="31" t="n">
        <v>2.065699</v>
      </c>
      <c r="AX15" s="31" t="n">
        <v>0.228896</v>
      </c>
      <c r="AY15" s="31" t="n">
        <v>0.155145013246966</v>
      </c>
      <c r="AZ15" s="31" t="n">
        <v>0.024261</v>
      </c>
      <c r="BA15" s="33" t="n">
        <v>87.028</v>
      </c>
      <c r="BB15" s="33" t="n">
        <v>15.121</v>
      </c>
      <c r="BC15" s="33" t="n">
        <v>87.319</v>
      </c>
      <c r="BD15" s="33"/>
      <c r="BE15" s="33"/>
      <c r="BF15" s="33" t="n">
        <v>0</v>
      </c>
      <c r="BG15" s="33" t="n">
        <v>6.3</v>
      </c>
      <c r="BH15" s="33" t="n">
        <v>11.125</v>
      </c>
      <c r="BI15" s="29" t="n">
        <v>2022</v>
      </c>
      <c r="BJ15" s="33" t="n">
        <v>3</v>
      </c>
      <c r="BK15" s="33" t="n">
        <v>1</v>
      </c>
      <c r="BL15" s="33" t="n">
        <v>1.341</v>
      </c>
      <c r="BM15" s="33" t="n">
        <v>7.018</v>
      </c>
      <c r="BN15" s="29" t="n">
        <v>14.23</v>
      </c>
      <c r="BO15" s="33" t="n">
        <v>0.132</v>
      </c>
      <c r="BP15" s="33" t="n">
        <v>0.529</v>
      </c>
      <c r="BQ15" s="29" t="n">
        <v>2025</v>
      </c>
      <c r="BR15" s="36" t="n">
        <v>752.17</v>
      </c>
      <c r="BS15" s="36" t="n">
        <v>17.19</v>
      </c>
      <c r="BT15" s="36" t="n">
        <v>54.85</v>
      </c>
      <c r="BU15" s="36" t="n">
        <v>12.65</v>
      </c>
      <c r="BV15" s="16" t="n">
        <f aca="false">F15*(1+N(H15)/100)*(1+N(I15)/100)^5</f>
        <v>2457.74207140853</v>
      </c>
      <c r="BW15" s="16" t="n">
        <f aca="false">IF(N(G15)&gt;0,G15,F15)</f>
        <v>4742.6</v>
      </c>
      <c r="BX15" s="12" t="n">
        <f aca="false">F15/BW15</f>
        <v>0.46089107240754</v>
      </c>
      <c r="BY15" s="13" t="n">
        <f aca="false">IF(ISNUMBER(K15),1,0)</f>
        <v>1</v>
      </c>
      <c r="BZ15" s="16" t="n">
        <f aca="false">IF(BY15=0,"",N(N15)+N(O15)+N(P15))</f>
        <v>526.78893012255</v>
      </c>
      <c r="CA15" s="37" t="n">
        <f aca="false">IF(BY15=0,"",(N(Y15)*34.2+N(Z15)*38.6)/1000)</f>
        <v>2.83371086464101</v>
      </c>
      <c r="CB15" s="37" t="n">
        <f aca="false">IF(BY15=0,"",N(O15)*0.0036+N(R15)+N(V15)+(N(AA15)*25.3+N(AB15)*37)/1000)</f>
        <v>1.04281096941553</v>
      </c>
      <c r="CC15" s="37" t="n">
        <f aca="false">IF(BY15=0,"",N(N15)*0.0036+N(Q15)+N(U15)+N(T15)+N(X15)+N(AC15)*38/1000)</f>
        <v>3.0564162404241</v>
      </c>
      <c r="CD15" s="37" t="n">
        <f aca="false">IF(BY15=0,"",N(Q15)+N(R15)+N(S15)+N(T15)+N(U15)+N(V15)+N(W15)+N(X15)+(N(Y15)*34.2+N(Z15)*38.6+N(AA15)*25.3+N(AB15)*37+N(AC15)*38)/1000)</f>
        <v>5.73492811900913</v>
      </c>
      <c r="CE15" s="16" t="n">
        <f aca="false">IF(BY15=0,"",MAX(0,N(L15)-N(K15))+MAX(0,N(M15)-N(L15)))</f>
        <v>1261.705</v>
      </c>
      <c r="CF15" s="16" t="n">
        <f aca="false">IF(BY15=0,"",N(Y15)*N(AD15)+N(Z15)*N(AE15)+N(AA15)*N(AF15)+N(AB15)*N(AG15)+N(AC15)*N(AH15)+N(U15)*N(AI15)+N(V15)*N(AJ15)+N(W15)*N(AK15)+N(X15)*N(AL15)+N(Q15)*N(AM15)+N(R15)*N(AN15)+N(S15)*N(AO15)+N(T15)*N(AP15))</f>
        <v>99.2478595350362</v>
      </c>
      <c r="CG15" s="16" t="n">
        <f aca="false">IF(AND(BY15=1,N(K15)&gt;0),K15,0)</f>
        <v>505.632</v>
      </c>
      <c r="CH15" s="16" t="n">
        <f aca="false">IF(CG15&gt;0,CF15*1000/CG15,"")</f>
        <v>196.284767449521</v>
      </c>
      <c r="CI15" s="16" t="n">
        <f aca="false">IF(BY15=0,"",N(AQ15)+p_road*(N(AR15)+N(AS15)+N(AT15)))</f>
        <v>18.3032978095601</v>
      </c>
      <c r="CJ15" s="16" t="n">
        <f aca="false">IF(CG15&gt;0,CI15*1000/CG15,"")</f>
        <v>36.1988517529746</v>
      </c>
      <c r="CK15" s="12" t="n">
        <f aca="false">IF(CH15="",1,MIN(p_idx_max,MAX(p_idx_min,CH15/p_fc_world)))</f>
        <v>1.21910443167843</v>
      </c>
      <c r="CL15" s="12" t="n">
        <f aca="false">IF(CJ15="",1,MIN(p_idx_max,MAX(p_idx_min,CJ15/p_cb_world)))</f>
        <v>0.688311555946084</v>
      </c>
      <c r="CM15" s="37" t="n">
        <f aca="false">p_b*(1-p_wb_idx+p_wb_idx*CK15)</f>
        <v>0.162140889413232</v>
      </c>
      <c r="CN15" s="37" t="n">
        <f aca="false">p_c*(1-p_wc_idx+p_wc_idx*CL15)</f>
        <v>0.0887921907170448</v>
      </c>
      <c r="CO15" s="28" t="n">
        <f aca="false">IF(N(BR15)&gt;0,(N(BS15)+N(BT15)+N(BU15))/BR15,"")</f>
        <v>0.112594227368813</v>
      </c>
      <c r="CP15" s="16" t="n">
        <f aca="false">N(BS15)+N(BT15)+N(BU15)</f>
        <v>84.69</v>
      </c>
      <c r="CQ15" s="28" t="n">
        <f aca="false">IF(CP15&gt;0,N(BS15)/CP15,"")</f>
        <v>0.202975557917109</v>
      </c>
      <c r="CR15" s="28" t="n">
        <f aca="false">IF(CP15&gt;0,N(BT15)/CP15,"")</f>
        <v>0.647656157751801</v>
      </c>
      <c r="CS15" s="28" t="n">
        <f aca="false">IF(CP15&gt;0,N(BU15)/CP15,"")</f>
        <v>0.14936828433109</v>
      </c>
      <c r="CT15" s="7" t="n">
        <f aca="false">1000*(p_sh_pv*p_cf_pv/p_capex_pv+(1-p_sh_pv)*p_cf_wind/p_capex_wind)*8760</f>
        <v>2301.28856624319</v>
      </c>
      <c r="CU15" s="13" t="n">
        <f aca="false">IF(AND(ISNUMBER(CO15),ISNUMBER(CQ15),BY15=1),1,0)</f>
        <v>1</v>
      </c>
      <c r="CV15" s="16" t="n">
        <f aca="false">IF(CU15=0,"",CQ15*p_hr_coal*N(AK15)+CR15*p_hr_gas*N(AO15)+CS15*p_hr_oil*N(AH15)/p_gj_l_oil)</f>
        <v>119.522491253606</v>
      </c>
      <c r="CW15" s="37" t="n">
        <f aca="false">IF(CU15=0,"",CQ15*p_hr_coal*p_ef_coal+CR15*p_hr_gas*p_ef_gas+CS15*p_hr_oil*p_ef_oil)</f>
        <v>0.585907810839532</v>
      </c>
      <c r="CX15" s="16" t="n">
        <f aca="false">IF(CU15=0,"",CQ15*p_hr_coal*N(AW15)+CR15*p_hr_gas*N(AX15)+CS15*p_hr_oil*N(AY15)/p_gj_l_oil)</f>
        <v>11.6084471248657</v>
      </c>
      <c r="CY15" s="37" t="n">
        <f aca="false">IF(CU15=0,"",CO15*CW15)</f>
        <v>0.0659698372708297</v>
      </c>
      <c r="CZ15" s="37" t="n">
        <f aca="false">IF(CU15=0,"",CT15*CO15*CV15/1000/1000-p_om_re)</f>
        <v>0.0159696888136133</v>
      </c>
      <c r="DA15" s="37" t="n">
        <f aca="false">IF(CU15=0,"",CT15*CO15*CX15/1000/1000)</f>
        <v>0.00300788572339543</v>
      </c>
      <c r="DB15" s="37" t="n">
        <f aca="false">IF(CU15=0,"",CT15*CO15*CW15/1000)</f>
        <v>0.151815632228285</v>
      </c>
      <c r="DC15" s="13" t="n">
        <f aca="false">IF(AND(CU15=1,ISNUMBER(AD15),ISNUMBER(AV15)),1,0)</f>
        <v>1</v>
      </c>
      <c r="DD15" s="7" t="n">
        <f aca="false">IF(DC15=0,"",p_ev_km*p_ice_l/100*AD15-p_ev_km*p_ev_kwh*AV15+p_ev_km*p_ev_maint)</f>
        <v>732.825</v>
      </c>
      <c r="DE15" s="37" t="n">
        <f aca="false">IF(DC15=0,"",DD15/p_ev_prem)</f>
        <v>0.146565</v>
      </c>
      <c r="DF15" s="37" t="n">
        <f aca="false">IF(DC15=0,"",p_ev_km*p_ice_l/100*N(AZ15)/p_ev_prem)</f>
        <v>0.005458725</v>
      </c>
      <c r="DG15" s="37" t="n">
        <f aca="false">IF(DC15=0,"",1000/p_ev_prem*(p_ev_km*p_ice_l/100*p_gj_l_gso*p_ef_gso-p_ev_km*p_ev_kwh/1000*CY15))</f>
        <v>0.497639787873752</v>
      </c>
      <c r="DH15" s="11" t="str">
        <f aca="false">IFERROR(IF(INDEX(Damodaran!$D:$D,MATCH(A15,Damodaran!$A:$A,0))="","",INDEX(Damodaran!$D:$D,MATCH(A15,Damodaran!$A:$A,0))),"")</f>
        <v/>
      </c>
      <c r="DI15" s="11" t="str">
        <f aca="false">IFERROR(IF(INDEX(Damodaran!$E:$E,MATCH(A15,Damodaran!$A:$A,0))="","",INDEX(Damodaran!$E:$E,MATCH(A15,Damodaran!$A:$A,0))),"")</f>
        <v/>
      </c>
      <c r="DJ15" s="11" t="str">
        <f aca="false">IFERROR(IF(INDEX(Damodaran!$G:$G,MATCH(A15,Damodaran!$A:$A,0))="","",INDEX(Damodaran!$G:$G,MATCH(A15,Damodaran!$A:$A,0))),"")</f>
        <v/>
      </c>
      <c r="DK15" s="11" t="n">
        <f aca="false">IF(ISNUMBER(BG15),(1+BG15/100)*(1+p_infl)-1,"")</f>
        <v>0.08426</v>
      </c>
      <c r="DL15" s="11" t="n">
        <f aca="false">IF(ISNUMBER(BH15),BH15/100,"")</f>
        <v>0.11125</v>
      </c>
      <c r="DM15" s="11" t="n">
        <f aca="false">IF(COUNT(DK15,DL15)=0,"",AVERAGE(DK15,DL15))</f>
        <v>0.097755</v>
      </c>
      <c r="DN15" s="11" t="str">
        <f aca="false">IF(OR(DH15="",DI15=""),"",p_dv*(p_rf+DH15)*(1-IF(DJ15="",p_tax_def,DJ15))+(1-p_dv)*(p_rf+p_beta*p_erp+p_lambda*DI15))</f>
        <v/>
      </c>
      <c r="DO15" s="13" t="n">
        <f aca="false">IF(AND(ISNUMBER(DM15),ISNUMBER(DN15)),1,0)</f>
        <v>0</v>
      </c>
      <c r="DP15" s="11" t="n">
        <f aca="false">IF(DO15=1,DM15,0)</f>
        <v>0</v>
      </c>
      <c r="DQ15" s="11" t="n">
        <f aca="false">IF(DO15=1,DN15,0)</f>
        <v>0</v>
      </c>
      <c r="DR15" s="11" t="str">
        <f aca="false">IF(DN15="","",DN15+p_shift)</f>
        <v/>
      </c>
      <c r="DS15" s="11" t="n">
        <f aca="false">IF(E15="AE",p_r_ae,IF(E15="China",p_r_chn,p_r_emdc))</f>
        <v>0.105</v>
      </c>
      <c r="DT15" s="11" t="n">
        <f aca="false">IF(E15="AE",p_rh_ae,IF(E15="China",p_rh_chn,p_rh_emdc))</f>
        <v>0.15</v>
      </c>
      <c r="DU15" s="11" t="n">
        <f aca="false">IF(AND(p_use_obs=1,ISNUMBER(DM15)),DM15,IF(AND(p_use_dam=1,ISNUMBER(DR15)),DR15,DS15))</f>
        <v>0.097755</v>
      </c>
      <c r="DV15" s="6" t="str">
        <f aca="false">IF(AND(p_use_obs=1,ISNUMBER(DM15)),"Observed (IRENA/Steffen)",IF(AND(p_use_dam=1,ISNUMBER(DR15)),"Damodaran (eq. 5)","Group default (IHLEG)"))</f>
        <v>Observed (IRENA/Steffen)</v>
      </c>
      <c r="DW15" s="11" t="n">
        <f aca="false">IF(p_basis=1,(1+DU15)/(1+p_infl)-1,DU15)</f>
        <v>0.097755</v>
      </c>
      <c r="DX15" s="11" t="n">
        <f aca="false">DW15+(DT15-DS15)</f>
        <v>0.142755</v>
      </c>
      <c r="DY15" s="28" t="n">
        <f aca="false">IF(AND(p_use_pefa=1,ISNUMBER(BD15)),p_gap_lic-(BD15-1)/3*(p_gap_lic-p_gap_ae),IF(E15="AE",p_gap_ae,IF(D15="Low income",p_gap_lic,p_gap_em)))*(1-p_reform*p_reform_close)</f>
        <v>0.27</v>
      </c>
      <c r="DZ15" s="6" t="str">
        <f aca="false">IF(AND(p_use_pefa=1,ISNUMBER(BD15)),"PEFA PI-11","Income-group default (IMF 2015)")</f>
        <v>Income-group default (IMF 2015)</v>
      </c>
      <c r="EA15" s="28" t="n">
        <f aca="false">IF(E15="AE",p_ps_ae,IF(E15="China",p_ps_chn,p_ps_emdc))</f>
        <v>0.4</v>
      </c>
      <c r="EB15" s="37" t="n">
        <f aca="false">(1-EA15)+EA15/(1-DY15)</f>
        <v>1.14794520547945</v>
      </c>
      <c r="EC15" s="16" t="n">
        <f aca="false">Results_Country!F15</f>
        <v>139.425298601075</v>
      </c>
      <c r="ED15" s="16" t="n">
        <f aca="false">IF(CH15="",0,CH15*EC15)</f>
        <v>27367.062312492</v>
      </c>
      <c r="EE15" s="16" t="n">
        <f aca="false">IF(CJ15="",0,CJ15*EC15)</f>
        <v>5047.03571467454</v>
      </c>
      <c r="EF15" s="16" t="n">
        <f aca="false">IF(CH15="",0,EC15)</f>
        <v>139.425298601075</v>
      </c>
    </row>
    <row r="16" customFormat="false" ht="15" hidden="false" customHeight="false" outlineLevel="0" collapsed="false">
      <c r="A16" s="35" t="s">
        <v>785</v>
      </c>
      <c r="B16" s="35" t="s">
        <v>786</v>
      </c>
      <c r="C16" s="35" t="s">
        <v>762</v>
      </c>
      <c r="D16" s="35" t="s">
        <v>760</v>
      </c>
      <c r="E16" s="35" t="s">
        <v>29</v>
      </c>
      <c r="F16" s="36" t="n">
        <v>1875.388</v>
      </c>
      <c r="G16" s="36" t="n">
        <v>3254.39</v>
      </c>
      <c r="H16" s="33" t="n">
        <v>1.007</v>
      </c>
      <c r="I16" s="33" t="n">
        <v>1.862</v>
      </c>
      <c r="J16" s="36" t="n">
        <v>51.71759</v>
      </c>
      <c r="K16" s="36" t="n">
        <v>732.861</v>
      </c>
      <c r="L16" s="36" t="n">
        <v>825.612</v>
      </c>
      <c r="M16" s="36" t="n">
        <v>779.825</v>
      </c>
      <c r="N16" s="36" t="n">
        <v>541.27577254876</v>
      </c>
      <c r="O16" s="36" t="n">
        <v>87.3892319186632</v>
      </c>
      <c r="P16" s="36" t="n">
        <v>4.30788579131506</v>
      </c>
      <c r="Q16" s="31" t="n">
        <v>0.49387268311181</v>
      </c>
      <c r="R16" s="31" t="n">
        <v>0.728082931141083</v>
      </c>
      <c r="S16" s="31" t="n">
        <v>0.775972169668723</v>
      </c>
      <c r="T16" s="31" t="n">
        <v>0.0481001100105722</v>
      </c>
      <c r="U16" s="31" t="n">
        <v>0.632028431216001</v>
      </c>
      <c r="V16" s="31" t="n">
        <v>0.00957671225871435</v>
      </c>
      <c r="W16" s="31" t="n">
        <v>2.05008980641634</v>
      </c>
      <c r="X16" s="31" t="n">
        <v>0</v>
      </c>
      <c r="Y16" s="36" t="n">
        <v>18.354445283879</v>
      </c>
      <c r="Z16" s="36" t="n">
        <v>31.9256281435665</v>
      </c>
      <c r="AA16" s="36" t="n">
        <v>12.2600905330833</v>
      </c>
      <c r="AB16" s="36" t="n">
        <v>5.54756714034531</v>
      </c>
      <c r="AC16" s="36" t="n">
        <v>25.0898994223105</v>
      </c>
      <c r="AD16" s="31" t="n">
        <v>0.792</v>
      </c>
      <c r="AE16" s="31" t="n">
        <v>0.762374</v>
      </c>
      <c r="AF16" s="31" t="n">
        <v>0.516312</v>
      </c>
      <c r="AG16" s="31" t="n">
        <v>0.698576</v>
      </c>
      <c r="AH16" s="31" t="n">
        <v>0.544303273182478</v>
      </c>
      <c r="AI16" s="31" t="n">
        <v>4.883</v>
      </c>
      <c r="AJ16" s="31" t="n">
        <v>9.9803</v>
      </c>
      <c r="AK16" s="31" t="n">
        <v>3.912</v>
      </c>
      <c r="AL16" s="31" t="n">
        <v>4.16158770671152</v>
      </c>
      <c r="AM16" s="31" t="n">
        <v>16.804</v>
      </c>
      <c r="AN16" s="31" t="n">
        <v>22.9779</v>
      </c>
      <c r="AO16" s="31" t="n">
        <v>14.959</v>
      </c>
      <c r="AP16" s="31" t="n">
        <v>18.337309952535</v>
      </c>
      <c r="AQ16" s="36" t="n">
        <v>26.8056152419987</v>
      </c>
      <c r="AR16" s="36" t="n">
        <v>12.4202194565238</v>
      </c>
      <c r="AS16" s="36" t="n">
        <v>3.23098947497715</v>
      </c>
      <c r="AT16" s="36" t="n">
        <v>5.35630067522189</v>
      </c>
      <c r="AU16" s="31" t="n">
        <v>0.3174237074767</v>
      </c>
      <c r="AV16" s="36" t="n">
        <v>0.1221</v>
      </c>
      <c r="AW16" s="31" t="n">
        <v>1.902455</v>
      </c>
      <c r="AX16" s="31" t="n">
        <v>0.339071</v>
      </c>
      <c r="AY16" s="31" t="n">
        <v>0.245650222947456</v>
      </c>
      <c r="AZ16" s="31" t="n">
        <v>0.048364</v>
      </c>
      <c r="BA16" s="33" t="n">
        <v>49.701</v>
      </c>
      <c r="BB16" s="33" t="n">
        <v>0.372</v>
      </c>
      <c r="BC16" s="33"/>
      <c r="BD16" s="33"/>
      <c r="BE16" s="33"/>
      <c r="BF16" s="33" t="n">
        <v>0</v>
      </c>
      <c r="BG16" s="33"/>
      <c r="BH16" s="33"/>
      <c r="BI16" s="29"/>
      <c r="BJ16" s="33"/>
      <c r="BK16" s="33"/>
      <c r="BL16" s="33"/>
      <c r="BM16" s="33"/>
      <c r="BN16" s="29"/>
      <c r="BO16" s="33"/>
      <c r="BP16" s="33"/>
      <c r="BQ16" s="29" t="n">
        <v>2025</v>
      </c>
      <c r="BR16" s="36" t="n">
        <v>624.66</v>
      </c>
      <c r="BS16" s="36" t="n">
        <v>194.53</v>
      </c>
      <c r="BT16" s="36" t="n">
        <v>174.58</v>
      </c>
      <c r="BU16" s="36" t="n">
        <v>5.95</v>
      </c>
      <c r="BV16" s="16" t="n">
        <f aca="false">F16*(1+N(H16)/100)*(1+N(I16)/100)^5</f>
        <v>2077.32094658925</v>
      </c>
      <c r="BW16" s="16" t="n">
        <f aca="false">IF(N(G16)&gt;0,G16,F16)</f>
        <v>3254.39</v>
      </c>
      <c r="BX16" s="12" t="n">
        <f aca="false">F16/BW16</f>
        <v>0.576264061775018</v>
      </c>
      <c r="BY16" s="13" t="n">
        <f aca="false">IF(ISNUMBER(K16),1,0)</f>
        <v>1</v>
      </c>
      <c r="BZ16" s="16" t="n">
        <f aca="false">IF(BY16=0,"",N(N16)+N(O16)+N(P16))</f>
        <v>632.972890258739</v>
      </c>
      <c r="CA16" s="37" t="n">
        <f aca="false">IF(BY16=0,"",(N(Y16)*34.2+N(Z16)*38.6)/1000)</f>
        <v>1.86005127505033</v>
      </c>
      <c r="CB16" s="37" t="n">
        <f aca="false">IF(BY16=0,"",N(O16)*0.0036+N(R16)+N(V16)+(N(AA16)*25.3+N(AB16)*37)/1000)</f>
        <v>1.56770115298677</v>
      </c>
      <c r="CC16" s="37" t="n">
        <f aca="false">IF(BY16=0,"",N(N16)*0.0036+N(Q16)+N(U16)+N(T16)+N(X16)+N(AC16)*38/1000)</f>
        <v>4.07601018356172</v>
      </c>
      <c r="CD16" s="37" t="n">
        <f aca="false">IF(BY16=0,"",N(Q16)+N(R16)+N(S16)+N(T16)+N(U16)+N(V16)+N(W16)+N(X16)+(N(Y16)*34.2+N(Z16)*38.6+N(AA16)*25.3+N(AB16)*37+N(AC16)*38)/1000)</f>
        <v>8.06663057160115</v>
      </c>
      <c r="CE16" s="16" t="n">
        <f aca="false">IF(BY16=0,"",MAX(0,N(L16)-N(K16))+MAX(0,N(M16)-N(L16)))</f>
        <v>92.751</v>
      </c>
      <c r="CF16" s="16" t="n">
        <f aca="false">IF(BY16=0,"",N(Y16)*N(AD16)+N(Z16)*N(AE16)+N(AA16)*N(AF16)+N(AB16)*N(AG16)+N(AC16)*N(AH16)+N(U16)*N(AI16)+N(V16)*N(AJ16)+N(W16)*N(AK16)+N(X16)*N(AL16)+N(Q16)*N(AM16)+N(R16)*N(AN16)+N(S16)*N(AO16)+N(T16)*N(AP16))</f>
        <v>111.45830527674</v>
      </c>
      <c r="CG16" s="16" t="n">
        <f aca="false">IF(AND(BY16=1,N(K16)&gt;0),K16,0)</f>
        <v>732.861</v>
      </c>
      <c r="CH16" s="16" t="n">
        <f aca="false">IF(CG16&gt;0,CF16*1000/CG16,"")</f>
        <v>152.08655567255</v>
      </c>
      <c r="CI16" s="16" t="n">
        <f aca="false">IF(BY16=0,"",N(AQ16)+p_road*(N(AR16)+N(AS16)+N(AT16)))</f>
        <v>26.8056152419987</v>
      </c>
      <c r="CJ16" s="16" t="n">
        <f aca="false">IF(CG16&gt;0,CI16*1000/CG16,"")</f>
        <v>36.5766703945205</v>
      </c>
      <c r="CK16" s="12" t="n">
        <f aca="false">IF(CH16="",1,MIN(p_idx_max,MAX(p_idx_min,CH16/p_fc_world)))</f>
        <v>0.944593900119102</v>
      </c>
      <c r="CL16" s="12" t="n">
        <f aca="false">IF(CJ16="",1,MIN(p_idx_max,MAX(p_idx_min,CJ16/p_cb_world)))</f>
        <v>0.6954956771111</v>
      </c>
      <c r="CM16" s="37" t="n">
        <f aca="false">p_b*(1-p_wb_idx+p_wb_idx*CK16)</f>
        <v>0.125630988715841</v>
      </c>
      <c r="CN16" s="37" t="n">
        <f aca="false">p_c*(1-p_wc_idx+p_wc_idx*CL16)</f>
        <v>0.0897189423473319</v>
      </c>
      <c r="CO16" s="28" t="n">
        <f aca="false">IF(N(BR16)&gt;0,(N(BS16)+N(BT16)+N(BU16))/BR16,"")</f>
        <v>0.600422629910671</v>
      </c>
      <c r="CP16" s="16" t="n">
        <f aca="false">N(BS16)+N(BT16)+N(BU16)</f>
        <v>375.06</v>
      </c>
      <c r="CQ16" s="28" t="n">
        <f aca="false">IF(CP16&gt;0,N(BS16)/CP16,"")</f>
        <v>0.51866368047779</v>
      </c>
      <c r="CR16" s="28" t="n">
        <f aca="false">IF(CP16&gt;0,N(BT16)/CP16,"")</f>
        <v>0.465472191116088</v>
      </c>
      <c r="CS16" s="28" t="n">
        <f aca="false">IF(CP16&gt;0,N(BU16)/CP16,"")</f>
        <v>0.0158641284061217</v>
      </c>
      <c r="CT16" s="7" t="n">
        <f aca="false">1000*(p_sh_pv*p_cf_pv/p_capex_pv+(1-p_sh_pv)*p_cf_wind/p_capex_wind)*8760</f>
        <v>2301.28856624319</v>
      </c>
      <c r="CU16" s="13" t="n">
        <f aca="false">IF(AND(ISNUMBER(CO16),ISNUMBER(CQ16),BY16=1),1,0)</f>
        <v>1</v>
      </c>
      <c r="CV16" s="16" t="n">
        <f aca="false">IF(CU16=0,"",CQ16*p_hr_coal*N(AK16)+CR16*p_hr_gas*N(AO16)+CS16*p_hr_oil*N(AH16)/p_gj_l_oil)</f>
        <v>74.8614829324769</v>
      </c>
      <c r="CW16" s="37" t="n">
        <f aca="false">IF(CU16=0,"",CQ16*p_hr_coal*p_ef_coal+CR16*p_hr_gas*p_ef_gas+CS16*p_hr_oil*p_ef_oil)</f>
        <v>0.699396043299739</v>
      </c>
      <c r="CX16" s="16" t="n">
        <f aca="false">IF(CU16=0,"",CQ16*p_hr_coal*N(AW16)+CR16*p_hr_gas*N(AX16)+CS16*p_hr_oil*N(AY16)/p_gj_l_oil)</f>
        <v>12.1111260565945</v>
      </c>
      <c r="CY16" s="37" t="n">
        <f aca="false">IF(CU16=0,"",CO16*CW16)</f>
        <v>0.419933211667147</v>
      </c>
      <c r="CZ16" s="37" t="n">
        <f aca="false">IF(CU16=0,"",CT16*CO16*CV16/1000/1000-p_om_re)</f>
        <v>0.088439534617517</v>
      </c>
      <c r="DA16" s="37" t="n">
        <f aca="false">IF(CU16=0,"",CT16*CO16*CX16/1000/1000)</f>
        <v>0.0167344967520638</v>
      </c>
      <c r="DB16" s="37" t="n">
        <f aca="false">IF(CU16=0,"",CT16*CO16*CW16/1000)</f>
        <v>0.966387498595388</v>
      </c>
      <c r="DC16" s="13" t="n">
        <f aca="false">IF(AND(CU16=1,ISNUMBER(AD16),ISNUMBER(AV16)),1,0)</f>
        <v>1</v>
      </c>
      <c r="DD16" s="7" t="n">
        <f aca="false">IF(DC16=0,"",p_ev_km*p_ice_l/100*AD16-p_ev_km*p_ev_kwh*AV16+p_ev_km*p_ev_maint)</f>
        <v>741.33</v>
      </c>
      <c r="DE16" s="37" t="n">
        <f aca="false">IF(DC16=0,"",DD16/p_ev_prem)</f>
        <v>0.148266</v>
      </c>
      <c r="DF16" s="37" t="n">
        <f aca="false">IF(DC16=0,"",p_ev_km*p_ice_l/100*N(AZ16)/p_ev_prem)</f>
        <v>0.0108819</v>
      </c>
      <c r="DG16" s="37" t="n">
        <f aca="false">IF(DC16=0,"",1000/p_ev_prem*(p_ev_km*p_ice_l/100*p_gj_l_gso*p_ef_gso-p_ev_km*p_ev_kwh/1000*CY16))</f>
        <v>0.306499565699741</v>
      </c>
      <c r="DH16" s="11" t="str">
        <f aca="false">IFERROR(IF(INDEX(Damodaran!$D:$D,MATCH(A16,Damodaran!$A:$A,0))="","",INDEX(Damodaran!$D:$D,MATCH(A16,Damodaran!$A:$A,0))),"")</f>
        <v/>
      </c>
      <c r="DI16" s="11" t="str">
        <f aca="false">IFERROR(IF(INDEX(Damodaran!$E:$E,MATCH(A16,Damodaran!$A:$A,0))="","",INDEX(Damodaran!$E:$E,MATCH(A16,Damodaran!$A:$A,0))),"")</f>
        <v/>
      </c>
      <c r="DJ16" s="11" t="str">
        <f aca="false">IFERROR(IF(INDEX(Damodaran!$G:$G,MATCH(A16,Damodaran!$A:$A,0))="","",INDEX(Damodaran!$G:$G,MATCH(A16,Damodaran!$A:$A,0))),"")</f>
        <v/>
      </c>
      <c r="DK16" s="11" t="str">
        <f aca="false">IF(ISNUMBER(BG16),(1+BG16/100)*(1+p_infl)-1,"")</f>
        <v/>
      </c>
      <c r="DL16" s="11" t="str">
        <f aca="false">IF(ISNUMBER(BH16),BH16/100,"")</f>
        <v/>
      </c>
      <c r="DM16" s="11" t="str">
        <f aca="false">IF(COUNT(DK16,DL16)=0,"",AVERAGE(DK16,DL16))</f>
        <v/>
      </c>
      <c r="DN16" s="11" t="str">
        <f aca="false">IF(OR(DH16="",DI16=""),"",p_dv*(p_rf+DH16)*(1-IF(DJ16="",p_tax_def,DJ16))+(1-p_dv)*(p_rf+p_beta*p_erp+p_lambda*DI16))</f>
        <v/>
      </c>
      <c r="DO16" s="13" t="n">
        <f aca="false">IF(AND(ISNUMBER(DM16),ISNUMBER(DN16)),1,0)</f>
        <v>0</v>
      </c>
      <c r="DP16" s="11" t="n">
        <f aca="false">IF(DO16=1,DM16,0)</f>
        <v>0</v>
      </c>
      <c r="DQ16" s="11" t="n">
        <f aca="false">IF(DO16=1,DN16,0)</f>
        <v>0</v>
      </c>
      <c r="DR16" s="11" t="str">
        <f aca="false">IF(DN16="","",DN16+p_shift)</f>
        <v/>
      </c>
      <c r="DS16" s="11" t="n">
        <f aca="false">IF(E16="AE",p_r_ae,IF(E16="China",p_r_chn,p_r_emdc))</f>
        <v>0.055</v>
      </c>
      <c r="DT16" s="11" t="n">
        <f aca="false">IF(E16="AE",p_rh_ae,IF(E16="China",p_rh_chn,p_rh_emdc))</f>
        <v>0.07</v>
      </c>
      <c r="DU16" s="11" t="n">
        <f aca="false">IF(AND(p_use_obs=1,ISNUMBER(DM16)),DM16,IF(AND(p_use_dam=1,ISNUMBER(DR16)),DR16,DS16))</f>
        <v>0.055</v>
      </c>
      <c r="DV16" s="6" t="str">
        <f aca="false">IF(AND(p_use_obs=1,ISNUMBER(DM16)),"Observed (IRENA/Steffen)",IF(AND(p_use_dam=1,ISNUMBER(DR16)),"Damodaran (eq. 5)","Group default (IHLEG)"))</f>
        <v>Group default (IHLEG)</v>
      </c>
      <c r="DW16" s="11" t="n">
        <f aca="false">IF(p_basis=1,(1+DU16)/(1+p_infl)-1,DU16)</f>
        <v>0.055</v>
      </c>
      <c r="DX16" s="11" t="n">
        <f aca="false">DW16+(DT16-DS16)</f>
        <v>0.07</v>
      </c>
      <c r="DY16" s="28" t="n">
        <f aca="false">IF(AND(p_use_pefa=1,ISNUMBER(BD16)),p_gap_lic-(BD16-1)/3*(p_gap_lic-p_gap_ae),IF(E16="AE",p_gap_ae,IF(D16="Low income",p_gap_lic,p_gap_em)))*(1-p_reform*p_reform_close)</f>
        <v>0.13</v>
      </c>
      <c r="DZ16" s="6" t="str">
        <f aca="false">IF(AND(p_use_pefa=1,ISNUMBER(BD16)),"PEFA PI-11","Income-group default (IMF 2015)")</f>
        <v>Income-group default (IMF 2015)</v>
      </c>
      <c r="EA16" s="28" t="n">
        <f aca="false">IF(E16="AE",p_ps_ae,IF(E16="China",p_ps_chn,p_ps_emdc))</f>
        <v>0.3</v>
      </c>
      <c r="EB16" s="37" t="n">
        <f aca="false">(1-EA16)+EA16/(1-DY16)</f>
        <v>1.0448275862069</v>
      </c>
      <c r="EC16" s="16" t="n">
        <f aca="false">Results_Country!F16</f>
        <v>96.9907985295963</v>
      </c>
      <c r="ED16" s="16" t="n">
        <f aca="false">IF(CH16="",0,CH16*EC16)</f>
        <v>14750.9964802965</v>
      </c>
      <c r="EE16" s="16" t="n">
        <f aca="false">IF(CJ16="",0,CJ16*EC16)</f>
        <v>3547.60046911838</v>
      </c>
      <c r="EF16" s="16" t="n">
        <f aca="false">IF(CH16="",0,EC16)</f>
        <v>96.9907985295963</v>
      </c>
    </row>
    <row r="17" customFormat="false" ht="15" hidden="false" customHeight="false" outlineLevel="0" collapsed="false">
      <c r="A17" s="35" t="s">
        <v>787</v>
      </c>
      <c r="B17" s="35" t="s">
        <v>788</v>
      </c>
      <c r="C17" s="35" t="s">
        <v>784</v>
      </c>
      <c r="D17" s="35" t="s">
        <v>763</v>
      </c>
      <c r="E17" s="35" t="s">
        <v>31</v>
      </c>
      <c r="F17" s="36" t="n">
        <v>1830.489</v>
      </c>
      <c r="G17" s="36" t="n">
        <v>3312.004</v>
      </c>
      <c r="H17" s="33" t="n">
        <v>0.562</v>
      </c>
      <c r="I17" s="33" t="n">
        <v>1.639</v>
      </c>
      <c r="J17" s="36" t="n">
        <v>130.861007</v>
      </c>
      <c r="K17" s="36" t="n">
        <v>582.567</v>
      </c>
      <c r="L17" s="36" t="n">
        <v>944.503</v>
      </c>
      <c r="M17" s="36" t="n">
        <v>959.826</v>
      </c>
      <c r="N17" s="36" t="n">
        <v>207.679392772381</v>
      </c>
      <c r="O17" s="36" t="n">
        <v>71.0661463480245</v>
      </c>
      <c r="P17" s="36" t="n">
        <v>23.1904641983604</v>
      </c>
      <c r="Q17" s="31" t="n">
        <v>1.3493924019128</v>
      </c>
      <c r="R17" s="31" t="n">
        <v>0.0793893487899227</v>
      </c>
      <c r="S17" s="31" t="n">
        <v>0.794636302320516</v>
      </c>
      <c r="T17" s="31" t="n">
        <v>0.00229843192421829</v>
      </c>
      <c r="U17" s="31" t="n">
        <v>0.0714171112815929</v>
      </c>
      <c r="V17" s="31" t="n">
        <v>0</v>
      </c>
      <c r="W17" s="31" t="n">
        <v>1.94570923462067</v>
      </c>
      <c r="X17" s="31" t="n">
        <v>0</v>
      </c>
      <c r="Y17" s="36" t="n">
        <v>35.9953920814545</v>
      </c>
      <c r="Z17" s="36" t="n">
        <v>12.036161350995</v>
      </c>
      <c r="AA17" s="36" t="n">
        <v>18.8648398035491</v>
      </c>
      <c r="AB17" s="36" t="n">
        <v>0.01812699704148</v>
      </c>
      <c r="AC17" s="36" t="n">
        <v>10.2055137949378</v>
      </c>
      <c r="AD17" s="31" t="n">
        <v>0.87696</v>
      </c>
      <c r="AE17" s="31" t="n">
        <v>0.671485</v>
      </c>
      <c r="AF17" s="31" t="n">
        <v>0.584542</v>
      </c>
      <c r="AG17" s="31" t="n">
        <v>0.568</v>
      </c>
      <c r="AH17" s="31" t="n">
        <v>0.519462891908447</v>
      </c>
      <c r="AI17" s="31" t="n">
        <v>3.06</v>
      </c>
      <c r="AJ17" s="31" t="n">
        <v>11.38076</v>
      </c>
      <c r="AK17" s="31" t="n">
        <v>2.863</v>
      </c>
      <c r="AL17" s="31" t="n">
        <v>2.86997485854124</v>
      </c>
      <c r="AM17" s="31" t="n">
        <v>3.757</v>
      </c>
      <c r="AN17" s="31" t="n">
        <v>12.13244</v>
      </c>
      <c r="AO17" s="31" t="n">
        <v>4.758</v>
      </c>
      <c r="AP17" s="31" t="n">
        <v>4.41380480738484</v>
      </c>
      <c r="AQ17" s="36" t="n">
        <v>18.0680754953743</v>
      </c>
      <c r="AR17" s="36" t="n">
        <v>5.55443167266311</v>
      </c>
      <c r="AS17" s="36" t="n">
        <v>0.756350758003635</v>
      </c>
      <c r="AT17" s="36" t="n">
        <v>0.987433981866473</v>
      </c>
      <c r="AU17" s="31" t="n">
        <v>0.253495932383339</v>
      </c>
      <c r="AV17" s="36" t="n">
        <v>0.129966</v>
      </c>
      <c r="AW17" s="31" t="n">
        <v>2.160589</v>
      </c>
      <c r="AX17" s="31" t="n">
        <v>0.147458</v>
      </c>
      <c r="AY17" s="31" t="n">
        <v>0.381331292904857</v>
      </c>
      <c r="AZ17" s="31" t="n">
        <v>0.204213</v>
      </c>
      <c r="BA17" s="33" t="n">
        <v>59.135</v>
      </c>
      <c r="BB17" s="33" t="n">
        <v>23.809</v>
      </c>
      <c r="BC17" s="33" t="n">
        <v>109.686</v>
      </c>
      <c r="BD17" s="33"/>
      <c r="BE17" s="33"/>
      <c r="BF17" s="33" t="n">
        <v>0</v>
      </c>
      <c r="BG17" s="33"/>
      <c r="BH17" s="33" t="n">
        <v>11</v>
      </c>
      <c r="BI17" s="29" t="n">
        <v>2022</v>
      </c>
      <c r="BJ17" s="33" t="n">
        <v>1</v>
      </c>
      <c r="BK17" s="33"/>
      <c r="BL17" s="33" t="n">
        <v>0.419</v>
      </c>
      <c r="BM17" s="33" t="n">
        <v>6.072</v>
      </c>
      <c r="BN17" s="29" t="n">
        <v>9.755</v>
      </c>
      <c r="BO17" s="33" t="n">
        <v>0.041</v>
      </c>
      <c r="BP17" s="33" t="n">
        <v>0.073</v>
      </c>
      <c r="BQ17" s="29" t="n">
        <v>2025</v>
      </c>
      <c r="BR17" s="36" t="n">
        <v>356.97</v>
      </c>
      <c r="BS17" s="36" t="n">
        <v>10.88</v>
      </c>
      <c r="BT17" s="36" t="n">
        <v>219.92</v>
      </c>
      <c r="BU17" s="36" t="n">
        <v>33.58</v>
      </c>
      <c r="BV17" s="16" t="n">
        <f aca="false">F17*(1+N(H17)/100)*(1+N(I17)/100)^5</f>
        <v>1996.65459960843</v>
      </c>
      <c r="BW17" s="16" t="n">
        <f aca="false">IF(N(G17)&gt;0,G17,F17)</f>
        <v>3312.004</v>
      </c>
      <c r="BX17" s="12" t="n">
        <f aca="false">F17/BW17</f>
        <v>0.552683209319796</v>
      </c>
      <c r="BY17" s="13" t="n">
        <f aca="false">IF(ISNUMBER(K17),1,0)</f>
        <v>1</v>
      </c>
      <c r="BZ17" s="16" t="n">
        <f aca="false">IF(BY17=0,"",N(N17)+N(O17)+N(P17))</f>
        <v>301.936003318766</v>
      </c>
      <c r="CA17" s="37" t="n">
        <f aca="false">IF(BY17=0,"",(N(Y17)*34.2+N(Z17)*38.6)/1000)</f>
        <v>1.69563823733415</v>
      </c>
      <c r="CB17" s="37" t="n">
        <f aca="false">IF(BY17=0,"",N(O17)*0.0036+N(R17)+N(V17)+(N(AA17)*25.3+N(AB17)*37)/1000)</f>
        <v>0.813178621563138</v>
      </c>
      <c r="CC17" s="37" t="n">
        <f aca="false">IF(BY17=0,"",N(N17)*0.0036+N(Q17)+N(U17)+N(T17)+N(X17)+N(AC17)*38/1000)</f>
        <v>2.55856328330682</v>
      </c>
      <c r="CD17" s="37" t="n">
        <f aca="false">IF(BY17=0,"",N(Q17)+N(R17)+N(S17)+N(T17)+N(U17)+N(V17)+N(W17)+N(X17)+(N(Y17)*34.2+N(Z17)*38.6+N(AA17)*25.3+N(AB17)*37+N(AC17)*38)/1000)</f>
        <v>6.80424173831183</v>
      </c>
      <c r="CE17" s="16" t="n">
        <f aca="false">IF(BY17=0,"",MAX(0,N(L17)-N(K17))+MAX(0,N(M17)-N(L17)))</f>
        <v>377.259</v>
      </c>
      <c r="CF17" s="16" t="n">
        <f aca="false">IF(BY17=0,"",N(Y17)*N(AD17)+N(Z17)*N(AE17)+N(AA17)*N(AF17)+N(AB17)*N(AG17)+N(AC17)*N(AH17)+N(U17)*N(AI17)+N(V17)*N(AJ17)+N(W17)*N(AK17)+N(X17)*N(AL17)+N(Q17)*N(AM17)+N(R17)*N(AN17)+N(S17)*N(AO17)+N(T17)*N(AP17))</f>
        <v>71.6005738969983</v>
      </c>
      <c r="CG17" s="16" t="n">
        <f aca="false">IF(AND(BY17=1,N(K17)&gt;0),K17,0)</f>
        <v>582.567</v>
      </c>
      <c r="CH17" s="16" t="n">
        <f aca="false">IF(CG17&gt;0,CF17*1000/CG17,"")</f>
        <v>122.905303419175</v>
      </c>
      <c r="CI17" s="16" t="n">
        <f aca="false">IF(BY17=0,"",N(AQ17)+p_road*(N(AR17)+N(AS17)+N(AT17)))</f>
        <v>18.0680754953743</v>
      </c>
      <c r="CJ17" s="16" t="n">
        <f aca="false">IF(CG17&gt;0,CI17*1000/CG17,"")</f>
        <v>31.014588013695</v>
      </c>
      <c r="CK17" s="12" t="n">
        <f aca="false">IF(CH17="",1,MIN(p_idx_max,MAX(p_idx_min,CH17/p_fc_world)))</f>
        <v>0.763352154229857</v>
      </c>
      <c r="CL17" s="12" t="n">
        <f aca="false">IF(CJ17="",1,MIN(p_idx_max,MAX(p_idx_min,CJ17/p_cb_world)))</f>
        <v>0.589734157271409</v>
      </c>
      <c r="CM17" s="37" t="n">
        <f aca="false">p_b*(1-p_wb_idx+p_wb_idx*CK17)</f>
        <v>0.101525836512571</v>
      </c>
      <c r="CN17" s="37" t="n">
        <f aca="false">p_c*(1-p_wc_idx+p_wc_idx*CL17)</f>
        <v>0.0760757062880117</v>
      </c>
      <c r="CO17" s="28" t="n">
        <f aca="false">IF(N(BR17)&gt;0,(N(BS17)+N(BT17)+N(BU17))/BR17,"")</f>
        <v>0.740622461271255</v>
      </c>
      <c r="CP17" s="16" t="n">
        <f aca="false">N(BS17)+N(BT17)+N(BU17)</f>
        <v>264.38</v>
      </c>
      <c r="CQ17" s="28" t="n">
        <f aca="false">IF(CP17&gt;0,N(BS17)/CP17,"")</f>
        <v>0.0411528859974279</v>
      </c>
      <c r="CR17" s="28" t="n">
        <f aca="false">IF(CP17&gt;0,N(BT17)/CP17,"")</f>
        <v>0.83183296769801</v>
      </c>
      <c r="CS17" s="28" t="n">
        <f aca="false">IF(CP17&gt;0,N(BU17)/CP17,"")</f>
        <v>0.127014146304562</v>
      </c>
      <c r="CT17" s="7" t="n">
        <f aca="false">1000*(p_sh_pv*p_cf_pv/p_capex_pv+(1-p_sh_pv)*p_cf_wind/p_capex_wind)*8760</f>
        <v>2301.28856624319</v>
      </c>
      <c r="CU17" s="13" t="n">
        <f aca="false">IF(AND(ISNUMBER(CO17),ISNUMBER(CQ17),BY17=1),1,0)</f>
        <v>1</v>
      </c>
      <c r="CV17" s="16" t="n">
        <f aca="false">IF(CU17=0,"",CQ17*p_hr_coal*N(AK17)+CR17*p_hr_gas*N(AO17)+CS17*p_hr_oil*N(AH17)/p_gj_l_oil)</f>
        <v>48.8098589463587</v>
      </c>
      <c r="CW17" s="37" t="n">
        <f aca="false">IF(CU17=0,"",CQ17*p_hr_coal*p_ef_coal+CR17*p_hr_gas*p_ef_gas+CS17*p_hr_oil*p_ef_oil)</f>
        <v>0.492148748014222</v>
      </c>
      <c r="CX17" s="16" t="n">
        <f aca="false">IF(CU17=0,"",CQ17*p_hr_coal*N(AW17)+CR17*p_hr_gas*N(AX17)+CS17*p_hr_oil*N(AY17)/p_gj_l_oil)</f>
        <v>14.9842772110449</v>
      </c>
      <c r="CY17" s="37" t="n">
        <f aca="false">IF(CU17=0,"",CO17*CW17)</f>
        <v>0.36449641706586</v>
      </c>
      <c r="CZ17" s="37" t="n">
        <f aca="false">IF(CU17=0,"",CT17*CO17*CV17/1000/1000-p_om_re)</f>
        <v>0.0681908403490584</v>
      </c>
      <c r="DA17" s="37" t="n">
        <f aca="false">IF(CU17=0,"",CT17*CO17*CX17/1000/1000)</f>
        <v>0.0255389923289886</v>
      </c>
      <c r="DB17" s="37" t="n">
        <f aca="false">IF(CU17=0,"",CT17*CO17*CW17/1000)</f>
        <v>0.838811437030274</v>
      </c>
      <c r="DC17" s="13" t="n">
        <f aca="false">IF(AND(CU17=1,ISNUMBER(AD17),ISNUMBER(AV17)),1,0)</f>
        <v>1</v>
      </c>
      <c r="DD17" s="7" t="n">
        <f aca="false">IF(DC17=0,"",p_ev_km*p_ice_l/100*AD17-p_ev_km*p_ev_kwh*AV17+p_ev_km*p_ev_maint)</f>
        <v>815.6718</v>
      </c>
      <c r="DE17" s="37" t="n">
        <f aca="false">IF(DC17=0,"",DD17/p_ev_prem)</f>
        <v>0.16313436</v>
      </c>
      <c r="DF17" s="37" t="n">
        <f aca="false">IF(DC17=0,"",p_ev_km*p_ice_l/100*N(AZ17)/p_ev_prem)</f>
        <v>0.045947925</v>
      </c>
      <c r="DG17" s="37" t="n">
        <f aca="false">IF(DC17=0,"",1000/p_ev_prem*(p_ev_km*p_ice_l/100*p_gj_l_gso*p_ef_gso-p_ev_km*p_ev_kwh/1000*CY17))</f>
        <v>0.336435434784436</v>
      </c>
      <c r="DH17" s="11" t="str">
        <f aca="false">IFERROR(IF(INDEX(Damodaran!$D:$D,MATCH(A17,Damodaran!$A:$A,0))="","",INDEX(Damodaran!$D:$D,MATCH(A17,Damodaran!$A:$A,0))),"")</f>
        <v/>
      </c>
      <c r="DI17" s="11" t="str">
        <f aca="false">IFERROR(IF(INDEX(Damodaran!$E:$E,MATCH(A17,Damodaran!$A:$A,0))="","",INDEX(Damodaran!$E:$E,MATCH(A17,Damodaran!$A:$A,0))),"")</f>
        <v/>
      </c>
      <c r="DJ17" s="11" t="str">
        <f aca="false">IFERROR(IF(INDEX(Damodaran!$G:$G,MATCH(A17,Damodaran!$A:$A,0))="","",INDEX(Damodaran!$G:$G,MATCH(A17,Damodaran!$A:$A,0))),"")</f>
        <v/>
      </c>
      <c r="DK17" s="11" t="str">
        <f aca="false">IF(ISNUMBER(BG17),(1+BG17/100)*(1+p_infl)-1,"")</f>
        <v/>
      </c>
      <c r="DL17" s="11" t="n">
        <f aca="false">IF(ISNUMBER(BH17),BH17/100,"")</f>
        <v>0.11</v>
      </c>
      <c r="DM17" s="11" t="n">
        <f aca="false">IF(COUNT(DK17,DL17)=0,"",AVERAGE(DK17,DL17))</f>
        <v>0.11</v>
      </c>
      <c r="DN17" s="11" t="str">
        <f aca="false">IF(OR(DH17="",DI17=""),"",p_dv*(p_rf+DH17)*(1-IF(DJ17="",p_tax_def,DJ17))+(1-p_dv)*(p_rf+p_beta*p_erp+p_lambda*DI17))</f>
        <v/>
      </c>
      <c r="DO17" s="13" t="n">
        <f aca="false">IF(AND(ISNUMBER(DM17),ISNUMBER(DN17)),1,0)</f>
        <v>0</v>
      </c>
      <c r="DP17" s="11" t="n">
        <f aca="false">IF(DO17=1,DM17,0)</f>
        <v>0</v>
      </c>
      <c r="DQ17" s="11" t="n">
        <f aca="false">IF(DO17=1,DN17,0)</f>
        <v>0</v>
      </c>
      <c r="DR17" s="11" t="str">
        <f aca="false">IF(DN17="","",DN17+p_shift)</f>
        <v/>
      </c>
      <c r="DS17" s="11" t="n">
        <f aca="false">IF(E17="AE",p_r_ae,IF(E17="China",p_r_chn,p_r_emdc))</f>
        <v>0.105</v>
      </c>
      <c r="DT17" s="11" t="n">
        <f aca="false">IF(E17="AE",p_rh_ae,IF(E17="China",p_rh_chn,p_rh_emdc))</f>
        <v>0.15</v>
      </c>
      <c r="DU17" s="11" t="n">
        <f aca="false">IF(AND(p_use_obs=1,ISNUMBER(DM17)),DM17,IF(AND(p_use_dam=1,ISNUMBER(DR17)),DR17,DS17))</f>
        <v>0.11</v>
      </c>
      <c r="DV17" s="6" t="str">
        <f aca="false">IF(AND(p_use_obs=1,ISNUMBER(DM17)),"Observed (IRENA/Steffen)",IF(AND(p_use_dam=1,ISNUMBER(DR17)),"Damodaran (eq. 5)","Group default (IHLEG)"))</f>
        <v>Observed (IRENA/Steffen)</v>
      </c>
      <c r="DW17" s="11" t="n">
        <f aca="false">IF(p_basis=1,(1+DU17)/(1+p_infl)-1,DU17)</f>
        <v>0.11</v>
      </c>
      <c r="DX17" s="11" t="n">
        <f aca="false">DW17+(DT17-DS17)</f>
        <v>0.155</v>
      </c>
      <c r="DY17" s="28" t="n">
        <f aca="false">IF(AND(p_use_pefa=1,ISNUMBER(BD17)),p_gap_lic-(BD17-1)/3*(p_gap_lic-p_gap_ae),IF(E17="AE",p_gap_ae,IF(D17="Low income",p_gap_lic,p_gap_em)))*(1-p_reform*p_reform_close)</f>
        <v>0.27</v>
      </c>
      <c r="DZ17" s="6" t="str">
        <f aca="false">IF(AND(p_use_pefa=1,ISNUMBER(BD17)),"PEFA PI-11","Income-group default (IMF 2015)")</f>
        <v>Income-group default (IMF 2015)</v>
      </c>
      <c r="EA17" s="28" t="n">
        <f aca="false">IF(E17="AE",p_ps_ae,IF(E17="China",p_ps_chn,p_ps_emdc))</f>
        <v>0.4</v>
      </c>
      <c r="EB17" s="37" t="n">
        <f aca="false">(1-EA17)+EA17/(1-DY17)</f>
        <v>1.14794520547945</v>
      </c>
      <c r="EC17" s="16" t="n">
        <f aca="false">Results_Country!F17</f>
        <v>93.834102426476</v>
      </c>
      <c r="ED17" s="16" t="n">
        <f aca="false">IF(CH17="",0,CH17*EC17)</f>
        <v>11532.7088297919</v>
      </c>
      <c r="EE17" s="16" t="n">
        <f aca="false">IF(CJ17="",0,CJ17*EC17)</f>
        <v>2910.22602839201</v>
      </c>
      <c r="EF17" s="16" t="n">
        <f aca="false">IF(CH17="",0,EC17)</f>
        <v>93.834102426476</v>
      </c>
    </row>
    <row r="18" customFormat="false" ht="15" hidden="false" customHeight="false" outlineLevel="0" collapsed="false">
      <c r="A18" s="35" t="s">
        <v>789</v>
      </c>
      <c r="B18" s="35" t="s">
        <v>790</v>
      </c>
      <c r="C18" s="35" t="s">
        <v>762</v>
      </c>
      <c r="D18" s="35" t="s">
        <v>760</v>
      </c>
      <c r="E18" s="35" t="s">
        <v>29</v>
      </c>
      <c r="F18" s="36" t="n">
        <v>1799.418</v>
      </c>
      <c r="G18" s="36" t="n">
        <v>1907.482</v>
      </c>
      <c r="H18" s="33" t="n">
        <v>1.971</v>
      </c>
      <c r="I18" s="33" t="n">
        <v>2.009</v>
      </c>
      <c r="J18" s="36" t="n">
        <v>26.713205</v>
      </c>
      <c r="K18" s="36" t="n">
        <v>386.813</v>
      </c>
      <c r="L18" s="36" t="n">
        <v>517.295</v>
      </c>
      <c r="M18" s="36" t="n">
        <v>464.132</v>
      </c>
      <c r="N18" s="36" t="n">
        <v>182.015733555866</v>
      </c>
      <c r="O18" s="36" t="n">
        <v>82.2189722518618</v>
      </c>
      <c r="P18" s="36" t="n">
        <v>7.82675989104121</v>
      </c>
      <c r="Q18" s="31" t="n">
        <v>0.729232234469398</v>
      </c>
      <c r="R18" s="31" t="n">
        <v>0.264405320188817</v>
      </c>
      <c r="S18" s="31" t="n">
        <v>1.29429555691717</v>
      </c>
      <c r="T18" s="31" t="n">
        <v>0.00328105434643268</v>
      </c>
      <c r="U18" s="31" t="n">
        <v>0.133101159565046</v>
      </c>
      <c r="V18" s="31" t="n">
        <v>0.00533998098877511</v>
      </c>
      <c r="W18" s="31" t="n">
        <v>0.191878207703934</v>
      </c>
      <c r="X18" s="31" t="n">
        <v>0</v>
      </c>
      <c r="Y18" s="36" t="n">
        <v>18.4734009148339</v>
      </c>
      <c r="Z18" s="36" t="n">
        <v>36.9987869176472</v>
      </c>
      <c r="AA18" s="36" t="n">
        <v>1.62969914552408</v>
      </c>
      <c r="AB18" s="36" t="n">
        <v>2.18112010341214</v>
      </c>
      <c r="AC18" s="36" t="n">
        <v>15.3934118745829</v>
      </c>
      <c r="AD18" s="31" t="n">
        <v>0.789271</v>
      </c>
      <c r="AE18" s="31" t="n">
        <v>0.746471</v>
      </c>
      <c r="AF18" s="31" t="n">
        <v>0.533023</v>
      </c>
      <c r="AG18" s="31" t="n">
        <v>0.652</v>
      </c>
      <c r="AH18" s="31" t="n">
        <v>0.543345303403777</v>
      </c>
      <c r="AI18" s="31" t="n">
        <v>3.54</v>
      </c>
      <c r="AJ18" s="31" t="n">
        <v>6.0962</v>
      </c>
      <c r="AK18" s="31" t="n">
        <v>2.199</v>
      </c>
      <c r="AL18" s="31" t="n">
        <v>2.80235439003913</v>
      </c>
      <c r="AM18" s="31" t="n">
        <v>9.928</v>
      </c>
      <c r="AN18" s="31" t="n">
        <v>19.657</v>
      </c>
      <c r="AO18" s="31" t="n">
        <v>8.604</v>
      </c>
      <c r="AP18" s="31" t="n">
        <v>10.303339662866</v>
      </c>
      <c r="AQ18" s="36" t="n">
        <v>5.46738999387912</v>
      </c>
      <c r="AR18" s="36" t="n">
        <v>8.3596844263931</v>
      </c>
      <c r="AS18" s="36" t="n">
        <v>1.06553329995547</v>
      </c>
      <c r="AT18" s="36" t="n">
        <v>1.90606715844506</v>
      </c>
      <c r="AU18" s="31" t="n">
        <v>0.39611376187511</v>
      </c>
      <c r="AV18" s="36" t="n">
        <v>0.190794</v>
      </c>
      <c r="AW18" s="31" t="n">
        <v>1.043582</v>
      </c>
      <c r="AX18" s="31" t="n">
        <v>0.125549</v>
      </c>
      <c r="AY18" s="31" t="n">
        <v>0.113841644842662</v>
      </c>
      <c r="AZ18" s="31" t="n">
        <v>0.02155</v>
      </c>
      <c r="BA18" s="33" t="n">
        <v>50.611</v>
      </c>
      <c r="BB18" s="33" t="n">
        <v>2.416</v>
      </c>
      <c r="BC18" s="33"/>
      <c r="BD18" s="33"/>
      <c r="BE18" s="33"/>
      <c r="BF18" s="33" t="n">
        <v>0</v>
      </c>
      <c r="BG18" s="33"/>
      <c r="BH18" s="33" t="n">
        <v>5.02</v>
      </c>
      <c r="BI18" s="29" t="n">
        <v>2020</v>
      </c>
      <c r="BJ18" s="33" t="n">
        <v>1</v>
      </c>
      <c r="BK18" s="33"/>
      <c r="BL18" s="33"/>
      <c r="BM18" s="33"/>
      <c r="BN18" s="29"/>
      <c r="BO18" s="33"/>
      <c r="BP18" s="33"/>
      <c r="BQ18" s="29" t="n">
        <v>2025</v>
      </c>
      <c r="BR18" s="36" t="n">
        <v>286.68</v>
      </c>
      <c r="BS18" s="36" t="n">
        <v>122.31</v>
      </c>
      <c r="BT18" s="36" t="n">
        <v>47.05</v>
      </c>
      <c r="BU18" s="36" t="n">
        <v>6.36</v>
      </c>
      <c r="BV18" s="16" t="n">
        <f aca="false">F18*(1+N(H18)/100)*(1+N(I18)/100)^5</f>
        <v>2026.75470416204</v>
      </c>
      <c r="BW18" s="16" t="n">
        <f aca="false">IF(N(G18)&gt;0,G18,F18)</f>
        <v>1907.482</v>
      </c>
      <c r="BX18" s="12" t="n">
        <f aca="false">F18/BW18</f>
        <v>0.943347302884116</v>
      </c>
      <c r="BY18" s="13" t="n">
        <f aca="false">IF(ISNUMBER(K18),1,0)</f>
        <v>1</v>
      </c>
      <c r="BZ18" s="16" t="n">
        <f aca="false">IF(BY18=0,"",N(N18)+N(O18)+N(P18))</f>
        <v>272.061465698769</v>
      </c>
      <c r="CA18" s="37" t="n">
        <f aca="false">IF(BY18=0,"",(N(Y18)*34.2+N(Z18)*38.6)/1000)</f>
        <v>2.0599434863085</v>
      </c>
      <c r="CB18" s="37" t="n">
        <f aca="false">IF(BY18=0,"",N(O18)*0.0036+N(R18)+N(V18)+(N(AA18)*25.3+N(AB18)*37)/1000)</f>
        <v>0.687666433492303</v>
      </c>
      <c r="CC18" s="37" t="n">
        <f aca="false">IF(BY18=0,"",N(N18)*0.0036+N(Q18)+N(U18)+N(T18)+N(X18)+N(AC18)*38/1000)</f>
        <v>2.10582074041614</v>
      </c>
      <c r="CD18" s="37" t="n">
        <f aca="false">IF(BY18=0,"",N(Q18)+N(R18)+N(S18)+N(T18)+N(U18)+N(V18)+N(W18)+N(X18)+(N(Y18)*34.2+N(Z18)*38.6+N(AA18)*25.3+N(AB18)*37+N(AC18)*38)/1000)</f>
        <v>5.38835948393023</v>
      </c>
      <c r="CE18" s="16" t="n">
        <f aca="false">IF(BY18=0,"",MAX(0,N(L18)-N(K18))+MAX(0,N(M18)-N(L18)))</f>
        <v>130.482</v>
      </c>
      <c r="CF18" s="16" t="n">
        <f aca="false">IF(BY18=0,"",N(Y18)*N(AD18)+N(Z18)*N(AE18)+N(AA18)*N(AF18)+N(AB18)*N(AG18)+N(AC18)*N(AH18)+N(U18)*N(AI18)+N(V18)*N(AJ18)+N(W18)*N(AK18)+N(X18)*N(AL18)+N(Q18)*N(AM18)+N(R18)*N(AN18)+N(S18)*N(AO18)+N(T18)*N(AP18))</f>
        <v>77.3865662307065</v>
      </c>
      <c r="CG18" s="16" t="n">
        <f aca="false">IF(AND(BY18=1,N(K18)&gt;0),K18,0)</f>
        <v>386.813</v>
      </c>
      <c r="CH18" s="16" t="n">
        <f aca="false">IF(CG18&gt;0,CF18*1000/CG18,"")</f>
        <v>200.06195818317</v>
      </c>
      <c r="CI18" s="16" t="n">
        <f aca="false">IF(BY18=0,"",N(AQ18)+p_road*(N(AR18)+N(AS18)+N(AT18)))</f>
        <v>5.46738999387912</v>
      </c>
      <c r="CJ18" s="16" t="n">
        <f aca="false">IF(CG18&gt;0,CI18*1000/CG18,"")</f>
        <v>14.1344525491106</v>
      </c>
      <c r="CK18" s="12" t="n">
        <f aca="false">IF(CH18="",1,MIN(p_idx_max,MAX(p_idx_min,CH18/p_fc_world)))</f>
        <v>1.24256417347358</v>
      </c>
      <c r="CL18" s="12" t="n">
        <f aca="false">IF(CJ18="",1,MIN(p_idx_max,MAX(p_idx_min,CJ18/p_cb_world)))</f>
        <v>0.268762862781274</v>
      </c>
      <c r="CM18" s="37" t="n">
        <f aca="false">p_b*(1-p_wb_idx+p_wb_idx*CK18)</f>
        <v>0.165261035071986</v>
      </c>
      <c r="CN18" s="37" t="n">
        <f aca="false">p_c*(1-p_wc_idx+p_wc_idx*CL18)</f>
        <v>0.0346704092987844</v>
      </c>
      <c r="CO18" s="28" t="n">
        <f aca="false">IF(N(BR18)&gt;0,(N(BS18)+N(BT18)+N(BU18))/BR18,"")</f>
        <v>0.612948234965816</v>
      </c>
      <c r="CP18" s="16" t="n">
        <f aca="false">N(BS18)+N(BT18)+N(BU18)</f>
        <v>175.72</v>
      </c>
      <c r="CQ18" s="28" t="n">
        <f aca="false">IF(CP18&gt;0,N(BS18)/CP18,"")</f>
        <v>0.696050534941953</v>
      </c>
      <c r="CR18" s="28" t="n">
        <f aca="false">IF(CP18&gt;0,N(BT18)/CP18,"")</f>
        <v>0.267755520145686</v>
      </c>
      <c r="CS18" s="28" t="n">
        <f aca="false">IF(CP18&gt;0,N(BU18)/CP18,"")</f>
        <v>0.0361939449123606</v>
      </c>
      <c r="CT18" s="7" t="n">
        <f aca="false">1000*(p_sh_pv*p_cf_pv/p_capex_pv+(1-p_sh_pv)*p_cf_wind/p_capex_wind)*8760</f>
        <v>2301.28856624319</v>
      </c>
      <c r="CU18" s="13" t="n">
        <f aca="false">IF(AND(ISNUMBER(CO18),ISNUMBER(CQ18),BY18=1),1,0)</f>
        <v>1</v>
      </c>
      <c r="CV18" s="16" t="n">
        <f aca="false">IF(CU18=0,"",CQ18*p_hr_coal*N(AK18)+CR18*p_hr_gas*N(AO18)+CS18*p_hr_oil*N(AH18)/p_gj_l_oil)</f>
        <v>37.9339228744305</v>
      </c>
      <c r="CW18" s="37" t="n">
        <f aca="false">IF(CU18=0,"",CQ18*p_hr_coal*p_ef_coal+CR18*p_hr_gas*p_ef_gas+CS18*p_hr_oil*p_ef_oil)</f>
        <v>0.800536760186661</v>
      </c>
      <c r="CX18" s="16" t="n">
        <f aca="false">IF(CU18=0,"",CQ18*p_hr_coal*N(AW18)+CR18*p_hr_gas*N(AX18)+CS18*p_hr_oil*N(AY18)/p_gj_l_oil)</f>
        <v>8.6368096499182</v>
      </c>
      <c r="CY18" s="37" t="n">
        <f aca="false">IF(CU18=0,"",CO18*CW18)</f>
        <v>0.490687594181666</v>
      </c>
      <c r="CZ18" s="37" t="n">
        <f aca="false">IF(CU18=0,"",CT18*CO18*CV18/1000/1000-p_om_re)</f>
        <v>0.0385084826018275</v>
      </c>
      <c r="DA18" s="37" t="n">
        <f aca="false">IF(CU18=0,"",CT18*CO18*CX18/1000/1000)</f>
        <v>0.0121828311935398</v>
      </c>
      <c r="DB18" s="37" t="n">
        <f aca="false">IF(CU18=0,"",CT18*CO18*CW18/1000)</f>
        <v>1.12921375008765</v>
      </c>
      <c r="DC18" s="13" t="n">
        <f aca="false">IF(AND(CU18=1,ISNUMBER(AD18),ISNUMBER(AV18)),1,0)</f>
        <v>1</v>
      </c>
      <c r="DD18" s="7" t="n">
        <f aca="false">IF(DC18=0,"",p_ev_km*p_ice_l/100*AD18-p_ev_km*p_ev_kwh*AV18+p_ev_km*p_ev_maint)</f>
        <v>552.786075</v>
      </c>
      <c r="DE18" s="37" t="n">
        <f aca="false">IF(DC18=0,"",DD18/p_ev_prem)</f>
        <v>0.110557215</v>
      </c>
      <c r="DF18" s="37" t="n">
        <f aca="false">IF(DC18=0,"",p_ev_km*p_ice_l/100*N(AZ18)/p_ev_prem)</f>
        <v>0.00484875</v>
      </c>
      <c r="DG18" s="37" t="n">
        <f aca="false">IF(DC18=0,"",1000/p_ev_prem*(p_ev_km*p_ice_l/100*p_gj_l_gso*p_ef_gso-p_ev_km*p_ev_kwh/1000*CY18))</f>
        <v>0.2682921991419</v>
      </c>
      <c r="DH18" s="11" t="str">
        <f aca="false">IFERROR(IF(INDEX(Damodaran!$D:$D,MATCH(A18,Damodaran!$A:$A,0))="","",INDEX(Damodaran!$D:$D,MATCH(A18,Damodaran!$A:$A,0))),"")</f>
        <v/>
      </c>
      <c r="DI18" s="11" t="str">
        <f aca="false">IFERROR(IF(INDEX(Damodaran!$E:$E,MATCH(A18,Damodaran!$A:$A,0))="","",INDEX(Damodaran!$E:$E,MATCH(A18,Damodaran!$A:$A,0))),"")</f>
        <v/>
      </c>
      <c r="DJ18" s="11" t="str">
        <f aca="false">IFERROR(IF(INDEX(Damodaran!$G:$G,MATCH(A18,Damodaran!$A:$A,0))="","",INDEX(Damodaran!$G:$G,MATCH(A18,Damodaran!$A:$A,0))),"")</f>
        <v/>
      </c>
      <c r="DK18" s="11" t="str">
        <f aca="false">IF(ISNUMBER(BG18),(1+BG18/100)*(1+p_infl)-1,"")</f>
        <v/>
      </c>
      <c r="DL18" s="11" t="n">
        <f aca="false">IF(ISNUMBER(BH18),BH18/100,"")</f>
        <v>0.0502</v>
      </c>
      <c r="DM18" s="11" t="n">
        <f aca="false">IF(COUNT(DK18,DL18)=0,"",AVERAGE(DK18,DL18))</f>
        <v>0.0502</v>
      </c>
      <c r="DN18" s="11" t="str">
        <f aca="false">IF(OR(DH18="",DI18=""),"",p_dv*(p_rf+DH18)*(1-IF(DJ18="",p_tax_def,DJ18))+(1-p_dv)*(p_rf+p_beta*p_erp+p_lambda*DI18))</f>
        <v/>
      </c>
      <c r="DO18" s="13" t="n">
        <f aca="false">IF(AND(ISNUMBER(DM18),ISNUMBER(DN18)),1,0)</f>
        <v>0</v>
      </c>
      <c r="DP18" s="11" t="n">
        <f aca="false">IF(DO18=1,DM18,0)</f>
        <v>0</v>
      </c>
      <c r="DQ18" s="11" t="n">
        <f aca="false">IF(DO18=1,DN18,0)</f>
        <v>0</v>
      </c>
      <c r="DR18" s="11" t="str">
        <f aca="false">IF(DN18="","",DN18+p_shift)</f>
        <v/>
      </c>
      <c r="DS18" s="11" t="n">
        <f aca="false">IF(E18="AE",p_r_ae,IF(E18="China",p_r_chn,p_r_emdc))</f>
        <v>0.055</v>
      </c>
      <c r="DT18" s="11" t="n">
        <f aca="false">IF(E18="AE",p_rh_ae,IF(E18="China",p_rh_chn,p_rh_emdc))</f>
        <v>0.07</v>
      </c>
      <c r="DU18" s="11" t="n">
        <f aca="false">IF(AND(p_use_obs=1,ISNUMBER(DM18)),DM18,IF(AND(p_use_dam=1,ISNUMBER(DR18)),DR18,DS18))</f>
        <v>0.0502</v>
      </c>
      <c r="DV18" s="6" t="str">
        <f aca="false">IF(AND(p_use_obs=1,ISNUMBER(DM18)),"Observed (IRENA/Steffen)",IF(AND(p_use_dam=1,ISNUMBER(DR18)),"Damodaran (eq. 5)","Group default (IHLEG)"))</f>
        <v>Observed (IRENA/Steffen)</v>
      </c>
      <c r="DW18" s="11" t="n">
        <f aca="false">IF(p_basis=1,(1+DU18)/(1+p_infl)-1,DU18)</f>
        <v>0.0502</v>
      </c>
      <c r="DX18" s="11" t="n">
        <f aca="false">DW18+(DT18-DS18)</f>
        <v>0.0652</v>
      </c>
      <c r="DY18" s="28" t="n">
        <f aca="false">IF(AND(p_use_pefa=1,ISNUMBER(BD18)),p_gap_lic-(BD18-1)/3*(p_gap_lic-p_gap_ae),IF(E18="AE",p_gap_ae,IF(D18="Low income",p_gap_lic,p_gap_em)))*(1-p_reform*p_reform_close)</f>
        <v>0.13</v>
      </c>
      <c r="DZ18" s="6" t="str">
        <f aca="false">IF(AND(p_use_pefa=1,ISNUMBER(BD18)),"PEFA PI-11","Income-group default (IMF 2015)")</f>
        <v>Income-group default (IMF 2015)</v>
      </c>
      <c r="EA18" s="28" t="n">
        <f aca="false">IF(E18="AE",p_ps_ae,IF(E18="China",p_ps_chn,p_ps_emdc))</f>
        <v>0.3</v>
      </c>
      <c r="EB18" s="37" t="n">
        <f aca="false">(1-EA18)+EA18/(1-DY18)</f>
        <v>1.0448275862069</v>
      </c>
      <c r="EC18" s="16" t="n">
        <f aca="false">Results_Country!F18</f>
        <v>68.4999901514912</v>
      </c>
      <c r="ED18" s="16" t="n">
        <f aca="false">IF(CH18="",0,CH18*EC18)</f>
        <v>13704.2421652352</v>
      </c>
      <c r="EE18" s="16" t="n">
        <f aca="false">IF(CJ18="",0,CJ18*EC18)</f>
        <v>968.209860410795</v>
      </c>
      <c r="EF18" s="16" t="n">
        <f aca="false">IF(CH18="",0,EC18)</f>
        <v>68.4999901514912</v>
      </c>
    </row>
    <row r="19" customFormat="false" ht="15" hidden="false" customHeight="false" outlineLevel="0" collapsed="false">
      <c r="A19" s="35" t="s">
        <v>791</v>
      </c>
      <c r="B19" s="35" t="s">
        <v>792</v>
      </c>
      <c r="C19" s="35" t="s">
        <v>766</v>
      </c>
      <c r="D19" s="35" t="s">
        <v>760</v>
      </c>
      <c r="E19" s="35" t="s">
        <v>29</v>
      </c>
      <c r="F19" s="36" t="n">
        <v>1725.152</v>
      </c>
      <c r="G19" s="36" t="n">
        <v>2683.325</v>
      </c>
      <c r="H19" s="33" t="n">
        <v>2.766</v>
      </c>
      <c r="I19" s="33" t="n">
        <v>2.09</v>
      </c>
      <c r="J19" s="36" t="n">
        <v>47.910526</v>
      </c>
      <c r="K19" s="36" t="n">
        <v>279.606</v>
      </c>
      <c r="L19" s="36" t="n">
        <v>339.165</v>
      </c>
      <c r="M19" s="36" t="n">
        <v>294.259</v>
      </c>
      <c r="N19" s="36" t="n">
        <v>184.050884865686</v>
      </c>
      <c r="O19" s="36" t="n">
        <v>90.0759367610237</v>
      </c>
      <c r="P19" s="36" t="n">
        <v>4.66293088649816</v>
      </c>
      <c r="Q19" s="31" t="n">
        <v>0.635486147978095</v>
      </c>
      <c r="R19" s="31" t="n">
        <v>0.401251159870668</v>
      </c>
      <c r="S19" s="31" t="n">
        <v>0.246849760655316</v>
      </c>
      <c r="T19" s="31" t="n">
        <v>0.013093321336717</v>
      </c>
      <c r="U19" s="31" t="n">
        <v>0.0423295279596755</v>
      </c>
      <c r="V19" s="31" t="n">
        <v>0.0033713912777292</v>
      </c>
      <c r="W19" s="31" t="n">
        <v>0.254247110753129</v>
      </c>
      <c r="X19" s="31" t="n">
        <v>0.00405043266055871</v>
      </c>
      <c r="Y19" s="36" t="n">
        <v>7.44278994803881</v>
      </c>
      <c r="Z19" s="36" t="n">
        <v>35.2568528559448</v>
      </c>
      <c r="AA19" s="36" t="n">
        <v>2.32616055686015</v>
      </c>
      <c r="AB19" s="36" t="n">
        <v>2.17815647174601</v>
      </c>
      <c r="AC19" s="36" t="n">
        <v>9.13321366968749</v>
      </c>
      <c r="AD19" s="31" t="n">
        <v>0.873591</v>
      </c>
      <c r="AE19" s="31" t="n">
        <v>0.846329</v>
      </c>
      <c r="AF19" s="31" t="n">
        <v>0.588428</v>
      </c>
      <c r="AG19" s="31" t="n">
        <v>0.617007</v>
      </c>
      <c r="AH19" s="31" t="n">
        <v>0.519508270967015</v>
      </c>
      <c r="AI19" s="31" t="n">
        <v>10.26</v>
      </c>
      <c r="AJ19" s="31" t="n">
        <v>16.59273</v>
      </c>
      <c r="AK19" s="31" t="n">
        <v>7.095</v>
      </c>
      <c r="AL19" s="31" t="n">
        <v>7.64840760223642</v>
      </c>
      <c r="AM19" s="31" t="n">
        <v>13.578</v>
      </c>
      <c r="AN19" s="31" t="n">
        <v>24.7929</v>
      </c>
      <c r="AO19" s="31" t="n">
        <v>13.578</v>
      </c>
      <c r="AP19" s="31" t="n">
        <v>17.08379383608</v>
      </c>
      <c r="AQ19" s="36" t="n">
        <v>2.50876013919025</v>
      </c>
      <c r="AR19" s="36" t="n">
        <v>0.74909733633462</v>
      </c>
      <c r="AS19" s="36" t="n">
        <v>0.20787657471814</v>
      </c>
      <c r="AT19" s="36" t="n">
        <v>0.806614208499868</v>
      </c>
      <c r="AU19" s="31" t="n">
        <v>0.631938480640766</v>
      </c>
      <c r="AV19" s="36" t="n">
        <v>0.210842</v>
      </c>
      <c r="AW19" s="31" t="n">
        <v>1.14944</v>
      </c>
      <c r="AX19" s="31" t="n">
        <v>1.123725</v>
      </c>
      <c r="AY19" s="31" t="n">
        <v>0.176368909324868</v>
      </c>
      <c r="AZ19" s="31" t="n">
        <v>0.022455</v>
      </c>
      <c r="BA19" s="33" t="n">
        <v>101.648</v>
      </c>
      <c r="BB19" s="33" t="n">
        <v>4.288</v>
      </c>
      <c r="BC19" s="33"/>
      <c r="BD19" s="33"/>
      <c r="BE19" s="33"/>
      <c r="BF19" s="33" t="n">
        <v>0</v>
      </c>
      <c r="BG19" s="33"/>
      <c r="BH19" s="33" t="n">
        <v>5.125</v>
      </c>
      <c r="BI19" s="29" t="n">
        <v>2020</v>
      </c>
      <c r="BJ19" s="33" t="n">
        <v>1</v>
      </c>
      <c r="BK19" s="33"/>
      <c r="BL19" s="33"/>
      <c r="BM19" s="33"/>
      <c r="BN19" s="29"/>
      <c r="BO19" s="33"/>
      <c r="BP19" s="33"/>
      <c r="BQ19" s="29" t="n">
        <v>2025</v>
      </c>
      <c r="BR19" s="36" t="n">
        <v>287.92</v>
      </c>
      <c r="BS19" s="36" t="n">
        <v>0.92</v>
      </c>
      <c r="BT19" s="36" t="n">
        <v>62.06</v>
      </c>
      <c r="BU19" s="36" t="n">
        <v>10.03</v>
      </c>
      <c r="BV19" s="16" t="n">
        <f aca="false">F19*(1+N(H19)/100)*(1+N(I19)/100)^5</f>
        <v>1966.04221009883</v>
      </c>
      <c r="BW19" s="16" t="n">
        <f aca="false">IF(N(G19)&gt;0,G19,F19)</f>
        <v>2683.325</v>
      </c>
      <c r="BX19" s="12" t="n">
        <f aca="false">F19/BW19</f>
        <v>0.64291578545275</v>
      </c>
      <c r="BY19" s="13" t="n">
        <f aca="false">IF(ISNUMBER(K19),1,0)</f>
        <v>1</v>
      </c>
      <c r="BZ19" s="16" t="n">
        <f aca="false">IF(BY19=0,"",N(N19)+N(O19)+N(P19))</f>
        <v>278.789752513207</v>
      </c>
      <c r="CA19" s="37" t="n">
        <f aca="false">IF(BY19=0,"",(N(Y19)*34.2+N(Z19)*38.6)/1000)</f>
        <v>1.6154579364624</v>
      </c>
      <c r="CB19" s="37" t="n">
        <f aca="false">IF(BY19=0,"",N(O19)*0.0036+N(R19)+N(V19)+(N(AA19)*25.3+N(AB19)*37)/1000)</f>
        <v>0.868339575031246</v>
      </c>
      <c r="CC19" s="37" t="n">
        <f aca="false">IF(BY19=0,"",N(N19)*0.0036+N(Q19)+N(U19)+N(T19)+N(X19)+N(AC19)*38/1000)</f>
        <v>1.70460473489964</v>
      </c>
      <c r="CD19" s="37" t="n">
        <f aca="false">IF(BY19=0,"",N(Q19)+N(R19)+N(S19)+N(T19)+N(U19)+N(V19)+N(W19)+N(X19)+(N(Y19)*34.2+N(Z19)*38.6+N(AA19)*25.3+N(AB19)*37+N(AC19)*38)/1000)</f>
        <v>3.70264255994557</v>
      </c>
      <c r="CE19" s="16" t="n">
        <f aca="false">IF(BY19=0,"",MAX(0,N(L19)-N(K19))+MAX(0,N(M19)-N(L19)))</f>
        <v>59.559</v>
      </c>
      <c r="CF19" s="16" t="n">
        <f aca="false">IF(BY19=0,"",N(Y19)*N(AD19)+N(Z19)*N(AE19)+N(AA19)*N(AF19)+N(AB19)*N(AG19)+N(AC19)*N(AH19)+N(U19)*N(AI19)+N(V19)*N(AJ19)+N(W19)*N(AK19)+N(X19)*N(AL19)+N(Q19)*N(AM19)+N(R19)*N(AN19)+N(S19)*N(AO19)+N(T19)*N(AP19))</f>
        <v>68.2756717745792</v>
      </c>
      <c r="CG19" s="16" t="n">
        <f aca="false">IF(AND(BY19=1,N(K19)&gt;0),K19,0)</f>
        <v>279.606</v>
      </c>
      <c r="CH19" s="16" t="n">
        <f aca="false">IF(CG19&gt;0,CF19*1000/CG19,"")</f>
        <v>244.185288493735</v>
      </c>
      <c r="CI19" s="16" t="n">
        <f aca="false">IF(BY19=0,"",N(AQ19)+p_road*(N(AR19)+N(AS19)+N(AT19)))</f>
        <v>2.50876013919025</v>
      </c>
      <c r="CJ19" s="16" t="n">
        <f aca="false">IF(CG19&gt;0,CI19*1000/CG19,"")</f>
        <v>8.97248320561879</v>
      </c>
      <c r="CK19" s="12" t="n">
        <f aca="false">IF(CH19="",1,MIN(p_idx_max,MAX(p_idx_min,CH19/p_fc_world)))</f>
        <v>1.51660962397373</v>
      </c>
      <c r="CL19" s="12" t="n">
        <f aca="false">IF(CJ19="",1,MIN(p_idx_max,MAX(p_idx_min,CJ19/p_cb_world)))</f>
        <v>0.25</v>
      </c>
      <c r="CM19" s="37" t="n">
        <f aca="false">p_b*(1-p_wb_idx+p_wb_idx*CK19)</f>
        <v>0.201709079988506</v>
      </c>
      <c r="CN19" s="37" t="n">
        <f aca="false">p_c*(1-p_wc_idx+p_wc_idx*CL19)</f>
        <v>0.03225</v>
      </c>
      <c r="CO19" s="28" t="n">
        <f aca="false">IF(N(BR19)&gt;0,(N(BS19)+N(BT19)+N(BU19))/BR19,"")</f>
        <v>0.25357738260628</v>
      </c>
      <c r="CP19" s="16" t="n">
        <f aca="false">N(BS19)+N(BT19)+N(BU19)</f>
        <v>73.01</v>
      </c>
      <c r="CQ19" s="28" t="n">
        <f aca="false">IF(CP19&gt;0,N(BS19)/CP19,"")</f>
        <v>0.0126010135597863</v>
      </c>
      <c r="CR19" s="28" t="n">
        <f aca="false">IF(CP19&gt;0,N(BT19)/CP19,"")</f>
        <v>0.850020545130804</v>
      </c>
      <c r="CS19" s="28" t="n">
        <f aca="false">IF(CP19&gt;0,N(BU19)/CP19,"")</f>
        <v>0.13737844130941</v>
      </c>
      <c r="CT19" s="7" t="n">
        <f aca="false">1000*(p_sh_pv*p_cf_pv/p_capex_pv+(1-p_sh_pv)*p_cf_wind/p_capex_wind)*8760</f>
        <v>2301.28856624319</v>
      </c>
      <c r="CU19" s="13" t="n">
        <f aca="false">IF(AND(ISNUMBER(CO19),ISNUMBER(CQ19),BY19=1),1,0)</f>
        <v>1</v>
      </c>
      <c r="CV19" s="16" t="n">
        <f aca="false">IF(CU19=0,"",CQ19*p_hr_coal*N(AK19)+CR19*p_hr_gas*N(AO19)+CS19*p_hr_oil*N(AH19)/p_gj_l_oil)</f>
        <v>106.869795612103</v>
      </c>
      <c r="CW19" s="37" t="n">
        <f aca="false">IF(CU19=0,"",CQ19*p_hr_coal*p_ef_coal+CR19*p_hr_gas*p_ef_gas+CS19*p_hr_oil*p_ef_oil)</f>
        <v>0.481214162443501</v>
      </c>
      <c r="CX19" s="16" t="n">
        <f aca="false">IF(CU19=0,"",CQ19*p_hr_coal*N(AW19)+CR19*p_hr_gas*N(AX19)+CS19*p_hr_oil*N(AY19)/p_gj_l_oil)</f>
        <v>13.8996290332144</v>
      </c>
      <c r="CY19" s="37" t="n">
        <f aca="false">IF(CU19=0,"",CO19*CW19)</f>
        <v>0.122025027785496</v>
      </c>
      <c r="CZ19" s="37" t="n">
        <f aca="false">IF(CU19=0,"",CT19*CO19*CV19/1000/1000-p_om_re)</f>
        <v>0.0473643748571321</v>
      </c>
      <c r="DA19" s="37" t="n">
        <f aca="false">IF(CU19=0,"",CT19*CO19*CX19/1000/1000)</f>
        <v>0.00811119428494806</v>
      </c>
      <c r="DB19" s="37" t="n">
        <f aca="false">IF(CU19=0,"",CT19*CO19*CW19/1000)</f>
        <v>0.28081480123827</v>
      </c>
      <c r="DC19" s="13" t="n">
        <f aca="false">IF(AND(CU19=1,ISNUMBER(AD19),ISNUMBER(AV19)),1,0)</f>
        <v>1</v>
      </c>
      <c r="DD19" s="7" t="n">
        <f aca="false">IF(DC19=0,"",p_ev_km*p_ice_l/100*AD19-p_ev_km*p_ev_kwh*AV19+p_ev_km*p_ev_maint)</f>
        <v>593.516475</v>
      </c>
      <c r="DE19" s="37" t="n">
        <f aca="false">IF(DC19=0,"",DD19/p_ev_prem)</f>
        <v>0.118703295</v>
      </c>
      <c r="DF19" s="37" t="n">
        <f aca="false">IF(DC19=0,"",p_ev_km*p_ice_l/100*N(AZ19)/p_ev_prem)</f>
        <v>0.005052375</v>
      </c>
      <c r="DG19" s="37" t="n">
        <f aca="false">IF(DC19=0,"",1000/p_ev_prem*(p_ev_km*p_ice_l/100*p_gj_l_gso*p_ef_gso-p_ev_km*p_ev_kwh/1000*CY19))</f>
        <v>0.467369984995832</v>
      </c>
      <c r="DH19" s="11" t="str">
        <f aca="false">IFERROR(IF(INDEX(Damodaran!$D:$D,MATCH(A19,Damodaran!$A:$A,0))="","",INDEX(Damodaran!$D:$D,MATCH(A19,Damodaran!$A:$A,0))),"")</f>
        <v/>
      </c>
      <c r="DI19" s="11" t="str">
        <f aca="false">IFERROR(IF(INDEX(Damodaran!$E:$E,MATCH(A19,Damodaran!$A:$A,0))="","",INDEX(Damodaran!$E:$E,MATCH(A19,Damodaran!$A:$A,0))),"")</f>
        <v/>
      </c>
      <c r="DJ19" s="11" t="str">
        <f aca="false">IFERROR(IF(INDEX(Damodaran!$G:$G,MATCH(A19,Damodaran!$A:$A,0))="","",INDEX(Damodaran!$G:$G,MATCH(A19,Damodaran!$A:$A,0))),"")</f>
        <v/>
      </c>
      <c r="DK19" s="11" t="str">
        <f aca="false">IF(ISNUMBER(BG19),(1+BG19/100)*(1+p_infl)-1,"")</f>
        <v/>
      </c>
      <c r="DL19" s="11" t="n">
        <f aca="false">IF(ISNUMBER(BH19),BH19/100,"")</f>
        <v>0.05125</v>
      </c>
      <c r="DM19" s="11" t="n">
        <f aca="false">IF(COUNT(DK19,DL19)=0,"",AVERAGE(DK19,DL19))</f>
        <v>0.05125</v>
      </c>
      <c r="DN19" s="11" t="str">
        <f aca="false">IF(OR(DH19="",DI19=""),"",p_dv*(p_rf+DH19)*(1-IF(DJ19="",p_tax_def,DJ19))+(1-p_dv)*(p_rf+p_beta*p_erp+p_lambda*DI19))</f>
        <v/>
      </c>
      <c r="DO19" s="13" t="n">
        <f aca="false">IF(AND(ISNUMBER(DM19),ISNUMBER(DN19)),1,0)</f>
        <v>0</v>
      </c>
      <c r="DP19" s="11" t="n">
        <f aca="false">IF(DO19=1,DM19,0)</f>
        <v>0</v>
      </c>
      <c r="DQ19" s="11" t="n">
        <f aca="false">IF(DO19=1,DN19,0)</f>
        <v>0</v>
      </c>
      <c r="DR19" s="11" t="str">
        <f aca="false">IF(DN19="","",DN19+p_shift)</f>
        <v/>
      </c>
      <c r="DS19" s="11" t="n">
        <f aca="false">IF(E19="AE",p_r_ae,IF(E19="China",p_r_chn,p_r_emdc))</f>
        <v>0.055</v>
      </c>
      <c r="DT19" s="11" t="n">
        <f aca="false">IF(E19="AE",p_rh_ae,IF(E19="China",p_rh_chn,p_rh_emdc))</f>
        <v>0.07</v>
      </c>
      <c r="DU19" s="11" t="n">
        <f aca="false">IF(AND(p_use_obs=1,ISNUMBER(DM19)),DM19,IF(AND(p_use_dam=1,ISNUMBER(DR19)),DR19,DS19))</f>
        <v>0.05125</v>
      </c>
      <c r="DV19" s="6" t="str">
        <f aca="false">IF(AND(p_use_obs=1,ISNUMBER(DM19)),"Observed (IRENA/Steffen)",IF(AND(p_use_dam=1,ISNUMBER(DR19)),"Damodaran (eq. 5)","Group default (IHLEG)"))</f>
        <v>Observed (IRENA/Steffen)</v>
      </c>
      <c r="DW19" s="11" t="n">
        <f aca="false">IF(p_basis=1,(1+DU19)/(1+p_infl)-1,DU19)</f>
        <v>0.05125</v>
      </c>
      <c r="DX19" s="11" t="n">
        <f aca="false">DW19+(DT19-DS19)</f>
        <v>0.06625</v>
      </c>
      <c r="DY19" s="28" t="n">
        <f aca="false">IF(AND(p_use_pefa=1,ISNUMBER(BD19)),p_gap_lic-(BD19-1)/3*(p_gap_lic-p_gap_ae),IF(E19="AE",p_gap_ae,IF(D19="Low income",p_gap_lic,p_gap_em)))*(1-p_reform*p_reform_close)</f>
        <v>0.13</v>
      </c>
      <c r="DZ19" s="6" t="str">
        <f aca="false">IF(AND(p_use_pefa=1,ISNUMBER(BD19)),"PEFA PI-11","Income-group default (IMF 2015)")</f>
        <v>Income-group default (IMF 2015)</v>
      </c>
      <c r="EA19" s="28" t="n">
        <f aca="false">IF(E19="AE",p_ps_ae,IF(E19="China",p_ps_chn,p_ps_emdc))</f>
        <v>0.3</v>
      </c>
      <c r="EB19" s="37" t="n">
        <f aca="false">(1-EA19)+EA19/(1-DY19)</f>
        <v>1.0448275862069</v>
      </c>
      <c r="EC19" s="16" t="n">
        <f aca="false">Results_Country!F19</f>
        <v>64.5827593516485</v>
      </c>
      <c r="ED19" s="16" t="n">
        <f aca="false">IF(CH19="",0,CH19*EC19)</f>
        <v>15770.1597240037</v>
      </c>
      <c r="EE19" s="16" t="n">
        <f aca="false">IF(CJ19="",0,CJ19*EC19)</f>
        <v>579.467723655186</v>
      </c>
      <c r="EF19" s="16" t="n">
        <f aca="false">IF(CH19="",0,EC19)</f>
        <v>64.5827593516485</v>
      </c>
    </row>
    <row r="20" customFormat="false" ht="15" hidden="false" customHeight="false" outlineLevel="0" collapsed="false">
      <c r="A20" s="35" t="s">
        <v>793</v>
      </c>
      <c r="B20" s="35" t="s">
        <v>794</v>
      </c>
      <c r="C20" s="35" t="s">
        <v>762</v>
      </c>
      <c r="D20" s="35" t="s">
        <v>763</v>
      </c>
      <c r="E20" s="35" t="s">
        <v>31</v>
      </c>
      <c r="F20" s="36" t="n">
        <v>1396.302</v>
      </c>
      <c r="G20" s="36" t="n">
        <v>4669.746</v>
      </c>
      <c r="H20" s="33" t="n">
        <v>5.108</v>
      </c>
      <c r="I20" s="33" t="n">
        <v>4.95</v>
      </c>
      <c r="J20" s="36" t="n">
        <v>283.487931</v>
      </c>
      <c r="K20" s="36" t="n">
        <v>700.991</v>
      </c>
      <c r="L20" s="36" t="n">
        <v>1240.011</v>
      </c>
      <c r="M20" s="36" t="n">
        <v>1416.823</v>
      </c>
      <c r="N20" s="36" t="n">
        <v>228.982870075</v>
      </c>
      <c r="O20" s="36" t="n">
        <v>158.29003152408</v>
      </c>
      <c r="P20" s="36" t="n">
        <v>0.461828446719463</v>
      </c>
      <c r="Q20" s="31" t="n">
        <v>0.921271114264345</v>
      </c>
      <c r="R20" s="31" t="n">
        <v>0.00710441016924371</v>
      </c>
      <c r="S20" s="31" t="n">
        <v>1.26508881063745</v>
      </c>
      <c r="T20" s="31" t="n">
        <v>0.000963386042228661</v>
      </c>
      <c r="U20" s="31" t="n">
        <v>1.06888940501371</v>
      </c>
      <c r="V20" s="31" t="n">
        <v>0</v>
      </c>
      <c r="W20" s="31" t="n">
        <v>1.30548474820347</v>
      </c>
      <c r="X20" s="31" t="n">
        <v>0</v>
      </c>
      <c r="Y20" s="36" t="n">
        <v>40.743582275782</v>
      </c>
      <c r="Z20" s="36" t="n">
        <v>26.9158702202165</v>
      </c>
      <c r="AA20" s="36" t="n">
        <v>17.7264585735024</v>
      </c>
      <c r="AB20" s="36" t="n">
        <v>2.49856698156113</v>
      </c>
      <c r="AC20" s="36" t="n">
        <v>25.0875053114059</v>
      </c>
      <c r="AD20" s="31" t="n">
        <v>0.7992</v>
      </c>
      <c r="AE20" s="31" t="n">
        <v>0.753712</v>
      </c>
      <c r="AF20" s="31" t="n">
        <v>0.563848</v>
      </c>
      <c r="AG20" s="31" t="n">
        <v>0.713422</v>
      </c>
      <c r="AH20" s="31" t="n">
        <v>0.543345303403777</v>
      </c>
      <c r="AI20" s="31" t="n">
        <v>2.98</v>
      </c>
      <c r="AJ20" s="31" t="n">
        <v>3.29781</v>
      </c>
      <c r="AK20" s="31" t="n">
        <v>2.672</v>
      </c>
      <c r="AL20" s="31" t="n">
        <v>2.81065461612196</v>
      </c>
      <c r="AM20" s="31" t="n">
        <v>5.433</v>
      </c>
      <c r="AN20" s="31" t="n">
        <v>10.43844</v>
      </c>
      <c r="AO20" s="31" t="n">
        <v>4.771</v>
      </c>
      <c r="AP20" s="31" t="n">
        <v>5.06740112474932</v>
      </c>
      <c r="AQ20" s="36" t="n">
        <v>43.8922159926209</v>
      </c>
      <c r="AR20" s="36" t="n">
        <v>2.63797270664288</v>
      </c>
      <c r="AS20" s="36" t="n">
        <v>19.3894077041513</v>
      </c>
      <c r="AT20" s="36" t="n">
        <v>5.17228532843393</v>
      </c>
      <c r="AU20" s="31" t="n">
        <v>0.280328194053921</v>
      </c>
      <c r="AV20" s="36" t="n">
        <v>0.08325</v>
      </c>
      <c r="AW20" s="31" t="n">
        <v>2.926068</v>
      </c>
      <c r="AX20" s="31" t="n">
        <v>0.555308</v>
      </c>
      <c r="AY20" s="31" t="n">
        <v>0.173944216114748</v>
      </c>
      <c r="AZ20" s="31" t="n">
        <v>0.065259</v>
      </c>
      <c r="BA20" s="33" t="n">
        <v>40.165</v>
      </c>
      <c r="BB20" s="33" t="n">
        <v>15.127</v>
      </c>
      <c r="BC20" s="33"/>
      <c r="BD20" s="33" t="n">
        <v>1.5</v>
      </c>
      <c r="BE20" s="33" t="n">
        <v>2</v>
      </c>
      <c r="BF20" s="33" t="n">
        <v>1</v>
      </c>
      <c r="BG20" s="33" t="n">
        <v>6</v>
      </c>
      <c r="BH20" s="33" t="n">
        <v>8.25</v>
      </c>
      <c r="BI20" s="29" t="n">
        <v>2022</v>
      </c>
      <c r="BJ20" s="33" t="n">
        <v>3</v>
      </c>
      <c r="BK20" s="33" t="n">
        <v>1</v>
      </c>
      <c r="BL20" s="33" t="n">
        <v>2.413</v>
      </c>
      <c r="BM20" s="33" t="n">
        <v>5.644</v>
      </c>
      <c r="BN20" s="29" t="n">
        <v>21.175</v>
      </c>
      <c r="BO20" s="33" t="n">
        <v>0.186</v>
      </c>
      <c r="BP20" s="33" t="n">
        <v>0.132</v>
      </c>
      <c r="BQ20" s="29" t="n">
        <v>2024</v>
      </c>
      <c r="BR20" s="36" t="n">
        <v>371.54</v>
      </c>
      <c r="BS20" s="36" t="n">
        <v>228.43</v>
      </c>
      <c r="BT20" s="36" t="n">
        <v>68.78</v>
      </c>
      <c r="BU20" s="36" t="n">
        <v>7.12</v>
      </c>
      <c r="BV20" s="16" t="n">
        <f aca="false">F20*(1+N(H20)/100)*(1+N(I20)/100)^5</f>
        <v>1868.64734030782</v>
      </c>
      <c r="BW20" s="16" t="n">
        <f aca="false">IF(N(G20)&gt;0,G20,F20)</f>
        <v>4669.746</v>
      </c>
      <c r="BX20" s="12" t="n">
        <f aca="false">F20/BW20</f>
        <v>0.299010267367861</v>
      </c>
      <c r="BY20" s="13" t="n">
        <f aca="false">IF(ISNUMBER(K20),1,0)</f>
        <v>1</v>
      </c>
      <c r="BZ20" s="16" t="n">
        <f aca="false">IF(BY20=0,"",N(N20)+N(O20)+N(P20))</f>
        <v>387.734730045799</v>
      </c>
      <c r="CA20" s="37" t="n">
        <f aca="false">IF(BY20=0,"",(N(Y20)*34.2+N(Z20)*38.6)/1000)</f>
        <v>2.4323831043321</v>
      </c>
      <c r="CB20" s="37" t="n">
        <f aca="false">IF(BY20=0,"",N(O20)*0.0036+N(R20)+N(V20)+(N(AA20)*25.3+N(AB20)*37)/1000)</f>
        <v>1.1178749038833</v>
      </c>
      <c r="CC20" s="37" t="n">
        <f aca="false">IF(BY20=0,"",N(N20)*0.0036+N(Q20)+N(U20)+N(T20)+N(X20)+N(AC20)*38/1000)</f>
        <v>3.76878743942371</v>
      </c>
      <c r="CD20" s="37" t="n">
        <f aca="false">IF(BY20=0,"",N(Q20)+N(R20)+N(S20)+N(T20)+N(U20)+N(V20)+N(W20)+N(X20)+(N(Y20)*34.2+N(Z20)*38.6+N(AA20)*25.3+N(AB20)*37+N(AC20)*38)/1000)</f>
        <v>8.49543656072334</v>
      </c>
      <c r="CE20" s="16" t="n">
        <f aca="false">IF(BY20=0,"",MAX(0,N(L20)-N(K20))+MAX(0,N(M20)-N(L20)))</f>
        <v>715.832</v>
      </c>
      <c r="CF20" s="16" t="n">
        <f aca="false">IF(BY20=0,"",N(Y20)*N(AD20)+N(Z20)*N(AE20)+N(AA20)*N(AF20)+N(AB20)*N(AG20)+N(AC20)*N(AH20)+N(U20)*N(AI20)+N(V20)*N(AJ20)+N(W20)*N(AK20)+N(X20)*N(AL20)+N(Q20)*N(AM20)+N(R20)*N(AN20)+N(S20)*N(AO20)+N(T20)*N(AP20))</f>
        <v>96.0514155584569</v>
      </c>
      <c r="CG20" s="16" t="n">
        <f aca="false">IF(AND(BY20=1,N(K20)&gt;0),K20,0)</f>
        <v>700.991</v>
      </c>
      <c r="CH20" s="16" t="n">
        <f aca="false">IF(CG20&gt;0,CF20*1000/CG20,"")</f>
        <v>137.022323479841</v>
      </c>
      <c r="CI20" s="16" t="n">
        <f aca="false">IF(BY20=0,"",N(AQ20)+p_road*(N(AR20)+N(AS20)+N(AT20)))</f>
        <v>43.8922159926209</v>
      </c>
      <c r="CJ20" s="16" t="n">
        <f aca="false">IF(CG20&gt;0,CI20*1000/CG20,"")</f>
        <v>62.6145214312607</v>
      </c>
      <c r="CK20" s="12" t="n">
        <f aca="false">IF(CH20="",1,MIN(p_idx_max,MAX(p_idx_min,CH20/p_fc_world)))</f>
        <v>0.851031508780266</v>
      </c>
      <c r="CL20" s="12" t="n">
        <f aca="false">IF(CJ20="",1,MIN(p_idx_max,MAX(p_idx_min,CJ20/p_cb_world)))</f>
        <v>1.19059850199886</v>
      </c>
      <c r="CM20" s="37" t="n">
        <f aca="false">p_b*(1-p_wb_idx+p_wb_idx*CK20)</f>
        <v>0.113187190667775</v>
      </c>
      <c r="CN20" s="37" t="n">
        <f aca="false">p_c*(1-p_wc_idx+p_wc_idx*CL20)</f>
        <v>0.153587206757853</v>
      </c>
      <c r="CO20" s="28" t="n">
        <f aca="false">IF(N(BR20)&gt;0,(N(BS20)+N(BT20)+N(BU20))/BR20,"")</f>
        <v>0.819104268719384</v>
      </c>
      <c r="CP20" s="16" t="n">
        <f aca="false">N(BS20)+N(BT20)+N(BU20)</f>
        <v>304.33</v>
      </c>
      <c r="CQ20" s="28" t="n">
        <f aca="false">IF(CP20&gt;0,N(BS20)/CP20,"")</f>
        <v>0.750599677981139</v>
      </c>
      <c r="CR20" s="28" t="n">
        <f aca="false">IF(CP20&gt;0,N(BT20)/CP20,"")</f>
        <v>0.226004665987579</v>
      </c>
      <c r="CS20" s="28" t="n">
        <f aca="false">IF(CP20&gt;0,N(BU20)/CP20,"")</f>
        <v>0.0233956560312818</v>
      </c>
      <c r="CT20" s="7" t="n">
        <f aca="false">1000*(p_sh_pv*p_cf_pv/p_capex_pv+(1-p_sh_pv)*p_cf_wind/p_capex_wind)*8760</f>
        <v>2301.28856624319</v>
      </c>
      <c r="CU20" s="13" t="n">
        <f aca="false">IF(AND(ISNUMBER(CO20),ISNUMBER(CQ20),BY20=1),1,0)</f>
        <v>1</v>
      </c>
      <c r="CV20" s="16" t="n">
        <f aca="false">IF(CU20=0,"",CQ20*p_hr_coal*N(AK20)+CR20*p_hr_gas*N(AO20)+CS20*p_hr_oil*N(AH20)/p_gj_l_oil)</f>
        <v>31.6009410081389</v>
      </c>
      <c r="CW20" s="37" t="n">
        <f aca="false">IF(CU20=0,"",CQ20*p_hr_coal*p_ef_coal+CR20*p_hr_gas*p_ef_gas+CS20*p_hr_oil*p_ef_oil)</f>
        <v>0.824172408241054</v>
      </c>
      <c r="CX20" s="16" t="n">
        <f aca="false">IF(CU20=0,"",CQ20*p_hr_coal*N(AW20)+CR20*p_hr_gas*N(AX20)+CS20*p_hr_oil*N(AY20)/p_gj_l_oil)</f>
        <v>24.0113224425267</v>
      </c>
      <c r="CY20" s="37" t="n">
        <f aca="false">IF(CU20=0,"",CO20*CW20)</f>
        <v>0.675083137750982</v>
      </c>
      <c r="CZ20" s="37" t="n">
        <f aca="false">IF(CU20=0,"",CT20*CO20*CV20/1000/1000-p_om_re)</f>
        <v>0.0445676249019191</v>
      </c>
      <c r="DA20" s="37" t="n">
        <f aca="false">IF(CU20=0,"",CT20*CO20*CX20/1000/1000)</f>
        <v>0.0452612296667713</v>
      </c>
      <c r="DB20" s="37" t="n">
        <f aca="false">IF(CU20=0,"",CT20*CO20*CW20/1000)</f>
        <v>1.55356110616991</v>
      </c>
      <c r="DC20" s="13" t="n">
        <f aca="false">IF(AND(CU20=1,ISNUMBER(AD20),ISNUMBER(AV20)),1,0)</f>
        <v>1</v>
      </c>
      <c r="DD20" s="7" t="n">
        <f aca="false">IF(DC20=0,"",p_ev_km*p_ice_l/100*AD20-p_ev_km*p_ev_kwh*AV20+p_ev_km*p_ev_maint)</f>
        <v>854.325</v>
      </c>
      <c r="DE20" s="37" t="n">
        <f aca="false">IF(DC20=0,"",DD20/p_ev_prem)</f>
        <v>0.170865</v>
      </c>
      <c r="DF20" s="37" t="n">
        <f aca="false">IF(DC20=0,"",p_ev_km*p_ice_l/100*N(AZ20)/p_ev_prem)</f>
        <v>0.014683275</v>
      </c>
      <c r="DG20" s="37" t="n">
        <f aca="false">IF(DC20=0,"",1000/p_ev_prem*(p_ev_km*p_ice_l/100*p_gj_l_gso*p_ef_gso-p_ev_km*p_ev_kwh/1000*CY20))</f>
        <v>0.16871860561447</v>
      </c>
      <c r="DH20" s="11" t="str">
        <f aca="false">IFERROR(IF(INDEX(Damodaran!$D:$D,MATCH(A20,Damodaran!$A:$A,0))="","",INDEX(Damodaran!$D:$D,MATCH(A20,Damodaran!$A:$A,0))),"")</f>
        <v/>
      </c>
      <c r="DI20" s="11" t="str">
        <f aca="false">IFERROR(IF(INDEX(Damodaran!$E:$E,MATCH(A20,Damodaran!$A:$A,0))="","",INDEX(Damodaran!$E:$E,MATCH(A20,Damodaran!$A:$A,0))),"")</f>
        <v/>
      </c>
      <c r="DJ20" s="11" t="str">
        <f aca="false">IFERROR(IF(INDEX(Damodaran!$G:$G,MATCH(A20,Damodaran!$A:$A,0))="","",INDEX(Damodaran!$G:$G,MATCH(A20,Damodaran!$A:$A,0))),"")</f>
        <v/>
      </c>
      <c r="DK20" s="11" t="n">
        <f aca="false">IF(ISNUMBER(BG20),(1+BG20/100)*(1+p_infl)-1,"")</f>
        <v>0.0812000000000002</v>
      </c>
      <c r="DL20" s="11" t="n">
        <f aca="false">IF(ISNUMBER(BH20),BH20/100,"")</f>
        <v>0.0825</v>
      </c>
      <c r="DM20" s="11" t="n">
        <f aca="false">IF(COUNT(DK20,DL20)=0,"",AVERAGE(DK20,DL20))</f>
        <v>0.0818500000000001</v>
      </c>
      <c r="DN20" s="11" t="str">
        <f aca="false">IF(OR(DH20="",DI20=""),"",p_dv*(p_rf+DH20)*(1-IF(DJ20="",p_tax_def,DJ20))+(1-p_dv)*(p_rf+p_beta*p_erp+p_lambda*DI20))</f>
        <v/>
      </c>
      <c r="DO20" s="13" t="n">
        <f aca="false">IF(AND(ISNUMBER(DM20),ISNUMBER(DN20)),1,0)</f>
        <v>0</v>
      </c>
      <c r="DP20" s="11" t="n">
        <f aca="false">IF(DO20=1,DM20,0)</f>
        <v>0</v>
      </c>
      <c r="DQ20" s="11" t="n">
        <f aca="false">IF(DO20=1,DN20,0)</f>
        <v>0</v>
      </c>
      <c r="DR20" s="11" t="str">
        <f aca="false">IF(DN20="","",DN20+p_shift)</f>
        <v/>
      </c>
      <c r="DS20" s="11" t="n">
        <f aca="false">IF(E20="AE",p_r_ae,IF(E20="China",p_r_chn,p_r_emdc))</f>
        <v>0.105</v>
      </c>
      <c r="DT20" s="11" t="n">
        <f aca="false">IF(E20="AE",p_rh_ae,IF(E20="China",p_rh_chn,p_rh_emdc))</f>
        <v>0.15</v>
      </c>
      <c r="DU20" s="11" t="n">
        <f aca="false">IF(AND(p_use_obs=1,ISNUMBER(DM20)),DM20,IF(AND(p_use_dam=1,ISNUMBER(DR20)),DR20,DS20))</f>
        <v>0.0818500000000001</v>
      </c>
      <c r="DV20" s="6" t="str">
        <f aca="false">IF(AND(p_use_obs=1,ISNUMBER(DM20)),"Observed (IRENA/Steffen)",IF(AND(p_use_dam=1,ISNUMBER(DR20)),"Damodaran (eq. 5)","Group default (IHLEG)"))</f>
        <v>Observed (IRENA/Steffen)</v>
      </c>
      <c r="DW20" s="11" t="n">
        <f aca="false">IF(p_basis=1,(1+DU20)/(1+p_infl)-1,DU20)</f>
        <v>0.0818500000000001</v>
      </c>
      <c r="DX20" s="11" t="n">
        <f aca="false">DW20+(DT20-DS20)</f>
        <v>0.12685</v>
      </c>
      <c r="DY20" s="28" t="n">
        <f aca="false">IF(AND(p_use_pefa=1,ISNUMBER(BD20)),p_gap_lic-(BD20-1)/3*(p_gap_lic-p_gap_ae),IF(E20="AE",p_gap_ae,IF(D20="Low income",p_gap_lic,p_gap_em)))*(1-p_reform*p_reform_close)</f>
        <v>0.355</v>
      </c>
      <c r="DZ20" s="6" t="str">
        <f aca="false">IF(AND(p_use_pefa=1,ISNUMBER(BD20)),"PEFA PI-11","Income-group default (IMF 2015)")</f>
        <v>PEFA PI-11</v>
      </c>
      <c r="EA20" s="28" t="n">
        <f aca="false">IF(E20="AE",p_ps_ae,IF(E20="China",p_ps_chn,p_ps_emdc))</f>
        <v>0.4</v>
      </c>
      <c r="EB20" s="37" t="n">
        <f aca="false">(1-EA20)+EA20/(1-DY20)</f>
        <v>1.22015503875969</v>
      </c>
      <c r="EC20" s="16" t="n">
        <f aca="false">Results_Country!F20</f>
        <v>97.6345821726165</v>
      </c>
      <c r="ED20" s="16" t="n">
        <f aca="false">IF(CH20="",0,CH20*EC20)</f>
        <v>13378.1173012753</v>
      </c>
      <c r="EE20" s="16" t="n">
        <f aca="false">IF(CJ20="",0,CJ20*EC20)</f>
        <v>6113.34263787948</v>
      </c>
      <c r="EF20" s="16" t="n">
        <f aca="false">IF(CH20="",0,EC20)</f>
        <v>97.6345821726165</v>
      </c>
    </row>
    <row r="21" customFormat="false" ht="15" hidden="false" customHeight="false" outlineLevel="0" collapsed="false">
      <c r="A21" s="35" t="s">
        <v>795</v>
      </c>
      <c r="B21" s="35" t="s">
        <v>796</v>
      </c>
      <c r="C21" s="35" t="s">
        <v>766</v>
      </c>
      <c r="D21" s="35" t="s">
        <v>763</v>
      </c>
      <c r="E21" s="35" t="s">
        <v>31</v>
      </c>
      <c r="F21" s="36" t="n">
        <v>1358.251</v>
      </c>
      <c r="G21" s="36" t="n">
        <v>3553.197</v>
      </c>
      <c r="H21" s="33" t="n">
        <v>3.605</v>
      </c>
      <c r="I21" s="33" t="n">
        <v>3.366</v>
      </c>
      <c r="J21" s="36" t="n">
        <v>87.473805</v>
      </c>
      <c r="K21" s="36" t="n">
        <v>573.016</v>
      </c>
      <c r="L21" s="36" t="n">
        <v>693.478</v>
      </c>
      <c r="M21" s="36" t="n">
        <v>644.249</v>
      </c>
      <c r="N21" s="36" t="n">
        <v>345.361292412232</v>
      </c>
      <c r="O21" s="36" t="n">
        <v>95.1532127096526</v>
      </c>
      <c r="P21" s="36" t="n">
        <v>1.98472896706785</v>
      </c>
      <c r="Q21" s="31" t="n">
        <v>0.732985349582572</v>
      </c>
      <c r="R21" s="31" t="n">
        <v>1.09814760421467</v>
      </c>
      <c r="S21" s="31" t="n">
        <v>0.729131050740769</v>
      </c>
      <c r="T21" s="31" t="n">
        <v>0.00353774886447174</v>
      </c>
      <c r="U21" s="31" t="n">
        <v>0.405239968174153</v>
      </c>
      <c r="V21" s="31" t="n">
        <v>0.255762696998592</v>
      </c>
      <c r="W21" s="31" t="n">
        <v>1.53635198432914</v>
      </c>
      <c r="X21" s="31" t="n">
        <v>0</v>
      </c>
      <c r="Y21" s="36" t="n">
        <v>4.14620268681757</v>
      </c>
      <c r="Z21" s="36" t="n">
        <v>33.6703555664684</v>
      </c>
      <c r="AA21" s="36" t="n">
        <v>7.66480436254333</v>
      </c>
      <c r="AB21" s="36" t="n">
        <v>1.29453578705363</v>
      </c>
      <c r="AC21" s="36" t="n">
        <v>5.8163135143863</v>
      </c>
      <c r="AD21" s="31" t="n">
        <v>0.854296</v>
      </c>
      <c r="AE21" s="31" t="n">
        <v>0.809288</v>
      </c>
      <c r="AF21" s="31" t="n">
        <v>0.522073</v>
      </c>
      <c r="AG21" s="31" t="n">
        <v>0.69738</v>
      </c>
      <c r="AH21" s="31" t="n">
        <v>0.519462891908447</v>
      </c>
      <c r="AI21" s="31" t="n">
        <v>3.313</v>
      </c>
      <c r="AJ21" s="31" t="n">
        <v>5.31708</v>
      </c>
      <c r="AK21" s="31" t="n">
        <v>1.025</v>
      </c>
      <c r="AL21" s="31" t="n">
        <v>1.94653672333923</v>
      </c>
      <c r="AM21" s="31" t="n">
        <v>9.197</v>
      </c>
      <c r="AN21" s="31" t="n">
        <v>11.26664</v>
      </c>
      <c r="AO21" s="31" t="n">
        <v>9.197</v>
      </c>
      <c r="AP21" s="31" t="n">
        <v>10.0847093157418</v>
      </c>
      <c r="AQ21" s="36" t="n">
        <v>63.941055825456</v>
      </c>
      <c r="AR21" s="36" t="n">
        <v>1.63297463887591</v>
      </c>
      <c r="AS21" s="36" t="n">
        <v>3.84742800841798</v>
      </c>
      <c r="AT21" s="36" t="n">
        <v>5.43047037561271</v>
      </c>
      <c r="AU21" s="31" t="n">
        <v>0.537999429038706</v>
      </c>
      <c r="AV21" s="36" t="n">
        <v>0.056876</v>
      </c>
      <c r="AW21" s="31" t="n">
        <v>2.734772</v>
      </c>
      <c r="AX21" s="31" t="n">
        <v>0.557641</v>
      </c>
      <c r="AY21" s="31" t="n">
        <v>0.828436772980312</v>
      </c>
      <c r="AZ21" s="31" t="n">
        <v>0.036891</v>
      </c>
      <c r="BA21" s="33" t="n">
        <v>23.6</v>
      </c>
      <c r="BB21" s="33" t="n">
        <v>6.939</v>
      </c>
      <c r="BC21" s="33"/>
      <c r="BD21" s="33"/>
      <c r="BE21" s="33"/>
      <c r="BF21" s="33" t="n">
        <v>0</v>
      </c>
      <c r="BG21" s="33" t="n">
        <v>7.5</v>
      </c>
      <c r="BH21" s="33" t="n">
        <v>7.19</v>
      </c>
      <c r="BI21" s="29" t="n">
        <v>2020</v>
      </c>
      <c r="BJ21" s="33" t="n">
        <v>2</v>
      </c>
      <c r="BK21" s="33"/>
      <c r="BL21" s="33" t="n">
        <v>1.517</v>
      </c>
      <c r="BM21" s="33" t="n">
        <v>6.215</v>
      </c>
      <c r="BN21" s="29" t="n">
        <v>8.302</v>
      </c>
      <c r="BO21" s="33" t="n">
        <v>0.47</v>
      </c>
      <c r="BP21" s="33" t="n">
        <v>0.091</v>
      </c>
      <c r="BQ21" s="29" t="n">
        <v>2025</v>
      </c>
      <c r="BR21" s="36" t="n">
        <v>353.86</v>
      </c>
      <c r="BS21" s="36" t="n">
        <v>121.4</v>
      </c>
      <c r="BT21" s="36" t="n">
        <v>78.36</v>
      </c>
      <c r="BU21" s="36" t="n">
        <v>1.03</v>
      </c>
      <c r="BV21" s="16" t="n">
        <f aca="false">F21*(1+N(H21)/100)*(1+N(I21)/100)^5</f>
        <v>1660.53984510871</v>
      </c>
      <c r="BW21" s="16" t="n">
        <f aca="false">IF(N(G21)&gt;0,G21,F21)</f>
        <v>3553.197</v>
      </c>
      <c r="BX21" s="12" t="n">
        <f aca="false">F21/BW21</f>
        <v>0.382261664636101</v>
      </c>
      <c r="BY21" s="13" t="n">
        <f aca="false">IF(ISNUMBER(K21),1,0)</f>
        <v>1</v>
      </c>
      <c r="BZ21" s="16" t="n">
        <f aca="false">IF(BY21=0,"",N(N21)+N(O21)+N(P21))</f>
        <v>442.499234088952</v>
      </c>
      <c r="CA21" s="37" t="n">
        <f aca="false">IF(BY21=0,"",(N(Y21)*34.2+N(Z21)*38.6)/1000)</f>
        <v>1.44147585675484</v>
      </c>
      <c r="CB21" s="37" t="n">
        <f aca="false">IF(BY21=0,"",N(O21)*0.0036+N(R21)+N(V21)+(N(AA21)*25.3+N(AB21)*37)/1000)</f>
        <v>1.93827924146134</v>
      </c>
      <c r="CC21" s="37" t="n">
        <f aca="false">IF(BY21=0,"",N(N21)*0.0036+N(Q21)+N(U21)+N(T21)+N(X21)+N(AC21)*38/1000)</f>
        <v>2.60608363285191</v>
      </c>
      <c r="CD21" s="37" t="n">
        <f aca="false">IF(BY21=0,"",N(Q21)+N(R21)+N(S21)+N(T21)+N(U21)+N(V21)+N(W21)+N(X21)+(N(Y21)*34.2+N(Z21)*38.6+N(AA21)*25.3+N(AB21)*37+N(AC21)*38)/1000)</f>
        <v>6.66546954769921</v>
      </c>
      <c r="CE21" s="16" t="n">
        <f aca="false">IF(BY21=0,"",MAX(0,N(L21)-N(K21))+MAX(0,N(M21)-N(L21)))</f>
        <v>120.462</v>
      </c>
      <c r="CF21" s="16" t="n">
        <f aca="false">IF(BY21=0,"",N(Y21)*N(AD21)+N(Z21)*N(AE21)+N(AA21)*N(AF21)+N(AB21)*N(AG21)+N(AC21)*N(AH21)+N(U21)*N(AI21)+N(V21)*N(AJ21)+N(W21)*N(AK21)+N(X21)*N(AL21)+N(Q21)*N(AM21)+N(R21)*N(AN21)+N(S21)*N(AO21)+N(T21)*N(AP21))</f>
        <v>68.8492558454932</v>
      </c>
      <c r="CG21" s="16" t="n">
        <f aca="false">IF(AND(BY21=1,N(K21)&gt;0),K21,0)</f>
        <v>573.016</v>
      </c>
      <c r="CH21" s="16" t="n">
        <f aca="false">IF(CG21&gt;0,CF21*1000/CG21,"")</f>
        <v>120.152414322625</v>
      </c>
      <c r="CI21" s="16" t="n">
        <f aca="false">IF(BY21=0,"",N(AQ21)+p_road*(N(AR21)+N(AS21)+N(AT21)))</f>
        <v>63.941055825456</v>
      </c>
      <c r="CJ21" s="16" t="n">
        <f aca="false">IF(CG21&gt;0,CI21*1000/CG21,"")</f>
        <v>111.586859399137</v>
      </c>
      <c r="CK21" s="12" t="n">
        <f aca="false">IF(CH21="",1,MIN(p_idx_max,MAX(p_idx_min,CH21/p_fc_world)))</f>
        <v>0.746254244182475</v>
      </c>
      <c r="CL21" s="12" t="n">
        <f aca="false">IF(CJ21="",1,MIN(p_idx_max,MAX(p_idx_min,CJ21/p_cb_world)))</f>
        <v>2.12179450719305</v>
      </c>
      <c r="CM21" s="37" t="n">
        <f aca="false">p_b*(1-p_wb_idx+p_wb_idx*CK21)</f>
        <v>0.0992518144762692</v>
      </c>
      <c r="CN21" s="37" t="n">
        <f aca="false">p_c*(1-p_wc_idx+p_wc_idx*CL21)</f>
        <v>0.273711491427903</v>
      </c>
      <c r="CO21" s="28" t="n">
        <f aca="false">IF(N(BR21)&gt;0,(N(BS21)+N(BT21)+N(BU21))/BR21,"")</f>
        <v>0.567427796303623</v>
      </c>
      <c r="CP21" s="16" t="n">
        <f aca="false">N(BS21)+N(BT21)+N(BU21)</f>
        <v>200.79</v>
      </c>
      <c r="CQ21" s="28" t="n">
        <f aca="false">IF(CP21&gt;0,N(BS21)/CP21,"")</f>
        <v>0.604611783455351</v>
      </c>
      <c r="CR21" s="28" t="n">
        <f aca="false">IF(CP21&gt;0,N(BT21)/CP21,"")</f>
        <v>0.390258479007919</v>
      </c>
      <c r="CS21" s="28" t="n">
        <f aca="false">IF(CP21&gt;0,N(BU21)/CP21,"")</f>
        <v>0.00512973753672992</v>
      </c>
      <c r="CT21" s="7" t="n">
        <f aca="false">1000*(p_sh_pv*p_cf_pv/p_capex_pv+(1-p_sh_pv)*p_cf_wind/p_capex_wind)*8760</f>
        <v>2301.28856624319</v>
      </c>
      <c r="CU21" s="13" t="n">
        <f aca="false">IF(AND(ISNUMBER(CO21),ISNUMBER(CQ21),BY21=1),1,0)</f>
        <v>1</v>
      </c>
      <c r="CV21" s="16" t="n">
        <f aca="false">IF(CU21=0,"",CQ21*p_hr_coal*N(AK21)+CR21*p_hr_gas*N(AO21)+CS21*p_hr_oil*N(AH21)/p_gj_l_oil)</f>
        <v>33.8411808996936</v>
      </c>
      <c r="CW21" s="37" t="n">
        <f aca="false">IF(CU21=0,"",CQ21*p_hr_coal*p_ef_coal+CR21*p_hr_gas*p_ef_gas+CS21*p_hr_oil*p_ef_oil)</f>
        <v>0.740332939887445</v>
      </c>
      <c r="CX21" s="16" t="n">
        <f aca="false">IF(CU21=0,"",CQ21*p_hr_coal*N(AW21)+CR21*p_hr_gas*N(AX21)+CS21*p_hr_oil*N(AY21)/p_gj_l_oil)</f>
        <v>19.3229311956892</v>
      </c>
      <c r="CY21" s="37" t="n">
        <f aca="false">IF(CU21=0,"",CO21*CW21)</f>
        <v>0.420085488611315</v>
      </c>
      <c r="CZ21" s="37" t="n">
        <f aca="false">IF(CU21=0,"",CT21*CO21*CV21/1000/1000-p_om_re)</f>
        <v>0.0291903250139543</v>
      </c>
      <c r="DA21" s="37" t="n">
        <f aca="false">IF(CU21=0,"",CT21*CO21*CX21/1000/1000)</f>
        <v>0.025232175327768</v>
      </c>
      <c r="DB21" s="37" t="n">
        <f aca="false">IF(CU21=0,"",CT21*CO21*CW21/1000)</f>
        <v>0.966737931785905</v>
      </c>
      <c r="DC21" s="13" t="n">
        <f aca="false">IF(AND(CU21=1,ISNUMBER(AD21),ISNUMBER(AV21)),1,0)</f>
        <v>1</v>
      </c>
      <c r="DD21" s="7" t="n">
        <f aca="false">IF(DC21=0,"",p_ev_km*p_ice_l/100*AD21-p_ev_km*p_ev_kwh*AV21+p_ev_km*p_ev_maint)</f>
        <v>987.5178</v>
      </c>
      <c r="DE21" s="37" t="n">
        <f aca="false">IF(DC21=0,"",DD21/p_ev_prem)</f>
        <v>0.19750356</v>
      </c>
      <c r="DF21" s="37" t="n">
        <f aca="false">IF(DC21=0,"",p_ev_km*p_ice_l/100*N(AZ21)/p_ev_prem)</f>
        <v>0.008300475</v>
      </c>
      <c r="DG21" s="37" t="n">
        <f aca="false">IF(DC21=0,"",1000/p_ev_prem*(p_ev_km*p_ice_l/100*p_gj_l_gso*p_ef_gso-p_ev_km*p_ev_kwh/1000*CY21))</f>
        <v>0.30641733614989</v>
      </c>
      <c r="DH21" s="11" t="str">
        <f aca="false">IFERROR(IF(INDEX(Damodaran!$D:$D,MATCH(A21,Damodaran!$A:$A,0))="","",INDEX(Damodaran!$D:$D,MATCH(A21,Damodaran!$A:$A,0))),"")</f>
        <v/>
      </c>
      <c r="DI21" s="11" t="str">
        <f aca="false">IFERROR(IF(INDEX(Damodaran!$E:$E,MATCH(A21,Damodaran!$A:$A,0))="","",INDEX(Damodaran!$E:$E,MATCH(A21,Damodaran!$A:$A,0))),"")</f>
        <v/>
      </c>
      <c r="DJ21" s="11" t="str">
        <f aca="false">IFERROR(IF(INDEX(Damodaran!$G:$G,MATCH(A21,Damodaran!$A:$A,0))="","",INDEX(Damodaran!$G:$G,MATCH(A21,Damodaran!$A:$A,0))),"")</f>
        <v/>
      </c>
      <c r="DK21" s="11" t="n">
        <f aca="false">IF(ISNUMBER(BG21),(1+BG21/100)*(1+p_infl)-1,"")</f>
        <v>0.0965</v>
      </c>
      <c r="DL21" s="11" t="n">
        <f aca="false">IF(ISNUMBER(BH21),BH21/100,"")</f>
        <v>0.0719</v>
      </c>
      <c r="DM21" s="11" t="n">
        <f aca="false">IF(COUNT(DK21,DL21)=0,"",AVERAGE(DK21,DL21))</f>
        <v>0.0842</v>
      </c>
      <c r="DN21" s="11" t="str">
        <f aca="false">IF(OR(DH21="",DI21=""),"",p_dv*(p_rf+DH21)*(1-IF(DJ21="",p_tax_def,DJ21))+(1-p_dv)*(p_rf+p_beta*p_erp+p_lambda*DI21))</f>
        <v/>
      </c>
      <c r="DO21" s="13" t="n">
        <f aca="false">IF(AND(ISNUMBER(DM21),ISNUMBER(DN21)),1,0)</f>
        <v>0</v>
      </c>
      <c r="DP21" s="11" t="n">
        <f aca="false">IF(DO21=1,DM21,0)</f>
        <v>0</v>
      </c>
      <c r="DQ21" s="11" t="n">
        <f aca="false">IF(DO21=1,DN21,0)</f>
        <v>0</v>
      </c>
      <c r="DR21" s="11" t="str">
        <f aca="false">IF(DN21="","",DN21+p_shift)</f>
        <v/>
      </c>
      <c r="DS21" s="11" t="n">
        <f aca="false">IF(E21="AE",p_r_ae,IF(E21="China",p_r_chn,p_r_emdc))</f>
        <v>0.105</v>
      </c>
      <c r="DT21" s="11" t="n">
        <f aca="false">IF(E21="AE",p_rh_ae,IF(E21="China",p_rh_chn,p_rh_emdc))</f>
        <v>0.15</v>
      </c>
      <c r="DU21" s="11" t="n">
        <f aca="false">IF(AND(p_use_obs=1,ISNUMBER(DM21)),DM21,IF(AND(p_use_dam=1,ISNUMBER(DR21)),DR21,DS21))</f>
        <v>0.0842</v>
      </c>
      <c r="DV21" s="6" t="str">
        <f aca="false">IF(AND(p_use_obs=1,ISNUMBER(DM21)),"Observed (IRENA/Steffen)",IF(AND(p_use_dam=1,ISNUMBER(DR21)),"Damodaran (eq. 5)","Group default (IHLEG)"))</f>
        <v>Observed (IRENA/Steffen)</v>
      </c>
      <c r="DW21" s="11" t="n">
        <f aca="false">IF(p_basis=1,(1+DU21)/(1+p_infl)-1,DU21)</f>
        <v>0.0842</v>
      </c>
      <c r="DX21" s="11" t="n">
        <f aca="false">DW21+(DT21-DS21)</f>
        <v>0.1292</v>
      </c>
      <c r="DY21" s="28" t="n">
        <f aca="false">IF(AND(p_use_pefa=1,ISNUMBER(BD21)),p_gap_lic-(BD21-1)/3*(p_gap_lic-p_gap_ae),IF(E21="AE",p_gap_ae,IF(D21="Low income",p_gap_lic,p_gap_em)))*(1-p_reform*p_reform_close)</f>
        <v>0.27</v>
      </c>
      <c r="DZ21" s="6" t="str">
        <f aca="false">IF(AND(p_use_pefa=1,ISNUMBER(BD21)),"PEFA PI-11","Income-group default (IMF 2015)")</f>
        <v>Income-group default (IMF 2015)</v>
      </c>
      <c r="EA21" s="28" t="n">
        <f aca="false">IF(E21="AE",p_ps_ae,IF(E21="China",p_ps_chn,p_ps_emdc))</f>
        <v>0.4</v>
      </c>
      <c r="EB21" s="37" t="n">
        <f aca="false">(1-EA21)+EA21/(1-DY21)</f>
        <v>1.14794520547945</v>
      </c>
      <c r="EC21" s="16" t="n">
        <f aca="false">Results_Country!F21</f>
        <v>88.0879126056111</v>
      </c>
      <c r="ED21" s="16" t="n">
        <f aca="false">IF(CH21="",0,CH21*EC21)</f>
        <v>10583.9753722046</v>
      </c>
      <c r="EE21" s="16" t="n">
        <f aca="false">IF(CJ21="",0,CJ21*EC21)</f>
        <v>9829.45351868582</v>
      </c>
      <c r="EF21" s="16" t="n">
        <f aca="false">IF(CH21="",0,EC21)</f>
        <v>88.0879126056111</v>
      </c>
    </row>
    <row r="22" customFormat="false" ht="15" hidden="false" customHeight="false" outlineLevel="0" collapsed="false">
      <c r="A22" s="35" t="s">
        <v>797</v>
      </c>
      <c r="B22" s="35" t="s">
        <v>798</v>
      </c>
      <c r="C22" s="35" t="s">
        <v>799</v>
      </c>
      <c r="D22" s="35" t="s">
        <v>760</v>
      </c>
      <c r="E22" s="35" t="s">
        <v>31</v>
      </c>
      <c r="F22" s="36" t="n">
        <v>1254.141</v>
      </c>
      <c r="G22" s="36" t="n">
        <v>2539.368</v>
      </c>
      <c r="H22" s="33" t="n">
        <v>4.502</v>
      </c>
      <c r="I22" s="33" t="n">
        <v>3.115</v>
      </c>
      <c r="J22" s="36" t="n">
        <v>33.962757</v>
      </c>
      <c r="K22" s="36" t="n">
        <v>558.375</v>
      </c>
      <c r="L22" s="36" t="n">
        <v>764.069</v>
      </c>
      <c r="M22" s="36" t="n">
        <v>764.069</v>
      </c>
      <c r="N22" s="36" t="n">
        <v>190.302867444765</v>
      </c>
      <c r="O22" s="36" t="n">
        <v>156.183067798207</v>
      </c>
      <c r="P22" s="36" t="n">
        <v>0.511405019776503</v>
      </c>
      <c r="Q22" s="31" t="n">
        <v>1.09409054307848</v>
      </c>
      <c r="R22" s="31" t="n">
        <v>0</v>
      </c>
      <c r="S22" s="31" t="n">
        <v>3.67682088551616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6" t="n">
        <v>29.8663658480865</v>
      </c>
      <c r="Z22" s="36" t="n">
        <v>24.0348073358751</v>
      </c>
      <c r="AA22" s="36" t="n">
        <v>2.93102542756967</v>
      </c>
      <c r="AB22" s="36" t="n">
        <v>1.18308691068377</v>
      </c>
      <c r="AC22" s="36" t="n">
        <v>22.004854513383</v>
      </c>
      <c r="AD22" s="31" t="n">
        <v>0.828</v>
      </c>
      <c r="AE22" s="31" t="n">
        <v>0.784905</v>
      </c>
      <c r="AF22" s="31" t="n">
        <v>0.583053</v>
      </c>
      <c r="AG22" s="31" t="n">
        <v>0.7498</v>
      </c>
      <c r="AH22" s="31" t="n">
        <v>0.543345303403777</v>
      </c>
      <c r="AI22" s="31" t="n">
        <v>7.124</v>
      </c>
      <c r="AJ22" s="31" t="n">
        <v>14.02195</v>
      </c>
      <c r="AK22" s="31" t="n">
        <v>5.575</v>
      </c>
      <c r="AL22" s="31" t="n">
        <v>8.90698333333333</v>
      </c>
      <c r="AM22" s="31" t="n">
        <v>5.307</v>
      </c>
      <c r="AN22" s="31" t="n">
        <v>10.6697</v>
      </c>
      <c r="AO22" s="31" t="n">
        <v>4.646</v>
      </c>
      <c r="AP22" s="31" t="n">
        <v>4.79758400230203</v>
      </c>
      <c r="AQ22" s="36" t="n">
        <v>16.4593690621081</v>
      </c>
      <c r="AR22" s="36" t="n">
        <v>4.90091141950603</v>
      </c>
      <c r="AS22" s="36" t="n">
        <v>9.42925347079853</v>
      </c>
      <c r="AT22" s="36" t="n">
        <v>5.20344298531402</v>
      </c>
      <c r="AU22" s="31" t="n">
        <v>0.0949617552862762</v>
      </c>
      <c r="AV22" s="36" t="n">
        <v>0.1081</v>
      </c>
      <c r="AW22" s="31" t="n">
        <v>1.205327</v>
      </c>
      <c r="AX22" s="31" t="n">
        <v>0.067898</v>
      </c>
      <c r="AY22" s="31" t="n">
        <v>0.268208988227628</v>
      </c>
      <c r="AZ22" s="31" t="n">
        <v>0.070128</v>
      </c>
      <c r="BA22" s="33" t="n">
        <v>25.854</v>
      </c>
      <c r="BB22" s="33" t="n">
        <v>0.332</v>
      </c>
      <c r="BC22" s="33" t="n">
        <v>113.284</v>
      </c>
      <c r="BD22" s="33"/>
      <c r="BE22" s="33"/>
      <c r="BF22" s="33" t="n">
        <v>0</v>
      </c>
      <c r="BG22" s="33"/>
      <c r="BH22" s="33" t="n">
        <v>4.2</v>
      </c>
      <c r="BI22" s="29" t="n">
        <v>2017</v>
      </c>
      <c r="BJ22" s="33" t="n">
        <v>1</v>
      </c>
      <c r="BK22" s="33"/>
      <c r="BL22" s="33"/>
      <c r="BM22" s="33"/>
      <c r="BN22" s="29"/>
      <c r="BO22" s="33"/>
      <c r="BP22" s="33"/>
      <c r="BQ22" s="29" t="n">
        <v>2024</v>
      </c>
      <c r="BR22" s="36" t="n">
        <v>454.64</v>
      </c>
      <c r="BS22" s="36" t="n">
        <v>0</v>
      </c>
      <c r="BT22" s="36" t="n">
        <v>287.98</v>
      </c>
      <c r="BU22" s="36" t="n">
        <v>156.84</v>
      </c>
      <c r="BV22" s="16" t="n">
        <f aca="false">F22*(1+N(H22)/100)*(1+N(I22)/100)^5</f>
        <v>1527.84817120144</v>
      </c>
      <c r="BW22" s="16" t="n">
        <f aca="false">IF(N(G22)&gt;0,G22,F22)</f>
        <v>2539.368</v>
      </c>
      <c r="BX22" s="12" t="n">
        <f aca="false">F22/BW22</f>
        <v>0.493879185687147</v>
      </c>
      <c r="BY22" s="13" t="n">
        <f aca="false">IF(ISNUMBER(K22),1,0)</f>
        <v>1</v>
      </c>
      <c r="BZ22" s="16" t="n">
        <f aca="false">IF(BY22=0,"",N(N22)+N(O22)+N(P22))</f>
        <v>346.997340262748</v>
      </c>
      <c r="CA22" s="37" t="n">
        <f aca="false">IF(BY22=0,"",(N(Y22)*34.2+N(Z22)*38.6)/1000)</f>
        <v>1.94917327516934</v>
      </c>
      <c r="CB22" s="37" t="n">
        <f aca="false">IF(BY22=0,"",N(O22)*0.0036+N(R22)+N(V22)+(N(AA22)*25.3+N(AB22)*37)/1000)</f>
        <v>0.680188203086356</v>
      </c>
      <c r="CC22" s="37" t="n">
        <f aca="false">IF(BY22=0,"",N(N22)*0.0036+N(Q22)+N(U22)+N(T22)+N(X22)+N(AC22)*38/1000)</f>
        <v>2.61536533738819</v>
      </c>
      <c r="CD22" s="37" t="n">
        <f aca="false">IF(BY22=0,"",N(Q22)+N(R22)+N(S22)+N(T22)+N(U22)+N(V22)+N(W22)+N(X22)+(N(Y22)*34.2+N(Z22)*38.6+N(AA22)*25.3+N(AB22)*37+N(AC22)*38)/1000)</f>
        <v>7.67419833428535</v>
      </c>
      <c r="CE22" s="16" t="n">
        <f aca="false">IF(BY22=0,"",MAX(0,N(L22)-N(K22))+MAX(0,N(M22)-N(L22)))</f>
        <v>205.694</v>
      </c>
      <c r="CF22" s="16" t="n">
        <f aca="false">IF(BY22=0,"",N(Y22)*N(AD22)+N(Z22)*N(AE22)+N(AA22)*N(AF22)+N(AB22)*N(AG22)+N(AC22)*N(AH22)+N(U22)*N(AI22)+N(V22)*N(AJ22)+N(W22)*N(AK22)+N(X22)*N(AL22)+N(Q22)*N(AM22)+N(R22)*N(AN22)+N(S22)*N(AO22)+N(T22)*N(AP22))</f>
        <v>81.0354958065878</v>
      </c>
      <c r="CG22" s="16" t="n">
        <f aca="false">IF(AND(BY22=1,N(K22)&gt;0),K22,0)</f>
        <v>558.375</v>
      </c>
      <c r="CH22" s="16" t="n">
        <f aca="false">IF(CG22&gt;0,CF22*1000/CG22,"")</f>
        <v>145.127371043811</v>
      </c>
      <c r="CI22" s="16" t="n">
        <f aca="false">IF(BY22=0,"",N(AQ22)+p_road*(N(AR22)+N(AS22)+N(AT22)))</f>
        <v>16.4593690621081</v>
      </c>
      <c r="CJ22" s="16" t="n">
        <f aca="false">IF(CG22&gt;0,CI22*1000/CG22,"")</f>
        <v>29.4772671808518</v>
      </c>
      <c r="CK22" s="12" t="n">
        <f aca="false">IF(CH22="",1,MIN(p_idx_max,MAX(p_idx_min,CH22/p_fc_world)))</f>
        <v>0.901371122661621</v>
      </c>
      <c r="CL22" s="12" t="n">
        <f aca="false">IF(CJ22="",1,MIN(p_idx_max,MAX(p_idx_min,CJ22/p_cb_world)))</f>
        <v>0.560502409765614</v>
      </c>
      <c r="CM22" s="37" t="n">
        <f aca="false">p_b*(1-p_wb_idx+p_wb_idx*CK22)</f>
        <v>0.119882359313996</v>
      </c>
      <c r="CN22" s="37" t="n">
        <f aca="false">p_c*(1-p_wc_idx+p_wc_idx*CL22)</f>
        <v>0.0723048108597642</v>
      </c>
      <c r="CO22" s="28" t="n">
        <f aca="false">IF(N(BR22)&gt;0,(N(BS22)+N(BT22)+N(BU22))/BR22,"")</f>
        <v>0.978400492697519</v>
      </c>
      <c r="CP22" s="16" t="n">
        <f aca="false">N(BS22)+N(BT22)+N(BU22)</f>
        <v>444.82</v>
      </c>
      <c r="CQ22" s="28" t="n">
        <f aca="false">IF(CP22&gt;0,N(BS22)/CP22,"")</f>
        <v>0</v>
      </c>
      <c r="CR22" s="28" t="n">
        <f aca="false">IF(CP22&gt;0,N(BT22)/CP22,"")</f>
        <v>0.647407940290455</v>
      </c>
      <c r="CS22" s="28" t="n">
        <f aca="false">IF(CP22&gt;0,N(BU22)/CP22,"")</f>
        <v>0.352592059709545</v>
      </c>
      <c r="CT22" s="7" t="n">
        <f aca="false">1000*(p_sh_pv*p_cf_pv/p_capex_pv+(1-p_sh_pv)*p_cf_wind/p_capex_wind)*8760</f>
        <v>2301.28856624319</v>
      </c>
      <c r="CU22" s="13" t="n">
        <f aca="false">IF(AND(ISNUMBER(CO22),ISNUMBER(CQ22),BY22=1),1,0)</f>
        <v>1</v>
      </c>
      <c r="CV22" s="16" t="n">
        <f aca="false">IF(CU22=0,"",CQ22*p_hr_coal*N(AK22)+CR22*p_hr_gas*N(AO22)+CS22*p_hr_oil*N(AH22)/p_gj_l_oil)</f>
        <v>74.6724534213064</v>
      </c>
      <c r="CW22" s="37" t="n">
        <f aca="false">IF(CU22=0,"",CQ22*p_hr_coal*p_ef_coal+CR22*p_hr_gas*p_ef_gas+CS22*p_hr_oil*p_ef_oil)</f>
        <v>0.558948457803156</v>
      </c>
      <c r="CX22" s="16" t="n">
        <f aca="false">IF(CU22=0,"",CQ22*p_hr_coal*N(AW22)+CR22*p_hr_gas*N(AX22)+CS22*p_hr_oil*N(AY22)/p_gj_l_oil)</f>
        <v>26.0542365574433</v>
      </c>
      <c r="CY22" s="37" t="n">
        <f aca="false">IF(CU22=0,"",CO22*CW22)</f>
        <v>0.546875446507127</v>
      </c>
      <c r="CZ22" s="37" t="n">
        <f aca="false">IF(CU22=0,"",CT22*CO22*CV22/1000/1000-p_om_re)</f>
        <v>0.153131142091662</v>
      </c>
      <c r="DA22" s="37" t="n">
        <f aca="false">IF(CU22=0,"",CT22*CO22*CX22/1000/1000)</f>
        <v>0.0586632465926097</v>
      </c>
      <c r="DB22" s="37" t="n">
        <f aca="false">IF(CU22=0,"",CT22*CO22*CW22/1000)</f>
        <v>1.25851821220599</v>
      </c>
      <c r="DC22" s="13" t="n">
        <f aca="false">IF(AND(CU22=1,ISNUMBER(AD22),ISNUMBER(AV22)),1,0)</f>
        <v>1</v>
      </c>
      <c r="DD22" s="7" t="n">
        <f aca="false">IF(DC22=0,"",p_ev_km*p_ice_l/100*AD22-p_ev_km*p_ev_kwh*AV22+p_ev_km*p_ev_maint)</f>
        <v>819.63</v>
      </c>
      <c r="DE22" s="37" t="n">
        <f aca="false">IF(DC22=0,"",DD22/p_ev_prem)</f>
        <v>0.163926</v>
      </c>
      <c r="DF22" s="37" t="n">
        <f aca="false">IF(DC22=0,"",p_ev_km*p_ice_l/100*N(AZ22)/p_ev_prem)</f>
        <v>0.0157788</v>
      </c>
      <c r="DG22" s="37" t="n">
        <f aca="false">IF(DC22=0,"",1000/p_ev_prem*(p_ev_km*p_ice_l/100*p_gj_l_gso*p_ef_gso-p_ev_km*p_ev_kwh/1000*CY22))</f>
        <v>0.237950758886152</v>
      </c>
      <c r="DH22" s="11" t="str">
        <f aca="false">IFERROR(IF(INDEX(Damodaran!$D:$D,MATCH(A22,Damodaran!$A:$A,0))="","",INDEX(Damodaran!$D:$D,MATCH(A22,Damodaran!$A:$A,0))),"")</f>
        <v/>
      </c>
      <c r="DI22" s="11" t="str">
        <f aca="false">IFERROR(IF(INDEX(Damodaran!$E:$E,MATCH(A22,Damodaran!$A:$A,0))="","",INDEX(Damodaran!$E:$E,MATCH(A22,Damodaran!$A:$A,0))),"")</f>
        <v/>
      </c>
      <c r="DJ22" s="11" t="str">
        <f aca="false">IFERROR(IF(INDEX(Damodaran!$G:$G,MATCH(A22,Damodaran!$A:$A,0))="","",INDEX(Damodaran!$G:$G,MATCH(A22,Damodaran!$A:$A,0))),"")</f>
        <v/>
      </c>
      <c r="DK22" s="11" t="str">
        <f aca="false">IF(ISNUMBER(BG22),(1+BG22/100)*(1+p_infl)-1,"")</f>
        <v/>
      </c>
      <c r="DL22" s="11" t="n">
        <f aca="false">IF(ISNUMBER(BH22),BH22/100,"")</f>
        <v>0.042</v>
      </c>
      <c r="DM22" s="11" t="n">
        <f aca="false">IF(COUNT(DK22,DL22)=0,"",AVERAGE(DK22,DL22))</f>
        <v>0.042</v>
      </c>
      <c r="DN22" s="11" t="str">
        <f aca="false">IF(OR(DH22="",DI22=""),"",p_dv*(p_rf+DH22)*(1-IF(DJ22="",p_tax_def,DJ22))+(1-p_dv)*(p_rf+p_beta*p_erp+p_lambda*DI22))</f>
        <v/>
      </c>
      <c r="DO22" s="13" t="n">
        <f aca="false">IF(AND(ISNUMBER(DM22),ISNUMBER(DN22)),1,0)</f>
        <v>0</v>
      </c>
      <c r="DP22" s="11" t="n">
        <f aca="false">IF(DO22=1,DM22,0)</f>
        <v>0</v>
      </c>
      <c r="DQ22" s="11" t="n">
        <f aca="false">IF(DO22=1,DN22,0)</f>
        <v>0</v>
      </c>
      <c r="DR22" s="11" t="str">
        <f aca="false">IF(DN22="","",DN22+p_shift)</f>
        <v/>
      </c>
      <c r="DS22" s="11" t="n">
        <f aca="false">IF(E22="AE",p_r_ae,IF(E22="China",p_r_chn,p_r_emdc))</f>
        <v>0.105</v>
      </c>
      <c r="DT22" s="11" t="n">
        <f aca="false">IF(E22="AE",p_rh_ae,IF(E22="China",p_rh_chn,p_rh_emdc))</f>
        <v>0.15</v>
      </c>
      <c r="DU22" s="11" t="n">
        <f aca="false">IF(AND(p_use_obs=1,ISNUMBER(DM22)),DM22,IF(AND(p_use_dam=1,ISNUMBER(DR22)),DR22,DS22))</f>
        <v>0.042</v>
      </c>
      <c r="DV22" s="6" t="str">
        <f aca="false">IF(AND(p_use_obs=1,ISNUMBER(DM22)),"Observed (IRENA/Steffen)",IF(AND(p_use_dam=1,ISNUMBER(DR22)),"Damodaran (eq. 5)","Group default (IHLEG)"))</f>
        <v>Observed (IRENA/Steffen)</v>
      </c>
      <c r="DW22" s="11" t="n">
        <f aca="false">IF(p_basis=1,(1+DU22)/(1+p_infl)-1,DU22)</f>
        <v>0.042</v>
      </c>
      <c r="DX22" s="11" t="n">
        <f aca="false">DW22+(DT22-DS22)</f>
        <v>0.087</v>
      </c>
      <c r="DY22" s="28" t="n">
        <f aca="false">IF(AND(p_use_pefa=1,ISNUMBER(BD22)),p_gap_lic-(BD22-1)/3*(p_gap_lic-p_gap_ae),IF(E22="AE",p_gap_ae,IF(D22="Low income",p_gap_lic,p_gap_em)))*(1-p_reform*p_reform_close)</f>
        <v>0.27</v>
      </c>
      <c r="DZ22" s="6" t="str">
        <f aca="false">IF(AND(p_use_pefa=1,ISNUMBER(BD22)),"PEFA PI-11","Income-group default (IMF 2015)")</f>
        <v>Income-group default (IMF 2015)</v>
      </c>
      <c r="EA22" s="28" t="n">
        <f aca="false">IF(E22="AE",p_ps_ae,IF(E22="China",p_ps_chn,p_ps_emdc))</f>
        <v>0.4</v>
      </c>
      <c r="EB22" s="37" t="n">
        <f aca="false">(1-EA22)+EA22/(1-DY22)</f>
        <v>1.14794520547945</v>
      </c>
      <c r="EC22" s="16" t="n">
        <f aca="false">Results_Country!F22</f>
        <v>78.1413218877102</v>
      </c>
      <c r="ED22" s="16" t="n">
        <f aca="false">IF(CH22="",0,CH22*EC22)</f>
        <v>11340.4446154516</v>
      </c>
      <c r="EE22" s="16" t="n">
        <f aca="false">IF(CJ22="",0,CJ22*EC22)</f>
        <v>2303.39262314897</v>
      </c>
      <c r="EF22" s="16" t="n">
        <f aca="false">IF(CH22="",0,EC22)</f>
        <v>78.1413218877102</v>
      </c>
    </row>
    <row r="23" customFormat="false" ht="15" hidden="false" customHeight="false" outlineLevel="0" collapsed="false">
      <c r="A23" s="35" t="s">
        <v>800</v>
      </c>
      <c r="B23" s="35" t="s">
        <v>801</v>
      </c>
      <c r="C23" s="35" t="s">
        <v>766</v>
      </c>
      <c r="D23" s="35" t="s">
        <v>760</v>
      </c>
      <c r="E23" s="35" t="s">
        <v>29</v>
      </c>
      <c r="F23" s="36" t="n">
        <v>1214.562</v>
      </c>
      <c r="G23" s="36" t="n">
        <v>1459.737</v>
      </c>
      <c r="H23" s="33" t="n">
        <v>1.856</v>
      </c>
      <c r="I23" s="33" t="n">
        <v>1.233</v>
      </c>
      <c r="J23" s="36" t="n">
        <v>18.228742</v>
      </c>
      <c r="K23" s="36" t="n">
        <v>122.936</v>
      </c>
      <c r="L23" s="36" t="n">
        <v>151.045</v>
      </c>
      <c r="M23" s="36" t="n">
        <v>155.145</v>
      </c>
      <c r="N23" s="36" t="n">
        <v>64.8190237493593</v>
      </c>
      <c r="O23" s="36" t="n">
        <v>17.7093910548733</v>
      </c>
      <c r="P23" s="36" t="n">
        <v>2.23008384206118</v>
      </c>
      <c r="Q23" s="31" t="n">
        <v>0.248940563359441</v>
      </c>
      <c r="R23" s="31" t="n">
        <v>0.591899638949498</v>
      </c>
      <c r="S23" s="31" t="n">
        <v>0.123143120511809</v>
      </c>
      <c r="T23" s="31" t="n">
        <v>0.00284179272627947</v>
      </c>
      <c r="U23" s="31" t="n">
        <v>0.0357386121283295</v>
      </c>
      <c r="V23" s="31" t="n">
        <v>0.000877273704488612</v>
      </c>
      <c r="W23" s="31" t="n">
        <v>0.0992759295248464</v>
      </c>
      <c r="X23" s="31" t="n">
        <v>0</v>
      </c>
      <c r="Y23" s="36" t="n">
        <v>4.40679330870209</v>
      </c>
      <c r="Z23" s="36" t="n">
        <v>6.41657274661579</v>
      </c>
      <c r="AA23" s="36" t="n">
        <v>0.480523332129289</v>
      </c>
      <c r="AB23" s="36" t="n">
        <v>0.0160346995723489</v>
      </c>
      <c r="AC23" s="36" t="n">
        <v>6.07920029217913</v>
      </c>
      <c r="AD23" s="31" t="n">
        <v>0.908709</v>
      </c>
      <c r="AE23" s="31" t="n">
        <v>0.809495</v>
      </c>
      <c r="AF23" s="31" t="n">
        <v>0.538655</v>
      </c>
      <c r="AG23" s="31" t="n">
        <v>0.705476</v>
      </c>
      <c r="AH23" s="31" t="n">
        <v>0.493196642131122</v>
      </c>
      <c r="AI23" s="31" t="n">
        <v>9.912</v>
      </c>
      <c r="AJ23" s="31" t="n">
        <v>16.03613</v>
      </c>
      <c r="AK23" s="31" t="n">
        <v>6.635</v>
      </c>
      <c r="AL23" s="31" t="n">
        <v>7.55751910651177</v>
      </c>
      <c r="AM23" s="31" t="n">
        <v>12.708</v>
      </c>
      <c r="AN23" s="31" t="n">
        <v>27.84089</v>
      </c>
      <c r="AO23" s="31" t="n">
        <v>12.708</v>
      </c>
      <c r="AP23" s="31" t="n">
        <v>21.9998123324505</v>
      </c>
      <c r="AQ23" s="36" t="n">
        <v>0.328366556016617</v>
      </c>
      <c r="AR23" s="36" t="n">
        <v>0.440267177097989</v>
      </c>
      <c r="AS23" s="36" t="n">
        <v>0.0877831832978932</v>
      </c>
      <c r="AT23" s="36" t="n">
        <v>0.0760596067563786</v>
      </c>
      <c r="AU23" s="31" t="n">
        <v>0.651576586480566</v>
      </c>
      <c r="AV23" s="36" t="n">
        <v>0.344826</v>
      </c>
      <c r="AW23" s="31" t="n">
        <v>1.866565</v>
      </c>
      <c r="AX23" s="31" t="n">
        <v>0.07615</v>
      </c>
      <c r="AY23" s="31" t="n">
        <v>0.191468025369616</v>
      </c>
      <c r="AZ23" s="31" t="n">
        <v>0.062384</v>
      </c>
      <c r="BA23" s="33" t="n">
        <v>43.748</v>
      </c>
      <c r="BB23" s="33" t="n">
        <v>0.992</v>
      </c>
      <c r="BC23" s="33"/>
      <c r="BD23" s="33"/>
      <c r="BE23" s="33"/>
      <c r="BF23" s="33" t="n">
        <v>0</v>
      </c>
      <c r="BG23" s="33"/>
      <c r="BH23" s="33" t="n">
        <v>2.327</v>
      </c>
      <c r="BI23" s="29" t="n">
        <v>2020</v>
      </c>
      <c r="BJ23" s="33" t="n">
        <v>1</v>
      </c>
      <c r="BK23" s="33"/>
      <c r="BL23" s="33"/>
      <c r="BM23" s="33"/>
      <c r="BN23" s="29"/>
      <c r="BO23" s="33"/>
      <c r="BP23" s="33"/>
      <c r="BQ23" s="29" t="n">
        <v>2025</v>
      </c>
      <c r="BR23" s="36" t="n">
        <v>134.961</v>
      </c>
      <c r="BS23" s="36" t="n">
        <v>9.55</v>
      </c>
      <c r="BT23" s="36" t="n">
        <v>47.09</v>
      </c>
      <c r="BU23" s="36" t="n">
        <v>5.23</v>
      </c>
      <c r="BV23" s="16" t="n">
        <f aca="false">F23*(1+N(H23)/100)*(1+N(I23)/100)^5</f>
        <v>1315.27583806336</v>
      </c>
      <c r="BW23" s="16" t="n">
        <f aca="false">IF(N(G23)&gt;0,G23,F23)</f>
        <v>1459.737</v>
      </c>
      <c r="BX23" s="12" t="n">
        <f aca="false">F23/BW23</f>
        <v>0.832041662299442</v>
      </c>
      <c r="BY23" s="13" t="n">
        <f aca="false">IF(ISNUMBER(K23),1,0)</f>
        <v>1</v>
      </c>
      <c r="BZ23" s="16" t="n">
        <f aca="false">IF(BY23=0,"",N(N23)+N(O23)+N(P23))</f>
        <v>84.7584986462938</v>
      </c>
      <c r="CA23" s="37" t="n">
        <f aca="false">IF(BY23=0,"",(N(Y23)*34.2+N(Z23)*38.6)/1000)</f>
        <v>0.398392039176981</v>
      </c>
      <c r="CB23" s="37" t="n">
        <f aca="false">IF(BY23=0,"",N(O23)*0.0036+N(R23)+N(V23)+(N(AA23)*25.3+N(AB23)*37)/1000)</f>
        <v>0.669281244638578</v>
      </c>
      <c r="CC23" s="37" t="n">
        <f aca="false">IF(BY23=0,"",N(N23)*0.0036+N(Q23)+N(U23)+N(T23)+N(X23)+N(AC23)*38/1000)</f>
        <v>0.75187906481455</v>
      </c>
      <c r="CD23" s="37" t="n">
        <f aca="false">IF(BY23=0,"",N(Q23)+N(R23)+N(S23)+N(T23)+N(U23)+N(V23)+N(W23)+N(X23)+(N(Y23)*34.2+N(Z23)*38.6+N(AA23)*25.3+N(AB23)*37+N(AC23)*38)/1000)</f>
        <v>1.74486910537153</v>
      </c>
      <c r="CE23" s="16" t="n">
        <f aca="false">IF(BY23=0,"",MAX(0,N(L23)-N(K23))+MAX(0,N(M23)-N(L23)))</f>
        <v>32.209</v>
      </c>
      <c r="CF23" s="16" t="n">
        <f aca="false">IF(BY23=0,"",N(Y23)*N(AD23)+N(Z23)*N(AE23)+N(AA23)*N(AF23)+N(AB23)*N(AG23)+N(AC23)*N(AH23)+N(U23)*N(AI23)+N(V23)*N(AJ23)+N(W23)*N(AK23)+N(X23)*N(AL23)+N(Q23)*N(AM23)+N(R23)*N(AN23)+N(S23)*N(AO23)+N(T23)*N(AP23))</f>
        <v>34.7640419497265</v>
      </c>
      <c r="CG23" s="16" t="n">
        <f aca="false">IF(AND(BY23=1,N(K23)&gt;0),K23,0)</f>
        <v>122.936</v>
      </c>
      <c r="CH23" s="16" t="n">
        <f aca="false">IF(CG23&gt;0,CF23*1000/CG23,"")</f>
        <v>282.781625803073</v>
      </c>
      <c r="CI23" s="16" t="n">
        <f aca="false">IF(BY23=0,"",N(AQ23)+p_road*(N(AR23)+N(AS23)+N(AT23)))</f>
        <v>0.328366556016617</v>
      </c>
      <c r="CJ23" s="16" t="n">
        <f aca="false">IF(CG23&gt;0,CI23*1000/CG23,"")</f>
        <v>2.67103660454722</v>
      </c>
      <c r="CK23" s="12" t="n">
        <f aca="false">IF(CH23="",1,MIN(p_idx_max,MAX(p_idx_min,CH23/p_fc_world)))</f>
        <v>1.75632749139546</v>
      </c>
      <c r="CL23" s="12" t="n">
        <f aca="false">IF(CJ23="",1,MIN(p_idx_max,MAX(p_idx_min,CJ23/p_cb_world)))</f>
        <v>0.25</v>
      </c>
      <c r="CM23" s="37" t="n">
        <f aca="false">p_b*(1-p_wb_idx+p_wb_idx*CK23)</f>
        <v>0.233591556355596</v>
      </c>
      <c r="CN23" s="37" t="n">
        <f aca="false">p_c*(1-p_wc_idx+p_wc_idx*CL23)</f>
        <v>0.03225</v>
      </c>
      <c r="CO23" s="28" t="n">
        <f aca="false">IF(N(BR23)&gt;0,(N(BS23)+N(BT23)+N(BU23))/BR23,"")</f>
        <v>0.458428731263106</v>
      </c>
      <c r="CP23" s="16" t="n">
        <f aca="false">N(BS23)+N(BT23)+N(BU23)</f>
        <v>61.87</v>
      </c>
      <c r="CQ23" s="28" t="n">
        <f aca="false">IF(CP23&gt;0,N(BS23)/CP23,"")</f>
        <v>0.154355907548085</v>
      </c>
      <c r="CR23" s="28" t="n">
        <f aca="false">IF(CP23&gt;0,N(BT23)/CP23,"")</f>
        <v>0.761112009051236</v>
      </c>
      <c r="CS23" s="28" t="n">
        <f aca="false">IF(CP23&gt;0,N(BU23)/CP23,"")</f>
        <v>0.0845320834006789</v>
      </c>
      <c r="CT23" s="7" t="n">
        <f aca="false">1000*(p_sh_pv*p_cf_pv/p_capex_pv+(1-p_sh_pv)*p_cf_wind/p_capex_wind)*8760</f>
        <v>2301.28856624319</v>
      </c>
      <c r="CU23" s="13" t="n">
        <f aca="false">IF(AND(ISNUMBER(CO23),ISNUMBER(CQ23),BY23=1),1,0)</f>
        <v>1</v>
      </c>
      <c r="CV23" s="16" t="n">
        <f aca="false">IF(CU23=0,"",CQ23*p_hr_coal*N(AK23)+CR23*p_hr_gas*N(AO23)+CS23*p_hr_oil*N(AH23)/p_gj_l_oil)</f>
        <v>94.123899703888</v>
      </c>
      <c r="CW23" s="37" t="n">
        <f aca="false">IF(CU23=0,"",CQ23*p_hr_coal*p_ef_coal+CR23*p_hr_gas*p_ef_gas+CS23*p_hr_oil*p_ef_oil)</f>
        <v>0.534957790528528</v>
      </c>
      <c r="CX23" s="16" t="n">
        <f aca="false">IF(CU23=0,"",CQ23*p_hr_coal*N(AW23)+CR23*p_hr_gas*N(AX23)+CS23*p_hr_oil*N(AY23)/p_gj_l_oil)</f>
        <v>7.71855086250648</v>
      </c>
      <c r="CY23" s="37" t="n">
        <f aca="false">IF(CU23=0,"",CO23*CW23)</f>
        <v>0.245240021191307</v>
      </c>
      <c r="CZ23" s="37" t="n">
        <f aca="false">IF(CU23=0,"",CT23*CO23*CV23/1000/1000-p_om_re)</f>
        <v>0.0842985302959998</v>
      </c>
      <c r="DA23" s="37" t="n">
        <f aca="false">IF(CU23=0,"",CT23*CO23*CX23/1000/1000)</f>
        <v>0.00814289207175886</v>
      </c>
      <c r="DB23" s="37" t="n">
        <f aca="false">IF(CU23=0,"",CT23*CO23*CW23/1000)</f>
        <v>0.564368056752794</v>
      </c>
      <c r="DC23" s="13" t="n">
        <f aca="false">IF(AND(CU23=1,ISNUMBER(AD23),ISNUMBER(AV23)),1,0)</f>
        <v>1</v>
      </c>
      <c r="DD23" s="7" t="n">
        <f aca="false">IF(DC23=0,"",p_ev_km*p_ice_l/100*AD23-p_ev_km*p_ev_kwh*AV23+p_ev_km*p_ev_maint)</f>
        <v>271.267425</v>
      </c>
      <c r="DE23" s="37" t="n">
        <f aca="false">IF(DC23=0,"",DD23/p_ev_prem)</f>
        <v>0.054253485</v>
      </c>
      <c r="DF23" s="37" t="n">
        <f aca="false">IF(DC23=0,"",p_ev_km*p_ice_l/100*N(AZ23)/p_ev_prem)</f>
        <v>0.0140364</v>
      </c>
      <c r="DG23" s="37" t="n">
        <f aca="false">IF(DC23=0,"",1000/p_ev_prem*(p_ev_km*p_ice_l/100*p_gj_l_gso*p_ef_gso-p_ev_km*p_ev_kwh/1000*CY23))</f>
        <v>0.400833888556694</v>
      </c>
      <c r="DH23" s="11" t="str">
        <f aca="false">IFERROR(IF(INDEX(Damodaran!$D:$D,MATCH(A23,Damodaran!$A:$A,0))="","",INDEX(Damodaran!$D:$D,MATCH(A23,Damodaran!$A:$A,0))),"")</f>
        <v/>
      </c>
      <c r="DI23" s="11" t="str">
        <f aca="false">IFERROR(IF(INDEX(Damodaran!$E:$E,MATCH(A23,Damodaran!$A:$A,0))="","",INDEX(Damodaran!$E:$E,MATCH(A23,Damodaran!$A:$A,0))),"")</f>
        <v/>
      </c>
      <c r="DJ23" s="11" t="str">
        <f aca="false">IFERROR(IF(INDEX(Damodaran!$G:$G,MATCH(A23,Damodaran!$A:$A,0))="","",INDEX(Damodaran!$G:$G,MATCH(A23,Damodaran!$A:$A,0))),"")</f>
        <v/>
      </c>
      <c r="DK23" s="11" t="str">
        <f aca="false">IF(ISNUMBER(BG23),(1+BG23/100)*(1+p_infl)-1,"")</f>
        <v/>
      </c>
      <c r="DL23" s="11" t="n">
        <f aca="false">IF(ISNUMBER(BH23),BH23/100,"")</f>
        <v>0.02327</v>
      </c>
      <c r="DM23" s="11" t="n">
        <f aca="false">IF(COUNT(DK23,DL23)=0,"",AVERAGE(DK23,DL23))</f>
        <v>0.02327</v>
      </c>
      <c r="DN23" s="11" t="str">
        <f aca="false">IF(OR(DH23="",DI23=""),"",p_dv*(p_rf+DH23)*(1-IF(DJ23="",p_tax_def,DJ23))+(1-p_dv)*(p_rf+p_beta*p_erp+p_lambda*DI23))</f>
        <v/>
      </c>
      <c r="DO23" s="13" t="n">
        <f aca="false">IF(AND(ISNUMBER(DM23),ISNUMBER(DN23)),1,0)</f>
        <v>0</v>
      </c>
      <c r="DP23" s="11" t="n">
        <f aca="false">IF(DO23=1,DM23,0)</f>
        <v>0</v>
      </c>
      <c r="DQ23" s="11" t="n">
        <f aca="false">IF(DO23=1,DN23,0)</f>
        <v>0</v>
      </c>
      <c r="DR23" s="11" t="str">
        <f aca="false">IF(DN23="","",DN23+p_shift)</f>
        <v/>
      </c>
      <c r="DS23" s="11" t="n">
        <f aca="false">IF(E23="AE",p_r_ae,IF(E23="China",p_r_chn,p_r_emdc))</f>
        <v>0.055</v>
      </c>
      <c r="DT23" s="11" t="n">
        <f aca="false">IF(E23="AE",p_rh_ae,IF(E23="China",p_rh_chn,p_rh_emdc))</f>
        <v>0.07</v>
      </c>
      <c r="DU23" s="11" t="n">
        <f aca="false">IF(AND(p_use_obs=1,ISNUMBER(DM23)),DM23,IF(AND(p_use_dam=1,ISNUMBER(DR23)),DR23,DS23))</f>
        <v>0.02327</v>
      </c>
      <c r="DV23" s="6" t="str">
        <f aca="false">IF(AND(p_use_obs=1,ISNUMBER(DM23)),"Observed (IRENA/Steffen)",IF(AND(p_use_dam=1,ISNUMBER(DR23)),"Damodaran (eq. 5)","Group default (IHLEG)"))</f>
        <v>Observed (IRENA/Steffen)</v>
      </c>
      <c r="DW23" s="11" t="n">
        <f aca="false">IF(p_basis=1,(1+DU23)/(1+p_infl)-1,DU23)</f>
        <v>0.02327</v>
      </c>
      <c r="DX23" s="11" t="n">
        <f aca="false">DW23+(DT23-DS23)</f>
        <v>0.03827</v>
      </c>
      <c r="DY23" s="28" t="n">
        <f aca="false">IF(AND(p_use_pefa=1,ISNUMBER(BD23)),p_gap_lic-(BD23-1)/3*(p_gap_lic-p_gap_ae),IF(E23="AE",p_gap_ae,IF(D23="Low income",p_gap_lic,p_gap_em)))*(1-p_reform*p_reform_close)</f>
        <v>0.13</v>
      </c>
      <c r="DZ23" s="6" t="str">
        <f aca="false">IF(AND(p_use_pefa=1,ISNUMBER(BD23)),"PEFA PI-11","Income-group default (IMF 2015)")</f>
        <v>Income-group default (IMF 2015)</v>
      </c>
      <c r="EA23" s="28" t="n">
        <f aca="false">IF(E23="AE",p_ps_ae,IF(E23="China",p_ps_chn,p_ps_emdc))</f>
        <v>0.3</v>
      </c>
      <c r="EB23" s="37" t="n">
        <f aca="false">(1-EA23)+EA23/(1-DY23)</f>
        <v>1.0448275862069</v>
      </c>
      <c r="EC23" s="16" t="n">
        <f aca="false">Results_Country!F23</f>
        <v>33.8975517959216</v>
      </c>
      <c r="ED23" s="16" t="n">
        <f aca="false">IF(CH23="",0,CH23*EC23)</f>
        <v>9585.60480759456</v>
      </c>
      <c r="EE23" s="16" t="n">
        <f aca="false">IF(CJ23="",0,CJ23*EC23)</f>
        <v>90.5416016514418</v>
      </c>
      <c r="EF23" s="16" t="n">
        <f aca="false">IF(CH23="",0,EC23)</f>
        <v>33.8975517959216</v>
      </c>
    </row>
    <row r="24" customFormat="false" ht="15" hidden="false" customHeight="false" outlineLevel="0" collapsed="false">
      <c r="A24" s="35" t="s">
        <v>802</v>
      </c>
      <c r="B24" s="35" t="s">
        <v>803</v>
      </c>
      <c r="C24" s="35" t="s">
        <v>766</v>
      </c>
      <c r="D24" s="35" t="s">
        <v>760</v>
      </c>
      <c r="E24" s="35" t="s">
        <v>29</v>
      </c>
      <c r="F24" s="36" t="n">
        <v>970.19</v>
      </c>
      <c r="G24" s="36" t="n">
        <v>884.806</v>
      </c>
      <c r="H24" s="33" t="n">
        <v>1.272</v>
      </c>
      <c r="I24" s="33" t="n">
        <v>1.342</v>
      </c>
      <c r="J24" s="36" t="n">
        <v>8.921981</v>
      </c>
      <c r="K24" s="36" t="n">
        <v>35.583</v>
      </c>
      <c r="L24" s="36" t="n">
        <v>45.202</v>
      </c>
      <c r="M24" s="36" t="n">
        <v>43.278</v>
      </c>
      <c r="N24" s="36" t="n">
        <v>30.3919219792236</v>
      </c>
      <c r="O24" s="36" t="n">
        <v>17.680583378402</v>
      </c>
      <c r="P24" s="36" t="n">
        <v>3.0249406954071</v>
      </c>
      <c r="Q24" s="31" t="n">
        <v>0.0368872061419268</v>
      </c>
      <c r="R24" s="31" t="n">
        <v>0.0959170694372707</v>
      </c>
      <c r="S24" s="31" t="n">
        <v>0</v>
      </c>
      <c r="T24" s="31" t="n">
        <v>0.00328025375302787</v>
      </c>
      <c r="U24" s="31" t="n">
        <v>0.00409252624973603</v>
      </c>
      <c r="V24" s="31" t="n">
        <v>0.000126001817734984</v>
      </c>
      <c r="W24" s="31" t="n">
        <v>0</v>
      </c>
      <c r="X24" s="31" t="n">
        <v>0</v>
      </c>
      <c r="Y24" s="36" t="n">
        <v>2.62198584699543</v>
      </c>
      <c r="Z24" s="36" t="n">
        <v>5.84467581986623</v>
      </c>
      <c r="AA24" s="36" t="n">
        <v>0.179126183568977</v>
      </c>
      <c r="AB24" s="36" t="n">
        <v>0.0441502226317861</v>
      </c>
      <c r="AC24" s="36" t="n">
        <v>0.210994410309899</v>
      </c>
      <c r="AD24" s="31" t="n">
        <v>0.779428</v>
      </c>
      <c r="AE24" s="31" t="n">
        <v>0.789515</v>
      </c>
      <c r="AF24" s="31" t="n">
        <v>0.513</v>
      </c>
      <c r="AG24" s="31" t="n">
        <v>0.591</v>
      </c>
      <c r="AH24" s="31" t="n">
        <v>0.519462891908447</v>
      </c>
      <c r="AI24" s="31" t="n">
        <v>7.124</v>
      </c>
      <c r="AJ24" s="31" t="n">
        <v>13.360185</v>
      </c>
      <c r="AK24" s="31" t="n">
        <v>5.47</v>
      </c>
      <c r="AL24" s="31" t="n">
        <v>7.31026654443542</v>
      </c>
      <c r="AM24" s="31" t="n">
        <v>40.254</v>
      </c>
      <c r="AN24" s="31" t="n">
        <v>46.614714</v>
      </c>
      <c r="AO24" s="31" t="n">
        <v>40.254</v>
      </c>
      <c r="AP24" s="31" t="n">
        <v>44.8479864793343</v>
      </c>
      <c r="AQ24" s="36" t="n">
        <v>0.113197531758347</v>
      </c>
      <c r="AR24" s="36" t="n">
        <v>3.17935932035874</v>
      </c>
      <c r="AS24" s="36" t="n">
        <v>0.117267229897471</v>
      </c>
      <c r="AT24" s="36" t="n">
        <v>0</v>
      </c>
      <c r="AU24" s="31" t="n">
        <v>0.728776735774647</v>
      </c>
      <c r="AV24" s="36" t="n">
        <v>0.350656</v>
      </c>
      <c r="AW24" s="31" t="n">
        <v>0.289363</v>
      </c>
      <c r="AX24" s="31" t="n">
        <v>0.116301</v>
      </c>
      <c r="AY24" s="31" t="n">
        <v>0.06494920374123</v>
      </c>
      <c r="AZ24" s="31" t="n">
        <v>0.055729</v>
      </c>
      <c r="BA24" s="33" t="n">
        <v>40.493</v>
      </c>
      <c r="BB24" s="33" t="n">
        <v>0.43</v>
      </c>
      <c r="BC24" s="33"/>
      <c r="BD24" s="33"/>
      <c r="BE24" s="33"/>
      <c r="BF24" s="33" t="n">
        <v>0</v>
      </c>
      <c r="BG24" s="33"/>
      <c r="BH24" s="33" t="n">
        <v>3.97</v>
      </c>
      <c r="BI24" s="29" t="n">
        <v>2017</v>
      </c>
      <c r="BJ24" s="33" t="n">
        <v>1</v>
      </c>
      <c r="BK24" s="33"/>
      <c r="BL24" s="33"/>
      <c r="BM24" s="33"/>
      <c r="BN24" s="29"/>
      <c r="BO24" s="33"/>
      <c r="BP24" s="33"/>
      <c r="BQ24" s="29" t="n">
        <v>2025</v>
      </c>
      <c r="BR24" s="36" t="n">
        <v>65.02</v>
      </c>
      <c r="BS24" s="36"/>
      <c r="BT24" s="36" t="n">
        <v>0.27</v>
      </c>
      <c r="BU24" s="36" t="n">
        <v>1.23</v>
      </c>
      <c r="BV24" s="16" t="n">
        <f aca="false">F24*(1+N(H24)/100)*(1+N(I24)/100)^5</f>
        <v>1050.25204373072</v>
      </c>
      <c r="BW24" s="16" t="n">
        <f aca="false">IF(N(G24)&gt;0,G24,F24)</f>
        <v>884.806</v>
      </c>
      <c r="BX24" s="12" t="n">
        <f aca="false">F24/BW24</f>
        <v>1.09650024977227</v>
      </c>
      <c r="BY24" s="13" t="n">
        <f aca="false">IF(ISNUMBER(K24),1,0)</f>
        <v>1</v>
      </c>
      <c r="BZ24" s="16" t="n">
        <f aca="false">IF(BY24=0,"",N(N24)+N(O24)+N(P24))</f>
        <v>51.0974460530328</v>
      </c>
      <c r="CA24" s="37" t="n">
        <f aca="false">IF(BY24=0,"",(N(Y24)*34.2+N(Z24)*38.6)/1000)</f>
        <v>0.31527640261408</v>
      </c>
      <c r="CB24" s="37" t="n">
        <f aca="false">IF(BY24=0,"",N(O24)*0.0036+N(R24)+N(V24)+(N(AA24)*25.3+N(AB24)*37)/1000)</f>
        <v>0.165858622098924</v>
      </c>
      <c r="CC24" s="37" t="n">
        <f aca="false">IF(BY24=0,"",N(N24)*0.0036+N(Q24)+N(U24)+N(T24)+N(X24)+N(AC24)*38/1000)</f>
        <v>0.161688692861672</v>
      </c>
      <c r="CD24" s="37" t="n">
        <f aca="false">IF(BY24=0,"",N(Q24)+N(R24)+N(S24)+N(T24)+N(U24)+N(V24)+N(W24)+N(X24)+(N(Y24)*34.2+N(Z24)*38.6+N(AA24)*25.3+N(AB24)*37+N(AC24)*38)/1000)</f>
        <v>0.469762698287224</v>
      </c>
      <c r="CE24" s="16" t="n">
        <f aca="false">IF(BY24=0,"",MAX(0,N(L24)-N(K24))+MAX(0,N(M24)-N(L24)))</f>
        <v>9.619</v>
      </c>
      <c r="CF24" s="16" t="n">
        <f aca="false">IF(BY24=0,"",N(Y24)*N(AD24)+N(Z24)*N(AE24)+N(AA24)*N(AF24)+N(AB24)*N(AG24)+N(AC24)*N(AH24)+N(U24)*N(AI24)+N(V24)*N(AJ24)+N(W24)*N(AK24)+N(X24)*N(AL24)+N(Q24)*N(AM24)+N(R24)*N(AN24)+N(S24)*N(AO24)+N(T24)*N(AP24))</f>
        <v>13.0196523911126</v>
      </c>
      <c r="CG24" s="16" t="n">
        <f aca="false">IF(AND(BY24=1,N(K24)&gt;0),K24,0)</f>
        <v>35.583</v>
      </c>
      <c r="CH24" s="16" t="n">
        <f aca="false">IF(CG24&gt;0,CF24*1000/CG24,"")</f>
        <v>365.895298066847</v>
      </c>
      <c r="CI24" s="16" t="n">
        <f aca="false">IF(BY24=0,"",N(AQ24)+p_road*(N(AR24)+N(AS24)+N(AT24)))</f>
        <v>0.113197531758347</v>
      </c>
      <c r="CJ24" s="16" t="n">
        <f aca="false">IF(CG24&gt;0,CI24*1000/CG24,"")</f>
        <v>3.18122507260059</v>
      </c>
      <c r="CK24" s="12" t="n">
        <f aca="false">IF(CH24="",1,MIN(p_idx_max,MAX(p_idx_min,CH24/p_fc_world)))</f>
        <v>2.2725379314944</v>
      </c>
      <c r="CL24" s="12" t="n">
        <f aca="false">IF(CJ24="",1,MIN(p_idx_max,MAX(p_idx_min,CJ24/p_cb_world)))</f>
        <v>0.25</v>
      </c>
      <c r="CM24" s="37" t="n">
        <f aca="false">p_b*(1-p_wb_idx+p_wb_idx*CK24)</f>
        <v>0.302247544888756</v>
      </c>
      <c r="CN24" s="37" t="n">
        <f aca="false">p_c*(1-p_wc_idx+p_wc_idx*CL24)</f>
        <v>0.03225</v>
      </c>
      <c r="CO24" s="28" t="n">
        <f aca="false">IF(N(BR24)&gt;0,(N(BS24)+N(BT24)+N(BU24))/BR24,"")</f>
        <v>0.0230698246693325</v>
      </c>
      <c r="CP24" s="16" t="n">
        <f aca="false">N(BS24)+N(BT24)+N(BU24)</f>
        <v>1.5</v>
      </c>
      <c r="CQ24" s="28" t="n">
        <f aca="false">IF(CP24&gt;0,N(BS24)/CP24,"")</f>
        <v>0</v>
      </c>
      <c r="CR24" s="28" t="n">
        <f aca="false">IF(CP24&gt;0,N(BT24)/CP24,"")</f>
        <v>0.18</v>
      </c>
      <c r="CS24" s="28" t="n">
        <f aca="false">IF(CP24&gt;0,N(BU24)/CP24,"")</f>
        <v>0.82</v>
      </c>
      <c r="CT24" s="7" t="n">
        <f aca="false">1000*(p_sh_pv*p_cf_pv/p_capex_pv+(1-p_sh_pv)*p_cf_wind/p_capex_wind)*8760</f>
        <v>2301.28856624319</v>
      </c>
      <c r="CU24" s="13" t="n">
        <f aca="false">IF(AND(ISNUMBER(CO24),ISNUMBER(CQ24),BY24=1),1,0)</f>
        <v>1</v>
      </c>
      <c r="CV24" s="16" t="n">
        <f aca="false">IF(CU24=0,"",CQ24*p_hr_coal*N(AK24)+CR24*p_hr_gas*N(AO24)+CS24*p_hr_oil*N(AH24)/p_gj_l_oil)</f>
        <v>170.212731588905</v>
      </c>
      <c r="CW24" s="37" t="n">
        <f aca="false">IF(CU24=0,"",CQ24*p_hr_coal*p_ef_coal+CR24*p_hr_gas*p_ef_gas+CS24*p_hr_oil*p_ef_oil)</f>
        <v>0.742149</v>
      </c>
      <c r="CX24" s="16" t="n">
        <f aca="false">IF(CU24=0,"",CQ24*p_hr_coal*N(AW24)+CR24*p_hr_gas*N(AX24)+CS24*p_hr_oil*N(AY24)/p_gj_l_oil)</f>
        <v>14.6443805523832</v>
      </c>
      <c r="CY24" s="37" t="n">
        <f aca="false">IF(CU24=0,"",CO24*CW24)</f>
        <v>0.0171212473085205</v>
      </c>
      <c r="CZ24" s="37" t="n">
        <f aca="false">IF(CU24=0,"",CT24*CO24*CV24/1000/1000-p_om_re)</f>
        <v>-0.0059633509758251</v>
      </c>
      <c r="DA24" s="37" t="n">
        <f aca="false">IF(CU24=0,"",CT24*CO24*CX24/1000/1000)</f>
        <v>0.000777474904450482</v>
      </c>
      <c r="DB24" s="37" t="n">
        <f aca="false">IF(CU24=0,"",CT24*CO24*CW24/1000)</f>
        <v>0.0394009306709202</v>
      </c>
      <c r="DC24" s="13" t="n">
        <f aca="false">IF(AND(CU24=1,ISNUMBER(AD24),ISNUMBER(AV24)),1,0)</f>
        <v>1</v>
      </c>
      <c r="DD24" s="7" t="n">
        <f aca="false">IF(DC24=0,"",p_ev_km*p_ice_l/100*AD24-p_ev_km*p_ev_kwh*AV24+p_ev_km*p_ev_maint)</f>
        <v>110.0853</v>
      </c>
      <c r="DE24" s="37" t="n">
        <f aca="false">IF(DC24=0,"",DD24/p_ev_prem)</f>
        <v>0.02201706</v>
      </c>
      <c r="DF24" s="37" t="n">
        <f aca="false">IF(DC24=0,"",p_ev_km*p_ice_l/100*N(AZ24)/p_ev_prem)</f>
        <v>0.012539025</v>
      </c>
      <c r="DG24" s="37" t="n">
        <f aca="false">IF(DC24=0,"",1000/p_ev_prem*(p_ev_km*p_ice_l/100*p_gj_l_gso*p_ef_gso-p_ev_km*p_ev_kwh/1000*CY24))</f>
        <v>0.524018026453399</v>
      </c>
      <c r="DH24" s="11" t="str">
        <f aca="false">IFERROR(IF(INDEX(Damodaran!$D:$D,MATCH(A24,Damodaran!$A:$A,0))="","",INDEX(Damodaran!$D:$D,MATCH(A24,Damodaran!$A:$A,0))),"")</f>
        <v/>
      </c>
      <c r="DI24" s="11" t="str">
        <f aca="false">IFERROR(IF(INDEX(Damodaran!$E:$E,MATCH(A24,Damodaran!$A:$A,0))="","",INDEX(Damodaran!$E:$E,MATCH(A24,Damodaran!$A:$A,0))),"")</f>
        <v/>
      </c>
      <c r="DJ24" s="11" t="str">
        <f aca="false">IFERROR(IF(INDEX(Damodaran!$G:$G,MATCH(A24,Damodaran!$A:$A,0))="","",INDEX(Damodaran!$G:$G,MATCH(A24,Damodaran!$A:$A,0))),"")</f>
        <v/>
      </c>
      <c r="DK24" s="11" t="str">
        <f aca="false">IF(ISNUMBER(BG24),(1+BG24/100)*(1+p_infl)-1,"")</f>
        <v/>
      </c>
      <c r="DL24" s="11" t="n">
        <f aca="false">IF(ISNUMBER(BH24),BH24/100,"")</f>
        <v>0.0397</v>
      </c>
      <c r="DM24" s="11" t="n">
        <f aca="false">IF(COUNT(DK24,DL24)=0,"",AVERAGE(DK24,DL24))</f>
        <v>0.0397</v>
      </c>
      <c r="DN24" s="11" t="str">
        <f aca="false">IF(OR(DH24="",DI24=""),"",p_dv*(p_rf+DH24)*(1-IF(DJ24="",p_tax_def,DJ24))+(1-p_dv)*(p_rf+p_beta*p_erp+p_lambda*DI24))</f>
        <v/>
      </c>
      <c r="DO24" s="13" t="n">
        <f aca="false">IF(AND(ISNUMBER(DM24),ISNUMBER(DN24)),1,0)</f>
        <v>0</v>
      </c>
      <c r="DP24" s="11" t="n">
        <f aca="false">IF(DO24=1,DM24,0)</f>
        <v>0</v>
      </c>
      <c r="DQ24" s="11" t="n">
        <f aca="false">IF(DO24=1,DN24,0)</f>
        <v>0</v>
      </c>
      <c r="DR24" s="11" t="str">
        <f aca="false">IF(DN24="","",DN24+p_shift)</f>
        <v/>
      </c>
      <c r="DS24" s="11" t="n">
        <f aca="false">IF(E24="AE",p_r_ae,IF(E24="China",p_r_chn,p_r_emdc))</f>
        <v>0.055</v>
      </c>
      <c r="DT24" s="11" t="n">
        <f aca="false">IF(E24="AE",p_rh_ae,IF(E24="China",p_rh_chn,p_rh_emdc))</f>
        <v>0.07</v>
      </c>
      <c r="DU24" s="11" t="n">
        <f aca="false">IF(AND(p_use_obs=1,ISNUMBER(DM24)),DM24,IF(AND(p_use_dam=1,ISNUMBER(DR24)),DR24,DS24))</f>
        <v>0.0397</v>
      </c>
      <c r="DV24" s="6" t="str">
        <f aca="false">IF(AND(p_use_obs=1,ISNUMBER(DM24)),"Observed (IRENA/Steffen)",IF(AND(p_use_dam=1,ISNUMBER(DR24)),"Damodaran (eq. 5)","Group default (IHLEG)"))</f>
        <v>Observed (IRENA/Steffen)</v>
      </c>
      <c r="DW24" s="11" t="n">
        <f aca="false">IF(p_basis=1,(1+DU24)/(1+p_infl)-1,DU24)</f>
        <v>0.0397</v>
      </c>
      <c r="DX24" s="11" t="n">
        <f aca="false">DW24+(DT24-DS24)</f>
        <v>0.0547</v>
      </c>
      <c r="DY24" s="28" t="n">
        <f aca="false">IF(AND(p_use_pefa=1,ISNUMBER(BD24)),p_gap_lic-(BD24-1)/3*(p_gap_lic-p_gap_ae),IF(E24="AE",p_gap_ae,IF(D24="Low income",p_gap_lic,p_gap_em)))*(1-p_reform*p_reform_close)</f>
        <v>0.13</v>
      </c>
      <c r="DZ24" s="6" t="str">
        <f aca="false">IF(AND(p_use_pefa=1,ISNUMBER(BD24)),"PEFA PI-11","Income-group default (IMF 2015)")</f>
        <v>Income-group default (IMF 2015)</v>
      </c>
      <c r="EA24" s="28" t="n">
        <f aca="false">IF(E24="AE",p_ps_ae,IF(E24="China",p_ps_chn,p_ps_emdc))</f>
        <v>0.3</v>
      </c>
      <c r="EB24" s="37" t="n">
        <f aca="false">(1-EA24)+EA24/(1-DY24)</f>
        <v>1.0448275862069</v>
      </c>
      <c r="EC24" s="16" t="n">
        <f aca="false">Results_Country!F24</f>
        <v>21.9234073355477</v>
      </c>
      <c r="ED24" s="16" t="n">
        <f aca="false">IF(CH24="",0,CH24*EC24)</f>
        <v>8021.67166168112</v>
      </c>
      <c r="EE24" s="16" t="n">
        <f aca="false">IF(CJ24="",0,CJ24*EC24)</f>
        <v>69.7432930926801</v>
      </c>
      <c r="EF24" s="16" t="n">
        <f aca="false">IF(CH24="",0,EC24)</f>
        <v>21.9234073355477</v>
      </c>
    </row>
    <row r="25" customFormat="false" ht="15" hidden="false" customHeight="false" outlineLevel="0" collapsed="false">
      <c r="A25" s="35" t="s">
        <v>804</v>
      </c>
      <c r="B25" s="35" t="s">
        <v>805</v>
      </c>
      <c r="C25" s="35" t="s">
        <v>766</v>
      </c>
      <c r="D25" s="35" t="s">
        <v>760</v>
      </c>
      <c r="E25" s="35" t="s">
        <v>31</v>
      </c>
      <c r="F25" s="36" t="n">
        <v>917.623</v>
      </c>
      <c r="G25" s="36" t="n">
        <v>1911.834</v>
      </c>
      <c r="H25" s="33" t="n">
        <v>3.573</v>
      </c>
      <c r="I25" s="33" t="n">
        <v>3.324</v>
      </c>
      <c r="J25" s="36" t="n">
        <v>38.539201</v>
      </c>
      <c r="K25" s="36" t="n">
        <v>353.737</v>
      </c>
      <c r="L25" s="36" t="n">
        <v>423.937</v>
      </c>
      <c r="M25" s="36" t="n">
        <v>403.79</v>
      </c>
      <c r="N25" s="36" t="n">
        <v>154.812776329952</v>
      </c>
      <c r="O25" s="36" t="n">
        <v>43.1337680925753</v>
      </c>
      <c r="P25" s="36" t="n">
        <v>4.38392593543566</v>
      </c>
      <c r="Q25" s="31" t="n">
        <v>0.286866577767319</v>
      </c>
      <c r="R25" s="31" t="n">
        <v>0.335266964720596</v>
      </c>
      <c r="S25" s="31" t="n">
        <v>0.312455098523176</v>
      </c>
      <c r="T25" s="31" t="n">
        <v>0.00114397246582282</v>
      </c>
      <c r="U25" s="31" t="n">
        <v>0.312714414220198</v>
      </c>
      <c r="V25" s="31" t="n">
        <v>0.308429099323319</v>
      </c>
      <c r="W25" s="31" t="n">
        <v>1.17349536794709</v>
      </c>
      <c r="X25" s="31" t="n">
        <v>0</v>
      </c>
      <c r="Y25" s="36" t="n">
        <v>6.34923298759955</v>
      </c>
      <c r="Z25" s="36" t="n">
        <v>21.7281915469286</v>
      </c>
      <c r="AA25" s="36" t="n">
        <v>4.65966518858591</v>
      </c>
      <c r="AB25" s="36" t="n">
        <v>0.0372671500743179</v>
      </c>
      <c r="AC25" s="36" t="n">
        <v>2.81834257136063</v>
      </c>
      <c r="AD25" s="31" t="n">
        <v>0.970332</v>
      </c>
      <c r="AE25" s="31" t="n">
        <v>0.90033</v>
      </c>
      <c r="AF25" s="31" t="n">
        <v>0.535461</v>
      </c>
      <c r="AG25" s="31" t="n">
        <v>0.591</v>
      </c>
      <c r="AH25" s="31" t="n">
        <v>0.519462891908447</v>
      </c>
      <c r="AI25" s="31" t="n">
        <v>8.462</v>
      </c>
      <c r="AJ25" s="31" t="n">
        <v>16.27536</v>
      </c>
      <c r="AK25" s="31" t="n">
        <v>6.682</v>
      </c>
      <c r="AL25" s="31" t="n">
        <v>8.6408916064698</v>
      </c>
      <c r="AM25" s="31" t="n">
        <v>21.653</v>
      </c>
      <c r="AN25" s="31" t="n">
        <v>28.66392</v>
      </c>
      <c r="AO25" s="31" t="n">
        <v>21.212</v>
      </c>
      <c r="AP25" s="31" t="n">
        <v>24.020605460576</v>
      </c>
      <c r="AQ25" s="36" t="n">
        <v>38.3790411419895</v>
      </c>
      <c r="AR25" s="36" t="n">
        <v>0.457121337732725</v>
      </c>
      <c r="AS25" s="36" t="n">
        <v>0.669086540678677</v>
      </c>
      <c r="AT25" s="36" t="n">
        <v>2.35354592203233</v>
      </c>
      <c r="AU25" s="31" t="n">
        <v>0.372429841048865</v>
      </c>
      <c r="AV25" s="36" t="n">
        <v>-0.005601</v>
      </c>
      <c r="AW25" s="31" t="n">
        <v>5.917777</v>
      </c>
      <c r="AX25" s="31" t="n">
        <v>0.227125</v>
      </c>
      <c r="AY25" s="31" t="n">
        <v>0.0599023808224518</v>
      </c>
      <c r="AZ25" s="31" t="n">
        <v>0.092528</v>
      </c>
      <c r="BA25" s="33" t="n">
        <v>55.089</v>
      </c>
      <c r="BB25" s="33" t="n">
        <v>5.134</v>
      </c>
      <c r="BC25" s="33" t="n">
        <v>87.212</v>
      </c>
      <c r="BD25" s="33"/>
      <c r="BE25" s="33"/>
      <c r="BF25" s="33" t="n">
        <v>0</v>
      </c>
      <c r="BG25" s="33" t="n">
        <v>3.9</v>
      </c>
      <c r="BH25" s="33" t="n">
        <v>5.62</v>
      </c>
      <c r="BI25" s="29" t="n">
        <v>2020</v>
      </c>
      <c r="BJ25" s="33" t="n">
        <v>2</v>
      </c>
      <c r="BK25" s="33"/>
      <c r="BL25" s="33"/>
      <c r="BM25" s="33"/>
      <c r="BN25" s="29"/>
      <c r="BO25" s="33"/>
      <c r="BP25" s="33"/>
      <c r="BQ25" s="29" t="n">
        <v>2025</v>
      </c>
      <c r="BR25" s="36" t="n">
        <v>172.58</v>
      </c>
      <c r="BS25" s="36" t="n">
        <v>87.4</v>
      </c>
      <c r="BT25" s="36" t="n">
        <v>24.81</v>
      </c>
      <c r="BU25" s="36" t="n">
        <v>6.43</v>
      </c>
      <c r="BV25" s="16" t="n">
        <f aca="false">F25*(1+N(H25)/100)*(1+N(I25)/100)^5</f>
        <v>1119.22370542498</v>
      </c>
      <c r="BW25" s="16" t="n">
        <f aca="false">IF(N(G25)&gt;0,G25,F25)</f>
        <v>1911.834</v>
      </c>
      <c r="BX25" s="12" t="n">
        <f aca="false">F25/BW25</f>
        <v>0.47997001831749</v>
      </c>
      <c r="BY25" s="13" t="n">
        <f aca="false">IF(ISNUMBER(K25),1,0)</f>
        <v>1</v>
      </c>
      <c r="BZ25" s="16" t="n">
        <f aca="false">IF(BY25=0,"",N(N25)+N(O25)+N(P25))</f>
        <v>202.330470357963</v>
      </c>
      <c r="CA25" s="37" t="n">
        <f aca="false">IF(BY25=0,"",(N(Y25)*34.2+N(Z25)*38.6)/1000)</f>
        <v>1.05585196188735</v>
      </c>
      <c r="CB25" s="37" t="n">
        <f aca="false">IF(BY25=0,"",N(O25)*0.0036+N(R25)+N(V25)+(N(AA25)*25.3+N(AB25)*37)/1000)</f>
        <v>0.918246043001159</v>
      </c>
      <c r="CC25" s="37" t="n">
        <f aca="false">IF(BY25=0,"",N(N25)*0.0036+N(Q25)+N(U25)+N(T25)+N(X25)+N(AC25)*38/1000)</f>
        <v>1.26514797695287</v>
      </c>
      <c r="CD25" s="37" t="n">
        <f aca="false">IF(BY25=0,"",N(Q25)+N(R25)+N(S25)+N(T25)+N(U25)+N(V25)+N(W25)+N(X25)+(N(Y25)*34.2+N(Z25)*38.6+N(AA25)*25.3+N(AB25)*37+N(AC25)*38)/1000)</f>
        <v>4.01258888839055</v>
      </c>
      <c r="CE25" s="16" t="n">
        <f aca="false">IF(BY25=0,"",MAX(0,N(L25)-N(K25))+MAX(0,N(M25)-N(L25)))</f>
        <v>70.2</v>
      </c>
      <c r="CF25" s="16" t="n">
        <f aca="false">IF(BY25=0,"",N(Y25)*N(AD25)+N(Z25)*N(AE25)+N(AA25)*N(AF25)+N(AB25)*N(AG25)+N(AC25)*N(AH25)+N(U25)*N(AI25)+N(V25)*N(AJ25)+N(W25)*N(AK25)+N(X25)*N(AL25)+N(Q25)*N(AM25)+N(R25)*N(AN25)+N(S25)*N(AO25)+N(T25)*N(AP25))</f>
        <v>67.6886688611558</v>
      </c>
      <c r="CG25" s="16" t="n">
        <f aca="false">IF(AND(BY25=1,N(K25)&gt;0),K25,0)</f>
        <v>353.737</v>
      </c>
      <c r="CH25" s="16" t="n">
        <f aca="false">IF(CG25&gt;0,CF25*1000/CG25,"")</f>
        <v>191.353092442</v>
      </c>
      <c r="CI25" s="16" t="n">
        <f aca="false">IF(BY25=0,"",N(AQ25)+p_road*(N(AR25)+N(AS25)+N(AT25)))</f>
        <v>38.3790411419895</v>
      </c>
      <c r="CJ25" s="16" t="n">
        <f aca="false">IF(CG25&gt;0,CI25*1000/CG25,"")</f>
        <v>108.495976225245</v>
      </c>
      <c r="CK25" s="12" t="n">
        <f aca="false">IF(CH25="",1,MIN(p_idx_max,MAX(p_idx_min,CH25/p_fc_world)))</f>
        <v>1.18847430721494</v>
      </c>
      <c r="CL25" s="12" t="n">
        <f aca="false">IF(CJ25="",1,MIN(p_idx_max,MAX(p_idx_min,CJ25/p_cb_world)))</f>
        <v>2.06302218421475</v>
      </c>
      <c r="CM25" s="37" t="n">
        <f aca="false">p_b*(1-p_wb_idx+p_wb_idx*CK25)</f>
        <v>0.158067082859587</v>
      </c>
      <c r="CN25" s="37" t="n">
        <f aca="false">p_c*(1-p_wc_idx+p_wc_idx*CL25)</f>
        <v>0.266129861763703</v>
      </c>
      <c r="CO25" s="28" t="n">
        <f aca="false">IF(N(BR25)&gt;0,(N(BS25)+N(BT25)+N(BU25))/BR25,"")</f>
        <v>0.687449298875884</v>
      </c>
      <c r="CP25" s="16" t="n">
        <f aca="false">N(BS25)+N(BT25)+N(BU25)</f>
        <v>118.64</v>
      </c>
      <c r="CQ25" s="28" t="n">
        <f aca="false">IF(CP25&gt;0,N(BS25)/CP25,"")</f>
        <v>0.736682400539447</v>
      </c>
      <c r="CR25" s="28" t="n">
        <f aca="false">IF(CP25&gt;0,N(BT25)/CP25,"")</f>
        <v>0.209120026972353</v>
      </c>
      <c r="CS25" s="28" t="n">
        <f aca="false">IF(CP25&gt;0,N(BU25)/CP25,"")</f>
        <v>0.0541975724881996</v>
      </c>
      <c r="CT25" s="7" t="n">
        <f aca="false">1000*(p_sh_pv*p_cf_pv/p_capex_pv+(1-p_sh_pv)*p_cf_wind/p_capex_wind)*8760</f>
        <v>2301.28856624319</v>
      </c>
      <c r="CU25" s="13" t="n">
        <f aca="false">IF(AND(ISNUMBER(CO25),ISNUMBER(CQ25),BY25=1),1,0)</f>
        <v>1</v>
      </c>
      <c r="CV25" s="16" t="n">
        <f aca="false">IF(CU25=0,"",CQ25*p_hr_coal*N(AK25)+CR25*p_hr_gas*N(AO25)+CS25*p_hr_oil*N(AH25)/p_gj_l_oil)</f>
        <v>90.1523933349985</v>
      </c>
      <c r="CW25" s="37" t="n">
        <f aca="false">IF(CU25=0,"",CQ25*p_hr_coal*p_ef_coal+CR25*p_hr_gas*p_ef_gas+CS25*p_hr_oil*p_ef_oil)</f>
        <v>0.828935169420094</v>
      </c>
      <c r="CX25" s="16" t="n">
        <f aca="false">IF(CU25=0,"",CQ25*p_hr_coal*N(AW25)+CR25*p_hr_gas*N(AX25)+CS25*p_hr_oil*N(AY25)/p_gj_l_oil)</f>
        <v>44.8345771509104</v>
      </c>
      <c r="CY25" s="37" t="n">
        <f aca="false">IF(CU25=0,"",CO25*CW25)</f>
        <v>0.569850901031406</v>
      </c>
      <c r="CZ25" s="37" t="n">
        <f aca="false">IF(CU25=0,"",CT25*CO25*CV25/1000/1000-p_om_re)</f>
        <v>0.1276228182074</v>
      </c>
      <c r="DA25" s="37" t="n">
        <f aca="false">IF(CU25=0,"",CT25*CO25*CX25/1000/1000)</f>
        <v>0.0709291623866136</v>
      </c>
      <c r="DB25" s="37" t="n">
        <f aca="false">IF(CU25=0,"",CT25*CO25*CW25/1000)</f>
        <v>1.31139136300696</v>
      </c>
      <c r="DC25" s="13" t="n">
        <f aca="false">IF(AND(CU25=1,ISNUMBER(AD25),ISNUMBER(AV25)),1,0)</f>
        <v>1</v>
      </c>
      <c r="DD25" s="7" t="n">
        <f aca="false">IF(DC25=0,"",p_ev_km*p_ice_l/100*AD25-p_ev_km*p_ev_kwh*AV25+p_ev_km*p_ev_maint)</f>
        <v>1286.7462</v>
      </c>
      <c r="DE25" s="37" t="n">
        <f aca="false">IF(DC25=0,"",DD25/p_ev_prem)</f>
        <v>0.25734924</v>
      </c>
      <c r="DF25" s="37" t="n">
        <f aca="false">IF(DC25=0,"",p_ev_km*p_ice_l/100*N(AZ25)/p_ev_prem)</f>
        <v>0.0208188</v>
      </c>
      <c r="DG25" s="37" t="n">
        <f aca="false">IF(DC25=0,"",1000/p_ev_prem*(p_ev_km*p_ice_l/100*p_gj_l_gso*p_ef_gso-p_ev_km*p_ev_kwh/1000*CY25))</f>
        <v>0.225544013443041</v>
      </c>
      <c r="DH25" s="11" t="str">
        <f aca="false">IFERROR(IF(INDEX(Damodaran!$D:$D,MATCH(A25,Damodaran!$A:$A,0))="","",INDEX(Damodaran!$D:$D,MATCH(A25,Damodaran!$A:$A,0))),"")</f>
        <v/>
      </c>
      <c r="DI25" s="11" t="str">
        <f aca="false">IFERROR(IF(INDEX(Damodaran!$E:$E,MATCH(A25,Damodaran!$A:$A,0))="","",INDEX(Damodaran!$E:$E,MATCH(A25,Damodaran!$A:$A,0))),"")</f>
        <v/>
      </c>
      <c r="DJ25" s="11" t="str">
        <f aca="false">IFERROR(IF(INDEX(Damodaran!$G:$G,MATCH(A25,Damodaran!$A:$A,0))="","",INDEX(Damodaran!$G:$G,MATCH(A25,Damodaran!$A:$A,0))),"")</f>
        <v/>
      </c>
      <c r="DK25" s="11" t="n">
        <f aca="false">IF(ISNUMBER(BG25),(1+BG25/100)*(1+p_infl)-1,"")</f>
        <v>0.0597799999999999</v>
      </c>
      <c r="DL25" s="11" t="n">
        <f aca="false">IF(ISNUMBER(BH25),BH25/100,"")</f>
        <v>0.0562</v>
      </c>
      <c r="DM25" s="11" t="n">
        <f aca="false">IF(COUNT(DK25,DL25)=0,"",AVERAGE(DK25,DL25))</f>
        <v>0.05799</v>
      </c>
      <c r="DN25" s="11" t="str">
        <f aca="false">IF(OR(DH25="",DI25=""),"",p_dv*(p_rf+DH25)*(1-IF(DJ25="",p_tax_def,DJ25))+(1-p_dv)*(p_rf+p_beta*p_erp+p_lambda*DI25))</f>
        <v/>
      </c>
      <c r="DO25" s="13" t="n">
        <f aca="false">IF(AND(ISNUMBER(DM25),ISNUMBER(DN25)),1,0)</f>
        <v>0</v>
      </c>
      <c r="DP25" s="11" t="n">
        <f aca="false">IF(DO25=1,DM25,0)</f>
        <v>0</v>
      </c>
      <c r="DQ25" s="11" t="n">
        <f aca="false">IF(DO25=1,DN25,0)</f>
        <v>0</v>
      </c>
      <c r="DR25" s="11" t="str">
        <f aca="false">IF(DN25="","",DN25+p_shift)</f>
        <v/>
      </c>
      <c r="DS25" s="11" t="n">
        <f aca="false">IF(E25="AE",p_r_ae,IF(E25="China",p_r_chn,p_r_emdc))</f>
        <v>0.105</v>
      </c>
      <c r="DT25" s="11" t="n">
        <f aca="false">IF(E25="AE",p_rh_ae,IF(E25="China",p_rh_chn,p_rh_emdc))</f>
        <v>0.15</v>
      </c>
      <c r="DU25" s="11" t="n">
        <f aca="false">IF(AND(p_use_obs=1,ISNUMBER(DM25)),DM25,IF(AND(p_use_dam=1,ISNUMBER(DR25)),DR25,DS25))</f>
        <v>0.05799</v>
      </c>
      <c r="DV25" s="6" t="str">
        <f aca="false">IF(AND(p_use_obs=1,ISNUMBER(DM25)),"Observed (IRENA/Steffen)",IF(AND(p_use_dam=1,ISNUMBER(DR25)),"Damodaran (eq. 5)","Group default (IHLEG)"))</f>
        <v>Observed (IRENA/Steffen)</v>
      </c>
      <c r="DW25" s="11" t="n">
        <f aca="false">IF(p_basis=1,(1+DU25)/(1+p_infl)-1,DU25)</f>
        <v>0.05799</v>
      </c>
      <c r="DX25" s="11" t="n">
        <f aca="false">DW25+(DT25-DS25)</f>
        <v>0.10299</v>
      </c>
      <c r="DY25" s="28" t="n">
        <f aca="false">IF(AND(p_use_pefa=1,ISNUMBER(BD25)),p_gap_lic-(BD25-1)/3*(p_gap_lic-p_gap_ae),IF(E25="AE",p_gap_ae,IF(D25="Low income",p_gap_lic,p_gap_em)))*(1-p_reform*p_reform_close)</f>
        <v>0.27</v>
      </c>
      <c r="DZ25" s="6" t="str">
        <f aca="false">IF(AND(p_use_pefa=1,ISNUMBER(BD25)),"PEFA PI-11","Income-group default (IMF 2015)")</f>
        <v>Income-group default (IMF 2015)</v>
      </c>
      <c r="EA25" s="28" t="n">
        <f aca="false">IF(E25="AE",p_ps_ae,IF(E25="China",p_ps_chn,p_ps_emdc))</f>
        <v>0.4</v>
      </c>
      <c r="EB25" s="37" t="n">
        <f aca="false">(1-EA25)+EA25/(1-DY25)</f>
        <v>1.14794520547945</v>
      </c>
      <c r="EC25" s="16" t="n">
        <f aca="false">Results_Country!F25</f>
        <v>51.4351539305021</v>
      </c>
      <c r="ED25" s="16" t="n">
        <f aca="false">IF(CH25="",0,CH25*EC25)</f>
        <v>9842.27576483188</v>
      </c>
      <c r="EE25" s="16" t="n">
        <f aca="false">IF(CJ25="",0,CJ25*EC25)</f>
        <v>5580.50723798557</v>
      </c>
      <c r="EF25" s="16" t="n">
        <f aca="false">IF(CH25="",0,EC25)</f>
        <v>51.4351539305021</v>
      </c>
    </row>
    <row r="26" customFormat="false" ht="15" hidden="false" customHeight="false" outlineLevel="0" collapsed="false">
      <c r="A26" s="35" t="s">
        <v>806</v>
      </c>
      <c r="B26" s="35" t="s">
        <v>807</v>
      </c>
      <c r="C26" s="35" t="s">
        <v>762</v>
      </c>
      <c r="D26" s="35" t="s">
        <v>760</v>
      </c>
      <c r="E26" s="35" t="s">
        <v>29</v>
      </c>
      <c r="F26" s="36" t="n">
        <v>801.495</v>
      </c>
      <c r="G26" s="36" t="n">
        <v>1881.151</v>
      </c>
      <c r="H26" s="33" t="n">
        <v>8.676</v>
      </c>
      <c r="I26" s="33" t="n">
        <v>5.181</v>
      </c>
      <c r="J26" s="36"/>
      <c r="K26" s="36"/>
      <c r="L26" s="36"/>
      <c r="M26" s="36"/>
      <c r="N26" s="36"/>
      <c r="O26" s="36"/>
      <c r="P26" s="36"/>
      <c r="Q26" s="31"/>
      <c r="R26" s="31"/>
      <c r="S26" s="31"/>
      <c r="T26" s="31"/>
      <c r="U26" s="31"/>
      <c r="V26" s="31"/>
      <c r="W26" s="31"/>
      <c r="X26" s="31"/>
      <c r="Y26" s="36"/>
      <c r="Z26" s="36"/>
      <c r="AA26" s="36"/>
      <c r="AB26" s="36"/>
      <c r="AC26" s="36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6"/>
      <c r="AR26" s="36"/>
      <c r="AS26" s="36"/>
      <c r="AT26" s="36"/>
      <c r="AU26" s="31"/>
      <c r="AV26" s="36"/>
      <c r="AW26" s="31"/>
      <c r="AX26" s="31"/>
      <c r="AY26" s="31"/>
      <c r="AZ26" s="31"/>
      <c r="BA26" s="33"/>
      <c r="BB26" s="33"/>
      <c r="BC26" s="33"/>
      <c r="BD26" s="33"/>
      <c r="BE26" s="33"/>
      <c r="BF26" s="33"/>
      <c r="BG26" s="33"/>
      <c r="BH26" s="33"/>
      <c r="BI26" s="29"/>
      <c r="BJ26" s="33"/>
      <c r="BK26" s="33"/>
      <c r="BL26" s="33"/>
      <c r="BM26" s="33"/>
      <c r="BN26" s="29"/>
      <c r="BO26" s="33"/>
      <c r="BP26" s="33"/>
      <c r="BQ26" s="29" t="n">
        <v>2025</v>
      </c>
      <c r="BR26" s="36" t="n">
        <v>288.88</v>
      </c>
      <c r="BS26" s="36" t="n">
        <v>104.55</v>
      </c>
      <c r="BT26" s="36" t="n">
        <v>140.64</v>
      </c>
      <c r="BU26" s="36" t="n">
        <v>4.66</v>
      </c>
      <c r="BV26" s="16" t="n">
        <f aca="false">F26*(1+N(H26)/100)*(1+N(I26)/100)^5</f>
        <v>1121.29772269484</v>
      </c>
      <c r="BW26" s="16" t="n">
        <f aca="false">IF(N(G26)&gt;0,G26,F26)</f>
        <v>1881.151</v>
      </c>
      <c r="BX26" s="12" t="n">
        <f aca="false">F26/BW26</f>
        <v>0.426066275381402</v>
      </c>
      <c r="BY26" s="13" t="n">
        <f aca="false">IF(ISNUMBER(K26),1,0)</f>
        <v>0</v>
      </c>
      <c r="BZ26" s="16" t="str">
        <f aca="false">IF(BY26=0,"",N(N26)+N(O26)+N(P26))</f>
        <v/>
      </c>
      <c r="CA26" s="37" t="str">
        <f aca="false">IF(BY26=0,"",(N(Y26)*34.2+N(Z26)*38.6)/1000)</f>
        <v/>
      </c>
      <c r="CB26" s="37" t="str">
        <f aca="false">IF(BY26=0,"",N(O26)*0.0036+N(R26)+N(V26)+(N(AA26)*25.3+N(AB26)*37)/1000)</f>
        <v/>
      </c>
      <c r="CC26" s="37" t="str">
        <f aca="false">IF(BY26=0,"",N(N26)*0.0036+N(Q26)+N(U26)+N(T26)+N(X26)+N(AC26)*38/1000)</f>
        <v/>
      </c>
      <c r="CD26" s="37" t="str">
        <f aca="false">IF(BY26=0,"",N(Q26)+N(R26)+N(S26)+N(T26)+N(U26)+N(V26)+N(W26)+N(X26)+(N(Y26)*34.2+N(Z26)*38.6+N(AA26)*25.3+N(AB26)*37+N(AC26)*38)/1000)</f>
        <v/>
      </c>
      <c r="CE26" s="16" t="str">
        <f aca="false">IF(BY26=0,"",MAX(0,N(L26)-N(K26))+MAX(0,N(M26)-N(L26)))</f>
        <v/>
      </c>
      <c r="CF26" s="16" t="str">
        <f aca="false">IF(BY26=0,"",N(Y26)*N(AD26)+N(Z26)*N(AE26)+N(AA26)*N(AF26)+N(AB26)*N(AG26)+N(AC26)*N(AH26)+N(U26)*N(AI26)+N(V26)*N(AJ26)+N(W26)*N(AK26)+N(X26)*N(AL26)+N(Q26)*N(AM26)+N(R26)*N(AN26)+N(S26)*N(AO26)+N(T26)*N(AP26))</f>
        <v/>
      </c>
      <c r="CG26" s="16" t="n">
        <f aca="false">IF(AND(BY26=1,N(K26)&gt;0),K26,0)</f>
        <v>0</v>
      </c>
      <c r="CH26" s="16" t="str">
        <f aca="false">IF(CG26&gt;0,CF26*1000/CG26,"")</f>
        <v/>
      </c>
      <c r="CI26" s="16" t="str">
        <f aca="false">IF(BY26=0,"",N(AQ26)+p_road*(N(AR26)+N(AS26)+N(AT26)))</f>
        <v/>
      </c>
      <c r="CJ26" s="16" t="str">
        <f aca="false">IF(CG26&gt;0,CI26*1000/CG26,"")</f>
        <v/>
      </c>
      <c r="CK26" s="12" t="n">
        <f aca="false">IF(CH26="",1,MIN(p_idx_max,MAX(p_idx_min,CH26/p_fc_world)))</f>
        <v>1</v>
      </c>
      <c r="CL26" s="12" t="n">
        <f aca="false">IF(CJ26="",1,MIN(p_idx_max,MAX(p_idx_min,CJ26/p_cb_world)))</f>
        <v>1</v>
      </c>
      <c r="CM26" s="37" t="n">
        <f aca="false">p_b*(1-p_wb_idx+p_wb_idx*CK26)</f>
        <v>0.133</v>
      </c>
      <c r="CN26" s="37" t="n">
        <f aca="false">p_c*(1-p_wc_idx+p_wc_idx*CL26)</f>
        <v>0.129</v>
      </c>
      <c r="CO26" s="28" t="n">
        <f aca="false">IF(N(BR26)&gt;0,(N(BS26)+N(BT26)+N(BU26))/BR26,"")</f>
        <v>0.864891996676821</v>
      </c>
      <c r="CP26" s="16" t="n">
        <f aca="false">N(BS26)+N(BT26)+N(BU26)</f>
        <v>249.85</v>
      </c>
      <c r="CQ26" s="28" t="n">
        <f aca="false">IF(CP26&gt;0,N(BS26)/CP26,"")</f>
        <v>0.418451070642385</v>
      </c>
      <c r="CR26" s="28" t="n">
        <f aca="false">IF(CP26&gt;0,N(BT26)/CP26,"")</f>
        <v>0.562897738643186</v>
      </c>
      <c r="CS26" s="28" t="n">
        <f aca="false">IF(CP26&gt;0,N(BU26)/CP26,"")</f>
        <v>0.0186511907144287</v>
      </c>
      <c r="CT26" s="7" t="n">
        <f aca="false">1000*(p_sh_pv*p_cf_pv/p_capex_pv+(1-p_sh_pv)*p_cf_wind/p_capex_wind)*8760</f>
        <v>2301.28856624319</v>
      </c>
      <c r="CU26" s="13" t="n">
        <f aca="false">IF(AND(ISNUMBER(CO26),ISNUMBER(CQ26),BY26=1),1,0)</f>
        <v>0</v>
      </c>
      <c r="CV26" s="16" t="str">
        <f aca="false">IF(CU26=0,"",CQ26*p_hr_coal*N(AK26)+CR26*p_hr_gas*N(AO26)+CS26*p_hr_oil*N(AH26)/p_gj_l_oil)</f>
        <v/>
      </c>
      <c r="CW26" s="37" t="str">
        <f aca="false">IF(CU26=0,"",CQ26*p_hr_coal*p_ef_coal+CR26*p_hr_gas*p_ef_gas+CS26*p_hr_oil*p_ef_oil)</f>
        <v/>
      </c>
      <c r="CX26" s="16" t="str">
        <f aca="false">IF(CU26=0,"",CQ26*p_hr_coal*N(AW26)+CR26*p_hr_gas*N(AX26)+CS26*p_hr_oil*N(AY26)/p_gj_l_oil)</f>
        <v/>
      </c>
      <c r="CY26" s="37" t="str">
        <f aca="false">IF(CU26=0,"",CO26*CW26)</f>
        <v/>
      </c>
      <c r="CZ26" s="37" t="str">
        <f aca="false">IF(CU26=0,"",CT26*CO26*CV26/1000/1000-p_om_re)</f>
        <v/>
      </c>
      <c r="DA26" s="37" t="str">
        <f aca="false">IF(CU26=0,"",CT26*CO26*CX26/1000/1000)</f>
        <v/>
      </c>
      <c r="DB26" s="37" t="str">
        <f aca="false">IF(CU26=0,"",CT26*CO26*CW26/1000)</f>
        <v/>
      </c>
      <c r="DC26" s="13" t="n">
        <f aca="false">IF(AND(CU26=1,ISNUMBER(AD26),ISNUMBER(AV26)),1,0)</f>
        <v>0</v>
      </c>
      <c r="DD26" s="7" t="str">
        <f aca="false">IF(DC26=0,"",p_ev_km*p_ice_l/100*AD26-p_ev_km*p_ev_kwh*AV26+p_ev_km*p_ev_maint)</f>
        <v/>
      </c>
      <c r="DE26" s="37" t="str">
        <f aca="false">IF(DC26=0,"",DD26/p_ev_prem)</f>
        <v/>
      </c>
      <c r="DF26" s="37" t="str">
        <f aca="false">IF(DC26=0,"",p_ev_km*p_ice_l/100*N(AZ26)/p_ev_prem)</f>
        <v/>
      </c>
      <c r="DG26" s="37" t="str">
        <f aca="false">IF(DC26=0,"",1000/p_ev_prem*(p_ev_km*p_ice_l/100*p_gj_l_gso*p_ef_gso-p_ev_km*p_ev_kwh/1000*CY26))</f>
        <v/>
      </c>
      <c r="DH26" s="11" t="str">
        <f aca="false">IFERROR(IF(INDEX(Damodaran!$D:$D,MATCH(A26,Damodaran!$A:$A,0))="","",INDEX(Damodaran!$D:$D,MATCH(A26,Damodaran!$A:$A,0))),"")</f>
        <v/>
      </c>
      <c r="DI26" s="11" t="str">
        <f aca="false">IFERROR(IF(INDEX(Damodaran!$E:$E,MATCH(A26,Damodaran!$A:$A,0))="","",INDEX(Damodaran!$E:$E,MATCH(A26,Damodaran!$A:$A,0))),"")</f>
        <v/>
      </c>
      <c r="DJ26" s="11" t="str">
        <f aca="false">IFERROR(IF(INDEX(Damodaran!$G:$G,MATCH(A26,Damodaran!$A:$A,0))="","",INDEX(Damodaran!$G:$G,MATCH(A26,Damodaran!$A:$A,0))),"")</f>
        <v/>
      </c>
      <c r="DK26" s="11" t="str">
        <f aca="false">IF(ISNUMBER(BG26),(1+BG26/100)*(1+p_infl)-1,"")</f>
        <v/>
      </c>
      <c r="DL26" s="11" t="str">
        <f aca="false">IF(ISNUMBER(BH26),BH26/100,"")</f>
        <v/>
      </c>
      <c r="DM26" s="11" t="str">
        <f aca="false">IF(COUNT(DK26,DL26)=0,"",AVERAGE(DK26,DL26))</f>
        <v/>
      </c>
      <c r="DN26" s="11" t="str">
        <f aca="false">IF(OR(DH26="",DI26=""),"",p_dv*(p_rf+DH26)*(1-IF(DJ26="",p_tax_def,DJ26))+(1-p_dv)*(p_rf+p_beta*p_erp+p_lambda*DI26))</f>
        <v/>
      </c>
      <c r="DO26" s="13" t="n">
        <f aca="false">IF(AND(ISNUMBER(DM26),ISNUMBER(DN26)),1,0)</f>
        <v>0</v>
      </c>
      <c r="DP26" s="11" t="n">
        <f aca="false">IF(DO26=1,DM26,0)</f>
        <v>0</v>
      </c>
      <c r="DQ26" s="11" t="n">
        <f aca="false">IF(DO26=1,DN26,0)</f>
        <v>0</v>
      </c>
      <c r="DR26" s="11" t="str">
        <f aca="false">IF(DN26="","",DN26+p_shift)</f>
        <v/>
      </c>
      <c r="DS26" s="11" t="n">
        <f aca="false">IF(E26="AE",p_r_ae,IF(E26="China",p_r_chn,p_r_emdc))</f>
        <v>0.055</v>
      </c>
      <c r="DT26" s="11" t="n">
        <f aca="false">IF(E26="AE",p_rh_ae,IF(E26="China",p_rh_chn,p_rh_emdc))</f>
        <v>0.07</v>
      </c>
      <c r="DU26" s="11" t="n">
        <f aca="false">IF(AND(p_use_obs=1,ISNUMBER(DM26)),DM26,IF(AND(p_use_dam=1,ISNUMBER(DR26)),DR26,DS26))</f>
        <v>0.055</v>
      </c>
      <c r="DV26" s="6" t="str">
        <f aca="false">IF(AND(p_use_obs=1,ISNUMBER(DM26)),"Observed (IRENA/Steffen)",IF(AND(p_use_dam=1,ISNUMBER(DR26)),"Damodaran (eq. 5)","Group default (IHLEG)"))</f>
        <v>Group default (IHLEG)</v>
      </c>
      <c r="DW26" s="11" t="n">
        <f aca="false">IF(p_basis=1,(1+DU26)/(1+p_infl)-1,DU26)</f>
        <v>0.055</v>
      </c>
      <c r="DX26" s="11" t="n">
        <f aca="false">DW26+(DT26-DS26)</f>
        <v>0.07</v>
      </c>
      <c r="DY26" s="28" t="n">
        <f aca="false">IF(AND(p_use_pefa=1,ISNUMBER(BD26)),p_gap_lic-(BD26-1)/3*(p_gap_lic-p_gap_ae),IF(E26="AE",p_gap_ae,IF(D26="Low income",p_gap_lic,p_gap_em)))*(1-p_reform*p_reform_close)</f>
        <v>0.13</v>
      </c>
      <c r="DZ26" s="6" t="str">
        <f aca="false">IF(AND(p_use_pefa=1,ISNUMBER(BD26)),"PEFA PI-11","Income-group default (IMF 2015)")</f>
        <v>Income-group default (IMF 2015)</v>
      </c>
      <c r="EA26" s="28" t="n">
        <f aca="false">IF(E26="AE",p_ps_ae,IF(E26="China",p_ps_chn,p_ps_emdc))</f>
        <v>0.3</v>
      </c>
      <c r="EB26" s="37" t="n">
        <f aca="false">(1-EA26)+EA26/(1-DY26)</f>
        <v>1.0448275862069</v>
      </c>
      <c r="EC26" s="16" t="n">
        <f aca="false">Results_Country!F26</f>
        <v>40.3950931677352</v>
      </c>
      <c r="ED26" s="16" t="n">
        <f aca="false">IF(CH26="",0,CH26*EC26)</f>
        <v>0</v>
      </c>
      <c r="EE26" s="16" t="n">
        <f aca="false">IF(CJ26="",0,CJ26*EC26)</f>
        <v>0</v>
      </c>
      <c r="EF26" s="16" t="n">
        <f aca="false">IF(CH26="",0,EC26)</f>
        <v>0</v>
      </c>
    </row>
    <row r="27" customFormat="false" ht="15" hidden="false" customHeight="false" outlineLevel="0" collapsed="false">
      <c r="A27" s="35" t="s">
        <v>808</v>
      </c>
      <c r="B27" s="35" t="s">
        <v>809</v>
      </c>
      <c r="C27" s="35" t="s">
        <v>766</v>
      </c>
      <c r="D27" s="35" t="s">
        <v>760</v>
      </c>
      <c r="E27" s="35" t="s">
        <v>29</v>
      </c>
      <c r="F27" s="36" t="n">
        <v>671.168</v>
      </c>
      <c r="G27" s="36" t="n">
        <v>872.158</v>
      </c>
      <c r="H27" s="33" t="n">
        <v>0.972</v>
      </c>
      <c r="I27" s="33" t="n">
        <v>0.661</v>
      </c>
      <c r="J27" s="36" t="n">
        <v>11.738764</v>
      </c>
      <c r="K27" s="36" t="n">
        <v>95.476</v>
      </c>
      <c r="L27" s="36" t="n">
        <v>111.259</v>
      </c>
      <c r="M27" s="36" t="n">
        <v>110.832</v>
      </c>
      <c r="N27" s="36" t="n">
        <v>53.7560274182326</v>
      </c>
      <c r="O27" s="36" t="n">
        <v>17.1879376880415</v>
      </c>
      <c r="P27" s="36" t="n">
        <v>1.65027857804927</v>
      </c>
      <c r="Q27" s="31" t="n">
        <v>0.173331434549622</v>
      </c>
      <c r="R27" s="31" t="n">
        <v>0.330650843817368</v>
      </c>
      <c r="S27" s="31" t="n">
        <v>0.121244408190249</v>
      </c>
      <c r="T27" s="31" t="n">
        <v>0.00321177289070762</v>
      </c>
      <c r="U27" s="31" t="n">
        <v>0.0280741572085308</v>
      </c>
      <c r="V27" s="31" t="n">
        <v>0.00281675661609468</v>
      </c>
      <c r="W27" s="31" t="n">
        <v>0.00284424395709429</v>
      </c>
      <c r="X27" s="31" t="n">
        <v>2.10740981154451E-006</v>
      </c>
      <c r="Y27" s="36" t="n">
        <v>2.28951980611314</v>
      </c>
      <c r="Z27" s="36" t="n">
        <v>9.51525778142958</v>
      </c>
      <c r="AA27" s="36" t="n">
        <v>0.736577406739371</v>
      </c>
      <c r="AB27" s="36" t="n">
        <v>0.0644936430838956</v>
      </c>
      <c r="AC27" s="36" t="n">
        <v>2.35527204487127</v>
      </c>
      <c r="AD27" s="31" t="n">
        <v>0.87256</v>
      </c>
      <c r="AE27" s="31" t="n">
        <v>0.866032</v>
      </c>
      <c r="AF27" s="31" t="n">
        <v>0.545651</v>
      </c>
      <c r="AG27" s="31" t="n">
        <v>0.66524</v>
      </c>
      <c r="AH27" s="31" t="n">
        <v>0.519811684543651</v>
      </c>
      <c r="AI27" s="31" t="n">
        <v>15.048</v>
      </c>
      <c r="AJ27" s="31" t="n">
        <v>18.65336</v>
      </c>
      <c r="AK27" s="31" t="n">
        <v>15.168</v>
      </c>
      <c r="AL27" s="31" t="n">
        <v>15.3591510838684</v>
      </c>
      <c r="AM27" s="31" t="n">
        <v>14.196</v>
      </c>
      <c r="AN27" s="31" t="n">
        <v>22.07403</v>
      </c>
      <c r="AO27" s="31" t="n">
        <v>14.196</v>
      </c>
      <c r="AP27" s="31" t="n">
        <v>18.3622925193774</v>
      </c>
      <c r="AQ27" s="36" t="n">
        <v>0.494342311039783</v>
      </c>
      <c r="AR27" s="36" t="n">
        <v>0.542320676792902</v>
      </c>
      <c r="AS27" s="36" t="n">
        <v>0.0837437659795137</v>
      </c>
      <c r="AT27" s="36" t="n">
        <v>0</v>
      </c>
      <c r="AU27" s="31" t="n">
        <v>0.263293214244613</v>
      </c>
      <c r="AV27" s="36" t="n">
        <v>0.25191</v>
      </c>
      <c r="AW27" s="31" t="n">
        <v>2.604307</v>
      </c>
      <c r="AX27" s="31" t="n">
        <v>0.039657</v>
      </c>
      <c r="AY27" s="31" t="n">
        <v>0.208131582911113</v>
      </c>
      <c r="AZ27" s="31" t="n">
        <v>0.025231</v>
      </c>
      <c r="BA27" s="33" t="n">
        <v>103.89</v>
      </c>
      <c r="BB27" s="33" t="n">
        <v>3.258</v>
      </c>
      <c r="BC27" s="33"/>
      <c r="BD27" s="33"/>
      <c r="BE27" s="33"/>
      <c r="BF27" s="33" t="n">
        <v>0</v>
      </c>
      <c r="BG27" s="33"/>
      <c r="BH27" s="33" t="n">
        <v>3.8</v>
      </c>
      <c r="BI27" s="29" t="n">
        <v>2019</v>
      </c>
      <c r="BJ27" s="33" t="n">
        <v>1</v>
      </c>
      <c r="BK27" s="33"/>
      <c r="BL27" s="33"/>
      <c r="BM27" s="33"/>
      <c r="BN27" s="29"/>
      <c r="BO27" s="33"/>
      <c r="BP27" s="33"/>
      <c r="BQ27" s="29" t="n">
        <v>2025</v>
      </c>
      <c r="BR27" s="36" t="n">
        <v>73.2</v>
      </c>
      <c r="BS27" s="36" t="n">
        <v>0</v>
      </c>
      <c r="BT27" s="36" t="n">
        <v>19.05</v>
      </c>
      <c r="BU27" s="36" t="n">
        <v>0.36</v>
      </c>
      <c r="BV27" s="16" t="n">
        <f aca="false">F27*(1+N(H27)/100)*(1+N(I27)/100)^5</f>
        <v>700.387526837024</v>
      </c>
      <c r="BW27" s="16" t="n">
        <f aca="false">IF(N(G27)&gt;0,G27,F27)</f>
        <v>872.158</v>
      </c>
      <c r="BX27" s="12" t="n">
        <f aca="false">F27/BW27</f>
        <v>0.769548636829565</v>
      </c>
      <c r="BY27" s="13" t="n">
        <f aca="false">IF(ISNUMBER(K27),1,0)</f>
        <v>1</v>
      </c>
      <c r="BZ27" s="16" t="n">
        <f aca="false">IF(BY27=0,"",N(N27)+N(O27)+N(P27))</f>
        <v>72.5942436843234</v>
      </c>
      <c r="CA27" s="37" t="n">
        <f aca="false">IF(BY27=0,"",(N(Y27)*34.2+N(Z27)*38.6)/1000)</f>
        <v>0.445590527732251</v>
      </c>
      <c r="CB27" s="37" t="n">
        <f aca="false">IF(BY27=0,"",N(O27)*0.0036+N(R27)+N(V27)+(N(AA27)*25.3+N(AB27)*37)/1000)</f>
        <v>0.416365849295022</v>
      </c>
      <c r="CC27" s="37" t="n">
        <f aca="false">IF(BY27=0,"",N(N27)*0.0036+N(Q27)+N(U27)+N(T27)+N(X27)+N(AC27)*38/1000)</f>
        <v>0.487641508469418</v>
      </c>
      <c r="CD27" s="37" t="n">
        <f aca="false">IF(BY27=0,"",N(Q27)+N(R27)+N(S27)+N(T27)+N(U27)+N(V27)+N(W27)+N(X27)+(N(Y27)*34.2+N(Z27)*38.6+N(AA27)*25.3+N(AB27)*37+N(AC27)*38)/1000)</f>
        <v>1.21828826326145</v>
      </c>
      <c r="CE27" s="16" t="n">
        <f aca="false">IF(BY27=0,"",MAX(0,N(L27)-N(K27))+MAX(0,N(M27)-N(L27)))</f>
        <v>15.783</v>
      </c>
      <c r="CF27" s="16" t="n">
        <f aca="false">IF(BY27=0,"",N(Y27)*N(AD27)+N(Z27)*N(AE27)+N(AA27)*N(AF27)+N(AB27)*N(AG27)+N(AC27)*N(AH27)+N(U27)*N(AI27)+N(V27)*N(AJ27)+N(W27)*N(AK27)+N(X27)*N(AL27)+N(Q27)*N(AM27)+N(R27)*N(AN27)+N(S27)*N(AO27)+N(T27)*N(AP27))</f>
        <v>23.9651235839254</v>
      </c>
      <c r="CG27" s="16" t="n">
        <f aca="false">IF(AND(BY27=1,N(K27)&gt;0),K27,0)</f>
        <v>95.476</v>
      </c>
      <c r="CH27" s="16" t="n">
        <f aca="false">IF(CG27&gt;0,CF27*1000/CG27,"")</f>
        <v>251.006782688062</v>
      </c>
      <c r="CI27" s="16" t="n">
        <f aca="false">IF(BY27=0,"",N(AQ27)+p_road*(N(AR27)+N(AS27)+N(AT27)))</f>
        <v>0.494342311039783</v>
      </c>
      <c r="CJ27" s="16" t="n">
        <f aca="false">IF(CG27&gt;0,CI27*1000/CG27,"")</f>
        <v>5.1776604700635</v>
      </c>
      <c r="CK27" s="12" t="n">
        <f aca="false">IF(CH27="",1,MIN(p_idx_max,MAX(p_idx_min,CH27/p_fc_world)))</f>
        <v>1.55897722035439</v>
      </c>
      <c r="CL27" s="12" t="n">
        <f aca="false">IF(CJ27="",1,MIN(p_idx_max,MAX(p_idx_min,CJ27/p_cb_world)))</f>
        <v>0.25</v>
      </c>
      <c r="CM27" s="37" t="n">
        <f aca="false">p_b*(1-p_wb_idx+p_wb_idx*CK27)</f>
        <v>0.207343970307134</v>
      </c>
      <c r="CN27" s="37" t="n">
        <f aca="false">p_c*(1-p_wc_idx+p_wc_idx*CL27)</f>
        <v>0.03225</v>
      </c>
      <c r="CO27" s="28" t="n">
        <f aca="false">IF(N(BR27)&gt;0,(N(BS27)+N(BT27)+N(BU27))/BR27,"")</f>
        <v>0.26516393442623</v>
      </c>
      <c r="CP27" s="16" t="n">
        <f aca="false">N(BS27)+N(BT27)+N(BU27)</f>
        <v>19.41</v>
      </c>
      <c r="CQ27" s="28" t="n">
        <f aca="false">IF(CP27&gt;0,N(BS27)/CP27,"")</f>
        <v>0</v>
      </c>
      <c r="CR27" s="28" t="n">
        <f aca="false">IF(CP27&gt;0,N(BT27)/CP27,"")</f>
        <v>0.98145285935085</v>
      </c>
      <c r="CS27" s="28" t="n">
        <f aca="false">IF(CP27&gt;0,N(BU27)/CP27,"")</f>
        <v>0.0185471406491499</v>
      </c>
      <c r="CT27" s="7" t="n">
        <f aca="false">1000*(p_sh_pv*p_cf_pv/p_capex_pv+(1-p_sh_pv)*p_cf_wind/p_capex_wind)*8760</f>
        <v>2301.28856624319</v>
      </c>
      <c r="CU27" s="13" t="n">
        <f aca="false">IF(AND(ISNUMBER(CO27),ISNUMBER(CQ27),BY27=1),1,0)</f>
        <v>1</v>
      </c>
      <c r="CV27" s="16" t="n">
        <f aca="false">IF(CU27=0,"",CQ27*p_hr_coal*N(AK27)+CR27*p_hr_gas*N(AO27)+CS27*p_hr_oil*N(AH27)/p_gj_l_oil)</f>
        <v>107.11784330439</v>
      </c>
      <c r="CW27" s="37" t="n">
        <f aca="false">IF(CU27=0,"",CQ27*p_hr_coal*p_ef_coal+CR27*p_hr_gas*p_ef_gas+CS27*p_hr_oil*p_ef_oil)</f>
        <v>0.428019551777434</v>
      </c>
      <c r="CX27" s="16" t="n">
        <f aca="false">IF(CU27=0,"",CQ27*p_hr_coal*N(AW27)+CR27*p_hr_gas*N(AX27)+CS27*p_hr_oil*N(AY27)/p_gj_l_oil)</f>
        <v>1.34197791718254</v>
      </c>
      <c r="CY27" s="37" t="n">
        <f aca="false">IF(CU27=0,"",CO27*CW27)</f>
        <v>0.113495348360656</v>
      </c>
      <c r="CZ27" s="37" t="n">
        <f aca="false">IF(CU27=0,"",CT27*CO27*CV27/1000/1000-p_om_re)</f>
        <v>0.0503653143524401</v>
      </c>
      <c r="DA27" s="37" t="n">
        <f aca="false">IF(CU27=0,"",CT27*CO27*CX27/1000/1000)</f>
        <v>0.000818900060948807</v>
      </c>
      <c r="DB27" s="37" t="n">
        <f aca="false">IF(CU27=0,"",CT27*CO27*CW27/1000)</f>
        <v>0.261185547504165</v>
      </c>
      <c r="DC27" s="13" t="n">
        <f aca="false">IF(AND(CU27=1,ISNUMBER(AD27),ISNUMBER(AV27)),1,0)</f>
        <v>1</v>
      </c>
      <c r="DD27" s="7" t="n">
        <f aca="false">IF(DC27=0,"",p_ev_km*p_ice_l/100*AD27-p_ev_km*p_ev_kwh*AV27+p_ev_km*p_ev_maint)</f>
        <v>481.473</v>
      </c>
      <c r="DE27" s="37" t="n">
        <f aca="false">IF(DC27=0,"",DD27/p_ev_prem)</f>
        <v>0.0962946</v>
      </c>
      <c r="DF27" s="37" t="n">
        <f aca="false">IF(DC27=0,"",p_ev_km*p_ice_l/100*N(AZ27)/p_ev_prem)</f>
        <v>0.005676975</v>
      </c>
      <c r="DG27" s="37" t="n">
        <f aca="false">IF(DC27=0,"",1000/p_ev_prem*(p_ev_km*p_ice_l/100*p_gj_l_gso*p_ef_gso-p_ev_km*p_ev_kwh/1000*CY27))</f>
        <v>0.471976011885246</v>
      </c>
      <c r="DH27" s="11" t="str">
        <f aca="false">IFERROR(IF(INDEX(Damodaran!$D:$D,MATCH(A27,Damodaran!$A:$A,0))="","",INDEX(Damodaran!$D:$D,MATCH(A27,Damodaran!$A:$A,0))),"")</f>
        <v/>
      </c>
      <c r="DI27" s="11" t="str">
        <f aca="false">IFERROR(IF(INDEX(Damodaran!$E:$E,MATCH(A27,Damodaran!$A:$A,0))="","",INDEX(Damodaran!$E:$E,MATCH(A27,Damodaran!$A:$A,0))),"")</f>
        <v/>
      </c>
      <c r="DJ27" s="11" t="str">
        <f aca="false">IFERROR(IF(INDEX(Damodaran!$G:$G,MATCH(A27,Damodaran!$A:$A,0))="","",INDEX(Damodaran!$G:$G,MATCH(A27,Damodaran!$A:$A,0))),"")</f>
        <v/>
      </c>
      <c r="DK27" s="11" t="str">
        <f aca="false">IF(ISNUMBER(BG27),(1+BG27/100)*(1+p_infl)-1,"")</f>
        <v/>
      </c>
      <c r="DL27" s="11" t="n">
        <f aca="false">IF(ISNUMBER(BH27),BH27/100,"")</f>
        <v>0.038</v>
      </c>
      <c r="DM27" s="11" t="n">
        <f aca="false">IF(COUNT(DK27,DL27)=0,"",AVERAGE(DK27,DL27))</f>
        <v>0.038</v>
      </c>
      <c r="DN27" s="11" t="str">
        <f aca="false">IF(OR(DH27="",DI27=""),"",p_dv*(p_rf+DH27)*(1-IF(DJ27="",p_tax_def,DJ27))+(1-p_dv)*(p_rf+p_beta*p_erp+p_lambda*DI27))</f>
        <v/>
      </c>
      <c r="DO27" s="13" t="n">
        <f aca="false">IF(AND(ISNUMBER(DM27),ISNUMBER(DN27)),1,0)</f>
        <v>0</v>
      </c>
      <c r="DP27" s="11" t="n">
        <f aca="false">IF(DO27=1,DM27,0)</f>
        <v>0</v>
      </c>
      <c r="DQ27" s="11" t="n">
        <f aca="false">IF(DO27=1,DN27,0)</f>
        <v>0</v>
      </c>
      <c r="DR27" s="11" t="str">
        <f aca="false">IF(DN27="","",DN27+p_shift)</f>
        <v/>
      </c>
      <c r="DS27" s="11" t="n">
        <f aca="false">IF(E27="AE",p_r_ae,IF(E27="China",p_r_chn,p_r_emdc))</f>
        <v>0.055</v>
      </c>
      <c r="DT27" s="11" t="n">
        <f aca="false">IF(E27="AE",p_rh_ae,IF(E27="China",p_rh_chn,p_rh_emdc))</f>
        <v>0.07</v>
      </c>
      <c r="DU27" s="11" t="n">
        <f aca="false">IF(AND(p_use_obs=1,ISNUMBER(DM27)),DM27,IF(AND(p_use_dam=1,ISNUMBER(DR27)),DR27,DS27))</f>
        <v>0.038</v>
      </c>
      <c r="DV27" s="6" t="str">
        <f aca="false">IF(AND(p_use_obs=1,ISNUMBER(DM27)),"Observed (IRENA/Steffen)",IF(AND(p_use_dam=1,ISNUMBER(DR27)),"Damodaran (eq. 5)","Group default (IHLEG)"))</f>
        <v>Observed (IRENA/Steffen)</v>
      </c>
      <c r="DW27" s="11" t="n">
        <f aca="false">IF(p_basis=1,(1+DU27)/(1+p_infl)-1,DU27)</f>
        <v>0.038</v>
      </c>
      <c r="DX27" s="11" t="n">
        <f aca="false">DW27+(DT27-DS27)</f>
        <v>0.053</v>
      </c>
      <c r="DY27" s="28" t="n">
        <f aca="false">IF(AND(p_use_pefa=1,ISNUMBER(BD27)),p_gap_lic-(BD27-1)/3*(p_gap_lic-p_gap_ae),IF(E27="AE",p_gap_ae,IF(D27="Low income",p_gap_lic,p_gap_em)))*(1-p_reform*p_reform_close)</f>
        <v>0.13</v>
      </c>
      <c r="DZ27" s="6" t="str">
        <f aca="false">IF(AND(p_use_pefa=1,ISNUMBER(BD27)),"PEFA PI-11","Income-group default (IMF 2015)")</f>
        <v>Income-group default (IMF 2015)</v>
      </c>
      <c r="EA27" s="28" t="n">
        <f aca="false">IF(E27="AE",p_ps_ae,IF(E27="China",p_ps_chn,p_ps_emdc))</f>
        <v>0.3</v>
      </c>
      <c r="EB27" s="37" t="n">
        <f aca="false">(1-EA27)+EA27/(1-DY27)</f>
        <v>1.0448275862069</v>
      </c>
      <c r="EC27" s="16" t="n">
        <f aca="false">Results_Country!F27</f>
        <v>21.8276195203218</v>
      </c>
      <c r="ED27" s="16" t="n">
        <f aca="false">IF(CH27="",0,CH27*EC27)</f>
        <v>5478.88054953512</v>
      </c>
      <c r="EE27" s="16" t="n">
        <f aca="false">IF(CJ27="",0,CJ27*EC27)</f>
        <v>113.016002745957</v>
      </c>
      <c r="EF27" s="16" t="n">
        <f aca="false">IF(CH27="",0,EC27)</f>
        <v>21.8276195203218</v>
      </c>
    </row>
    <row r="28" customFormat="false" ht="15" hidden="false" customHeight="false" outlineLevel="0" collapsed="false">
      <c r="A28" s="35" t="s">
        <v>810</v>
      </c>
      <c r="B28" s="35" t="s">
        <v>811</v>
      </c>
      <c r="C28" s="35" t="s">
        <v>784</v>
      </c>
      <c r="D28" s="35" t="s">
        <v>763</v>
      </c>
      <c r="E28" s="35" t="s">
        <v>31</v>
      </c>
      <c r="F28" s="36" t="n">
        <v>637.234</v>
      </c>
      <c r="G28" s="36" t="n">
        <v>1392.607</v>
      </c>
      <c r="H28" s="33" t="n">
        <v>4.367</v>
      </c>
      <c r="I28" s="33" t="n">
        <v>3.5</v>
      </c>
      <c r="J28" s="36" t="n">
        <v>45.696159</v>
      </c>
      <c r="K28" s="36" t="n">
        <v>169.164</v>
      </c>
      <c r="L28" s="36" t="n">
        <v>370.869</v>
      </c>
      <c r="M28" s="36" t="n">
        <v>404.174</v>
      </c>
      <c r="N28" s="36" t="n">
        <v>78.1420009904737</v>
      </c>
      <c r="O28" s="36" t="n">
        <v>45.0685536248516</v>
      </c>
      <c r="P28" s="36" t="n">
        <v>0.463890213256633</v>
      </c>
      <c r="Q28" s="31" t="n">
        <v>0.397345355555365</v>
      </c>
      <c r="R28" s="31" t="n">
        <v>0.419696591422532</v>
      </c>
      <c r="S28" s="31" t="n">
        <v>0.548046686392616</v>
      </c>
      <c r="T28" s="31" t="n">
        <v>0.0797111653789854</v>
      </c>
      <c r="U28" s="31" t="n">
        <v>0.0216795065662164</v>
      </c>
      <c r="V28" s="31" t="n">
        <v>0</v>
      </c>
      <c r="W28" s="31" t="n">
        <v>0.066214919243572</v>
      </c>
      <c r="X28" s="31" t="n">
        <v>0</v>
      </c>
      <c r="Y28" s="36" t="n">
        <v>6.41668865987006</v>
      </c>
      <c r="Z28" s="36" t="n">
        <v>11.4066482421811</v>
      </c>
      <c r="AA28" s="36" t="n">
        <v>2.7315263269155</v>
      </c>
      <c r="AB28" s="36" t="n">
        <v>0.227931042576249</v>
      </c>
      <c r="AC28" s="36" t="n">
        <v>2.35486004867062</v>
      </c>
      <c r="AD28" s="31" t="n">
        <v>0.91476</v>
      </c>
      <c r="AE28" s="31" t="n">
        <v>0.696597</v>
      </c>
      <c r="AF28" s="31" t="n">
        <v>0.615579</v>
      </c>
      <c r="AG28" s="31" t="n">
        <v>0.68728</v>
      </c>
      <c r="AH28" s="31" t="n">
        <v>0.519462891908447</v>
      </c>
      <c r="AI28" s="31" t="n">
        <v>7.084</v>
      </c>
      <c r="AJ28" s="31" t="n">
        <v>14.66641</v>
      </c>
      <c r="AK28" s="31" t="n">
        <v>5.538</v>
      </c>
      <c r="AL28" s="31" t="n">
        <v>5.91932699363556</v>
      </c>
      <c r="AM28" s="31" t="n">
        <v>8.851</v>
      </c>
      <c r="AN28" s="31" t="n">
        <v>16.04097</v>
      </c>
      <c r="AO28" s="31" t="n">
        <v>8.117</v>
      </c>
      <c r="AP28" s="31" t="n">
        <v>10.7668753283006</v>
      </c>
      <c r="AQ28" s="36" t="n">
        <v>7.00788810080102</v>
      </c>
      <c r="AR28" s="36" t="n">
        <v>1.39208427364848</v>
      </c>
      <c r="AS28" s="36" t="n">
        <v>2.27775734520855</v>
      </c>
      <c r="AT28" s="36" t="n">
        <v>1.45873228506621</v>
      </c>
      <c r="AU28" s="31" t="n">
        <v>0.372289198637303</v>
      </c>
      <c r="AV28" s="36" t="n">
        <v>0.11704</v>
      </c>
      <c r="AW28" s="31" t="n">
        <v>1.427653</v>
      </c>
      <c r="AX28" s="31" t="n">
        <v>0.090456</v>
      </c>
      <c r="AY28" s="31" t="n">
        <v>0.281859037219705</v>
      </c>
      <c r="AZ28" s="31" t="n">
        <v>0.089867</v>
      </c>
      <c r="BA28" s="33" t="n">
        <v>84.653</v>
      </c>
      <c r="BB28" s="33" t="n">
        <v>5.445</v>
      </c>
      <c r="BC28" s="33" t="n">
        <v>97.306</v>
      </c>
      <c r="BD28" s="33" t="n">
        <v>1.5</v>
      </c>
      <c r="BE28" s="33" t="n">
        <v>2</v>
      </c>
      <c r="BF28" s="33" t="n">
        <v>0</v>
      </c>
      <c r="BG28" s="33" t="n">
        <v>13.8</v>
      </c>
      <c r="BH28" s="33" t="n">
        <v>9.3</v>
      </c>
      <c r="BI28" s="29" t="n">
        <v>2020</v>
      </c>
      <c r="BJ28" s="33" t="n">
        <v>2</v>
      </c>
      <c r="BK28" s="33"/>
      <c r="BL28" s="33" t="n">
        <v>-2.971</v>
      </c>
      <c r="BM28" s="33" t="n">
        <v>3.721</v>
      </c>
      <c r="BN28" s="29" t="n">
        <v>12.617</v>
      </c>
      <c r="BO28" s="33" t="n">
        <v>0.336</v>
      </c>
      <c r="BP28" s="33" t="n">
        <v>0.076</v>
      </c>
      <c r="BQ28" s="29" t="n">
        <v>2025</v>
      </c>
      <c r="BR28" s="36" t="n">
        <v>153.13</v>
      </c>
      <c r="BS28" s="36" t="n">
        <v>1.34</v>
      </c>
      <c r="BT28" s="36" t="n">
        <v>82.15</v>
      </c>
      <c r="BU28" s="36" t="n">
        <v>5.92</v>
      </c>
      <c r="BV28" s="16" t="n">
        <f aca="false">F28*(1+N(H28)/100)*(1+N(I28)/100)^5</f>
        <v>789.885040234008</v>
      </c>
      <c r="BW28" s="16" t="n">
        <f aca="false">IF(N(G28)&gt;0,G28,F28)</f>
        <v>1392.607</v>
      </c>
      <c r="BX28" s="12" t="n">
        <f aca="false">F28/BW28</f>
        <v>0.45758351063868</v>
      </c>
      <c r="BY28" s="13" t="n">
        <f aca="false">IF(ISNUMBER(K28),1,0)</f>
        <v>1</v>
      </c>
      <c r="BZ28" s="16" t="n">
        <f aca="false">IF(BY28=0,"",N(N28)+N(O28)+N(P28))</f>
        <v>123.674444828582</v>
      </c>
      <c r="CA28" s="37" t="n">
        <f aca="false">IF(BY28=0,"",(N(Y28)*34.2+N(Z28)*38.6)/1000)</f>
        <v>0.659747374315748</v>
      </c>
      <c r="CB28" s="37" t="n">
        <f aca="false">IF(BY28=0,"",N(O28)*0.0036+N(R28)+N(V28)+(N(AA28)*25.3+N(AB28)*37)/1000)</f>
        <v>0.65948444911828</v>
      </c>
      <c r="CC28" s="37" t="n">
        <f aca="false">IF(BY28=0,"",N(N28)*0.0036+N(Q28)+N(U28)+N(T28)+N(X28)+N(AC28)*38/1000)</f>
        <v>0.869531912915755</v>
      </c>
      <c r="CD28" s="37" t="n">
        <f aca="false">IF(BY28=0,"",N(Q28)+N(R28)+N(S28)+N(T28)+N(U28)+N(V28)+N(W28)+N(X28)+(N(Y28)*34.2+N(Z28)*38.6+N(AA28)*25.3+N(AB28)*37+N(AC28)*38)/1000)</f>
        <v>2.3594673453708</v>
      </c>
      <c r="CE28" s="16" t="n">
        <f aca="false">IF(BY28=0,"",MAX(0,N(L28)-N(K28))+MAX(0,N(M28)-N(L28)))</f>
        <v>235.01</v>
      </c>
      <c r="CF28" s="16" t="n">
        <f aca="false">IF(BY28=0,"",N(Y28)*N(AD28)+N(Z28)*N(AE28)+N(AA28)*N(AF28)+N(AB28)*N(AG28)+N(AC28)*N(AH28)+N(U28)*N(AI28)+N(V28)*N(AJ28)+N(W28)*N(AK28)+N(X28)*N(AL28)+N(Q28)*N(AM28)+N(R28)*N(AN28)+N(S28)*N(AO28)+N(T28)*N(AP28))</f>
        <v>32.9532073214972</v>
      </c>
      <c r="CG28" s="16" t="n">
        <f aca="false">IF(AND(BY28=1,N(K28)&gt;0),K28,0)</f>
        <v>169.164</v>
      </c>
      <c r="CH28" s="16" t="n">
        <f aca="false">IF(CG28&gt;0,CF28*1000/CG28,"")</f>
        <v>194.800355403615</v>
      </c>
      <c r="CI28" s="16" t="n">
        <f aca="false">IF(BY28=0,"",N(AQ28)+p_road*(N(AR28)+N(AS28)+N(AT28)))</f>
        <v>7.00788810080102</v>
      </c>
      <c r="CJ28" s="16" t="n">
        <f aca="false">IF(CG28&gt;0,CI28*1000/CG28,"")</f>
        <v>41.4265925421545</v>
      </c>
      <c r="CK28" s="12" t="n">
        <f aca="false">IF(CH28="",1,MIN(p_idx_max,MAX(p_idx_min,CH28/p_fc_world)))</f>
        <v>1.2098849016705</v>
      </c>
      <c r="CL28" s="12" t="n">
        <f aca="false">IF(CJ28="",1,MIN(p_idx_max,MAX(p_idx_min,CJ28/p_cb_world)))</f>
        <v>0.787715659182245</v>
      </c>
      <c r="CM28" s="37" t="n">
        <f aca="false">p_b*(1-p_wb_idx+p_wb_idx*CK28)</f>
        <v>0.160914691922177</v>
      </c>
      <c r="CN28" s="37" t="n">
        <f aca="false">p_c*(1-p_wc_idx+p_wc_idx*CL28)</f>
        <v>0.10161532003451</v>
      </c>
      <c r="CO28" s="28" t="n">
        <f aca="false">IF(N(BR28)&gt;0,(N(BS28)+N(BT28)+N(BU28))/BR28,"")</f>
        <v>0.583882975249788</v>
      </c>
      <c r="CP28" s="16" t="n">
        <f aca="false">N(BS28)+N(BT28)+N(BU28)</f>
        <v>89.41</v>
      </c>
      <c r="CQ28" s="28" t="n">
        <f aca="false">IF(CP28&gt;0,N(BS28)/CP28,"")</f>
        <v>0.0149871379040376</v>
      </c>
      <c r="CR28" s="28" t="n">
        <f aca="false">IF(CP28&gt;0,N(BT28)/CP28,"")</f>
        <v>0.918801028967677</v>
      </c>
      <c r="CS28" s="28" t="n">
        <f aca="false">IF(CP28&gt;0,N(BU28)/CP28,"")</f>
        <v>0.0662118331282854</v>
      </c>
      <c r="CT28" s="7" t="n">
        <f aca="false">1000*(p_sh_pv*p_cf_pv/p_capex_pv+(1-p_sh_pv)*p_cf_wind/p_capex_wind)*8760</f>
        <v>2301.28856624319</v>
      </c>
      <c r="CU28" s="13" t="n">
        <f aca="false">IF(AND(ISNUMBER(CO28),ISNUMBER(CQ28),BY28=1),1,0)</f>
        <v>1</v>
      </c>
      <c r="CV28" s="16" t="n">
        <f aca="false">IF(CU28=0,"",CQ28*p_hr_coal*N(AK28)+CR28*p_hr_gas*N(AO28)+CS28*p_hr_oil*N(AH28)/p_gj_l_oil)</f>
        <v>66.1203387451384</v>
      </c>
      <c r="CW28" s="37" t="n">
        <f aca="false">IF(CU28=0,"",CQ28*p_hr_coal*p_ef_coal+CR28*p_hr_gas*p_ef_gas+CS28*p_hr_oil*p_ef_oil)</f>
        <v>0.454573722178727</v>
      </c>
      <c r="CX28" s="16" t="n">
        <f aca="false">IF(CU28=0,"",CQ28*p_hr_coal*N(AW28)+CR28*p_hr_gas*N(AX28)+CS28*p_hr_oil*N(AY28)/p_gj_l_oil)</f>
        <v>5.9138578658995</v>
      </c>
      <c r="CY28" s="37" t="n">
        <f aca="false">IF(CU28=0,"",CO28*CW28)</f>
        <v>0.265417857376086</v>
      </c>
      <c r="CZ28" s="37" t="n">
        <f aca="false">IF(CU28=0,"",CT28*CO28*CV28/1000/1000-p_om_re)</f>
        <v>0.0738447893397346</v>
      </c>
      <c r="DA28" s="37" t="n">
        <f aca="false">IF(CU28=0,"",CT28*CO28*CX28/1000/1000)</f>
        <v>0.00794635155010614</v>
      </c>
      <c r="DB28" s="37" t="n">
        <f aca="false">IF(CU28=0,"",CT28*CO28*CW28/1000)</f>
        <v>0.610803080456353</v>
      </c>
      <c r="DC28" s="13" t="n">
        <f aca="false">IF(AND(CU28=1,ISNUMBER(AD28),ISNUMBER(AV28)),1,0)</f>
        <v>1</v>
      </c>
      <c r="DD28" s="7" t="n">
        <f aca="false">IF(DC28=0,"",p_ev_km*p_ice_l/100*AD28-p_ev_km*p_ev_kwh*AV28+p_ev_km*p_ev_maint)</f>
        <v>893.097</v>
      </c>
      <c r="DE28" s="37" t="n">
        <f aca="false">IF(DC28=0,"",DD28/p_ev_prem)</f>
        <v>0.1786194</v>
      </c>
      <c r="DF28" s="37" t="n">
        <f aca="false">IF(DC28=0,"",p_ev_km*p_ice_l/100*N(AZ28)/p_ev_prem)</f>
        <v>0.020220075</v>
      </c>
      <c r="DG28" s="37" t="n">
        <f aca="false">IF(DC28=0,"",1000/p_ev_prem*(p_ev_km*p_ice_l/100*p_gj_l_gso*p_ef_gso-p_ev_km*p_ev_kwh/1000*CY28))</f>
        <v>0.389937857016914</v>
      </c>
      <c r="DH28" s="11" t="str">
        <f aca="false">IFERROR(IF(INDEX(Damodaran!$D:$D,MATCH(A28,Damodaran!$A:$A,0))="","",INDEX(Damodaran!$D:$D,MATCH(A28,Damodaran!$A:$A,0))),"")</f>
        <v/>
      </c>
      <c r="DI28" s="11" t="str">
        <f aca="false">IFERROR(IF(INDEX(Damodaran!$E:$E,MATCH(A28,Damodaran!$A:$A,0))="","",INDEX(Damodaran!$E:$E,MATCH(A28,Damodaran!$A:$A,0))),"")</f>
        <v/>
      </c>
      <c r="DJ28" s="11" t="str">
        <f aca="false">IFERROR(IF(INDEX(Damodaran!$G:$G,MATCH(A28,Damodaran!$A:$A,0))="","",INDEX(Damodaran!$G:$G,MATCH(A28,Damodaran!$A:$A,0))),"")</f>
        <v/>
      </c>
      <c r="DK28" s="11" t="n">
        <f aca="false">IF(ISNUMBER(BG28),(1+BG28/100)*(1+p_infl)-1,"")</f>
        <v>0.16076</v>
      </c>
      <c r="DL28" s="11" t="n">
        <f aca="false">IF(ISNUMBER(BH28),BH28/100,"")</f>
        <v>0.093</v>
      </c>
      <c r="DM28" s="11" t="n">
        <f aca="false">IF(COUNT(DK28,DL28)=0,"",AVERAGE(DK28,DL28))</f>
        <v>0.12688</v>
      </c>
      <c r="DN28" s="11" t="str">
        <f aca="false">IF(OR(DH28="",DI28=""),"",p_dv*(p_rf+DH28)*(1-IF(DJ28="",p_tax_def,DJ28))+(1-p_dv)*(p_rf+p_beta*p_erp+p_lambda*DI28))</f>
        <v/>
      </c>
      <c r="DO28" s="13" t="n">
        <f aca="false">IF(AND(ISNUMBER(DM28),ISNUMBER(DN28)),1,0)</f>
        <v>0</v>
      </c>
      <c r="DP28" s="11" t="n">
        <f aca="false">IF(DO28=1,DM28,0)</f>
        <v>0</v>
      </c>
      <c r="DQ28" s="11" t="n">
        <f aca="false">IF(DO28=1,DN28,0)</f>
        <v>0</v>
      </c>
      <c r="DR28" s="11" t="str">
        <f aca="false">IF(DN28="","",DN28+p_shift)</f>
        <v/>
      </c>
      <c r="DS28" s="11" t="n">
        <f aca="false">IF(E28="AE",p_r_ae,IF(E28="China",p_r_chn,p_r_emdc))</f>
        <v>0.105</v>
      </c>
      <c r="DT28" s="11" t="n">
        <f aca="false">IF(E28="AE",p_rh_ae,IF(E28="China",p_rh_chn,p_rh_emdc))</f>
        <v>0.15</v>
      </c>
      <c r="DU28" s="11" t="n">
        <f aca="false">IF(AND(p_use_obs=1,ISNUMBER(DM28)),DM28,IF(AND(p_use_dam=1,ISNUMBER(DR28)),DR28,DS28))</f>
        <v>0.12688</v>
      </c>
      <c r="DV28" s="6" t="str">
        <f aca="false">IF(AND(p_use_obs=1,ISNUMBER(DM28)),"Observed (IRENA/Steffen)",IF(AND(p_use_dam=1,ISNUMBER(DR28)),"Damodaran (eq. 5)","Group default (IHLEG)"))</f>
        <v>Observed (IRENA/Steffen)</v>
      </c>
      <c r="DW28" s="11" t="n">
        <f aca="false">IF(p_basis=1,(1+DU28)/(1+p_infl)-1,DU28)</f>
        <v>0.12688</v>
      </c>
      <c r="DX28" s="11" t="n">
        <f aca="false">DW28+(DT28-DS28)</f>
        <v>0.17188</v>
      </c>
      <c r="DY28" s="28" t="n">
        <f aca="false">IF(AND(p_use_pefa=1,ISNUMBER(BD28)),p_gap_lic-(BD28-1)/3*(p_gap_lic-p_gap_ae),IF(E28="AE",p_gap_ae,IF(D28="Low income",p_gap_lic,p_gap_em)))*(1-p_reform*p_reform_close)</f>
        <v>0.355</v>
      </c>
      <c r="DZ28" s="6" t="str">
        <f aca="false">IF(AND(p_use_pefa=1,ISNUMBER(BD28)),"PEFA PI-11","Income-group default (IMF 2015)")</f>
        <v>PEFA PI-11</v>
      </c>
      <c r="EA28" s="28" t="n">
        <f aca="false">IF(E28="AE",p_ps_ae,IF(E28="China",p_ps_chn,p_ps_emdc))</f>
        <v>0.4</v>
      </c>
      <c r="EB28" s="37" t="n">
        <f aca="false">(1-EA28)+EA28/(1-DY28)</f>
        <v>1.22015503875969</v>
      </c>
      <c r="EC28" s="16" t="n">
        <f aca="false">Results_Country!F28</f>
        <v>37.4974155367317</v>
      </c>
      <c r="ED28" s="16" t="n">
        <f aca="false">IF(CH28="",0,CH28*EC28)</f>
        <v>7304.50987327239</v>
      </c>
      <c r="EE28" s="16" t="n">
        <f aca="false">IF(CJ28="",0,CJ28*EC28)</f>
        <v>1553.39015482404</v>
      </c>
      <c r="EF28" s="16" t="n">
        <f aca="false">IF(CH28="",0,EC28)</f>
        <v>37.4974155367317</v>
      </c>
    </row>
    <row r="29" customFormat="false" ht="15" hidden="false" customHeight="false" outlineLevel="0" collapsed="false">
      <c r="A29" s="35" t="s">
        <v>812</v>
      </c>
      <c r="B29" s="35" t="s">
        <v>813</v>
      </c>
      <c r="C29" s="35" t="s">
        <v>766</v>
      </c>
      <c r="D29" s="35" t="s">
        <v>760</v>
      </c>
      <c r="E29" s="35" t="s">
        <v>29</v>
      </c>
      <c r="F29" s="36" t="n">
        <v>608.974</v>
      </c>
      <c r="G29" s="36" t="n">
        <v>726.213</v>
      </c>
      <c r="H29" s="33" t="n">
        <v>12.338</v>
      </c>
      <c r="I29" s="33" t="n">
        <v>2.516</v>
      </c>
      <c r="J29" s="36" t="n">
        <v>5.255018</v>
      </c>
      <c r="K29" s="36" t="n">
        <v>41.612</v>
      </c>
      <c r="L29" s="36" t="n">
        <v>66.731</v>
      </c>
      <c r="M29" s="36" t="n">
        <v>73.71</v>
      </c>
      <c r="N29" s="36" t="n">
        <v>24.4759241733323</v>
      </c>
      <c r="O29" s="36" t="n">
        <v>10.3092508185918</v>
      </c>
      <c r="P29" s="36" t="n">
        <v>0.173226184116648</v>
      </c>
      <c r="Q29" s="31" t="n">
        <v>0.0374187455093382</v>
      </c>
      <c r="R29" s="31" t="n">
        <v>0.0700146292103192</v>
      </c>
      <c r="S29" s="31" t="n">
        <v>0.0824975044392645</v>
      </c>
      <c r="T29" s="31" t="n">
        <v>0</v>
      </c>
      <c r="U29" s="31" t="n">
        <v>0.00571279627797283</v>
      </c>
      <c r="V29" s="31" t="n">
        <v>0.0177739348525862</v>
      </c>
      <c r="W29" s="31" t="n">
        <v>0.0316598745457564</v>
      </c>
      <c r="X29" s="31" t="n">
        <v>0</v>
      </c>
      <c r="Y29" s="36" t="n">
        <v>0.832709166249288</v>
      </c>
      <c r="Z29" s="36" t="n">
        <v>4.64473456990563</v>
      </c>
      <c r="AA29" s="36" t="n">
        <v>0.337783646871462</v>
      </c>
      <c r="AB29" s="36" t="n">
        <v>1.21070266393606</v>
      </c>
      <c r="AC29" s="36" t="n">
        <v>0.644007292378967</v>
      </c>
      <c r="AD29" s="31" t="n">
        <v>0.89031</v>
      </c>
      <c r="AE29" s="31" t="n">
        <v>0.863219</v>
      </c>
      <c r="AF29" s="31" t="n">
        <v>0.544568</v>
      </c>
      <c r="AG29" s="31" t="n">
        <v>0.719509</v>
      </c>
      <c r="AH29" s="31" t="n">
        <v>0.525334034440664</v>
      </c>
      <c r="AI29" s="31" t="n">
        <v>5.452</v>
      </c>
      <c r="AJ29" s="31" t="n">
        <v>29.29614</v>
      </c>
      <c r="AK29" s="31" t="n">
        <v>5.075</v>
      </c>
      <c r="AL29" s="31" t="n">
        <v>12.920608688079</v>
      </c>
      <c r="AM29" s="31" t="n">
        <v>17.553</v>
      </c>
      <c r="AN29" s="31" t="n">
        <v>35.87787</v>
      </c>
      <c r="AO29" s="31" t="n">
        <v>17.553</v>
      </c>
      <c r="AP29" s="31" t="n">
        <v>24.3081363109511</v>
      </c>
      <c r="AQ29" s="36" t="n">
        <v>0.745082438492124</v>
      </c>
      <c r="AR29" s="36" t="n">
        <v>0.98558154110701</v>
      </c>
      <c r="AS29" s="36" t="n">
        <v>0.104319526403597</v>
      </c>
      <c r="AT29" s="36" t="n">
        <v>0.138745244288277</v>
      </c>
      <c r="AU29" s="31" t="n">
        <v>0.563223236675003</v>
      </c>
      <c r="AV29" s="36" t="n">
        <v>0.449996</v>
      </c>
      <c r="AW29" s="31" t="n">
        <v>0.801606</v>
      </c>
      <c r="AX29" s="31" t="n">
        <v>0.395868</v>
      </c>
      <c r="AY29" s="31" t="n">
        <v>0.0566061196081937</v>
      </c>
      <c r="AZ29" s="31" t="n">
        <v>0.012332</v>
      </c>
      <c r="BA29" s="33" t="n">
        <v>38.27</v>
      </c>
      <c r="BB29" s="33" t="n">
        <v>1.284</v>
      </c>
      <c r="BC29" s="33"/>
      <c r="BD29" s="33"/>
      <c r="BE29" s="33"/>
      <c r="BF29" s="33" t="n">
        <v>0</v>
      </c>
      <c r="BG29" s="33"/>
      <c r="BH29" s="33" t="n">
        <v>6.595</v>
      </c>
      <c r="BI29" s="29" t="n">
        <v>2020</v>
      </c>
      <c r="BJ29" s="33" t="n">
        <v>1</v>
      </c>
      <c r="BK29" s="33"/>
      <c r="BL29" s="33"/>
      <c r="BM29" s="33"/>
      <c r="BN29" s="29"/>
      <c r="BO29" s="33"/>
      <c r="BP29" s="33"/>
      <c r="BQ29" s="29" t="n">
        <v>2025</v>
      </c>
      <c r="BR29" s="36" t="n">
        <v>30.989</v>
      </c>
      <c r="BS29" s="36" t="n">
        <v>0.159</v>
      </c>
      <c r="BT29" s="36" t="n">
        <v>14.99</v>
      </c>
      <c r="BU29" s="36" t="n">
        <v>0.92</v>
      </c>
      <c r="BV29" s="16" t="n">
        <f aca="false">F29*(1+N(H29)/100)*(1+N(I29)/100)^5</f>
        <v>774.611072587656</v>
      </c>
      <c r="BW29" s="16" t="n">
        <f aca="false">IF(N(G29)&gt;0,G29,F29)</f>
        <v>726.213</v>
      </c>
      <c r="BX29" s="12" t="n">
        <f aca="false">F29/BW29</f>
        <v>0.838561138398789</v>
      </c>
      <c r="BY29" s="13" t="n">
        <f aca="false">IF(ISNUMBER(K29),1,0)</f>
        <v>1</v>
      </c>
      <c r="BZ29" s="16" t="n">
        <f aca="false">IF(BY29=0,"",N(N29)+N(O29)+N(P29))</f>
        <v>34.9584011760407</v>
      </c>
      <c r="CA29" s="37" t="n">
        <f aca="false">IF(BY29=0,"",(N(Y29)*34.2+N(Z29)*38.6)/1000)</f>
        <v>0.207765407884083</v>
      </c>
      <c r="CB29" s="37" t="n">
        <f aca="false">IF(BY29=0,"",N(O29)*0.0036+N(R29)+N(V29)+(N(AA29)*25.3+N(AB29)*37)/1000)</f>
        <v>0.178243791841318</v>
      </c>
      <c r="CC29" s="37" t="n">
        <f aca="false">IF(BY29=0,"",N(N29)*0.0036+N(Q29)+N(U29)+N(T29)+N(X29)+N(AC29)*38/1000)</f>
        <v>0.155717145921708</v>
      </c>
      <c r="CD29" s="37" t="n">
        <f aca="false">IF(BY29=0,"",N(Q29)+N(R29)+N(S29)+N(T29)+N(U29)+N(V29)+N(W29)+N(X29)+(N(Y29)*34.2+N(Z29)*38.6+N(AA29)*25.3+N(AB29)*37+N(AC29)*38)/1000)</f>
        <v>0.530657094661203</v>
      </c>
      <c r="CE29" s="16" t="n">
        <f aca="false">IF(BY29=0,"",MAX(0,N(L29)-N(K29))+MAX(0,N(M29)-N(L29)))</f>
        <v>32.098</v>
      </c>
      <c r="CF29" s="16" t="n">
        <f aca="false">IF(BY29=0,"",N(Y29)*N(AD29)+N(Z29)*N(AE29)+N(AA29)*N(AF29)+N(AB29)*N(AG29)+N(AC29)*N(AH29)+N(U29)*N(AI29)+N(V29)*N(AJ29)+N(W29)*N(AK29)+N(X29)*N(AL29)+N(Q29)*N(AM29)+N(R29)*N(AN29)+N(S29)*N(AO29)+N(T29)*N(AP29))</f>
        <v>11.4735624183262</v>
      </c>
      <c r="CG29" s="16" t="n">
        <f aca="false">IF(AND(BY29=1,N(K29)&gt;0),K29,0)</f>
        <v>41.612</v>
      </c>
      <c r="CH29" s="16" t="n">
        <f aca="false">IF(CG29&gt;0,CF29*1000/CG29,"")</f>
        <v>275.727252194708</v>
      </c>
      <c r="CI29" s="16" t="n">
        <f aca="false">IF(BY29=0,"",N(AQ29)+p_road*(N(AR29)+N(AS29)+N(AT29)))</f>
        <v>0.745082438492124</v>
      </c>
      <c r="CJ29" s="16" t="n">
        <f aca="false">IF(CG29&gt;0,CI29*1000/CG29,"")</f>
        <v>17.9054705011084</v>
      </c>
      <c r="CK29" s="12" t="n">
        <f aca="false">IF(CH29="",1,MIN(p_idx_max,MAX(p_idx_min,CH29/p_fc_world)))</f>
        <v>1.71251350501017</v>
      </c>
      <c r="CL29" s="12" t="n">
        <f aca="false">IF(CJ29="",1,MIN(p_idx_max,MAX(p_idx_min,CJ29/p_cb_world)))</f>
        <v>0.340467768001836</v>
      </c>
      <c r="CM29" s="37" t="n">
        <f aca="false">p_b*(1-p_wb_idx+p_wb_idx*CK29)</f>
        <v>0.227764296166353</v>
      </c>
      <c r="CN29" s="37" t="n">
        <f aca="false">p_c*(1-p_wc_idx+p_wc_idx*CL29)</f>
        <v>0.0439203420722369</v>
      </c>
      <c r="CO29" s="28" t="n">
        <f aca="false">IF(N(BR29)&gt;0,(N(BS29)+N(BT29)+N(BU29))/BR29,"")</f>
        <v>0.51853883636129</v>
      </c>
      <c r="CP29" s="16" t="n">
        <f aca="false">N(BS29)+N(BT29)+N(BU29)</f>
        <v>16.069</v>
      </c>
      <c r="CQ29" s="28" t="n">
        <f aca="false">IF(CP29&gt;0,N(BS29)/CP29,"")</f>
        <v>0.00989482855187006</v>
      </c>
      <c r="CR29" s="28" t="n">
        <f aca="false">IF(CP29&gt;0,N(BT29)/CP29,"")</f>
        <v>0.932852075424731</v>
      </c>
      <c r="CS29" s="28" t="n">
        <f aca="false">IF(CP29&gt;0,N(BU29)/CP29,"")</f>
        <v>0.0572530960233991</v>
      </c>
      <c r="CT29" s="7" t="n">
        <f aca="false">1000*(p_sh_pv*p_cf_pv/p_capex_pv+(1-p_sh_pv)*p_cf_wind/p_capex_wind)*8760</f>
        <v>2301.28856624319</v>
      </c>
      <c r="CU29" s="13" t="n">
        <f aca="false">IF(AND(ISNUMBER(CO29),ISNUMBER(CQ29),BY29=1),1,0)</f>
        <v>1</v>
      </c>
      <c r="CV29" s="16" t="n">
        <f aca="false">IF(CU29=0,"",CQ29*p_hr_coal*N(AK29)+CR29*p_hr_gas*N(AO29)+CS29*p_hr_oil*N(AH29)/p_gj_l_oil)</f>
        <v>131.491373483744</v>
      </c>
      <c r="CW29" s="37" t="n">
        <f aca="false">IF(CU29=0,"",CQ29*p_hr_coal*p_ef_coal+CR29*p_hr_gas*p_ef_gas+CS29*p_hr_oil*p_ef_oil)</f>
        <v>0.448387609683241</v>
      </c>
      <c r="CX29" s="16" t="n">
        <f aca="false">IF(CU29=0,"",CQ29*p_hr_coal*N(AW29)+CR29*p_hr_gas*N(AX29)+CS29*p_hr_oil*N(AY29)/p_gj_l_oil)</f>
        <v>3.73055001181619</v>
      </c>
      <c r="CY29" s="37" t="n">
        <f aca="false">IF(CU29=0,"",CO29*CW29)</f>
        <v>0.232506389363968</v>
      </c>
      <c r="CZ29" s="37" t="n">
        <f aca="false">IF(CU29=0,"",CT29*CO29*CV29/1000/1000-p_om_re)</f>
        <v>0.141909641541668</v>
      </c>
      <c r="DA29" s="37" t="n">
        <f aca="false">IF(CU29=0,"",CT29*CO29*CX29/1000/1000)</f>
        <v>0.00445169329058465</v>
      </c>
      <c r="DB29" s="37" t="n">
        <f aca="false">IF(CU29=0,"",CT29*CO29*CW29/1000)</f>
        <v>0.535064295421787</v>
      </c>
      <c r="DC29" s="13" t="n">
        <f aca="false">IF(AND(CU29=1,ISNUMBER(AD29),ISNUMBER(AV29)),1,0)</f>
        <v>1</v>
      </c>
      <c r="DD29" s="7" t="n">
        <f aca="false">IF(DC29=0,"",p_ev_km*p_ice_l/100*AD29-p_ev_km*p_ev_kwh*AV29+p_ev_km*p_ev_maint)</f>
        <v>-33.39045</v>
      </c>
      <c r="DE29" s="37" t="n">
        <f aca="false">IF(DC29=0,"",DD29/p_ev_prem)</f>
        <v>-0.00667809</v>
      </c>
      <c r="DF29" s="37" t="n">
        <f aca="false">IF(DC29=0,"",p_ev_km*p_ice_l/100*N(AZ29)/p_ev_prem)</f>
        <v>0.0027747</v>
      </c>
      <c r="DG29" s="37" t="n">
        <f aca="false">IF(DC29=0,"",1000/p_ev_prem*(p_ev_km*p_ice_l/100*p_gj_l_gso*p_ef_gso-p_ev_km*p_ev_kwh/1000*CY29))</f>
        <v>0.407710049743457</v>
      </c>
      <c r="DH29" s="11" t="str">
        <f aca="false">IFERROR(IF(INDEX(Damodaran!$D:$D,MATCH(A29,Damodaran!$A:$A,0))="","",INDEX(Damodaran!$D:$D,MATCH(A29,Damodaran!$A:$A,0))),"")</f>
        <v/>
      </c>
      <c r="DI29" s="11" t="str">
        <f aca="false">IFERROR(IF(INDEX(Damodaran!$E:$E,MATCH(A29,Damodaran!$A:$A,0))="","",INDEX(Damodaran!$E:$E,MATCH(A29,Damodaran!$A:$A,0))),"")</f>
        <v/>
      </c>
      <c r="DJ29" s="11" t="str">
        <f aca="false">IFERROR(IF(INDEX(Damodaran!$G:$G,MATCH(A29,Damodaran!$A:$A,0))="","",INDEX(Damodaran!$G:$G,MATCH(A29,Damodaran!$A:$A,0))),"")</f>
        <v/>
      </c>
      <c r="DK29" s="11" t="str">
        <f aca="false">IF(ISNUMBER(BG29),(1+BG29/100)*(1+p_infl)-1,"")</f>
        <v/>
      </c>
      <c r="DL29" s="11" t="n">
        <f aca="false">IF(ISNUMBER(BH29),BH29/100,"")</f>
        <v>0.06595</v>
      </c>
      <c r="DM29" s="11" t="n">
        <f aca="false">IF(COUNT(DK29,DL29)=0,"",AVERAGE(DK29,DL29))</f>
        <v>0.06595</v>
      </c>
      <c r="DN29" s="11" t="str">
        <f aca="false">IF(OR(DH29="",DI29=""),"",p_dv*(p_rf+DH29)*(1-IF(DJ29="",p_tax_def,DJ29))+(1-p_dv)*(p_rf+p_beta*p_erp+p_lambda*DI29))</f>
        <v/>
      </c>
      <c r="DO29" s="13" t="n">
        <f aca="false">IF(AND(ISNUMBER(DM29),ISNUMBER(DN29)),1,0)</f>
        <v>0</v>
      </c>
      <c r="DP29" s="11" t="n">
        <f aca="false">IF(DO29=1,DM29,0)</f>
        <v>0</v>
      </c>
      <c r="DQ29" s="11" t="n">
        <f aca="false">IF(DO29=1,DN29,0)</f>
        <v>0</v>
      </c>
      <c r="DR29" s="11" t="str">
        <f aca="false">IF(DN29="","",DN29+p_shift)</f>
        <v/>
      </c>
      <c r="DS29" s="11" t="n">
        <f aca="false">IF(E29="AE",p_r_ae,IF(E29="China",p_r_chn,p_r_emdc))</f>
        <v>0.055</v>
      </c>
      <c r="DT29" s="11" t="n">
        <f aca="false">IF(E29="AE",p_rh_ae,IF(E29="China",p_rh_chn,p_rh_emdc))</f>
        <v>0.07</v>
      </c>
      <c r="DU29" s="11" t="n">
        <f aca="false">IF(AND(p_use_obs=1,ISNUMBER(DM29)),DM29,IF(AND(p_use_dam=1,ISNUMBER(DR29)),DR29,DS29))</f>
        <v>0.06595</v>
      </c>
      <c r="DV29" s="6" t="str">
        <f aca="false">IF(AND(p_use_obs=1,ISNUMBER(DM29)),"Observed (IRENA/Steffen)",IF(AND(p_use_dam=1,ISNUMBER(DR29)),"Damodaran (eq. 5)","Group default (IHLEG)"))</f>
        <v>Observed (IRENA/Steffen)</v>
      </c>
      <c r="DW29" s="11" t="n">
        <f aca="false">IF(p_basis=1,(1+DU29)/(1+p_infl)-1,DU29)</f>
        <v>0.06595</v>
      </c>
      <c r="DX29" s="11" t="n">
        <f aca="false">DW29+(DT29-DS29)</f>
        <v>0.08095</v>
      </c>
      <c r="DY29" s="28" t="n">
        <f aca="false">IF(AND(p_use_pefa=1,ISNUMBER(BD29)),p_gap_lic-(BD29-1)/3*(p_gap_lic-p_gap_ae),IF(E29="AE",p_gap_ae,IF(D29="Low income",p_gap_lic,p_gap_em)))*(1-p_reform*p_reform_close)</f>
        <v>0.13</v>
      </c>
      <c r="DZ29" s="6" t="str">
        <f aca="false">IF(AND(p_use_pefa=1,ISNUMBER(BD29)),"PEFA PI-11","Income-group default (IMF 2015)")</f>
        <v>Income-group default (IMF 2015)</v>
      </c>
      <c r="EA29" s="28" t="n">
        <f aca="false">IF(E29="AE",p_ps_ae,IF(E29="China",p_ps_chn,p_ps_emdc))</f>
        <v>0.3</v>
      </c>
      <c r="EB29" s="37" t="n">
        <f aca="false">(1-EA29)+EA29/(1-DY29)</f>
        <v>1.0448275862069</v>
      </c>
      <c r="EC29" s="16" t="n">
        <f aca="false">Results_Country!F29</f>
        <v>15.5034103461177</v>
      </c>
      <c r="ED29" s="16" t="n">
        <f aca="false">IF(CH29="",0,CH29*EC29)</f>
        <v>4274.71273438206</v>
      </c>
      <c r="EE29" s="16" t="n">
        <f aca="false">IF(CJ29="",0,CJ29*EC29)</f>
        <v>277.59585661899</v>
      </c>
      <c r="EF29" s="16" t="n">
        <f aca="false">IF(CH29="",0,EC29)</f>
        <v>15.5034103461177</v>
      </c>
    </row>
    <row r="30" customFormat="false" ht="15" hidden="false" customHeight="false" outlineLevel="0" collapsed="false">
      <c r="A30" s="35" t="s">
        <v>814</v>
      </c>
      <c r="B30" s="35" t="s">
        <v>815</v>
      </c>
      <c r="C30" s="35" t="s">
        <v>766</v>
      </c>
      <c r="D30" s="35" t="s">
        <v>760</v>
      </c>
      <c r="E30" s="35" t="s">
        <v>29</v>
      </c>
      <c r="F30" s="36" t="n">
        <v>604.827</v>
      </c>
      <c r="G30" s="36" t="n">
        <v>757.406</v>
      </c>
      <c r="H30" s="33" t="n">
        <v>1.543</v>
      </c>
      <c r="I30" s="33" t="n">
        <v>1.963</v>
      </c>
      <c r="J30" s="36" t="n">
        <v>10.606999</v>
      </c>
      <c r="K30" s="36" t="n">
        <v>35.221</v>
      </c>
      <c r="L30" s="36" t="n">
        <v>44.434</v>
      </c>
      <c r="M30" s="36" t="n">
        <v>1.706</v>
      </c>
      <c r="N30" s="36" t="n">
        <v>79.0204102837719</v>
      </c>
      <c r="O30" s="36" t="n">
        <v>47.5272434174543</v>
      </c>
      <c r="P30" s="36" t="n">
        <v>3.33250684806124</v>
      </c>
      <c r="Q30" s="31" t="n">
        <v>0.0179905871712762</v>
      </c>
      <c r="R30" s="31" t="n">
        <v>0.00963353576397618</v>
      </c>
      <c r="S30" s="31" t="n">
        <v>0.000578324565762919</v>
      </c>
      <c r="T30" s="31" t="n">
        <v>0.000461122085005455</v>
      </c>
      <c r="U30" s="31" t="n">
        <v>0.0351854509796204</v>
      </c>
      <c r="V30" s="31" t="n">
        <v>0.000126530012528105</v>
      </c>
      <c r="W30" s="31" t="n">
        <v>0.00344941700884096</v>
      </c>
      <c r="X30" s="31" t="n">
        <v>0</v>
      </c>
      <c r="Y30" s="36" t="n">
        <v>2.66679528570042</v>
      </c>
      <c r="Z30" s="36" t="n">
        <v>5.32047626867654</v>
      </c>
      <c r="AA30" s="36" t="n">
        <v>0.63261082384961</v>
      </c>
      <c r="AB30" s="36" t="n">
        <v>0.0867837083291465</v>
      </c>
      <c r="AC30" s="36" t="n">
        <v>1.87248540643238</v>
      </c>
      <c r="AD30" s="31" t="n">
        <v>0.893569</v>
      </c>
      <c r="AE30" s="31" t="n">
        <v>0.851823</v>
      </c>
      <c r="AF30" s="31" t="n">
        <v>0.514373</v>
      </c>
      <c r="AG30" s="31" t="n">
        <v>0.591</v>
      </c>
      <c r="AH30" s="31" t="n">
        <v>0.519462891908447</v>
      </c>
      <c r="AI30" s="31" t="n">
        <v>10.582</v>
      </c>
      <c r="AJ30" s="31" t="n">
        <v>19.3075</v>
      </c>
      <c r="AK30" s="31" t="n">
        <v>8.964</v>
      </c>
      <c r="AL30" s="31" t="n">
        <v>10.4664954174285</v>
      </c>
      <c r="AM30" s="31" t="n">
        <v>22.024</v>
      </c>
      <c r="AN30" s="31" t="n">
        <v>43.29125</v>
      </c>
      <c r="AO30" s="31" t="n">
        <v>22.024</v>
      </c>
      <c r="AP30" s="31" t="n">
        <v>29.2885756531963</v>
      </c>
      <c r="AQ30" s="36" t="n">
        <v>0.0198140383421676</v>
      </c>
      <c r="AR30" s="36" t="n">
        <v>0.325990150257301</v>
      </c>
      <c r="AS30" s="36" t="n">
        <v>0.0394276116200187</v>
      </c>
      <c r="AT30" s="36" t="n">
        <v>0</v>
      </c>
      <c r="AU30" s="31" t="n">
        <v>0.723673387074413</v>
      </c>
      <c r="AV30" s="36" t="n">
        <v>0.191563</v>
      </c>
      <c r="AW30" s="31" t="n">
        <v>0.080486</v>
      </c>
      <c r="AX30" s="31" t="n">
        <v>0.033416</v>
      </c>
      <c r="AY30" s="31" t="n">
        <v>0.0633556006992463</v>
      </c>
      <c r="AZ30" s="31" t="n">
        <v>0.011428</v>
      </c>
      <c r="BA30" s="33" t="n">
        <v>33.92</v>
      </c>
      <c r="BB30" s="33" t="n">
        <v>0.188</v>
      </c>
      <c r="BC30" s="33"/>
      <c r="BD30" s="33"/>
      <c r="BE30" s="33"/>
      <c r="BF30" s="33" t="n">
        <v>0</v>
      </c>
      <c r="BG30" s="33"/>
      <c r="BH30" s="33" t="n">
        <v>3.503</v>
      </c>
      <c r="BI30" s="29" t="n">
        <v>2020</v>
      </c>
      <c r="BJ30" s="33" t="n">
        <v>1</v>
      </c>
      <c r="BK30" s="33"/>
      <c r="BL30" s="33"/>
      <c r="BM30" s="33"/>
      <c r="BN30" s="29"/>
      <c r="BO30" s="33"/>
      <c r="BP30" s="33"/>
      <c r="BQ30" s="29" t="n">
        <v>2025</v>
      </c>
      <c r="BR30" s="36" t="n">
        <v>170.28</v>
      </c>
      <c r="BS30" s="36" t="n">
        <v>0</v>
      </c>
      <c r="BT30" s="36" t="n">
        <v>0.11</v>
      </c>
      <c r="BU30" s="36" t="n">
        <v>1.97</v>
      </c>
      <c r="BV30" s="16" t="n">
        <f aca="false">F30*(1+N(H30)/100)*(1+N(I30)/100)^5</f>
        <v>676.852730517855</v>
      </c>
      <c r="BW30" s="16" t="n">
        <f aca="false">IF(N(G30)&gt;0,G30,F30)</f>
        <v>757.406</v>
      </c>
      <c r="BX30" s="12" t="n">
        <f aca="false">F30/BW30</f>
        <v>0.79855057921379</v>
      </c>
      <c r="BY30" s="13" t="n">
        <f aca="false">IF(ISNUMBER(K30),1,0)</f>
        <v>1</v>
      </c>
      <c r="BZ30" s="16" t="n">
        <f aca="false">IF(BY30=0,"",N(N30)+N(O30)+N(P30))</f>
        <v>129.880160549287</v>
      </c>
      <c r="CA30" s="37" t="n">
        <f aca="false">IF(BY30=0,"",(N(Y30)*34.2+N(Z30)*38.6)/1000)</f>
        <v>0.296574782741869</v>
      </c>
      <c r="CB30" s="37" t="n">
        <f aca="false">IF(BY30=0,"",N(O30)*0.0036+N(R30)+N(V30)+(N(AA30)*25.3+N(AB30)*37)/1000)</f>
        <v>0.200074193130913</v>
      </c>
      <c r="CC30" s="37" t="n">
        <f aca="false">IF(BY30=0,"",N(N30)*0.0036+N(Q30)+N(U30)+N(T30)+N(X30)+N(AC30)*38/1000)</f>
        <v>0.409265082701911</v>
      </c>
      <c r="CD30" s="37" t="n">
        <f aca="false">IF(BY30=0,"",N(Q30)+N(R30)+N(S30)+N(T30)+N(U30)+N(V30)+N(W30)+N(X30)+(N(Y30)*34.2+N(Z30)*38.6+N(AA30)*25.3+N(AB30)*37+N(AC30)*38)/1000)</f>
        <v>0.454370246824883</v>
      </c>
      <c r="CE30" s="16" t="n">
        <f aca="false">IF(BY30=0,"",MAX(0,N(L30)-N(K30))+MAX(0,N(M30)-N(L30)))</f>
        <v>9.213</v>
      </c>
      <c r="CF30" s="16" t="n">
        <f aca="false">IF(BY30=0,"",N(Y30)*N(AD30)+N(Z30)*N(AE30)+N(AA30)*N(AF30)+N(AB30)*N(AG30)+N(AC30)*N(AH30)+N(U30)*N(AI30)+N(V30)*N(AJ30)+N(W30)*N(AK30)+N(X30)*N(AL30)+N(Q30)*N(AM30)+N(R30)*N(AN30)+N(S30)*N(AO30)+N(T30)*N(AP30))</f>
        <v>9.50965455732244</v>
      </c>
      <c r="CG30" s="16" t="n">
        <f aca="false">IF(AND(BY30=1,N(K30)&gt;0),K30,0)</f>
        <v>35.221</v>
      </c>
      <c r="CH30" s="16" t="n">
        <f aca="false">IF(CG30&gt;0,CF30*1000/CG30,"")</f>
        <v>269.999561549145</v>
      </c>
      <c r="CI30" s="16" t="n">
        <f aca="false">IF(BY30=0,"",N(AQ30)+p_road*(N(AR30)+N(AS30)+N(AT30)))</f>
        <v>0.0198140383421676</v>
      </c>
      <c r="CJ30" s="16" t="n">
        <f aca="false">IF(CG30&gt;0,CI30*1000/CG30,"")</f>
        <v>0.562563196450061</v>
      </c>
      <c r="CK30" s="12" t="n">
        <f aca="false">IF(CH30="",1,MIN(p_idx_max,MAX(p_idx_min,CH30/p_fc_world)))</f>
        <v>1.67693940957719</v>
      </c>
      <c r="CL30" s="12" t="n">
        <f aca="false">IF(CJ30="",1,MIN(p_idx_max,MAX(p_idx_min,CJ30/p_cb_world)))</f>
        <v>0.25</v>
      </c>
      <c r="CM30" s="37" t="n">
        <f aca="false">p_b*(1-p_wb_idx+p_wb_idx*CK30)</f>
        <v>0.223032941473767</v>
      </c>
      <c r="CN30" s="37" t="n">
        <f aca="false">p_c*(1-p_wc_idx+p_wc_idx*CL30)</f>
        <v>0.03225</v>
      </c>
      <c r="CO30" s="28" t="n">
        <f aca="false">IF(N(BR30)&gt;0,(N(BS30)+N(BT30)+N(BU30))/BR30,"")</f>
        <v>0.0122151750058727</v>
      </c>
      <c r="CP30" s="16" t="n">
        <f aca="false">N(BS30)+N(BT30)+N(BU30)</f>
        <v>2.08</v>
      </c>
      <c r="CQ30" s="28" t="n">
        <f aca="false">IF(CP30&gt;0,N(BS30)/CP30,"")</f>
        <v>0</v>
      </c>
      <c r="CR30" s="28" t="n">
        <f aca="false">IF(CP30&gt;0,N(BT30)/CP30,"")</f>
        <v>0.0528846153846154</v>
      </c>
      <c r="CS30" s="28" t="n">
        <f aca="false">IF(CP30&gt;0,N(BU30)/CP30,"")</f>
        <v>0.947115384615385</v>
      </c>
      <c r="CT30" s="7" t="n">
        <f aca="false">1000*(p_sh_pv*p_cf_pv/p_capex_pv+(1-p_sh_pv)*p_cf_wind/p_capex_wind)*8760</f>
        <v>2301.28856624319</v>
      </c>
      <c r="CU30" s="13" t="n">
        <f aca="false">IF(AND(ISNUMBER(CO30),ISNUMBER(CQ30),BY30=1),1,0)</f>
        <v>1</v>
      </c>
      <c r="CV30" s="16" t="n">
        <f aca="false">IF(CU30=0,"",CQ30*p_hr_coal*N(AK30)+CR30*p_hr_gas*N(AO30)+CS30*p_hr_oil*N(AH30)/p_gj_l_oil)</f>
        <v>142.567310172457</v>
      </c>
      <c r="CW30" s="37" t="n">
        <f aca="false">IF(CU30=0,"",CQ30*p_hr_coal*p_ef_coal+CR30*p_hr_gas*p_ef_gas+CS30*p_hr_oil*p_ef_oil)</f>
        <v>0.791971875</v>
      </c>
      <c r="CX30" s="16" t="n">
        <f aca="false">IF(CU30=0,"",CQ30*p_hr_coal*N(AW30)+CR30*p_hr_gas*N(AX30)+CS30*p_hr_oil*N(AY30)/p_gj_l_oil)</f>
        <v>16.3358750122548</v>
      </c>
      <c r="CY30" s="37" t="n">
        <f aca="false">IF(CU30=0,"",CO30*CW30)</f>
        <v>0.00967407505285412</v>
      </c>
      <c r="CZ30" s="37" t="n">
        <f aca="false">IF(CU30=0,"",CT30*CO30*CV30/1000/1000-p_om_re)</f>
        <v>-0.0109923413007668</v>
      </c>
      <c r="DA30" s="37" t="n">
        <f aca="false">IF(CU30=0,"",CT30*CO30*CX30/1000/1000)</f>
        <v>0.000459211943630385</v>
      </c>
      <c r="DB30" s="37" t="n">
        <f aca="false">IF(CU30=0,"",CT30*CO30*CW30/1000)</f>
        <v>0.0222628383081117</v>
      </c>
      <c r="DC30" s="13" t="n">
        <f aca="false">IF(AND(CU30=1,ISNUMBER(AD30),ISNUMBER(AV30)),1,0)</f>
        <v>1</v>
      </c>
      <c r="DD30" s="7" t="n">
        <f aca="false">IF(DC30=0,"",p_ev_km*p_ice_l/100*AD30-p_ev_km*p_ev_kwh*AV30+p_ev_km*p_ev_maint)</f>
        <v>668.045025</v>
      </c>
      <c r="DE30" s="37" t="n">
        <f aca="false">IF(DC30=0,"",DD30/p_ev_prem)</f>
        <v>0.133609005</v>
      </c>
      <c r="DF30" s="37" t="n">
        <f aca="false">IF(DC30=0,"",p_ev_km*p_ice_l/100*N(AZ30)/p_ev_prem)</f>
        <v>0.0025713</v>
      </c>
      <c r="DG30" s="37" t="n">
        <f aca="false">IF(DC30=0,"",1000/p_ev_prem*(p_ev_km*p_ice_l/100*p_gj_l_gso*p_ef_gso-p_ev_km*p_ev_kwh/1000*CY30))</f>
        <v>0.528039499471459</v>
      </c>
      <c r="DH30" s="11" t="str">
        <f aca="false">IFERROR(IF(INDEX(Damodaran!$D:$D,MATCH(A30,Damodaran!$A:$A,0))="","",INDEX(Damodaran!$D:$D,MATCH(A30,Damodaran!$A:$A,0))),"")</f>
        <v/>
      </c>
      <c r="DI30" s="11" t="str">
        <f aca="false">IFERROR(IF(INDEX(Damodaran!$E:$E,MATCH(A30,Damodaran!$A:$A,0))="","",INDEX(Damodaran!$E:$E,MATCH(A30,Damodaran!$A:$A,0))),"")</f>
        <v/>
      </c>
      <c r="DJ30" s="11" t="str">
        <f aca="false">IFERROR(IF(INDEX(Damodaran!$G:$G,MATCH(A30,Damodaran!$A:$A,0))="","",INDEX(Damodaran!$G:$G,MATCH(A30,Damodaran!$A:$A,0))),"")</f>
        <v/>
      </c>
      <c r="DK30" s="11" t="str">
        <f aca="false">IF(ISNUMBER(BG30),(1+BG30/100)*(1+p_infl)-1,"")</f>
        <v/>
      </c>
      <c r="DL30" s="11" t="n">
        <f aca="false">IF(ISNUMBER(BH30),BH30/100,"")</f>
        <v>0.03503</v>
      </c>
      <c r="DM30" s="11" t="n">
        <f aca="false">IF(COUNT(DK30,DL30)=0,"",AVERAGE(DK30,DL30))</f>
        <v>0.03503</v>
      </c>
      <c r="DN30" s="11" t="str">
        <f aca="false">IF(OR(DH30="",DI30=""),"",p_dv*(p_rf+DH30)*(1-IF(DJ30="",p_tax_def,DJ30))+(1-p_dv)*(p_rf+p_beta*p_erp+p_lambda*DI30))</f>
        <v/>
      </c>
      <c r="DO30" s="13" t="n">
        <f aca="false">IF(AND(ISNUMBER(DM30),ISNUMBER(DN30)),1,0)</f>
        <v>0</v>
      </c>
      <c r="DP30" s="11" t="n">
        <f aca="false">IF(DO30=1,DM30,0)</f>
        <v>0</v>
      </c>
      <c r="DQ30" s="11" t="n">
        <f aca="false">IF(DO30=1,DN30,0)</f>
        <v>0</v>
      </c>
      <c r="DR30" s="11" t="str">
        <f aca="false">IF(DN30="","",DN30+p_shift)</f>
        <v/>
      </c>
      <c r="DS30" s="11" t="n">
        <f aca="false">IF(E30="AE",p_r_ae,IF(E30="China",p_r_chn,p_r_emdc))</f>
        <v>0.055</v>
      </c>
      <c r="DT30" s="11" t="n">
        <f aca="false">IF(E30="AE",p_rh_ae,IF(E30="China",p_rh_chn,p_rh_emdc))</f>
        <v>0.07</v>
      </c>
      <c r="DU30" s="11" t="n">
        <f aca="false">IF(AND(p_use_obs=1,ISNUMBER(DM30)),DM30,IF(AND(p_use_dam=1,ISNUMBER(DR30)),DR30,DS30))</f>
        <v>0.03503</v>
      </c>
      <c r="DV30" s="6" t="str">
        <f aca="false">IF(AND(p_use_obs=1,ISNUMBER(DM30)),"Observed (IRENA/Steffen)",IF(AND(p_use_dam=1,ISNUMBER(DR30)),"Damodaran (eq. 5)","Group default (IHLEG)"))</f>
        <v>Observed (IRENA/Steffen)</v>
      </c>
      <c r="DW30" s="11" t="n">
        <f aca="false">IF(p_basis=1,(1+DU30)/(1+p_infl)-1,DU30)</f>
        <v>0.03503</v>
      </c>
      <c r="DX30" s="11" t="n">
        <f aca="false">DW30+(DT30-DS30)</f>
        <v>0.05003</v>
      </c>
      <c r="DY30" s="28" t="n">
        <f aca="false">IF(AND(p_use_pefa=1,ISNUMBER(BD30)),p_gap_lic-(BD30-1)/3*(p_gap_lic-p_gap_ae),IF(E30="AE",p_gap_ae,IF(D30="Low income",p_gap_lic,p_gap_em)))*(1-p_reform*p_reform_close)</f>
        <v>0.13</v>
      </c>
      <c r="DZ30" s="6" t="str">
        <f aca="false">IF(AND(p_use_pefa=1,ISNUMBER(BD30)),"PEFA PI-11","Income-group default (IMF 2015)")</f>
        <v>Income-group default (IMF 2015)</v>
      </c>
      <c r="EA30" s="28" t="n">
        <f aca="false">IF(E30="AE",p_ps_ae,IF(E30="China",p_ps_chn,p_ps_emdc))</f>
        <v>0.3</v>
      </c>
      <c r="EB30" s="37" t="n">
        <f aca="false">(1-EA30)+EA30/(1-DY30)</f>
        <v>1.0448275862069</v>
      </c>
      <c r="EC30" s="16" t="n">
        <f aca="false">Results_Country!F30</f>
        <v>22.6594402154606</v>
      </c>
      <c r="ED30" s="16" t="n">
        <f aca="false">IF(CH30="",0,CH30*EC30)</f>
        <v>6118.03892312344</v>
      </c>
      <c r="EE30" s="16" t="n">
        <f aca="false">IF(CJ30="",0,CJ30*EC30)</f>
        <v>12.7473671173786</v>
      </c>
      <c r="EF30" s="16" t="n">
        <f aca="false">IF(CH30="",0,EC30)</f>
        <v>22.6594402154606</v>
      </c>
    </row>
    <row r="31" customFormat="false" ht="15" hidden="false" customHeight="false" outlineLevel="0" collapsed="false">
      <c r="A31" s="35" t="s">
        <v>816</v>
      </c>
      <c r="B31" s="35" t="s">
        <v>817</v>
      </c>
      <c r="C31" s="35" t="s">
        <v>762</v>
      </c>
      <c r="D31" s="35" t="s">
        <v>760</v>
      </c>
      <c r="E31" s="35" t="s">
        <v>29</v>
      </c>
      <c r="F31" s="36" t="n">
        <v>572.877</v>
      </c>
      <c r="G31" s="36" t="n">
        <v>924.612</v>
      </c>
      <c r="H31" s="33" t="n">
        <v>5.023</v>
      </c>
      <c r="I31" s="33" t="n">
        <v>3.507</v>
      </c>
      <c r="J31" s="36" t="n">
        <v>5.832387</v>
      </c>
      <c r="K31" s="36" t="n">
        <v>56.66</v>
      </c>
      <c r="L31" s="36" t="n">
        <v>74.39</v>
      </c>
      <c r="M31" s="36" t="n">
        <v>74.421</v>
      </c>
      <c r="N31" s="36" t="n">
        <v>42.0562711655101</v>
      </c>
      <c r="O31" s="36" t="n">
        <v>8.24088200184139</v>
      </c>
      <c r="P31" s="36" t="n">
        <v>3.11821836560508</v>
      </c>
      <c r="Q31" s="31" t="n">
        <v>0.0603228368834538</v>
      </c>
      <c r="R31" s="31" t="n">
        <v>0.00675428826747821</v>
      </c>
      <c r="S31" s="31" t="n">
        <v>0.289872000625436</v>
      </c>
      <c r="T31" s="31" t="n">
        <v>0.000236161016268163</v>
      </c>
      <c r="U31" s="31" t="n">
        <v>0.00790076493449929</v>
      </c>
      <c r="V31" s="31" t="n">
        <v>0</v>
      </c>
      <c r="W31" s="31" t="n">
        <v>0.0447790950194674</v>
      </c>
      <c r="X31" s="31" t="n">
        <v>0</v>
      </c>
      <c r="Y31" s="36" t="n">
        <v>1.05524258193003</v>
      </c>
      <c r="Z31" s="36" t="n">
        <v>1.57924796776855</v>
      </c>
      <c r="AA31" s="36" t="n">
        <v>0.262547999876872</v>
      </c>
      <c r="AB31" s="36" t="n">
        <v>0.000991558579592325</v>
      </c>
      <c r="AC31" s="36" t="n">
        <v>5.33902611091066</v>
      </c>
      <c r="AD31" s="31" t="n">
        <v>0.77361</v>
      </c>
      <c r="AE31" s="31" t="n">
        <v>0.75348</v>
      </c>
      <c r="AF31" s="31" t="n">
        <v>0.518311</v>
      </c>
      <c r="AG31" s="31" t="n">
        <v>0.66</v>
      </c>
      <c r="AH31" s="31" t="n">
        <v>0.446891055239201</v>
      </c>
      <c r="AI31" s="31" t="n">
        <v>7.124</v>
      </c>
      <c r="AJ31" s="31" t="n">
        <v>12.25257</v>
      </c>
      <c r="AK31" s="31" t="n">
        <v>4.833</v>
      </c>
      <c r="AL31" s="31" t="n">
        <v>5.17659720167736</v>
      </c>
      <c r="AM31" s="31" t="n">
        <v>48.488</v>
      </c>
      <c r="AN31" s="31" t="n">
        <v>56.86194</v>
      </c>
      <c r="AO31" s="31" t="n">
        <v>48.488</v>
      </c>
      <c r="AP31" s="31" t="n">
        <v>48.6464539661543</v>
      </c>
      <c r="AQ31" s="36" t="n">
        <v>2.17840239730838</v>
      </c>
      <c r="AR31" s="36" t="n">
        <v>1.21441602953621</v>
      </c>
      <c r="AS31" s="36" t="n">
        <v>0.12458040694222</v>
      </c>
      <c r="AT31" s="36" t="n">
        <v>0.136413842275724</v>
      </c>
      <c r="AU31" s="31" t="n">
        <v>0.127226932006555</v>
      </c>
      <c r="AV31" s="36" t="n">
        <v>0.229868</v>
      </c>
      <c r="AW31" s="31" t="n">
        <v>0.016078</v>
      </c>
      <c r="AX31" s="31" t="n">
        <v>0.380099</v>
      </c>
      <c r="AY31" s="31" t="n">
        <v>0.291115989481535</v>
      </c>
      <c r="AZ31" s="31" t="n">
        <v>0.213491</v>
      </c>
      <c r="BA31" s="33" t="n">
        <v>166.039</v>
      </c>
      <c r="BB31" s="33"/>
      <c r="BC31" s="33"/>
      <c r="BD31" s="33"/>
      <c r="BE31" s="33"/>
      <c r="BF31" s="33" t="n">
        <v>0</v>
      </c>
      <c r="BG31" s="33"/>
      <c r="BH31" s="33" t="n">
        <v>5.46</v>
      </c>
      <c r="BI31" s="29" t="n">
        <v>2020</v>
      </c>
      <c r="BJ31" s="33" t="n">
        <v>1</v>
      </c>
      <c r="BK31" s="33"/>
      <c r="BL31" s="33"/>
      <c r="BM31" s="33"/>
      <c r="BN31" s="29"/>
      <c r="BO31" s="33"/>
      <c r="BP31" s="33"/>
      <c r="BQ31" s="29" t="n">
        <v>2025</v>
      </c>
      <c r="BR31" s="36" t="n">
        <v>60.15</v>
      </c>
      <c r="BS31" s="36" t="n">
        <v>0.57</v>
      </c>
      <c r="BT31" s="36" t="n">
        <v>54.81</v>
      </c>
      <c r="BU31" s="36" t="n">
        <v>1.47</v>
      </c>
      <c r="BV31" s="16" t="n">
        <f aca="false">F31*(1+N(H31)/100)*(1+N(I31)/100)^5</f>
        <v>714.816243946555</v>
      </c>
      <c r="BW31" s="16" t="n">
        <f aca="false">IF(N(G31)&gt;0,G31,F31)</f>
        <v>924.612</v>
      </c>
      <c r="BX31" s="12" t="n">
        <f aca="false">F31/BW31</f>
        <v>0.619586377853629</v>
      </c>
      <c r="BY31" s="13" t="n">
        <f aca="false">IF(ISNUMBER(K31),1,0)</f>
        <v>1</v>
      </c>
      <c r="BZ31" s="16" t="n">
        <f aca="false">IF(BY31=0,"",N(N31)+N(O31)+N(P31))</f>
        <v>53.4153715329565</v>
      </c>
      <c r="CA31" s="37" t="n">
        <f aca="false">IF(BY31=0,"",(N(Y31)*34.2+N(Z31)*38.6)/1000)</f>
        <v>0.0970482678578732</v>
      </c>
      <c r="CB31" s="37" t="n">
        <f aca="false">IF(BY31=0,"",N(O31)*0.0036+N(R31)+N(V31)+(N(AA31)*25.3+N(AB31)*37)/1000)</f>
        <v>0.043100615538437</v>
      </c>
      <c r="CC31" s="37" t="n">
        <f aca="false">IF(BY31=0,"",N(N31)*0.0036+N(Q31)+N(U31)+N(T31)+N(X31)+N(AC31)*38/1000)</f>
        <v>0.422745331244663</v>
      </c>
      <c r="CD31" s="37" t="n">
        <f aca="false">IF(BY31=0,"",N(Q31)+N(R31)+N(S31)+N(T31)+N(U31)+N(V31)+N(W31)+N(X31)+(N(Y31)*34.2+N(Z31)*38.6+N(AA31)*25.3+N(AB31)*37+N(AC31)*38)/1000)</f>
        <v>0.716475558883411</v>
      </c>
      <c r="CE31" s="16" t="n">
        <f aca="false">IF(BY31=0,"",MAX(0,N(L31)-N(K31))+MAX(0,N(M31)-N(L31)))</f>
        <v>17.761</v>
      </c>
      <c r="CF31" s="16" t="n">
        <f aca="false">IF(BY31=0,"",N(Y31)*N(AD31)+N(Z31)*N(AE31)+N(AA31)*N(AF31)+N(AB31)*N(AG31)+N(AC31)*N(AH31)+N(U31)*N(AI31)+N(V31)*N(AJ31)+N(W31)*N(AK31)+N(X31)*N(AL31)+N(Q31)*N(AM31)+N(R31)*N(AN31)+N(S31)*N(AO31)+N(T31)*N(AP31))</f>
        <v>22.1774769572104</v>
      </c>
      <c r="CG31" s="16" t="n">
        <f aca="false">IF(AND(BY31=1,N(K31)&gt;0),K31,0)</f>
        <v>56.66</v>
      </c>
      <c r="CH31" s="16" t="n">
        <f aca="false">IF(CG31&gt;0,CF31*1000/CG31,"")</f>
        <v>391.4132890436</v>
      </c>
      <c r="CI31" s="16" t="n">
        <f aca="false">IF(BY31=0,"",N(AQ31)+p_road*(N(AR31)+N(AS31)+N(AT31)))</f>
        <v>2.17840239730838</v>
      </c>
      <c r="CJ31" s="16" t="n">
        <f aca="false">IF(CG31&gt;0,CI31*1000/CG31,"")</f>
        <v>38.4469184134906</v>
      </c>
      <c r="CK31" s="12" t="n">
        <f aca="false">IF(CH31="",1,MIN(p_idx_max,MAX(p_idx_min,CH31/p_fc_world)))</f>
        <v>2.43102753968721</v>
      </c>
      <c r="CL31" s="12" t="n">
        <f aca="false">IF(CJ31="",1,MIN(p_idx_max,MAX(p_idx_min,CJ31/p_cb_world)))</f>
        <v>0.731057946674986</v>
      </c>
      <c r="CM31" s="37" t="n">
        <f aca="false">p_b*(1-p_wb_idx+p_wb_idx*CK31)</f>
        <v>0.323326662778398</v>
      </c>
      <c r="CN31" s="37" t="n">
        <f aca="false">p_c*(1-p_wc_idx+p_wc_idx*CL31)</f>
        <v>0.0943064751210732</v>
      </c>
      <c r="CO31" s="28" t="n">
        <f aca="false">IF(N(BR31)&gt;0,(N(BS31)+N(BT31)+N(BU31))/BR31,"")</f>
        <v>0.945137157107232</v>
      </c>
      <c r="CP31" s="16" t="n">
        <f aca="false">N(BS31)+N(BT31)+N(BU31)</f>
        <v>56.85</v>
      </c>
      <c r="CQ31" s="28" t="n">
        <f aca="false">IF(CP31&gt;0,N(BS31)/CP31,"")</f>
        <v>0.0100263852242744</v>
      </c>
      <c r="CR31" s="28" t="n">
        <f aca="false">IF(CP31&gt;0,N(BT31)/CP31,"")</f>
        <v>0.964116094986807</v>
      </c>
      <c r="CS31" s="28" t="n">
        <f aca="false">IF(CP31&gt;0,N(BU31)/CP31,"")</f>
        <v>0.0258575197889182</v>
      </c>
      <c r="CT31" s="7" t="n">
        <f aca="false">1000*(p_sh_pv*p_cf_pv/p_capex_pv+(1-p_sh_pv)*p_cf_wind/p_capex_wind)*8760</f>
        <v>2301.28856624319</v>
      </c>
      <c r="CU31" s="13" t="n">
        <f aca="false">IF(AND(ISNUMBER(CO31),ISNUMBER(CQ31),BY31=1),1,0)</f>
        <v>1</v>
      </c>
      <c r="CV31" s="16" t="n">
        <f aca="false">IF(CU31=0,"",CQ31*p_hr_coal*N(AK31)+CR31*p_hr_gas*N(AO31)+CS31*p_hr_oil*N(AH31)/p_gj_l_oil)</f>
        <v>354.238368243681</v>
      </c>
      <c r="CW31" s="37" t="n">
        <f aca="false">IF(CU31=0,"",CQ31*p_hr_coal*p_ef_coal+CR31*p_hr_gas*p_ef_gas+CS31*p_hr_oil*p_ef_oil)</f>
        <v>0.436151213720317</v>
      </c>
      <c r="CX31" s="16" t="n">
        <f aca="false">IF(CU31=0,"",CQ31*p_hr_coal*N(AW31)+CR31*p_hr_gas*N(AX31)+CS31*p_hr_oil*N(AY31)/p_gj_l_oil)</f>
        <v>4.79770496908622</v>
      </c>
      <c r="CY31" s="37" t="n">
        <f aca="false">IF(CU31=0,"",CO31*CW31)</f>
        <v>0.412222718204489</v>
      </c>
      <c r="CZ31" s="37" t="n">
        <f aca="false">IF(CU31=0,"",CT31*CO31*CV31/1000/1000-p_om_re)</f>
        <v>0.755480258822174</v>
      </c>
      <c r="DA31" s="37" t="n">
        <f aca="false">IF(CU31=0,"",CT31*CO31*CX31/1000/1000)</f>
        <v>0.0104351682305377</v>
      </c>
      <c r="DB31" s="37" t="n">
        <f aca="false">IF(CU31=0,"",CT31*CO31*CW31/1000)</f>
        <v>0.94864342814968</v>
      </c>
      <c r="DC31" s="13" t="n">
        <f aca="false">IF(AND(CU31=1,ISNUMBER(AD31),ISNUMBER(AV31)),1,0)</f>
        <v>1</v>
      </c>
      <c r="DD31" s="7" t="n">
        <f aca="false">IF(DC31=0,"",p_ev_km*p_ice_l/100*AD31-p_ev_km*p_ev_kwh*AV31+p_ev_km*p_ev_maint)</f>
        <v>429.66765</v>
      </c>
      <c r="DE31" s="37" t="n">
        <f aca="false">IF(DC31=0,"",DD31/p_ev_prem)</f>
        <v>0.08593353</v>
      </c>
      <c r="DF31" s="37" t="n">
        <f aca="false">IF(DC31=0,"",p_ev_km*p_ice_l/100*N(AZ31)/p_ev_prem)</f>
        <v>0.048035475</v>
      </c>
      <c r="DG31" s="37" t="n">
        <f aca="false">IF(DC31=0,"",1000/p_ev_prem*(p_ev_km*p_ice_l/100*p_gj_l_gso*p_ef_gso-p_ev_km*p_ev_kwh/1000*CY31))</f>
        <v>0.310663232169576</v>
      </c>
      <c r="DH31" s="11" t="str">
        <f aca="false">IFERROR(IF(INDEX(Damodaran!$D:$D,MATCH(A31,Damodaran!$A:$A,0))="","",INDEX(Damodaran!$D:$D,MATCH(A31,Damodaran!$A:$A,0))),"")</f>
        <v/>
      </c>
      <c r="DI31" s="11" t="str">
        <f aca="false">IFERROR(IF(INDEX(Damodaran!$E:$E,MATCH(A31,Damodaran!$A:$A,0))="","",INDEX(Damodaran!$E:$E,MATCH(A31,Damodaran!$A:$A,0))),"")</f>
        <v/>
      </c>
      <c r="DJ31" s="11" t="str">
        <f aca="false">IFERROR(IF(INDEX(Damodaran!$G:$G,MATCH(A31,Damodaran!$A:$A,0))="","",INDEX(Damodaran!$G:$G,MATCH(A31,Damodaran!$A:$A,0))),"")</f>
        <v/>
      </c>
      <c r="DK31" s="11" t="str">
        <f aca="false">IF(ISNUMBER(BG31),(1+BG31/100)*(1+p_infl)-1,"")</f>
        <v/>
      </c>
      <c r="DL31" s="11" t="n">
        <f aca="false">IF(ISNUMBER(BH31),BH31/100,"")</f>
        <v>0.0546</v>
      </c>
      <c r="DM31" s="11" t="n">
        <f aca="false">IF(COUNT(DK31,DL31)=0,"",AVERAGE(DK31,DL31))</f>
        <v>0.0546</v>
      </c>
      <c r="DN31" s="11" t="str">
        <f aca="false">IF(OR(DH31="",DI31=""),"",p_dv*(p_rf+DH31)*(1-IF(DJ31="",p_tax_def,DJ31))+(1-p_dv)*(p_rf+p_beta*p_erp+p_lambda*DI31))</f>
        <v/>
      </c>
      <c r="DO31" s="13" t="n">
        <f aca="false">IF(AND(ISNUMBER(DM31),ISNUMBER(DN31)),1,0)</f>
        <v>0</v>
      </c>
      <c r="DP31" s="11" t="n">
        <f aca="false">IF(DO31=1,DM31,0)</f>
        <v>0</v>
      </c>
      <c r="DQ31" s="11" t="n">
        <f aca="false">IF(DO31=1,DN31,0)</f>
        <v>0</v>
      </c>
      <c r="DR31" s="11" t="str">
        <f aca="false">IF(DN31="","",DN31+p_shift)</f>
        <v/>
      </c>
      <c r="DS31" s="11" t="n">
        <f aca="false">IF(E31="AE",p_r_ae,IF(E31="China",p_r_chn,p_r_emdc))</f>
        <v>0.055</v>
      </c>
      <c r="DT31" s="11" t="n">
        <f aca="false">IF(E31="AE",p_rh_ae,IF(E31="China",p_rh_chn,p_rh_emdc))</f>
        <v>0.07</v>
      </c>
      <c r="DU31" s="11" t="n">
        <f aca="false">IF(AND(p_use_obs=1,ISNUMBER(DM31)),DM31,IF(AND(p_use_dam=1,ISNUMBER(DR31)),DR31,DS31))</f>
        <v>0.0546</v>
      </c>
      <c r="DV31" s="6" t="str">
        <f aca="false">IF(AND(p_use_obs=1,ISNUMBER(DM31)),"Observed (IRENA/Steffen)",IF(AND(p_use_dam=1,ISNUMBER(DR31)),"Damodaran (eq. 5)","Group default (IHLEG)"))</f>
        <v>Observed (IRENA/Steffen)</v>
      </c>
      <c r="DW31" s="11" t="n">
        <f aca="false">IF(p_basis=1,(1+DU31)/(1+p_infl)-1,DU31)</f>
        <v>0.0546</v>
      </c>
      <c r="DX31" s="11" t="n">
        <f aca="false">DW31+(DT31-DS31)</f>
        <v>0.0696</v>
      </c>
      <c r="DY31" s="28" t="n">
        <f aca="false">IF(AND(p_use_pefa=1,ISNUMBER(BD31)),p_gap_lic-(BD31-1)/3*(p_gap_lic-p_gap_ae),IF(E31="AE",p_gap_ae,IF(D31="Low income",p_gap_lic,p_gap_em)))*(1-p_reform*p_reform_close)</f>
        <v>0.13</v>
      </c>
      <c r="DZ31" s="6" t="str">
        <f aca="false">IF(AND(p_use_pefa=1,ISNUMBER(BD31)),"PEFA PI-11","Income-group default (IMF 2015)")</f>
        <v>Income-group default (IMF 2015)</v>
      </c>
      <c r="EA31" s="28" t="n">
        <f aca="false">IF(E31="AE",p_ps_ae,IF(E31="China",p_ps_chn,p_ps_emdc))</f>
        <v>0.3</v>
      </c>
      <c r="EB31" s="37" t="n">
        <f aca="false">(1-EA31)+EA31/(1-DY31)</f>
        <v>1.0448275862069</v>
      </c>
      <c r="EC31" s="16" t="n">
        <f aca="false">Results_Country!F31</f>
        <v>16.6363502914212</v>
      </c>
      <c r="ED31" s="16" t="n">
        <f aca="false">IF(CH31="",0,CH31*EC31)</f>
        <v>6511.68858524664</v>
      </c>
      <c r="EE31" s="16" t="n">
        <f aca="false">IF(CJ31="",0,CJ31*EC31)</f>
        <v>639.616402352522</v>
      </c>
      <c r="EF31" s="16" t="n">
        <f aca="false">IF(CH31="",0,EC31)</f>
        <v>16.6363502914212</v>
      </c>
    </row>
    <row r="32" customFormat="false" ht="15" hidden="false" customHeight="false" outlineLevel="0" collapsed="false">
      <c r="A32" s="35" t="s">
        <v>818</v>
      </c>
      <c r="B32" s="35" t="s">
        <v>819</v>
      </c>
      <c r="C32" s="35" t="s">
        <v>799</v>
      </c>
      <c r="D32" s="35" t="s">
        <v>760</v>
      </c>
      <c r="E32" s="35" t="s">
        <v>31</v>
      </c>
      <c r="F32" s="36" t="n">
        <v>552.325</v>
      </c>
      <c r="G32" s="36" t="n">
        <v>871.702</v>
      </c>
      <c r="H32" s="33" t="n">
        <v>5.804</v>
      </c>
      <c r="I32" s="33" t="n">
        <v>3.143</v>
      </c>
      <c r="J32" s="36" t="n">
        <v>11.027129</v>
      </c>
      <c r="K32" s="36" t="n">
        <v>230.363</v>
      </c>
      <c r="L32" s="36" t="n">
        <v>313.523</v>
      </c>
      <c r="M32" s="36" t="n">
        <v>313.523</v>
      </c>
      <c r="N32" s="36" t="n">
        <v>108.902224306141</v>
      </c>
      <c r="O32" s="36" t="n">
        <v>50.0699199744782</v>
      </c>
      <c r="P32" s="36" t="n">
        <v>0.342889875936166</v>
      </c>
      <c r="Q32" s="31" t="n">
        <v>1.20158195533496</v>
      </c>
      <c r="R32" s="31" t="n">
        <v>0</v>
      </c>
      <c r="S32" s="31" t="n">
        <v>1.24016238402117</v>
      </c>
      <c r="T32" s="31" t="n">
        <v>0</v>
      </c>
      <c r="U32" s="31" t="n">
        <v>0.0969384440651994</v>
      </c>
      <c r="V32" s="31" t="n">
        <v>0</v>
      </c>
      <c r="W32" s="31" t="n">
        <v>0.00538750387861316</v>
      </c>
      <c r="X32" s="31" t="n">
        <v>0</v>
      </c>
      <c r="Y32" s="36" t="n">
        <v>10.4729442974511</v>
      </c>
      <c r="Z32" s="36" t="n">
        <v>3.85204973912792</v>
      </c>
      <c r="AA32" s="36" t="n">
        <v>0.613058301024733</v>
      </c>
      <c r="AB32" s="36" t="n">
        <v>0.464116098492566</v>
      </c>
      <c r="AC32" s="36" t="n">
        <v>2.09902025082028</v>
      </c>
      <c r="AD32" s="31" t="n">
        <v>0.756</v>
      </c>
      <c r="AE32" s="31" t="n">
        <v>0.751525</v>
      </c>
      <c r="AF32" s="31" t="n">
        <v>0.526025</v>
      </c>
      <c r="AG32" s="31" t="n">
        <v>0.652</v>
      </c>
      <c r="AH32" s="31" t="n">
        <v>0.543345303403777</v>
      </c>
      <c r="AI32" s="31" t="n">
        <v>7.124</v>
      </c>
      <c r="AJ32" s="31" t="n">
        <v>12.80265</v>
      </c>
      <c r="AK32" s="31" t="n">
        <v>5.575</v>
      </c>
      <c r="AL32" s="31" t="n">
        <v>7.04244450331841</v>
      </c>
      <c r="AM32" s="31" t="n">
        <v>6.831</v>
      </c>
      <c r="AN32" s="31" t="n">
        <v>12.5643</v>
      </c>
      <c r="AO32" s="31" t="n">
        <v>5.975</v>
      </c>
      <c r="AP32" s="31" t="n">
        <v>6.39623744783123</v>
      </c>
      <c r="AQ32" s="36" t="n">
        <v>2.92411335281473</v>
      </c>
      <c r="AR32" s="36" t="n">
        <v>1.8061324606136</v>
      </c>
      <c r="AS32" s="36" t="n">
        <v>1.00369676565947</v>
      </c>
      <c r="AT32" s="36" t="n">
        <v>1.00323886424237</v>
      </c>
      <c r="AU32" s="31" t="n">
        <v>0.189315953673749</v>
      </c>
      <c r="AV32" s="36" t="n">
        <v>0.084</v>
      </c>
      <c r="AW32" s="31" t="n">
        <v>1.405832</v>
      </c>
      <c r="AX32" s="31" t="n">
        <v>0.22187</v>
      </c>
      <c r="AY32" s="31" t="n">
        <v>0.218223359527504</v>
      </c>
      <c r="AZ32" s="31" t="n">
        <v>0.050845</v>
      </c>
      <c r="BA32" s="33" t="n">
        <v>34.944</v>
      </c>
      <c r="BB32" s="33" t="n">
        <v>1.987</v>
      </c>
      <c r="BC32" s="33"/>
      <c r="BD32" s="33"/>
      <c r="BE32" s="33"/>
      <c r="BF32" s="33" t="n">
        <v>0</v>
      </c>
      <c r="BG32" s="33"/>
      <c r="BH32" s="33" t="n">
        <v>5.35</v>
      </c>
      <c r="BI32" s="29" t="n">
        <v>2017</v>
      </c>
      <c r="BJ32" s="33" t="n">
        <v>1</v>
      </c>
      <c r="BK32" s="33"/>
      <c r="BL32" s="33"/>
      <c r="BM32" s="33"/>
      <c r="BN32" s="29"/>
      <c r="BO32" s="33"/>
      <c r="BP32" s="33"/>
      <c r="BQ32" s="29" t="n">
        <v>2024</v>
      </c>
      <c r="BR32" s="36" t="n">
        <v>177.26</v>
      </c>
      <c r="BS32" s="36" t="n">
        <v>0</v>
      </c>
      <c r="BT32" s="36" t="n">
        <v>121.01</v>
      </c>
      <c r="BU32" s="36" t="n">
        <v>0</v>
      </c>
      <c r="BV32" s="16" t="n">
        <f aca="false">F32*(1+N(H32)/100)*(1+N(I32)/100)^5</f>
        <v>682.174660497772</v>
      </c>
      <c r="BW32" s="16" t="n">
        <f aca="false">IF(N(G32)&gt;0,G32,F32)</f>
        <v>871.702</v>
      </c>
      <c r="BX32" s="12" t="n">
        <f aca="false">F32/BW32</f>
        <v>0.633616763526985</v>
      </c>
      <c r="BY32" s="13" t="n">
        <f aca="false">IF(ISNUMBER(K32),1,0)</f>
        <v>1</v>
      </c>
      <c r="BZ32" s="16" t="n">
        <f aca="false">IF(BY32=0,"",N(N32)+N(O32)+N(P32))</f>
        <v>159.315034156555</v>
      </c>
      <c r="CA32" s="37" t="n">
        <f aca="false">IF(BY32=0,"",(N(Y32)*34.2+N(Z32)*38.6)/1000)</f>
        <v>0.506863814903164</v>
      </c>
      <c r="CB32" s="37" t="n">
        <f aca="false">IF(BY32=0,"",N(O32)*0.0036+N(R32)+N(V32)+(N(AA32)*25.3+N(AB32)*37)/1000)</f>
        <v>0.212934382568272</v>
      </c>
      <c r="CC32" s="37" t="n">
        <f aca="false">IF(BY32=0,"",N(N32)*0.0036+N(Q32)+N(U32)+N(T32)+N(X32)+N(AC32)*38/1000)</f>
        <v>1.77033117643344</v>
      </c>
      <c r="CD32" s="37" t="n">
        <f aca="false">IF(BY32=0,"",N(Q32)+N(R32)+N(S32)+N(T32)+N(U32)+N(V32)+N(W32)+N(X32)+(N(Y32)*34.2+N(Z32)*38.6+N(AA32)*25.3+N(AB32)*37+N(AC32)*38)/1000)</f>
        <v>3.16337954239443</v>
      </c>
      <c r="CE32" s="16" t="n">
        <f aca="false">IF(BY32=0,"",MAX(0,N(L32)-N(K32))+MAX(0,N(M32)-N(L32)))</f>
        <v>83.16</v>
      </c>
      <c r="CF32" s="16" t="n">
        <f aca="false">IF(BY32=0,"",N(Y32)*N(AD32)+N(Z32)*N(AE32)+N(AA32)*N(AF32)+N(AB32)*N(AG32)+N(AC32)*N(AH32)+N(U32)*N(AI32)+N(V32)*N(AJ32)+N(W32)*N(AK32)+N(X32)*N(AL32)+N(Q32)*N(AM32)+N(R32)*N(AN32)+N(S32)*N(AO32)+N(T32)*N(AP32))</f>
        <v>28.9166394441808</v>
      </c>
      <c r="CG32" s="16" t="n">
        <f aca="false">IF(AND(BY32=1,N(K32)&gt;0),K32,0)</f>
        <v>230.363</v>
      </c>
      <c r="CH32" s="16" t="n">
        <f aca="false">IF(CG32&gt;0,CF32*1000/CG32,"")</f>
        <v>125.526405907983</v>
      </c>
      <c r="CI32" s="16" t="n">
        <f aca="false">IF(BY32=0,"",N(AQ32)+p_road*(N(AR32)+N(AS32)+N(AT32)))</f>
        <v>2.92411335281473</v>
      </c>
      <c r="CJ32" s="16" t="n">
        <f aca="false">IF(CG32&gt;0,CI32*1000/CG32,"")</f>
        <v>12.6935026580429</v>
      </c>
      <c r="CK32" s="12" t="n">
        <f aca="false">IF(CH32="",1,MIN(p_idx_max,MAX(p_idx_min,CH32/p_fc_world)))</f>
        <v>0.779631551258522</v>
      </c>
      <c r="CL32" s="12" t="n">
        <f aca="false">IF(CJ32="",1,MIN(p_idx_max,MAX(p_idx_min,CJ32/p_cb_world)))</f>
        <v>0.25</v>
      </c>
      <c r="CM32" s="37" t="n">
        <f aca="false">p_b*(1-p_wb_idx+p_wb_idx*CK32)</f>
        <v>0.103690996317383</v>
      </c>
      <c r="CN32" s="37" t="n">
        <f aca="false">p_c*(1-p_wc_idx+p_wc_idx*CL32)</f>
        <v>0.03225</v>
      </c>
      <c r="CO32" s="28" t="n">
        <f aca="false">IF(N(BR32)&gt;0,(N(BS32)+N(BT32)+N(BU32))/BR32,"")</f>
        <v>0.682669524991538</v>
      </c>
      <c r="CP32" s="16" t="n">
        <f aca="false">N(BS32)+N(BT32)+N(BU32)</f>
        <v>121.01</v>
      </c>
      <c r="CQ32" s="28" t="n">
        <f aca="false">IF(CP32&gt;0,N(BS32)/CP32,"")</f>
        <v>0</v>
      </c>
      <c r="CR32" s="28" t="n">
        <f aca="false">IF(CP32&gt;0,N(BT32)/CP32,"")</f>
        <v>1</v>
      </c>
      <c r="CS32" s="28" t="n">
        <f aca="false">IF(CP32&gt;0,N(BU32)/CP32,"")</f>
        <v>0</v>
      </c>
      <c r="CT32" s="7" t="n">
        <f aca="false">1000*(p_sh_pv*p_cf_pv/p_capex_pv+(1-p_sh_pv)*p_cf_wind/p_capex_wind)*8760</f>
        <v>2301.28856624319</v>
      </c>
      <c r="CU32" s="13" t="n">
        <f aca="false">IF(AND(ISNUMBER(CO32),ISNUMBER(CQ32),BY32=1),1,0)</f>
        <v>1</v>
      </c>
      <c r="CV32" s="16" t="n">
        <f aca="false">IF(CU32=0,"",CQ32*p_hr_coal*N(AK32)+CR32*p_hr_gas*N(AO32)+CS32*p_hr_oil*N(AH32)/p_gj_l_oil)</f>
        <v>44.8125</v>
      </c>
      <c r="CW32" s="37" t="n">
        <f aca="false">IF(CU32=0,"",CQ32*p_hr_coal*p_ef_coal+CR32*p_hr_gas*p_ef_gas+CS32*p_hr_oil*p_ef_oil)</f>
        <v>0.42075</v>
      </c>
      <c r="CX32" s="16" t="n">
        <f aca="false">IF(CU32=0,"",CQ32*p_hr_coal*N(AW32)+CR32*p_hr_gas*N(AX32)+CS32*p_hr_oil*N(AY32)/p_gj_l_oil)</f>
        <v>1.664025</v>
      </c>
      <c r="CY32" s="37" t="n">
        <f aca="false">IF(CU32=0,"",CO32*CW32)</f>
        <v>0.28723320264019</v>
      </c>
      <c r="CZ32" s="37" t="n">
        <f aca="false">IF(CU32=0,"",CT32*CO32*CV32/1000/1000-p_om_re)</f>
        <v>0.0554013145875341</v>
      </c>
      <c r="DA32" s="37" t="n">
        <f aca="false">IF(CU32=0,"",CT32*CO32*CX32/1000/1000)</f>
        <v>0.00261421584393911</v>
      </c>
      <c r="DB32" s="37" t="n">
        <f aca="false">IF(CU32=0,"",CT32*CO32*CW32/1000)</f>
        <v>0.661006485081283</v>
      </c>
      <c r="DC32" s="13" t="n">
        <f aca="false">IF(AND(CU32=1,ISNUMBER(AD32),ISNUMBER(AV32)),1,0)</f>
        <v>1</v>
      </c>
      <c r="DD32" s="7" t="n">
        <f aca="false">IF(DC32=0,"",p_ev_km*p_ice_l/100*AD32-p_ev_km*p_ev_kwh*AV32+p_ev_km*p_ev_maint)</f>
        <v>803.7</v>
      </c>
      <c r="DE32" s="37" t="n">
        <f aca="false">IF(DC32=0,"",DD32/p_ev_prem)</f>
        <v>0.16074</v>
      </c>
      <c r="DF32" s="37" t="n">
        <f aca="false">IF(DC32=0,"",p_ev_km*p_ice_l/100*N(AZ32)/p_ev_prem)</f>
        <v>0.011440125</v>
      </c>
      <c r="DG32" s="37" t="n">
        <f aca="false">IF(DC32=0,"",1000/p_ev_prem*(p_ev_km*p_ice_l/100*p_gj_l_gso*p_ef_gso-p_ev_km*p_ev_kwh/1000*CY32))</f>
        <v>0.378157570574298</v>
      </c>
      <c r="DH32" s="11" t="str">
        <f aca="false">IFERROR(IF(INDEX(Damodaran!$D:$D,MATCH(A32,Damodaran!$A:$A,0))="","",INDEX(Damodaran!$D:$D,MATCH(A32,Damodaran!$A:$A,0))),"")</f>
        <v/>
      </c>
      <c r="DI32" s="11" t="str">
        <f aca="false">IFERROR(IF(INDEX(Damodaran!$E:$E,MATCH(A32,Damodaran!$A:$A,0))="","",INDEX(Damodaran!$E:$E,MATCH(A32,Damodaran!$A:$A,0))),"")</f>
        <v/>
      </c>
      <c r="DJ32" s="11" t="str">
        <f aca="false">IFERROR(IF(INDEX(Damodaran!$G:$G,MATCH(A32,Damodaran!$A:$A,0))="","",INDEX(Damodaran!$G:$G,MATCH(A32,Damodaran!$A:$A,0))),"")</f>
        <v/>
      </c>
      <c r="DK32" s="11" t="str">
        <f aca="false">IF(ISNUMBER(BG32),(1+BG32/100)*(1+p_infl)-1,"")</f>
        <v/>
      </c>
      <c r="DL32" s="11" t="n">
        <f aca="false">IF(ISNUMBER(BH32),BH32/100,"")</f>
        <v>0.0535</v>
      </c>
      <c r="DM32" s="11" t="n">
        <f aca="false">IF(COUNT(DK32,DL32)=0,"",AVERAGE(DK32,DL32))</f>
        <v>0.0535</v>
      </c>
      <c r="DN32" s="11" t="str">
        <f aca="false">IF(OR(DH32="",DI32=""),"",p_dv*(p_rf+DH32)*(1-IF(DJ32="",p_tax_def,DJ32))+(1-p_dv)*(p_rf+p_beta*p_erp+p_lambda*DI32))</f>
        <v/>
      </c>
      <c r="DO32" s="13" t="n">
        <f aca="false">IF(AND(ISNUMBER(DM32),ISNUMBER(DN32)),1,0)</f>
        <v>0</v>
      </c>
      <c r="DP32" s="11" t="n">
        <f aca="false">IF(DO32=1,DM32,0)</f>
        <v>0</v>
      </c>
      <c r="DQ32" s="11" t="n">
        <f aca="false">IF(DO32=1,DN32,0)</f>
        <v>0</v>
      </c>
      <c r="DR32" s="11" t="str">
        <f aca="false">IF(DN32="","",DN32+p_shift)</f>
        <v/>
      </c>
      <c r="DS32" s="11" t="n">
        <f aca="false">IF(E32="AE",p_r_ae,IF(E32="China",p_r_chn,p_r_emdc))</f>
        <v>0.105</v>
      </c>
      <c r="DT32" s="11" t="n">
        <f aca="false">IF(E32="AE",p_rh_ae,IF(E32="China",p_rh_chn,p_rh_emdc))</f>
        <v>0.15</v>
      </c>
      <c r="DU32" s="11" t="n">
        <f aca="false">IF(AND(p_use_obs=1,ISNUMBER(DM32)),DM32,IF(AND(p_use_dam=1,ISNUMBER(DR32)),DR32,DS32))</f>
        <v>0.0535</v>
      </c>
      <c r="DV32" s="6" t="str">
        <f aca="false">IF(AND(p_use_obs=1,ISNUMBER(DM32)),"Observed (IRENA/Steffen)",IF(AND(p_use_dam=1,ISNUMBER(DR32)),"Damodaran (eq. 5)","Group default (IHLEG)"))</f>
        <v>Observed (IRENA/Steffen)</v>
      </c>
      <c r="DW32" s="11" t="n">
        <f aca="false">IF(p_basis=1,(1+DU32)/(1+p_infl)-1,DU32)</f>
        <v>0.0535</v>
      </c>
      <c r="DX32" s="11" t="n">
        <f aca="false">DW32+(DT32-DS32)</f>
        <v>0.0985</v>
      </c>
      <c r="DY32" s="28" t="n">
        <f aca="false">IF(AND(p_use_pefa=1,ISNUMBER(BD32)),p_gap_lic-(BD32-1)/3*(p_gap_lic-p_gap_ae),IF(E32="AE",p_gap_ae,IF(D32="Low income",p_gap_lic,p_gap_em)))*(1-p_reform*p_reform_close)</f>
        <v>0.27</v>
      </c>
      <c r="DZ32" s="6" t="str">
        <f aca="false">IF(AND(p_use_pefa=1,ISNUMBER(BD32)),"PEFA PI-11","Income-group default (IMF 2015)")</f>
        <v>Income-group default (IMF 2015)</v>
      </c>
      <c r="EA32" s="28" t="n">
        <f aca="false">IF(E32="AE",p_ps_ae,IF(E32="China",p_ps_chn,p_ps_emdc))</f>
        <v>0.4</v>
      </c>
      <c r="EB32" s="37" t="n">
        <f aca="false">(1-EA32)+EA32/(1-DY32)</f>
        <v>1.14794520547945</v>
      </c>
      <c r="EC32" s="16" t="n">
        <f aca="false">Results_Country!F32</f>
        <v>34.0797897184924</v>
      </c>
      <c r="ED32" s="16" t="n">
        <f aca="false">IF(CH32="",0,CH32*EC32)</f>
        <v>4277.91351746219</v>
      </c>
      <c r="EE32" s="16" t="n">
        <f aca="false">IF(CJ32="",0,CJ32*EC32)</f>
        <v>432.591901377225</v>
      </c>
      <c r="EF32" s="16" t="n">
        <f aca="false">IF(CH32="",0,EC32)</f>
        <v>34.0797897184924</v>
      </c>
    </row>
    <row r="33" customFormat="false" ht="15" hidden="false" customHeight="false" outlineLevel="0" collapsed="false">
      <c r="A33" s="35" t="s">
        <v>820</v>
      </c>
      <c r="B33" s="35" t="s">
        <v>821</v>
      </c>
      <c r="C33" s="35" t="s">
        <v>799</v>
      </c>
      <c r="D33" s="35" t="s">
        <v>760</v>
      </c>
      <c r="E33" s="35" t="s">
        <v>29</v>
      </c>
      <c r="F33" s="36" t="n">
        <v>542.285</v>
      </c>
      <c r="G33" s="36" t="n">
        <v>540.608</v>
      </c>
      <c r="H33" s="33" t="n">
        <v>2.931</v>
      </c>
      <c r="I33" s="33" t="n">
        <v>3.53</v>
      </c>
      <c r="J33" s="36" t="n">
        <v>9.387021</v>
      </c>
      <c r="K33" s="36" t="n">
        <v>62.811</v>
      </c>
      <c r="L33" s="36" t="n">
        <v>90.989</v>
      </c>
      <c r="M33" s="36" t="n">
        <v>91.067</v>
      </c>
      <c r="N33" s="36" t="n">
        <v>44.917687395433</v>
      </c>
      <c r="O33" s="36" t="n">
        <v>27.3133921203371</v>
      </c>
      <c r="P33" s="36" t="n">
        <v>6.54341315622668</v>
      </c>
      <c r="Q33" s="31" t="n">
        <v>0.0561392256412715</v>
      </c>
      <c r="R33" s="31" t="n">
        <v>0</v>
      </c>
      <c r="S33" s="31" t="n">
        <v>0.37198222269435</v>
      </c>
      <c r="T33" s="31" t="n">
        <v>0.00377764365210524</v>
      </c>
      <c r="U33" s="31" t="n">
        <v>0.00159152832248491</v>
      </c>
      <c r="V33" s="31" t="n">
        <v>0</v>
      </c>
      <c r="W33" s="31" t="n">
        <v>0.109125613831037</v>
      </c>
      <c r="X33" s="31" t="n">
        <v>0</v>
      </c>
      <c r="Y33" s="36" t="n">
        <v>4.52114047360119</v>
      </c>
      <c r="Z33" s="36" t="n">
        <v>3.4447205296243</v>
      </c>
      <c r="AA33" s="36" t="n">
        <v>0.956835871406383</v>
      </c>
      <c r="AB33" s="36" t="n">
        <v>0.280124522042031</v>
      </c>
      <c r="AC33" s="36" t="n">
        <v>1.149796713115</v>
      </c>
      <c r="AD33" s="31" t="n">
        <v>0.8424</v>
      </c>
      <c r="AE33" s="31" t="n">
        <v>0.798244</v>
      </c>
      <c r="AF33" s="31" t="n">
        <v>0.541634</v>
      </c>
      <c r="AG33" s="31" t="n">
        <v>0.652</v>
      </c>
      <c r="AH33" s="31" t="n">
        <v>0.543345303403777</v>
      </c>
      <c r="AI33" s="31" t="n">
        <v>1.121</v>
      </c>
      <c r="AJ33" s="31" t="n">
        <v>13.58955</v>
      </c>
      <c r="AK33" s="31" t="n">
        <v>5.277</v>
      </c>
      <c r="AL33" s="31" t="n">
        <v>5.21725864848394</v>
      </c>
      <c r="AM33" s="31" t="n">
        <v>3.502</v>
      </c>
      <c r="AN33" s="31" t="n">
        <v>8.74341</v>
      </c>
      <c r="AO33" s="31" t="n">
        <v>2.84</v>
      </c>
      <c r="AP33" s="31" t="n">
        <v>2.92680753444847</v>
      </c>
      <c r="AQ33" s="36" t="n">
        <v>0.948616119658915</v>
      </c>
      <c r="AR33" s="36" t="n">
        <v>5.32187773383748</v>
      </c>
      <c r="AS33" s="36" t="n">
        <v>0.217466325225215</v>
      </c>
      <c r="AT33" s="36" t="n">
        <v>0.178425563291337</v>
      </c>
      <c r="AU33" s="31" t="n">
        <v>0.283004229964019</v>
      </c>
      <c r="AV33" s="36" t="n">
        <v>0.168971</v>
      </c>
      <c r="AW33" s="31" t="n">
        <v>1.32035</v>
      </c>
      <c r="AX33" s="31" t="n">
        <v>0.34605</v>
      </c>
      <c r="AY33" s="31" t="n">
        <v>0.355777769973337</v>
      </c>
      <c r="AZ33" s="31" t="n">
        <v>0.044204</v>
      </c>
      <c r="BA33" s="33" t="n">
        <v>67.673</v>
      </c>
      <c r="BB33" s="33" t="n">
        <v>7.805</v>
      </c>
      <c r="BC33" s="33"/>
      <c r="BD33" s="33"/>
      <c r="BE33" s="33"/>
      <c r="BF33" s="33" t="n">
        <v>0</v>
      </c>
      <c r="BG33" s="33"/>
      <c r="BH33" s="33"/>
      <c r="BI33" s="29"/>
      <c r="BJ33" s="33"/>
      <c r="BK33" s="33"/>
      <c r="BL33" s="33"/>
      <c r="BM33" s="33"/>
      <c r="BN33" s="29"/>
      <c r="BO33" s="33"/>
      <c r="BP33" s="33"/>
      <c r="BQ33" s="29" t="n">
        <v>2025</v>
      </c>
      <c r="BR33" s="36" t="n">
        <v>82.1</v>
      </c>
      <c r="BS33" s="36" t="n">
        <v>2.8</v>
      </c>
      <c r="BT33" s="36" t="n">
        <v>65.4</v>
      </c>
      <c r="BU33" s="36" t="n">
        <v>0</v>
      </c>
      <c r="BV33" s="16" t="n">
        <f aca="false">F33*(1+N(H33)/100)*(1+N(I33)/100)^5</f>
        <v>663.903340465009</v>
      </c>
      <c r="BW33" s="16" t="n">
        <f aca="false">IF(N(G33)&gt;0,G33,F33)</f>
        <v>540.608</v>
      </c>
      <c r="BX33" s="12" t="n">
        <f aca="false">F33/BW33</f>
        <v>1.00310206286255</v>
      </c>
      <c r="BY33" s="13" t="n">
        <f aca="false">IF(ISNUMBER(K33),1,0)</f>
        <v>1</v>
      </c>
      <c r="BZ33" s="16" t="n">
        <f aca="false">IF(BY33=0,"",N(N33)+N(O33)+N(P33))</f>
        <v>78.7744926719968</v>
      </c>
      <c r="CA33" s="37" t="n">
        <f aca="false">IF(BY33=0,"",(N(Y33)*34.2+N(Z33)*38.6)/1000)</f>
        <v>0.287589216640658</v>
      </c>
      <c r="CB33" s="37" t="n">
        <f aca="false">IF(BY33=0,"",N(O33)*0.0036+N(R33)+N(V33)+(N(AA33)*25.3+N(AB33)*37)/1000)</f>
        <v>0.13290076649535</v>
      </c>
      <c r="CC33" s="37" t="n">
        <f aca="false">IF(BY33=0,"",N(N33)*0.0036+N(Q33)+N(U33)+N(T33)+N(X33)+N(AC33)*38/1000)</f>
        <v>0.266904347337791</v>
      </c>
      <c r="CD33" s="37" t="n">
        <f aca="false">IF(BY33=0,"",N(Q33)+N(R33)+N(S33)+N(T33)+N(U33)+N(V33)+N(W33)+N(X33)+(N(Y33)*34.2+N(Z33)*38.6+N(AA33)*25.3+N(AB33)*37+N(AC33)*38)/1000)</f>
        <v>0.908470280742414</v>
      </c>
      <c r="CE33" s="16" t="n">
        <f aca="false">IF(BY33=0,"",MAX(0,N(L33)-N(K33))+MAX(0,N(M33)-N(L33)))</f>
        <v>28.256</v>
      </c>
      <c r="CF33" s="16" t="n">
        <f aca="false">IF(BY33=0,"",N(Y33)*N(AD33)+N(Z33)*N(AE33)+N(AA33)*N(AF33)+N(AB33)*N(AG33)+N(AC33)*N(AH33)+N(U33)*N(AI33)+N(V33)*N(AJ33)+N(W33)*N(AK33)+N(X33)*N(AL33)+N(Q33)*N(AM33)+N(R33)*N(AN33)+N(S33)*N(AO33)+N(T33)*N(AP33))</f>
        <v>9.72569438608294</v>
      </c>
      <c r="CG33" s="16" t="n">
        <f aca="false">IF(AND(BY33=1,N(K33)&gt;0),K33,0)</f>
        <v>62.811</v>
      </c>
      <c r="CH33" s="16" t="n">
        <f aca="false">IF(CG33&gt;0,CF33*1000/CG33,"")</f>
        <v>154.840623236104</v>
      </c>
      <c r="CI33" s="16" t="n">
        <f aca="false">IF(BY33=0,"",N(AQ33)+p_road*(N(AR33)+N(AS33)+N(AT33)))</f>
        <v>0.948616119658915</v>
      </c>
      <c r="CJ33" s="16" t="n">
        <f aca="false">IF(CG33&gt;0,CI33*1000/CG33,"")</f>
        <v>15.1027068452805</v>
      </c>
      <c r="CK33" s="12" t="n">
        <f aca="false">IF(CH33="",1,MIN(p_idx_max,MAX(p_idx_min,CH33/p_fc_world)))</f>
        <v>0.961699129503418</v>
      </c>
      <c r="CL33" s="12" t="n">
        <f aca="false">IF(CJ33="",1,MIN(p_idx_max,MAX(p_idx_min,CJ33/p_cb_world)))</f>
        <v>0.287173961169041</v>
      </c>
      <c r="CM33" s="37" t="n">
        <f aca="false">p_b*(1-p_wb_idx+p_wb_idx*CK33)</f>
        <v>0.127905984223955</v>
      </c>
      <c r="CN33" s="37" t="n">
        <f aca="false">p_c*(1-p_wc_idx+p_wc_idx*CL33)</f>
        <v>0.0370454409908063</v>
      </c>
      <c r="CO33" s="28" t="n">
        <f aca="false">IF(N(BR33)&gt;0,(N(BS33)+N(BT33)+N(BU33))/BR33,"")</f>
        <v>0.830694275274056</v>
      </c>
      <c r="CP33" s="16" t="n">
        <f aca="false">N(BS33)+N(BT33)+N(BU33)</f>
        <v>68.2</v>
      </c>
      <c r="CQ33" s="28" t="n">
        <f aca="false">IF(CP33&gt;0,N(BS33)/CP33,"")</f>
        <v>0.0410557184750733</v>
      </c>
      <c r="CR33" s="28" t="n">
        <f aca="false">IF(CP33&gt;0,N(BT33)/CP33,"")</f>
        <v>0.958944281524927</v>
      </c>
      <c r="CS33" s="28" t="n">
        <f aca="false">IF(CP33&gt;0,N(BU33)/CP33,"")</f>
        <v>0</v>
      </c>
      <c r="CT33" s="7" t="n">
        <f aca="false">1000*(p_sh_pv*p_cf_pv/p_capex_pv+(1-p_sh_pv)*p_cf_wind/p_capex_wind)*8760</f>
        <v>2301.28856624319</v>
      </c>
      <c r="CU33" s="13" t="n">
        <f aca="false">IF(AND(ISNUMBER(CO33),ISNUMBER(CQ33),BY33=1),1,0)</f>
        <v>1</v>
      </c>
      <c r="CV33" s="16" t="n">
        <f aca="false">IF(CU33=0,"",CQ33*p_hr_coal*N(AK33)+CR33*p_hr_gas*N(AO33)+CS33*p_hr_oil*N(AH33)/p_gj_l_oil)</f>
        <v>22.5920234604106</v>
      </c>
      <c r="CW33" s="37" t="n">
        <f aca="false">IF(CU33=0,"",CQ33*p_hr_coal*p_ef_coal+CR33*p_hr_gas*p_ef_gas+CS33*p_hr_oil*p_ef_oil)</f>
        <v>0.442314516129032</v>
      </c>
      <c r="CX33" s="16" t="n">
        <f aca="false">IF(CU33=0,"",CQ33*p_hr_coal*N(AW33)+CR33*p_hr_gas*N(AX33)+CS33*p_hr_oil*N(AY33)/p_gj_l_oil)</f>
        <v>3.03089919354839</v>
      </c>
      <c r="CY33" s="37" t="n">
        <f aca="false">IF(CU33=0,"",CO33*CW33)</f>
        <v>0.367428136419001</v>
      </c>
      <c r="CZ33" s="37" t="n">
        <f aca="false">IF(CU33=0,"",CT33*CO33*CV33/1000/1000-p_om_re)</f>
        <v>0.0281884310833365</v>
      </c>
      <c r="DA33" s="37" t="n">
        <f aca="false">IF(CU33=0,"",CT33*CO33*CX33/1000/1000)</f>
        <v>0.00579407068917437</v>
      </c>
      <c r="DB33" s="37" t="n">
        <f aca="false">IF(CU33=0,"",CT33*CO33*CW33/1000)</f>
        <v>0.845558169257092</v>
      </c>
      <c r="DC33" s="13" t="n">
        <f aca="false">IF(AND(CU33=1,ISNUMBER(AD33),ISNUMBER(AV33)),1,0)</f>
        <v>1</v>
      </c>
      <c r="DD33" s="7" t="n">
        <f aca="false">IF(DC33=0,"",p_ev_km*p_ice_l/100*AD33-p_ev_km*p_ev_kwh*AV33+p_ev_km*p_ev_maint)</f>
        <v>671.4783</v>
      </c>
      <c r="DE33" s="37" t="n">
        <f aca="false">IF(DC33=0,"",DD33/p_ev_prem)</f>
        <v>0.13429566</v>
      </c>
      <c r="DF33" s="37" t="n">
        <f aca="false">IF(DC33=0,"",p_ev_km*p_ice_l/100*N(AZ33)/p_ev_prem)</f>
        <v>0.0099459</v>
      </c>
      <c r="DG33" s="37" t="n">
        <f aca="false">IF(DC33=0,"",1000/p_ev_prem*(p_ev_km*p_ice_l/100*p_gj_l_gso*p_ef_gso-p_ev_km*p_ev_kwh/1000*CY33))</f>
        <v>0.334852306333739</v>
      </c>
      <c r="DH33" s="11" t="str">
        <f aca="false">IFERROR(IF(INDEX(Damodaran!$D:$D,MATCH(A33,Damodaran!$A:$A,0))="","",INDEX(Damodaran!$D:$D,MATCH(A33,Damodaran!$A:$A,0))),"")</f>
        <v/>
      </c>
      <c r="DI33" s="11" t="str">
        <f aca="false">IFERROR(IF(INDEX(Damodaran!$E:$E,MATCH(A33,Damodaran!$A:$A,0))="","",INDEX(Damodaran!$E:$E,MATCH(A33,Damodaran!$A:$A,0))),"")</f>
        <v/>
      </c>
      <c r="DJ33" s="11" t="str">
        <f aca="false">IFERROR(IF(INDEX(Damodaran!$G:$G,MATCH(A33,Damodaran!$A:$A,0))="","",INDEX(Damodaran!$G:$G,MATCH(A33,Damodaran!$A:$A,0))),"")</f>
        <v/>
      </c>
      <c r="DK33" s="11" t="str">
        <f aca="false">IF(ISNUMBER(BG33),(1+BG33/100)*(1+p_infl)-1,"")</f>
        <v/>
      </c>
      <c r="DL33" s="11" t="str">
        <f aca="false">IF(ISNUMBER(BH33),BH33/100,"")</f>
        <v/>
      </c>
      <c r="DM33" s="11" t="str">
        <f aca="false">IF(COUNT(DK33,DL33)=0,"",AVERAGE(DK33,DL33))</f>
        <v/>
      </c>
      <c r="DN33" s="11" t="str">
        <f aca="false">IF(OR(DH33="",DI33=""),"",p_dv*(p_rf+DH33)*(1-IF(DJ33="",p_tax_def,DJ33))+(1-p_dv)*(p_rf+p_beta*p_erp+p_lambda*DI33))</f>
        <v/>
      </c>
      <c r="DO33" s="13" t="n">
        <f aca="false">IF(AND(ISNUMBER(DM33),ISNUMBER(DN33)),1,0)</f>
        <v>0</v>
      </c>
      <c r="DP33" s="11" t="n">
        <f aca="false">IF(DO33=1,DM33,0)</f>
        <v>0</v>
      </c>
      <c r="DQ33" s="11" t="n">
        <f aca="false">IF(DO33=1,DN33,0)</f>
        <v>0</v>
      </c>
      <c r="DR33" s="11" t="str">
        <f aca="false">IF(DN33="","",DN33+p_shift)</f>
        <v/>
      </c>
      <c r="DS33" s="11" t="n">
        <f aca="false">IF(E33="AE",p_r_ae,IF(E33="China",p_r_chn,p_r_emdc))</f>
        <v>0.055</v>
      </c>
      <c r="DT33" s="11" t="n">
        <f aca="false">IF(E33="AE",p_rh_ae,IF(E33="China",p_rh_chn,p_rh_emdc))</f>
        <v>0.07</v>
      </c>
      <c r="DU33" s="11" t="n">
        <f aca="false">IF(AND(p_use_obs=1,ISNUMBER(DM33)),DM33,IF(AND(p_use_dam=1,ISNUMBER(DR33)),DR33,DS33))</f>
        <v>0.055</v>
      </c>
      <c r="DV33" s="6" t="str">
        <f aca="false">IF(AND(p_use_obs=1,ISNUMBER(DM33)),"Observed (IRENA/Steffen)",IF(AND(p_use_dam=1,ISNUMBER(DR33)),"Damodaran (eq. 5)","Group default (IHLEG)"))</f>
        <v>Group default (IHLEG)</v>
      </c>
      <c r="DW33" s="11" t="n">
        <f aca="false">IF(p_basis=1,(1+DU33)/(1+p_infl)-1,DU33)</f>
        <v>0.055</v>
      </c>
      <c r="DX33" s="11" t="n">
        <f aca="false">DW33+(DT33-DS33)</f>
        <v>0.07</v>
      </c>
      <c r="DY33" s="28" t="n">
        <f aca="false">IF(AND(p_use_pefa=1,ISNUMBER(BD33)),p_gap_lic-(BD33-1)/3*(p_gap_lic-p_gap_ae),IF(E33="AE",p_gap_ae,IF(D33="Low income",p_gap_lic,p_gap_em)))*(1-p_reform*p_reform_close)</f>
        <v>0.13</v>
      </c>
      <c r="DZ33" s="6" t="str">
        <f aca="false">IF(AND(p_use_pefa=1,ISNUMBER(BD33)),"PEFA PI-11","Income-group default (IMF 2015)")</f>
        <v>Income-group default (IMF 2015)</v>
      </c>
      <c r="EA33" s="28" t="n">
        <f aca="false">IF(E33="AE",p_ps_ae,IF(E33="China",p_ps_chn,p_ps_emdc))</f>
        <v>0.3</v>
      </c>
      <c r="EB33" s="37" t="n">
        <f aca="false">(1-EA33)+EA33/(1-DY33)</f>
        <v>1.0448275862069</v>
      </c>
      <c r="EC33" s="16" t="n">
        <f aca="false">Results_Country!F33</f>
        <v>17.8168235019689</v>
      </c>
      <c r="ED33" s="16" t="n">
        <f aca="false">IF(CH33="",0,CH33*EC33)</f>
        <v>2758.76805513253</v>
      </c>
      <c r="EE33" s="16" t="n">
        <f aca="false">IF(CJ33="",0,CJ33*EC33)</f>
        <v>269.082262264341</v>
      </c>
      <c r="EF33" s="16" t="n">
        <f aca="false">IF(CH33="",0,EC33)</f>
        <v>17.8168235019689</v>
      </c>
    </row>
    <row r="34" customFormat="false" ht="15" hidden="false" customHeight="false" outlineLevel="0" collapsed="false">
      <c r="A34" s="35" t="s">
        <v>822</v>
      </c>
      <c r="B34" s="35" t="s">
        <v>823</v>
      </c>
      <c r="C34" s="35" t="s">
        <v>766</v>
      </c>
      <c r="D34" s="35" t="s">
        <v>760</v>
      </c>
      <c r="E34" s="35" t="s">
        <v>29</v>
      </c>
      <c r="F34" s="36" t="n">
        <v>534.63</v>
      </c>
      <c r="G34" s="36" t="n">
        <v>672.857</v>
      </c>
      <c r="H34" s="33" t="n">
        <v>0.616</v>
      </c>
      <c r="I34" s="33" t="n">
        <v>0.682</v>
      </c>
      <c r="J34" s="36" t="n">
        <v>9.120813</v>
      </c>
      <c r="K34" s="36" t="n">
        <v>64.767</v>
      </c>
      <c r="L34" s="36" t="n">
        <v>76.658</v>
      </c>
      <c r="M34" s="36" t="n">
        <v>66.129</v>
      </c>
      <c r="N34" s="36" t="n">
        <v>38.9671705614536</v>
      </c>
      <c r="O34" s="36" t="n">
        <v>20.7279835277964</v>
      </c>
      <c r="P34" s="36" t="n">
        <v>2.93256102437596</v>
      </c>
      <c r="Q34" s="31" t="n">
        <v>0.146544550634212</v>
      </c>
      <c r="R34" s="31" t="n">
        <v>0.111324275630962</v>
      </c>
      <c r="S34" s="31" t="n">
        <v>0.0454486261744296</v>
      </c>
      <c r="T34" s="31" t="n">
        <v>0.000836169797959672</v>
      </c>
      <c r="U34" s="31" t="n">
        <v>0.0306561827694465</v>
      </c>
      <c r="V34" s="31" t="n">
        <v>0.000567604990944473</v>
      </c>
      <c r="W34" s="31" t="n">
        <v>0.0219735506007578</v>
      </c>
      <c r="X34" s="31" t="n">
        <v>3.2764268438164E-006</v>
      </c>
      <c r="Y34" s="36" t="n">
        <v>1.77260524275485</v>
      </c>
      <c r="Z34" s="36" t="n">
        <v>8.35752680151511</v>
      </c>
      <c r="AA34" s="36" t="n">
        <v>0.170098079882829</v>
      </c>
      <c r="AB34" s="36" t="n">
        <v>0.0200254727209239</v>
      </c>
      <c r="AC34" s="36" t="n">
        <v>0.455369758922554</v>
      </c>
      <c r="AD34" s="31" t="n">
        <v>0.868564</v>
      </c>
      <c r="AE34" s="31" t="n">
        <v>0.853788</v>
      </c>
      <c r="AF34" s="31" t="n">
        <v>0.548043</v>
      </c>
      <c r="AG34" s="31" t="n">
        <v>0.591</v>
      </c>
      <c r="AH34" s="31" t="n">
        <v>0.519462891908447</v>
      </c>
      <c r="AI34" s="31" t="n">
        <v>19.923</v>
      </c>
      <c r="AJ34" s="31" t="n">
        <v>13.1628</v>
      </c>
      <c r="AK34" s="31" t="n">
        <v>12.129</v>
      </c>
      <c r="AL34" s="31" t="n">
        <v>16.6315011762549</v>
      </c>
      <c r="AM34" s="31" t="n">
        <v>15.793</v>
      </c>
      <c r="AN34" s="31" t="n">
        <v>35.6736</v>
      </c>
      <c r="AO34" s="31" t="n">
        <v>15.793</v>
      </c>
      <c r="AP34" s="31" t="n">
        <v>23.0896239703915</v>
      </c>
      <c r="AQ34" s="36" t="n">
        <v>0.12898502485954</v>
      </c>
      <c r="AR34" s="36" t="n">
        <v>0.16950975622816</v>
      </c>
      <c r="AS34" s="36" t="n">
        <v>0.0322305133582425</v>
      </c>
      <c r="AT34" s="36" t="n">
        <v>0.0243565813840945</v>
      </c>
      <c r="AU34" s="31" t="n">
        <v>0.888108144879744</v>
      </c>
      <c r="AV34" s="36" t="n">
        <v>0.354</v>
      </c>
      <c r="AW34" s="31" t="n">
        <v>0.002993</v>
      </c>
      <c r="AX34" s="31" t="n">
        <v>0.084597</v>
      </c>
      <c r="AY34" s="31" t="n">
        <v>0.169106944229672</v>
      </c>
      <c r="AZ34" s="31" t="n">
        <v>0.032507</v>
      </c>
      <c r="BA34" s="33" t="n">
        <v>79.176</v>
      </c>
      <c r="BB34" s="33" t="n">
        <v>1.964</v>
      </c>
      <c r="BC34" s="33"/>
      <c r="BD34" s="33"/>
      <c r="BE34" s="33"/>
      <c r="BF34" s="33" t="n">
        <v>0</v>
      </c>
      <c r="BG34" s="33"/>
      <c r="BH34" s="33" t="n">
        <v>6.11</v>
      </c>
      <c r="BI34" s="29" t="n">
        <v>2020</v>
      </c>
      <c r="BJ34" s="33" t="n">
        <v>1</v>
      </c>
      <c r="BK34" s="33"/>
      <c r="BL34" s="33"/>
      <c r="BM34" s="33"/>
      <c r="BN34" s="29"/>
      <c r="BO34" s="33"/>
      <c r="BP34" s="33"/>
      <c r="BQ34" s="29" t="n">
        <v>2025</v>
      </c>
      <c r="BR34" s="36" t="n">
        <v>73.26</v>
      </c>
      <c r="BS34" s="36" t="n">
        <v>0</v>
      </c>
      <c r="BT34" s="36" t="n">
        <v>8.8</v>
      </c>
      <c r="BU34" s="36" t="n">
        <v>3.27</v>
      </c>
      <c r="BV34" s="16" t="n">
        <f aca="false">F34*(1+N(H34)/100)*(1+N(I34)/100)^5</f>
        <v>556.518419283744</v>
      </c>
      <c r="BW34" s="16" t="n">
        <f aca="false">IF(N(G34)&gt;0,G34,F34)</f>
        <v>672.857</v>
      </c>
      <c r="BX34" s="12" t="n">
        <f aca="false">F34/BW34</f>
        <v>0.794567047678779</v>
      </c>
      <c r="BY34" s="13" t="n">
        <f aca="false">IF(ISNUMBER(K34),1,0)</f>
        <v>1</v>
      </c>
      <c r="BZ34" s="16" t="n">
        <f aca="false">IF(BY34=0,"",N(N34)+N(O34)+N(P34))</f>
        <v>62.6277151136259</v>
      </c>
      <c r="CA34" s="37" t="n">
        <f aca="false">IF(BY34=0,"",(N(Y34)*34.2+N(Z34)*38.6)/1000)</f>
        <v>0.383223633840699</v>
      </c>
      <c r="CB34" s="37" t="n">
        <f aca="false">IF(BY34=0,"",N(O34)*0.0036+N(R34)+N(V34)+(N(AA34)*25.3+N(AB34)*37)/1000)</f>
        <v>0.191557045233683</v>
      </c>
      <c r="CC34" s="37" t="n">
        <f aca="false">IF(BY34=0,"",N(N34)*0.0036+N(Q34)+N(U34)+N(T34)+N(X34)+N(AC34)*38/1000)</f>
        <v>0.335626044488752</v>
      </c>
      <c r="CD34" s="37" t="n">
        <f aca="false">IF(BY34=0,"",N(Q34)+N(R34)+N(S34)+N(T34)+N(U34)+N(V34)+N(W34)+N(X34)+(N(Y34)*34.2+N(Z34)*38.6+N(AA34)*25.3+N(AB34)*37+N(AC34)*38)/1000)</f>
        <v>0.762926345617022</v>
      </c>
      <c r="CE34" s="16" t="n">
        <f aca="false">IF(BY34=0,"",MAX(0,N(L34)-N(K34))+MAX(0,N(M34)-N(L34)))</f>
        <v>11.891</v>
      </c>
      <c r="CF34" s="16" t="n">
        <f aca="false">IF(BY34=0,"",N(Y34)*N(AD34)+N(Z34)*N(AE34)+N(AA34)*N(AF34)+N(AB34)*N(AG34)+N(AC34)*N(AH34)+N(U34)*N(AI34)+N(V34)*N(AJ34)+N(W34)*N(AK34)+N(X34)*N(AL34)+N(Q34)*N(AM34)+N(R34)*N(AN34)+N(S34)*N(AO34)+N(T34)*N(AP34))</f>
        <v>16.9243798552308</v>
      </c>
      <c r="CG34" s="16" t="n">
        <f aca="false">IF(AND(BY34=1,N(K34)&gt;0),K34,0)</f>
        <v>64.767</v>
      </c>
      <c r="CH34" s="16" t="n">
        <f aca="false">IF(CG34&gt;0,CF34*1000/CG34,"")</f>
        <v>261.311776911557</v>
      </c>
      <c r="CI34" s="16" t="n">
        <f aca="false">IF(BY34=0,"",N(AQ34)+p_road*(N(AR34)+N(AS34)+N(AT34)))</f>
        <v>0.12898502485954</v>
      </c>
      <c r="CJ34" s="16" t="n">
        <f aca="false">IF(CG34&gt;0,CI34*1000/CG34,"")</f>
        <v>1.99152384485217</v>
      </c>
      <c r="CK34" s="12" t="n">
        <f aca="false">IF(CH34="",1,MIN(p_idx_max,MAX(p_idx_min,CH34/p_fc_world)))</f>
        <v>1.62298047587708</v>
      </c>
      <c r="CL34" s="12" t="n">
        <f aca="false">IF(CJ34="",1,MIN(p_idx_max,MAX(p_idx_min,CJ34/p_cb_world)))</f>
        <v>0.25</v>
      </c>
      <c r="CM34" s="37" t="n">
        <f aca="false">p_b*(1-p_wb_idx+p_wb_idx*CK34)</f>
        <v>0.215856403291651</v>
      </c>
      <c r="CN34" s="37" t="n">
        <f aca="false">p_c*(1-p_wc_idx+p_wc_idx*CL34)</f>
        <v>0.03225</v>
      </c>
      <c r="CO34" s="28" t="n">
        <f aca="false">IF(N(BR34)&gt;0,(N(BS34)+N(BT34)+N(BU34))/BR34,"")</f>
        <v>0.164755664755665</v>
      </c>
      <c r="CP34" s="16" t="n">
        <f aca="false">N(BS34)+N(BT34)+N(BU34)</f>
        <v>12.07</v>
      </c>
      <c r="CQ34" s="28" t="n">
        <f aca="false">IF(CP34&gt;0,N(BS34)/CP34,"")</f>
        <v>0</v>
      </c>
      <c r="CR34" s="28" t="n">
        <f aca="false">IF(CP34&gt;0,N(BT34)/CP34,"")</f>
        <v>0.729080364540182</v>
      </c>
      <c r="CS34" s="28" t="n">
        <f aca="false">IF(CP34&gt;0,N(BU34)/CP34,"")</f>
        <v>0.270919635459818</v>
      </c>
      <c r="CT34" s="7" t="n">
        <f aca="false">1000*(p_sh_pv*p_cf_pv/p_capex_pv+(1-p_sh_pv)*p_cf_wind/p_capex_wind)*8760</f>
        <v>2301.28856624319</v>
      </c>
      <c r="CU34" s="13" t="n">
        <f aca="false">IF(AND(ISNUMBER(CO34),ISNUMBER(CQ34),BY34=1),1,0)</f>
        <v>1</v>
      </c>
      <c r="CV34" s="16" t="n">
        <f aca="false">IF(CU34=0,"",CQ34*p_hr_coal*N(AK34)+CR34*p_hr_gas*N(AO34)+CS34*p_hr_oil*N(AH34)/p_gj_l_oil)</f>
        <v>124.639956887235</v>
      </c>
      <c r="CW34" s="37" t="n">
        <f aca="false">IF(CU34=0,"",CQ34*p_hr_coal*p_ef_coal+CR34*p_hr_gas*p_ef_gas+CS34*p_hr_oil*p_ef_oil)</f>
        <v>0.526936951118476</v>
      </c>
      <c r="CX34" s="16" t="n">
        <f aca="false">IF(CU34=0,"",CQ34*p_hr_coal*N(AW34)+CR34*p_hr_gas*N(AX34)+CS34*p_hr_oil*N(AY34)/p_gj_l_oil)</f>
        <v>12.9250491462277</v>
      </c>
      <c r="CY34" s="37" t="n">
        <f aca="false">IF(CU34=0,"",CO34*CW34)</f>
        <v>0.0868158476658477</v>
      </c>
      <c r="CZ34" s="37" t="n">
        <f aca="false">IF(CU34=0,"",CT34*CO34*CV34/1000/1000-p_om_re)</f>
        <v>0.0322572804766226</v>
      </c>
      <c r="DA34" s="37" t="n">
        <f aca="false">IF(CU34=0,"",CT34*CO34*CX34/1000/1000)</f>
        <v>0.004900536617082</v>
      </c>
      <c r="DB34" s="37" t="n">
        <f aca="false">IF(CU34=0,"",CT34*CO34*CW34/1000)</f>
        <v>0.199788317602126</v>
      </c>
      <c r="DC34" s="13" t="n">
        <f aca="false">IF(AND(CU34=1,ISNUMBER(AD34),ISNUMBER(AV34)),1,0)</f>
        <v>1</v>
      </c>
      <c r="DD34" s="7" t="n">
        <f aca="false">IF(DC34=0,"",p_ev_km*p_ice_l/100*AD34-p_ev_km*p_ev_kwh*AV34+p_ev_km*p_ev_maint)</f>
        <v>201.3345</v>
      </c>
      <c r="DE34" s="37" t="n">
        <f aca="false">IF(DC34=0,"",DD34/p_ev_prem)</f>
        <v>0.0402669</v>
      </c>
      <c r="DF34" s="37" t="n">
        <f aca="false">IF(DC34=0,"",p_ev_km*p_ice_l/100*N(AZ34)/p_ev_prem)</f>
        <v>0.007314075</v>
      </c>
      <c r="DG34" s="37" t="n">
        <f aca="false">IF(DC34=0,"",1000/p_ev_prem*(p_ev_km*p_ice_l/100*p_gj_l_gso*p_ef_gso-p_ev_km*p_ev_kwh/1000*CY34))</f>
        <v>0.486382942260442</v>
      </c>
      <c r="DH34" s="11" t="str">
        <f aca="false">IFERROR(IF(INDEX(Damodaran!$D:$D,MATCH(A34,Damodaran!$A:$A,0))="","",INDEX(Damodaran!$D:$D,MATCH(A34,Damodaran!$A:$A,0))),"")</f>
        <v/>
      </c>
      <c r="DI34" s="11" t="str">
        <f aca="false">IFERROR(IF(INDEX(Damodaran!$E:$E,MATCH(A34,Damodaran!$A:$A,0))="","",INDEX(Damodaran!$E:$E,MATCH(A34,Damodaran!$A:$A,0))),"")</f>
        <v/>
      </c>
      <c r="DJ34" s="11" t="str">
        <f aca="false">IFERROR(IF(INDEX(Damodaran!$G:$G,MATCH(A34,Damodaran!$A:$A,0))="","",INDEX(Damodaran!$G:$G,MATCH(A34,Damodaran!$A:$A,0))),"")</f>
        <v/>
      </c>
      <c r="DK34" s="11" t="str">
        <f aca="false">IF(ISNUMBER(BG34),(1+BG34/100)*(1+p_infl)-1,"")</f>
        <v/>
      </c>
      <c r="DL34" s="11" t="n">
        <f aca="false">IF(ISNUMBER(BH34),BH34/100,"")</f>
        <v>0.0611</v>
      </c>
      <c r="DM34" s="11" t="n">
        <f aca="false">IF(COUNT(DK34,DL34)=0,"",AVERAGE(DK34,DL34))</f>
        <v>0.0611</v>
      </c>
      <c r="DN34" s="11" t="str">
        <f aca="false">IF(OR(DH34="",DI34=""),"",p_dv*(p_rf+DH34)*(1-IF(DJ34="",p_tax_def,DJ34))+(1-p_dv)*(p_rf+p_beta*p_erp+p_lambda*DI34))</f>
        <v/>
      </c>
      <c r="DO34" s="13" t="n">
        <f aca="false">IF(AND(ISNUMBER(DM34),ISNUMBER(DN34)),1,0)</f>
        <v>0</v>
      </c>
      <c r="DP34" s="11" t="n">
        <f aca="false">IF(DO34=1,DM34,0)</f>
        <v>0</v>
      </c>
      <c r="DQ34" s="11" t="n">
        <f aca="false">IF(DO34=1,DN34,0)</f>
        <v>0</v>
      </c>
      <c r="DR34" s="11" t="str">
        <f aca="false">IF(DN34="","",DN34+p_shift)</f>
        <v/>
      </c>
      <c r="DS34" s="11" t="n">
        <f aca="false">IF(E34="AE",p_r_ae,IF(E34="China",p_r_chn,p_r_emdc))</f>
        <v>0.055</v>
      </c>
      <c r="DT34" s="11" t="n">
        <f aca="false">IF(E34="AE",p_rh_ae,IF(E34="China",p_rh_chn,p_rh_emdc))</f>
        <v>0.07</v>
      </c>
      <c r="DU34" s="11" t="n">
        <f aca="false">IF(AND(p_use_obs=1,ISNUMBER(DM34)),DM34,IF(AND(p_use_dam=1,ISNUMBER(DR34)),DR34,DS34))</f>
        <v>0.0611</v>
      </c>
      <c r="DV34" s="6" t="str">
        <f aca="false">IF(AND(p_use_obs=1,ISNUMBER(DM34)),"Observed (IRENA/Steffen)",IF(AND(p_use_dam=1,ISNUMBER(DR34)),"Damodaran (eq. 5)","Group default (IHLEG)"))</f>
        <v>Observed (IRENA/Steffen)</v>
      </c>
      <c r="DW34" s="11" t="n">
        <f aca="false">IF(p_basis=1,(1+DU34)/(1+p_infl)-1,DU34)</f>
        <v>0.0611</v>
      </c>
      <c r="DX34" s="11" t="n">
        <f aca="false">DW34+(DT34-DS34)</f>
        <v>0.0761</v>
      </c>
      <c r="DY34" s="28" t="n">
        <f aca="false">IF(AND(p_use_pefa=1,ISNUMBER(BD34)),p_gap_lic-(BD34-1)/3*(p_gap_lic-p_gap_ae),IF(E34="AE",p_gap_ae,IF(D34="Low income",p_gap_lic,p_gap_em)))*(1-p_reform*p_reform_close)</f>
        <v>0.13</v>
      </c>
      <c r="DZ34" s="6" t="str">
        <f aca="false">IF(AND(p_use_pefa=1,ISNUMBER(BD34)),"PEFA PI-11","Income-group default (IMF 2015)")</f>
        <v>Income-group default (IMF 2015)</v>
      </c>
      <c r="EA34" s="28" t="n">
        <f aca="false">IF(E34="AE",p_ps_ae,IF(E34="China",p_ps_chn,p_ps_emdc))</f>
        <v>0.3</v>
      </c>
      <c r="EB34" s="37" t="n">
        <f aca="false">(1-EA34)+EA34/(1-DY34)</f>
        <v>1.0448275862069</v>
      </c>
      <c r="EC34" s="16" t="n">
        <f aca="false">Results_Country!F34</f>
        <v>17.0936481697357</v>
      </c>
      <c r="ED34" s="16" t="n">
        <f aca="false">IF(CH34="",0,CH34*EC34)</f>
        <v>4466.77157713461</v>
      </c>
      <c r="EE34" s="16" t="n">
        <f aca="false">IF(CJ34="",0,CJ34*EC34)</f>
        <v>34.0424079255422</v>
      </c>
      <c r="EF34" s="16" t="n">
        <f aca="false">IF(CH34="",0,EC34)</f>
        <v>17.0936481697357</v>
      </c>
    </row>
    <row r="35" customFormat="false" ht="15" hidden="false" customHeight="false" outlineLevel="0" collapsed="false">
      <c r="A35" s="35" t="s">
        <v>824</v>
      </c>
      <c r="B35" s="35" t="s">
        <v>825</v>
      </c>
      <c r="C35" s="35" t="s">
        <v>762</v>
      </c>
      <c r="D35" s="35" t="s">
        <v>763</v>
      </c>
      <c r="E35" s="35" t="s">
        <v>31</v>
      </c>
      <c r="F35" s="36" t="n">
        <v>529.386</v>
      </c>
      <c r="G35" s="36" t="n">
        <v>1785.79</v>
      </c>
      <c r="H35" s="33" t="n">
        <v>2.413</v>
      </c>
      <c r="I35" s="33" t="n">
        <v>1.5</v>
      </c>
      <c r="J35" s="36" t="n">
        <v>71.668011</v>
      </c>
      <c r="K35" s="36" t="n">
        <v>290.725</v>
      </c>
      <c r="L35" s="36" t="n">
        <v>472.944</v>
      </c>
      <c r="M35" s="36" t="n">
        <v>490.432</v>
      </c>
      <c r="N35" s="36" t="n">
        <v>147.915078403021</v>
      </c>
      <c r="O35" s="36" t="n">
        <v>61.8959347287336</v>
      </c>
      <c r="P35" s="36" t="n">
        <v>8.94326364976435</v>
      </c>
      <c r="Q35" s="31" t="n">
        <v>0.476317196750264</v>
      </c>
      <c r="R35" s="31" t="n">
        <v>0.00863549256916738</v>
      </c>
      <c r="S35" s="31" t="n">
        <v>0.846849992517588</v>
      </c>
      <c r="T35" s="31" t="n">
        <v>0.0413253807246748</v>
      </c>
      <c r="U35" s="31" t="n">
        <v>0.3428576446162</v>
      </c>
      <c r="V35" s="31" t="n">
        <v>0.0188523093471953</v>
      </c>
      <c r="W35" s="31" t="n">
        <v>0.343725540001727</v>
      </c>
      <c r="X35" s="31" t="n">
        <v>0</v>
      </c>
      <c r="Y35" s="36" t="n">
        <v>9.00878319154972</v>
      </c>
      <c r="Z35" s="36" t="n">
        <v>22.4376159860171</v>
      </c>
      <c r="AA35" s="36" t="n">
        <v>7.29447684318948</v>
      </c>
      <c r="AB35" s="36" t="n">
        <v>0.412705918661458</v>
      </c>
      <c r="AC35" s="36" t="n">
        <v>1.61943540339266</v>
      </c>
      <c r="AD35" s="31" t="n">
        <v>0.770275</v>
      </c>
      <c r="AE35" s="31" t="n">
        <v>0.755153</v>
      </c>
      <c r="AF35" s="31" t="n">
        <v>0.418308</v>
      </c>
      <c r="AG35" s="31" t="n">
        <v>0.652</v>
      </c>
      <c r="AH35" s="31" t="n">
        <v>0.543345303403777</v>
      </c>
      <c r="AI35" s="31" t="n">
        <v>6.343</v>
      </c>
      <c r="AJ35" s="31" t="n">
        <v>10.89474</v>
      </c>
      <c r="AK35" s="31" t="n">
        <v>6.478</v>
      </c>
      <c r="AL35" s="31" t="n">
        <v>6.53042147167147</v>
      </c>
      <c r="AM35" s="31" t="n">
        <v>11.654</v>
      </c>
      <c r="AN35" s="31" t="n">
        <v>15.00889</v>
      </c>
      <c r="AO35" s="31" t="n">
        <v>10.691</v>
      </c>
      <c r="AP35" s="31" t="n">
        <v>11.063412951441</v>
      </c>
      <c r="AQ35" s="36" t="n">
        <v>14.6010150810719</v>
      </c>
      <c r="AR35" s="36" t="n">
        <v>1.58416631831384</v>
      </c>
      <c r="AS35" s="36" t="n">
        <v>4.10089851506146</v>
      </c>
      <c r="AT35" s="36" t="n">
        <v>3.29952087161775</v>
      </c>
      <c r="AU35" s="31" t="n">
        <v>0.321297494882826</v>
      </c>
      <c r="AV35" s="36" t="n">
        <v>0.121402</v>
      </c>
      <c r="AW35" s="31" t="n">
        <v>6.734493</v>
      </c>
      <c r="AX35" s="31" t="n">
        <v>0.298717</v>
      </c>
      <c r="AY35" s="31" t="n">
        <v>0.598343896252708</v>
      </c>
      <c r="AZ35" s="31" t="n">
        <v>0.045309</v>
      </c>
      <c r="BA35" s="33" t="n">
        <v>62.913</v>
      </c>
      <c r="BB35" s="33" t="n">
        <v>5.601</v>
      </c>
      <c r="BC35" s="33"/>
      <c r="BD35" s="33"/>
      <c r="BE35" s="33"/>
      <c r="BF35" s="33" t="n">
        <v>1</v>
      </c>
      <c r="BG35" s="33" t="n">
        <v>4.5</v>
      </c>
      <c r="BH35" s="33" t="n">
        <v>11.5</v>
      </c>
      <c r="BI35" s="29" t="n">
        <v>2016</v>
      </c>
      <c r="BJ35" s="33" t="n">
        <v>3</v>
      </c>
      <c r="BK35" s="33" t="n">
        <v>1</v>
      </c>
      <c r="BL35" s="33" t="n">
        <v>5.826</v>
      </c>
      <c r="BM35" s="33" t="n">
        <v>5.836</v>
      </c>
      <c r="BN35" s="29" t="n">
        <v>16.615</v>
      </c>
      <c r="BO35" s="33" t="n">
        <v>0.109</v>
      </c>
      <c r="BP35" s="33" t="n">
        <v>0.113</v>
      </c>
      <c r="BQ35" s="29" t="n">
        <v>2025</v>
      </c>
      <c r="BR35" s="36" t="n">
        <v>188.24</v>
      </c>
      <c r="BS35" s="36" t="n">
        <v>33.56</v>
      </c>
      <c r="BT35" s="36" t="n">
        <v>123.34</v>
      </c>
      <c r="BU35" s="36" t="n">
        <v>0.14</v>
      </c>
      <c r="BV35" s="16" t="n">
        <f aca="false">F35*(1+N(H35)/100)*(1+N(I35)/100)^5</f>
        <v>584.06038623172</v>
      </c>
      <c r="BW35" s="16" t="n">
        <f aca="false">IF(N(G35)&gt;0,G35,F35)</f>
        <v>1785.79</v>
      </c>
      <c r="BX35" s="12" t="n">
        <f aca="false">F35/BW35</f>
        <v>0.29644359079175</v>
      </c>
      <c r="BY35" s="13" t="n">
        <f aca="false">IF(ISNUMBER(K35),1,0)</f>
        <v>1</v>
      </c>
      <c r="BZ35" s="16" t="n">
        <f aca="false">IF(BY35=0,"",N(N35)+N(O35)+N(P35))</f>
        <v>218.754276781519</v>
      </c>
      <c r="CA35" s="37" t="n">
        <f aca="false">IF(BY35=0,"",(N(Y35)*34.2+N(Z35)*38.6)/1000)</f>
        <v>1.17419236221126</v>
      </c>
      <c r="CB35" s="37" t="n">
        <f aca="false">IF(BY35=0,"",N(O35)*0.0036+N(R35)+N(V35)+(N(AA35)*25.3+N(AB35)*37)/1000)</f>
        <v>0.450133550062972</v>
      </c>
      <c r="CC35" s="37" t="n">
        <f aca="false">IF(BY35=0,"",N(N35)*0.0036+N(Q35)+N(U35)+N(T35)+N(X35)+N(AC35)*38/1000)</f>
        <v>1.45453304967094</v>
      </c>
      <c r="CD35" s="37" t="n">
        <f aca="false">IF(BY35=0,"",N(Q35)+N(R35)+N(S35)+N(T35)+N(U35)+N(V35)+N(W35)+N(X35)+(N(Y35)*34.2+N(Z35)*38.6+N(AA35)*25.3+N(AB35)*37+N(AC35)*38)/1000)</f>
        <v>3.51411484719017</v>
      </c>
      <c r="CE35" s="16" t="n">
        <f aca="false">IF(BY35=0,"",MAX(0,N(L35)-N(K35))+MAX(0,N(M35)-N(L35)))</f>
        <v>199.707</v>
      </c>
      <c r="CF35" s="16" t="n">
        <f aca="false">IF(BY35=0,"",N(Y35)*N(AD35)+N(Z35)*N(AE35)+N(AA35)*N(AF35)+N(AB35)*N(AG35)+N(AC35)*N(AH35)+N(U35)*N(AI35)+N(V35)*N(AJ35)+N(W35)*N(AK35)+N(X35)*N(AL35)+N(Q35)*N(AM35)+N(R35)*N(AN35)+N(S35)*N(AO35)+N(T35)*N(AP35))</f>
        <v>47.8816822844483</v>
      </c>
      <c r="CG35" s="16" t="n">
        <f aca="false">IF(AND(BY35=1,N(K35)&gt;0),K35,0)</f>
        <v>290.725</v>
      </c>
      <c r="CH35" s="16" t="n">
        <f aca="false">IF(CG35&gt;0,CF35*1000/CG35,"")</f>
        <v>164.697505492986</v>
      </c>
      <c r="CI35" s="16" t="n">
        <f aca="false">IF(BY35=0,"",N(AQ35)+p_road*(N(AR35)+N(AS35)+N(AT35)))</f>
        <v>14.6010150810719</v>
      </c>
      <c r="CJ35" s="16" t="n">
        <f aca="false">IF(CG35&gt;0,CI35*1000/CG35,"")</f>
        <v>50.2227709384193</v>
      </c>
      <c r="CK35" s="12" t="n">
        <f aca="false">IF(CH35="",1,MIN(p_idx_max,MAX(p_idx_min,CH35/p_fc_world)))</f>
        <v>1.02291920785202</v>
      </c>
      <c r="CL35" s="12" t="n">
        <f aca="false">IF(CJ35="",1,MIN(p_idx_max,MAX(p_idx_min,CJ35/p_cb_world)))</f>
        <v>0.954972656161847</v>
      </c>
      <c r="CM35" s="37" t="n">
        <f aca="false">p_b*(1-p_wb_idx+p_wb_idx*CK35)</f>
        <v>0.136048254644319</v>
      </c>
      <c r="CN35" s="37" t="n">
        <f aca="false">p_c*(1-p_wc_idx+p_wc_idx*CL35)</f>
        <v>0.123191472644878</v>
      </c>
      <c r="CO35" s="28" t="n">
        <f aca="false">IF(N(BR35)&gt;0,(N(BS35)+N(BT35)+N(BU35))/BR35,"")</f>
        <v>0.834254143646409</v>
      </c>
      <c r="CP35" s="16" t="n">
        <f aca="false">N(BS35)+N(BT35)+N(BU35)</f>
        <v>157.04</v>
      </c>
      <c r="CQ35" s="28" t="n">
        <f aca="false">IF(CP35&gt;0,N(BS35)/CP35,"")</f>
        <v>0.213703515028018</v>
      </c>
      <c r="CR35" s="28" t="n">
        <f aca="false">IF(CP35&gt;0,N(BT35)/CP35,"")</f>
        <v>0.785404992358635</v>
      </c>
      <c r="CS35" s="28" t="n">
        <f aca="false">IF(CP35&gt;0,N(BU35)/CP35,"")</f>
        <v>0.000891492613346918</v>
      </c>
      <c r="CT35" s="7" t="n">
        <f aca="false">1000*(p_sh_pv*p_cf_pv/p_capex_pv+(1-p_sh_pv)*p_cf_wind/p_capex_wind)*8760</f>
        <v>2301.28856624319</v>
      </c>
      <c r="CU35" s="13" t="n">
        <f aca="false">IF(AND(ISNUMBER(CO35),ISNUMBER(CQ35),BY35=1),1,0)</f>
        <v>1</v>
      </c>
      <c r="CV35" s="16" t="n">
        <f aca="false">IF(CU35=0,"",CQ35*p_hr_coal*N(AK35)+CR35*p_hr_gas*N(AO35)+CS35*p_hr_oil*N(AH35)/p_gj_l_oil)</f>
        <v>76.9512131667064</v>
      </c>
      <c r="CW35" s="37" t="n">
        <f aca="false">IF(CU35=0,"",CQ35*p_hr_coal*p_ef_coal+CR35*p_hr_gas*p_ef_gas+CS35*p_hr_oil*p_ef_oil)</f>
        <v>0.533347191798268</v>
      </c>
      <c r="CX35" s="16" t="n">
        <f aca="false">IF(CU35=0,"",CQ35*p_hr_coal*N(AW35)+CR35*p_hr_gas*N(AX35)+CS35*p_hr_oil*N(AY35)/p_gj_l_oil)</f>
        <v>16.2965530014434</v>
      </c>
      <c r="CY35" s="37" t="n">
        <f aca="false">IF(CU35=0,"",CO35*CW35)</f>
        <v>0.444947104759881</v>
      </c>
      <c r="CZ35" s="37" t="n">
        <f aca="false">IF(CU35=0,"",CT35*CO35*CV35/1000/1000-p_om_re)</f>
        <v>0.132735519336363</v>
      </c>
      <c r="DA35" s="37" t="n">
        <f aca="false">IF(CU35=0,"",CT35*CO35*CX35/1000/1000)</f>
        <v>0.0312870924574645</v>
      </c>
      <c r="DB35" s="37" t="n">
        <f aca="false">IF(CU35=0,"",CT35*CO35*CW35/1000)</f>
        <v>1.02395168476693</v>
      </c>
      <c r="DC35" s="13" t="n">
        <f aca="false">IF(AND(CU35=1,ISNUMBER(AD35),ISNUMBER(AV35)),1,0)</f>
        <v>1</v>
      </c>
      <c r="DD35" s="7" t="n">
        <f aca="false">IF(DC35=0,"",p_ev_km*p_ice_l/100*AD35-p_ev_km*p_ev_kwh*AV35+p_ev_km*p_ev_maint)</f>
        <v>718.773975</v>
      </c>
      <c r="DE35" s="37" t="n">
        <f aca="false">IF(DC35=0,"",DD35/p_ev_prem)</f>
        <v>0.143754795</v>
      </c>
      <c r="DF35" s="37" t="n">
        <f aca="false">IF(DC35=0,"",p_ev_km*p_ice_l/100*N(AZ35)/p_ev_prem)</f>
        <v>0.010194525</v>
      </c>
      <c r="DG35" s="37" t="n">
        <f aca="false">IF(DC35=0,"",1000/p_ev_prem*(p_ev_km*p_ice_l/100*p_gj_l_gso*p_ef_gso-p_ev_km*p_ev_kwh/1000*CY35))</f>
        <v>0.292992063429664</v>
      </c>
      <c r="DH35" s="11" t="str">
        <f aca="false">IFERROR(IF(INDEX(Damodaran!$D:$D,MATCH(A35,Damodaran!$A:$A,0))="","",INDEX(Damodaran!$D:$D,MATCH(A35,Damodaran!$A:$A,0))),"")</f>
        <v/>
      </c>
      <c r="DI35" s="11" t="str">
        <f aca="false">IFERROR(IF(INDEX(Damodaran!$E:$E,MATCH(A35,Damodaran!$A:$A,0))="","",INDEX(Damodaran!$E:$E,MATCH(A35,Damodaran!$A:$A,0))),"")</f>
        <v/>
      </c>
      <c r="DJ35" s="11" t="str">
        <f aca="false">IFERROR(IF(INDEX(Damodaran!$G:$G,MATCH(A35,Damodaran!$A:$A,0))="","",INDEX(Damodaran!$G:$G,MATCH(A35,Damodaran!$A:$A,0))),"")</f>
        <v/>
      </c>
      <c r="DK35" s="11" t="n">
        <f aca="false">IF(ISNUMBER(BG35),(1+BG35/100)*(1+p_infl)-1,"")</f>
        <v>0.0658999999999999</v>
      </c>
      <c r="DL35" s="11" t="n">
        <f aca="false">IF(ISNUMBER(BH35),BH35/100,"")</f>
        <v>0.115</v>
      </c>
      <c r="DM35" s="11" t="n">
        <f aca="false">IF(COUNT(DK35,DL35)=0,"",AVERAGE(DK35,DL35))</f>
        <v>0.0904499999999999</v>
      </c>
      <c r="DN35" s="11" t="str">
        <f aca="false">IF(OR(DH35="",DI35=""),"",p_dv*(p_rf+DH35)*(1-IF(DJ35="",p_tax_def,DJ35))+(1-p_dv)*(p_rf+p_beta*p_erp+p_lambda*DI35))</f>
        <v/>
      </c>
      <c r="DO35" s="13" t="n">
        <f aca="false">IF(AND(ISNUMBER(DM35),ISNUMBER(DN35)),1,0)</f>
        <v>0</v>
      </c>
      <c r="DP35" s="11" t="n">
        <f aca="false">IF(DO35=1,DM35,0)</f>
        <v>0</v>
      </c>
      <c r="DQ35" s="11" t="n">
        <f aca="false">IF(DO35=1,DN35,0)</f>
        <v>0</v>
      </c>
      <c r="DR35" s="11" t="str">
        <f aca="false">IF(DN35="","",DN35+p_shift)</f>
        <v/>
      </c>
      <c r="DS35" s="11" t="n">
        <f aca="false">IF(E35="AE",p_r_ae,IF(E35="China",p_r_chn,p_r_emdc))</f>
        <v>0.105</v>
      </c>
      <c r="DT35" s="11" t="n">
        <f aca="false">IF(E35="AE",p_rh_ae,IF(E35="China",p_rh_chn,p_rh_emdc))</f>
        <v>0.15</v>
      </c>
      <c r="DU35" s="11" t="n">
        <f aca="false">IF(AND(p_use_obs=1,ISNUMBER(DM35)),DM35,IF(AND(p_use_dam=1,ISNUMBER(DR35)),DR35,DS35))</f>
        <v>0.0904499999999999</v>
      </c>
      <c r="DV35" s="6" t="str">
        <f aca="false">IF(AND(p_use_obs=1,ISNUMBER(DM35)),"Observed (IRENA/Steffen)",IF(AND(p_use_dam=1,ISNUMBER(DR35)),"Damodaran (eq. 5)","Group default (IHLEG)"))</f>
        <v>Observed (IRENA/Steffen)</v>
      </c>
      <c r="DW35" s="11" t="n">
        <f aca="false">IF(p_basis=1,(1+DU35)/(1+p_infl)-1,DU35)</f>
        <v>0.0904499999999999</v>
      </c>
      <c r="DX35" s="11" t="n">
        <f aca="false">DW35+(DT35-DS35)</f>
        <v>0.13545</v>
      </c>
      <c r="DY35" s="28" t="n">
        <f aca="false">IF(AND(p_use_pefa=1,ISNUMBER(BD35)),p_gap_lic-(BD35-1)/3*(p_gap_lic-p_gap_ae),IF(E35="AE",p_gap_ae,IF(D35="Low income",p_gap_lic,p_gap_em)))*(1-p_reform*p_reform_close)</f>
        <v>0.27</v>
      </c>
      <c r="DZ35" s="6" t="str">
        <f aca="false">IF(AND(p_use_pefa=1,ISNUMBER(BD35)),"PEFA PI-11","Income-group default (IMF 2015)")</f>
        <v>Income-group default (IMF 2015)</v>
      </c>
      <c r="EA35" s="28" t="n">
        <f aca="false">IF(E35="AE",p_ps_ae,IF(E35="China",p_ps_chn,p_ps_emdc))</f>
        <v>0.4</v>
      </c>
      <c r="EB35" s="37" t="n">
        <f aca="false">(1-EA35)+EA35/(1-DY35)</f>
        <v>1.14794520547945</v>
      </c>
      <c r="EC35" s="16" t="n">
        <f aca="false">Results_Country!F35</f>
        <v>40.5420861582471</v>
      </c>
      <c r="ED35" s="16" t="n">
        <f aca="false">IF(CH35="",0,CH35*EC35)</f>
        <v>6677.18045774501</v>
      </c>
      <c r="EE35" s="16" t="n">
        <f aca="false">IF(CJ35="",0,CJ35*EC35)</f>
        <v>2036.1359064913</v>
      </c>
      <c r="EF35" s="16" t="n">
        <f aca="false">IF(CH35="",0,EC35)</f>
        <v>40.5420861582471</v>
      </c>
    </row>
    <row r="36" customFormat="false" ht="15" hidden="false" customHeight="false" outlineLevel="0" collapsed="false">
      <c r="A36" s="35" t="s">
        <v>826</v>
      </c>
      <c r="B36" s="35" t="s">
        <v>827</v>
      </c>
      <c r="C36" s="35" t="s">
        <v>766</v>
      </c>
      <c r="D36" s="35" t="s">
        <v>760</v>
      </c>
      <c r="E36" s="35" t="s">
        <v>29</v>
      </c>
      <c r="F36" s="36" t="n">
        <v>500.886</v>
      </c>
      <c r="G36" s="36" t="n">
        <v>602.87</v>
      </c>
      <c r="H36" s="33" t="n">
        <v>1.085</v>
      </c>
      <c r="I36" s="33" t="n">
        <v>1.475</v>
      </c>
      <c r="J36" s="36" t="n">
        <v>5.57666</v>
      </c>
      <c r="K36" s="36" t="n">
        <v>40.74</v>
      </c>
      <c r="L36" s="36" t="n">
        <v>49.318</v>
      </c>
      <c r="M36" s="36" t="n">
        <v>33.581</v>
      </c>
      <c r="N36" s="36" t="n">
        <v>68.5787527107518</v>
      </c>
      <c r="O36" s="36" t="n">
        <v>37.6393630604116</v>
      </c>
      <c r="P36" s="36" t="n">
        <v>2.03833794102653</v>
      </c>
      <c r="Q36" s="31" t="n">
        <v>0.187521015955367</v>
      </c>
      <c r="R36" s="31" t="n">
        <v>0.00385641088033313</v>
      </c>
      <c r="S36" s="31" t="n">
        <v>0</v>
      </c>
      <c r="T36" s="31" t="n">
        <v>0.00334333393821954</v>
      </c>
      <c r="U36" s="31" t="n">
        <v>0.0280571738548306</v>
      </c>
      <c r="V36" s="31" t="n">
        <v>4.57188944104576E-006</v>
      </c>
      <c r="W36" s="31" t="n">
        <v>0</v>
      </c>
      <c r="X36" s="31" t="n">
        <v>0</v>
      </c>
      <c r="Y36" s="36" t="n">
        <v>0.75263028474401</v>
      </c>
      <c r="Z36" s="36" t="n">
        <v>5.25427746377757</v>
      </c>
      <c r="AA36" s="36" t="n">
        <v>0.478175150090586</v>
      </c>
      <c r="AB36" s="36" t="n">
        <v>0.29089582457033</v>
      </c>
      <c r="AC36" s="36" t="n">
        <v>1.07654344323521</v>
      </c>
      <c r="AD36" s="31" t="n">
        <v>0.886832</v>
      </c>
      <c r="AE36" s="31" t="n">
        <v>0.809371</v>
      </c>
      <c r="AF36" s="31" t="n">
        <v>0.5152</v>
      </c>
      <c r="AG36" s="31" t="n">
        <v>0.591</v>
      </c>
      <c r="AH36" s="31" t="n">
        <v>0.519462891908447</v>
      </c>
      <c r="AI36" s="31" t="n">
        <v>6.94</v>
      </c>
      <c r="AJ36" s="31" t="n">
        <v>15.075</v>
      </c>
      <c r="AK36" s="31" t="n">
        <v>5.604</v>
      </c>
      <c r="AL36" s="31" t="n">
        <v>6.94132537444184</v>
      </c>
      <c r="AM36" s="31" t="n">
        <v>4.058</v>
      </c>
      <c r="AN36" s="31" t="n">
        <v>10.135</v>
      </c>
      <c r="AO36" s="31" t="n">
        <v>3.383</v>
      </c>
      <c r="AP36" s="31" t="n">
        <v>4.18045649503849</v>
      </c>
      <c r="AQ36" s="36" t="n">
        <v>0.0434308478242437</v>
      </c>
      <c r="AR36" s="36" t="n">
        <v>0.13119020549045</v>
      </c>
      <c r="AS36" s="36" t="n">
        <v>0.0104185391685814</v>
      </c>
      <c r="AT36" s="36" t="n">
        <v>0</v>
      </c>
      <c r="AU36" s="31" t="n">
        <v>1</v>
      </c>
      <c r="AV36" s="36" t="n">
        <v>0.187813</v>
      </c>
      <c r="AW36" s="31" t="n">
        <v>0.00035</v>
      </c>
      <c r="AX36" s="31" t="n">
        <v>0.010033</v>
      </c>
      <c r="AY36" s="31" t="n">
        <v>0.0115693783790583</v>
      </c>
      <c r="AZ36" s="31" t="n">
        <v>0.016017</v>
      </c>
      <c r="BA36" s="33" t="n">
        <v>52.818</v>
      </c>
      <c r="BB36" s="33"/>
      <c r="BC36" s="33"/>
      <c r="BD36" s="33"/>
      <c r="BE36" s="33"/>
      <c r="BF36" s="33" t="n">
        <v>0</v>
      </c>
      <c r="BG36" s="33"/>
      <c r="BH36" s="33" t="n">
        <v>4.78</v>
      </c>
      <c r="BI36" s="29" t="n">
        <v>2020</v>
      </c>
      <c r="BJ36" s="33" t="n">
        <v>1</v>
      </c>
      <c r="BK36" s="33"/>
      <c r="BL36" s="33"/>
      <c r="BM36" s="33"/>
      <c r="BN36" s="29"/>
      <c r="BO36" s="33"/>
      <c r="BP36" s="33"/>
      <c r="BQ36" s="29" t="n">
        <v>2025</v>
      </c>
      <c r="BR36" s="36" t="n">
        <v>160.84</v>
      </c>
      <c r="BS36" s="36" t="n">
        <v>0</v>
      </c>
      <c r="BT36" s="36" t="n">
        <v>0.9</v>
      </c>
      <c r="BU36" s="36" t="n">
        <v>0.71</v>
      </c>
      <c r="BV36" s="16" t="n">
        <f aca="false">F36*(1+N(H36)/100)*(1+N(I36)/100)^5</f>
        <v>544.779690348795</v>
      </c>
      <c r="BW36" s="16" t="n">
        <f aca="false">IF(N(G36)&gt;0,G36,F36)</f>
        <v>602.87</v>
      </c>
      <c r="BX36" s="12" t="n">
        <f aca="false">F36/BW36</f>
        <v>0.830835835254698</v>
      </c>
      <c r="BY36" s="13" t="n">
        <f aca="false">IF(ISNUMBER(K36),1,0)</f>
        <v>1</v>
      </c>
      <c r="BZ36" s="16" t="n">
        <f aca="false">IF(BY36=0,"",N(N36)+N(O36)+N(P36))</f>
        <v>108.25645371219</v>
      </c>
      <c r="CA36" s="37" t="n">
        <f aca="false">IF(BY36=0,"",(N(Y36)*34.2+N(Z36)*38.6)/1000)</f>
        <v>0.228555065840059</v>
      </c>
      <c r="CB36" s="37" t="n">
        <f aca="false">IF(BY36=0,"",N(O36)*0.0036+N(R36)+N(V36)+(N(AA36)*25.3+N(AB36)*37)/1000)</f>
        <v>0.16222366659365</v>
      </c>
      <c r="CC36" s="37" t="n">
        <f aca="false">IF(BY36=0,"",N(N36)*0.0036+N(Q36)+N(U36)+N(T36)+N(X36)+N(AC36)*38/1000)</f>
        <v>0.506713684350062</v>
      </c>
      <c r="CD36" s="37" t="n">
        <f aca="false">IF(BY36=0,"",N(Q36)+N(R36)+N(S36)+N(T36)+N(U36)+N(V36)+N(W36)+N(X36)+(N(Y36)*34.2+N(Z36)*38.6+N(AA36)*25.3+N(AB36)*37+N(AC36)*38)/1000)</f>
        <v>0.515107200007583</v>
      </c>
      <c r="CE36" s="16" t="n">
        <f aca="false">IF(BY36=0,"",MAX(0,N(L36)-N(K36))+MAX(0,N(M36)-N(L36)))</f>
        <v>8.578</v>
      </c>
      <c r="CF36" s="16" t="n">
        <f aca="false">IF(BY36=0,"",N(Y36)*N(AD36)+N(Z36)*N(AE36)+N(AA36)*N(AF36)+N(AB36)*N(AG36)+N(AC36)*N(AH36)+N(U36)*N(AI36)+N(V36)*N(AJ36)+N(W36)*N(AK36)+N(X36)*N(AL36)+N(Q36)*N(AM36)+N(R36)*N(AN36)+N(S36)*N(AO36)+N(T36)*N(AP36))</f>
        <v>6.906423442633</v>
      </c>
      <c r="CG36" s="16" t="n">
        <f aca="false">IF(AND(BY36=1,N(K36)&gt;0),K36,0)</f>
        <v>40.74</v>
      </c>
      <c r="CH36" s="16" t="n">
        <f aca="false">IF(CG36&gt;0,CF36*1000/CG36,"")</f>
        <v>169.524384944355</v>
      </c>
      <c r="CI36" s="16" t="n">
        <f aca="false">IF(BY36=0,"",N(AQ36)+p_road*(N(AR36)+N(AS36)+N(AT36)))</f>
        <v>0.0434308478242437</v>
      </c>
      <c r="CJ36" s="16" t="n">
        <f aca="false">IF(CG36&gt;0,CI36*1000/CG36,"")</f>
        <v>1.06604928385478</v>
      </c>
      <c r="CK36" s="12" t="n">
        <f aca="false">IF(CH36="",1,MIN(p_idx_max,MAX(p_idx_min,CH36/p_fc_world)))</f>
        <v>1.05289845793241</v>
      </c>
      <c r="CL36" s="12" t="n">
        <f aca="false">IF(CJ36="",1,MIN(p_idx_max,MAX(p_idx_min,CJ36/p_cb_world)))</f>
        <v>0.25</v>
      </c>
      <c r="CM36" s="37" t="n">
        <f aca="false">p_b*(1-p_wb_idx+p_wb_idx*CK36)</f>
        <v>0.140035494905011</v>
      </c>
      <c r="CN36" s="37" t="n">
        <f aca="false">p_c*(1-p_wc_idx+p_wc_idx*CL36)</f>
        <v>0.03225</v>
      </c>
      <c r="CO36" s="28" t="n">
        <f aca="false">IF(N(BR36)&gt;0,(N(BS36)+N(BT36)+N(BU36))/BR36,"")</f>
        <v>0.0100099477741855</v>
      </c>
      <c r="CP36" s="16" t="n">
        <f aca="false">N(BS36)+N(BT36)+N(BU36)</f>
        <v>1.61</v>
      </c>
      <c r="CQ36" s="28" t="n">
        <f aca="false">IF(CP36&gt;0,N(BS36)/CP36,"")</f>
        <v>0</v>
      </c>
      <c r="CR36" s="28" t="n">
        <f aca="false">IF(CP36&gt;0,N(BT36)/CP36,"")</f>
        <v>0.559006211180124</v>
      </c>
      <c r="CS36" s="28" t="n">
        <f aca="false">IF(CP36&gt;0,N(BU36)/CP36,"")</f>
        <v>0.440993788819876</v>
      </c>
      <c r="CT36" s="7" t="n">
        <f aca="false">1000*(p_sh_pv*p_cf_pv/p_capex_pv+(1-p_sh_pv)*p_cf_wind/p_capex_wind)*8760</f>
        <v>2301.28856624319</v>
      </c>
      <c r="CU36" s="13" t="n">
        <f aca="false">IF(AND(ISNUMBER(CO36),ISNUMBER(CQ36),BY36=1),1,0)</f>
        <v>1</v>
      </c>
      <c r="CV36" s="16" t="n">
        <f aca="false">IF(CU36=0,"",CQ36*p_hr_coal*N(AK36)+CR36*p_hr_gas*N(AO36)+CS36*p_hr_oil*N(AH36)/p_gj_l_oil)</f>
        <v>76.497868071597</v>
      </c>
      <c r="CW36" s="37" t="n">
        <f aca="false">IF(CU36=0,"",CQ36*p_hr_coal*p_ef_coal+CR36*p_hr_gas*p_ef_gas+CS36*p_hr_oil*p_ef_oil)</f>
        <v>0.59359751552795</v>
      </c>
      <c r="CX36" s="16" t="n">
        <f aca="false">IF(CU36=0,"",CQ36*p_hr_coal*N(AW36)+CR36*p_hr_gas*N(AX36)+CS36*p_hr_oil*N(AY36)/p_gj_l_oil)</f>
        <v>1.42992009084864</v>
      </c>
      <c r="CY36" s="37" t="n">
        <f aca="false">IF(CU36=0,"",CO36*CW36)</f>
        <v>0.00594188012932106</v>
      </c>
      <c r="CZ36" s="37" t="n">
        <f aca="false">IF(CU36=0,"",CT36*CO36*CV36/1000/1000-p_om_re)</f>
        <v>-0.0132378120659812</v>
      </c>
      <c r="DA36" s="37" t="n">
        <f aca="false">IF(CU36=0,"",CT36*CO36*CX36/1000/1000)</f>
        <v>3.29393222873374E-005</v>
      </c>
      <c r="DB36" s="37" t="n">
        <f aca="false">IF(CU36=0,"",CT36*CO36*CW36/1000)</f>
        <v>0.0136739808035942</v>
      </c>
      <c r="DC36" s="13" t="n">
        <f aca="false">IF(AND(CU36=1,ISNUMBER(AD36),ISNUMBER(AV36)),1,0)</f>
        <v>1</v>
      </c>
      <c r="DD36" s="7" t="n">
        <f aca="false">IF(DC36=0,"",p_ev_km*p_ice_l/100*AD36-p_ev_km*p_ev_kwh*AV36+p_ev_km*p_ev_maint)</f>
        <v>670.5909</v>
      </c>
      <c r="DE36" s="37" t="n">
        <f aca="false">IF(DC36=0,"",DD36/p_ev_prem)</f>
        <v>0.13411818</v>
      </c>
      <c r="DF36" s="37" t="n">
        <f aca="false">IF(DC36=0,"",p_ev_km*p_ice_l/100*N(AZ36)/p_ev_prem)</f>
        <v>0.003603825</v>
      </c>
      <c r="DG36" s="37" t="n">
        <f aca="false">IF(DC36=0,"",1000/p_ev_prem*(p_ev_km*p_ice_l/100*p_gj_l_gso*p_ef_gso-p_ev_km*p_ev_kwh/1000*CY36))</f>
        <v>0.530054884730167</v>
      </c>
      <c r="DH36" s="11" t="str">
        <f aca="false">IFERROR(IF(INDEX(Damodaran!$D:$D,MATCH(A36,Damodaran!$A:$A,0))="","",INDEX(Damodaran!$D:$D,MATCH(A36,Damodaran!$A:$A,0))),"")</f>
        <v/>
      </c>
      <c r="DI36" s="11" t="str">
        <f aca="false">IFERROR(IF(INDEX(Damodaran!$E:$E,MATCH(A36,Damodaran!$A:$A,0))="","",INDEX(Damodaran!$E:$E,MATCH(A36,Damodaran!$A:$A,0))),"")</f>
        <v/>
      </c>
      <c r="DJ36" s="11" t="str">
        <f aca="false">IFERROR(IF(INDEX(Damodaran!$G:$G,MATCH(A36,Damodaran!$A:$A,0))="","",INDEX(Damodaran!$G:$G,MATCH(A36,Damodaran!$A:$A,0))),"")</f>
        <v/>
      </c>
      <c r="DK36" s="11" t="str">
        <f aca="false">IF(ISNUMBER(BG36),(1+BG36/100)*(1+p_infl)-1,"")</f>
        <v/>
      </c>
      <c r="DL36" s="11" t="n">
        <f aca="false">IF(ISNUMBER(BH36),BH36/100,"")</f>
        <v>0.0478</v>
      </c>
      <c r="DM36" s="11" t="n">
        <f aca="false">IF(COUNT(DK36,DL36)=0,"",AVERAGE(DK36,DL36))</f>
        <v>0.0478</v>
      </c>
      <c r="DN36" s="11" t="str">
        <f aca="false">IF(OR(DH36="",DI36=""),"",p_dv*(p_rf+DH36)*(1-IF(DJ36="",p_tax_def,DJ36))+(1-p_dv)*(p_rf+p_beta*p_erp+p_lambda*DI36))</f>
        <v/>
      </c>
      <c r="DO36" s="13" t="n">
        <f aca="false">IF(AND(ISNUMBER(DM36),ISNUMBER(DN36)),1,0)</f>
        <v>0</v>
      </c>
      <c r="DP36" s="11" t="n">
        <f aca="false">IF(DO36=1,DM36,0)</f>
        <v>0</v>
      </c>
      <c r="DQ36" s="11" t="n">
        <f aca="false">IF(DO36=1,DN36,0)</f>
        <v>0</v>
      </c>
      <c r="DR36" s="11" t="str">
        <f aca="false">IF(DN36="","",DN36+p_shift)</f>
        <v/>
      </c>
      <c r="DS36" s="11" t="n">
        <f aca="false">IF(E36="AE",p_r_ae,IF(E36="China",p_r_chn,p_r_emdc))</f>
        <v>0.055</v>
      </c>
      <c r="DT36" s="11" t="n">
        <f aca="false">IF(E36="AE",p_rh_ae,IF(E36="China",p_rh_chn,p_rh_emdc))</f>
        <v>0.07</v>
      </c>
      <c r="DU36" s="11" t="n">
        <f aca="false">IF(AND(p_use_obs=1,ISNUMBER(DM36)),DM36,IF(AND(p_use_dam=1,ISNUMBER(DR36)),DR36,DS36))</f>
        <v>0.0478</v>
      </c>
      <c r="DV36" s="6" t="str">
        <f aca="false">IF(AND(p_use_obs=1,ISNUMBER(DM36)),"Observed (IRENA/Steffen)",IF(AND(p_use_dam=1,ISNUMBER(DR36)),"Damodaran (eq. 5)","Group default (IHLEG)"))</f>
        <v>Observed (IRENA/Steffen)</v>
      </c>
      <c r="DW36" s="11" t="n">
        <f aca="false">IF(p_basis=1,(1+DU36)/(1+p_infl)-1,DU36)</f>
        <v>0.0478</v>
      </c>
      <c r="DX36" s="11" t="n">
        <f aca="false">DW36+(DT36-DS36)</f>
        <v>0.0628</v>
      </c>
      <c r="DY36" s="28" t="n">
        <f aca="false">IF(AND(p_use_pefa=1,ISNUMBER(BD36)),p_gap_lic-(BD36-1)/3*(p_gap_lic-p_gap_ae),IF(E36="AE",p_gap_ae,IF(D36="Low income",p_gap_lic,p_gap_em)))*(1-p_reform*p_reform_close)</f>
        <v>0.13</v>
      </c>
      <c r="DZ36" s="6" t="str">
        <f aca="false">IF(AND(p_use_pefa=1,ISNUMBER(BD36)),"PEFA PI-11","Income-group default (IMF 2015)")</f>
        <v>Income-group default (IMF 2015)</v>
      </c>
      <c r="EA36" s="28" t="n">
        <f aca="false">IF(E36="AE",p_ps_ae,IF(E36="China",p_ps_chn,p_ps_emdc))</f>
        <v>0.3</v>
      </c>
      <c r="EB36" s="37" t="n">
        <f aca="false">(1-EA36)+EA36/(1-DY36)</f>
        <v>1.0448275862069</v>
      </c>
      <c r="EC36" s="16" t="n">
        <f aca="false">Results_Country!F36</f>
        <v>19.0853138334431</v>
      </c>
      <c r="ED36" s="16" t="n">
        <f aca="false">IF(CH36="",0,CH36*EC36)</f>
        <v>3235.42608908442</v>
      </c>
      <c r="EE36" s="16" t="n">
        <f aca="false">IF(CJ36="",0,CJ36*EC36)</f>
        <v>20.3458851442857</v>
      </c>
      <c r="EF36" s="16" t="n">
        <f aca="false">IF(CH36="",0,EC36)</f>
        <v>19.0853138334431</v>
      </c>
    </row>
    <row r="37" customFormat="false" ht="15" hidden="false" customHeight="false" outlineLevel="0" collapsed="false">
      <c r="A37" s="35" t="s">
        <v>828</v>
      </c>
      <c r="B37" s="35" t="s">
        <v>829</v>
      </c>
      <c r="C37" s="35" t="s">
        <v>762</v>
      </c>
      <c r="D37" s="35" t="s">
        <v>763</v>
      </c>
      <c r="E37" s="35" t="s">
        <v>31</v>
      </c>
      <c r="F37" s="36" t="n">
        <v>461.617</v>
      </c>
      <c r="G37" s="36" t="n">
        <v>1368.259</v>
      </c>
      <c r="H37" s="33" t="n">
        <v>4.403</v>
      </c>
      <c r="I37" s="33" t="n">
        <v>4.066</v>
      </c>
      <c r="J37" s="36" t="n">
        <v>115.84367</v>
      </c>
      <c r="K37" s="36" t="n">
        <v>157.056</v>
      </c>
      <c r="L37" s="36" t="n">
        <v>270.619</v>
      </c>
      <c r="M37" s="36" t="n">
        <v>273.064</v>
      </c>
      <c r="N37" s="36" t="n">
        <v>67.9648462564375</v>
      </c>
      <c r="O37" s="36" t="n">
        <v>45.248561752758</v>
      </c>
      <c r="P37" s="36" t="n">
        <v>0.135017010057583</v>
      </c>
      <c r="Q37" s="31" t="n">
        <v>0.00556876087265323</v>
      </c>
      <c r="R37" s="31" t="n">
        <v>0</v>
      </c>
      <c r="S37" s="31" t="n">
        <v>0.24244133548459</v>
      </c>
      <c r="T37" s="31" t="n">
        <v>0</v>
      </c>
      <c r="U37" s="31" t="n">
        <v>0.0907913571371701</v>
      </c>
      <c r="V37" s="31" t="n">
        <v>0.00948862555822207</v>
      </c>
      <c r="W37" s="31" t="n">
        <v>0.598363441674067</v>
      </c>
      <c r="X37" s="31" t="n">
        <v>0</v>
      </c>
      <c r="Y37" s="36" t="n">
        <v>7.01134652062879</v>
      </c>
      <c r="Z37" s="36" t="n">
        <v>11.9299288033795</v>
      </c>
      <c r="AA37" s="36" t="n">
        <v>3.81377538681942</v>
      </c>
      <c r="AB37" s="36" t="n">
        <v>0.373481123817679</v>
      </c>
      <c r="AC37" s="36" t="n">
        <v>1.11695502287014</v>
      </c>
      <c r="AD37" s="31" t="n">
        <v>0.936177</v>
      </c>
      <c r="AE37" s="31" t="n">
        <v>0.795458</v>
      </c>
      <c r="AF37" s="31" t="n">
        <v>0.806547</v>
      </c>
      <c r="AG37" s="31" t="n">
        <v>1.122937</v>
      </c>
      <c r="AH37" s="31" t="n">
        <v>1.02500643258193</v>
      </c>
      <c r="AI37" s="31" t="n">
        <v>2.649</v>
      </c>
      <c r="AJ37" s="31" t="n">
        <v>11.44304</v>
      </c>
      <c r="AK37" s="31" t="n">
        <v>4.479</v>
      </c>
      <c r="AL37" s="31" t="n">
        <v>4.33576668220437</v>
      </c>
      <c r="AM37" s="31" t="n">
        <v>7.805</v>
      </c>
      <c r="AN37" s="31" t="n">
        <v>13.91824</v>
      </c>
      <c r="AO37" s="31" t="n">
        <v>7.034</v>
      </c>
      <c r="AP37" s="31" t="n">
        <v>7.05131185421835</v>
      </c>
      <c r="AQ37" s="36" t="n">
        <v>8.93954646122067</v>
      </c>
      <c r="AR37" s="36" t="n">
        <v>1.59742121493284</v>
      </c>
      <c r="AS37" s="36" t="n">
        <v>5.10540630972043</v>
      </c>
      <c r="AT37" s="36" t="n">
        <v>1.50113721811189</v>
      </c>
      <c r="AU37" s="31" t="n">
        <v>0.323636843834885</v>
      </c>
      <c r="AV37" s="36" t="n">
        <v>0.224</v>
      </c>
      <c r="AW37" s="31" t="n">
        <v>3.977256</v>
      </c>
      <c r="AX37" s="31" t="n">
        <v>0.156576</v>
      </c>
      <c r="AY37" s="31" t="n">
        <v>1.38744519291199</v>
      </c>
      <c r="AZ37" s="31" t="n">
        <v>0.039183</v>
      </c>
      <c r="BA37" s="33" t="n">
        <v>56.627</v>
      </c>
      <c r="BB37" s="33" t="n">
        <v>12.162</v>
      </c>
      <c r="BC37" s="33" t="n">
        <v>100</v>
      </c>
      <c r="BD37" s="33" t="n">
        <v>3</v>
      </c>
      <c r="BE37" s="33" t="n">
        <v>2</v>
      </c>
      <c r="BF37" s="33" t="n">
        <v>1</v>
      </c>
      <c r="BG37" s="33" t="n">
        <v>5.7</v>
      </c>
      <c r="BH37" s="33"/>
      <c r="BI37" s="29"/>
      <c r="BJ37" s="33" t="n">
        <v>2</v>
      </c>
      <c r="BK37" s="33" t="n">
        <v>1</v>
      </c>
      <c r="BL37" s="33" t="n">
        <v>1.597</v>
      </c>
      <c r="BM37" s="33" t="n">
        <v>4.945</v>
      </c>
      <c r="BN37" s="29" t="n">
        <v>23.773</v>
      </c>
      <c r="BO37" s="33" t="n">
        <v>0.545</v>
      </c>
      <c r="BP37" s="33" t="n">
        <v>0.788</v>
      </c>
      <c r="BQ37" s="29" t="n">
        <v>2025</v>
      </c>
      <c r="BR37" s="36" t="n">
        <v>123.13</v>
      </c>
      <c r="BS37" s="36" t="n">
        <v>72.23</v>
      </c>
      <c r="BT37" s="36" t="n">
        <v>21.25</v>
      </c>
      <c r="BU37" s="36" t="n">
        <v>0.94</v>
      </c>
      <c r="BV37" s="16" t="n">
        <f aca="false">F37*(1+N(H37)/100)*(1+N(I37)/100)^5</f>
        <v>588.219044913822</v>
      </c>
      <c r="BW37" s="16" t="n">
        <f aca="false">IF(N(G37)&gt;0,G37,F37)</f>
        <v>1368.259</v>
      </c>
      <c r="BX37" s="12" t="n">
        <f aca="false">F37/BW37</f>
        <v>0.337375453039227</v>
      </c>
      <c r="BY37" s="13" t="n">
        <f aca="false">IF(ISNUMBER(K37),1,0)</f>
        <v>1</v>
      </c>
      <c r="BZ37" s="16" t="n">
        <f aca="false">IF(BY37=0,"",N(N37)+N(O37)+N(P37))</f>
        <v>113.348425019253</v>
      </c>
      <c r="CA37" s="37" t="n">
        <f aca="false">IF(BY37=0,"",(N(Y37)*34.2+N(Z37)*38.6)/1000)</f>
        <v>0.700283302815954</v>
      </c>
      <c r="CB37" s="37" t="n">
        <f aca="false">IF(BY37=0,"",N(O37)*0.0036+N(R37)+N(V37)+(N(AA37)*25.3+N(AB37)*37)/1000)</f>
        <v>0.282690766735936</v>
      </c>
      <c r="CC37" s="37" t="n">
        <f aca="false">IF(BY37=0,"",N(N37)*0.0036+N(Q37)+N(U37)+N(T37)+N(X37)+N(AC37)*38/1000)</f>
        <v>0.383477855402064</v>
      </c>
      <c r="CD37" s="37" t="n">
        <f aca="false">IF(BY37=0,"",N(Q37)+N(R37)+N(S37)+N(T37)+N(U37)+N(V37)+N(W37)+N(X37)+(N(Y37)*34.2+N(Z37)*38.6+N(AA37)*25.3+N(AB37)*37+N(AC37)*38)/1000)</f>
        <v>1.79968843327951</v>
      </c>
      <c r="CE37" s="16" t="n">
        <f aca="false">IF(BY37=0,"",MAX(0,N(L37)-N(K37))+MAX(0,N(M37)-N(L37)))</f>
        <v>116.008</v>
      </c>
      <c r="CF37" s="16" t="n">
        <f aca="false">IF(BY37=0,"",N(Y37)*N(AD37)+N(Z37)*N(AE37)+N(AA37)*N(AF37)+N(AB37)*N(AG37)+N(AC37)*N(AH37)+N(U37)*N(AI37)+N(V37)*N(AJ37)+N(W37)*N(AK37)+N(X37)*N(AL37)+N(Q37)*N(AM37)+N(R37)*N(AN37)+N(S37)*N(AO37)+N(T37)*N(AP37))</f>
        <v>25.4718410252494</v>
      </c>
      <c r="CG37" s="16" t="n">
        <f aca="false">IF(AND(BY37=1,N(K37)&gt;0),K37,0)</f>
        <v>157.056</v>
      </c>
      <c r="CH37" s="16" t="n">
        <f aca="false">IF(CG37&gt;0,CF37*1000/CG37,"")</f>
        <v>162.183176862071</v>
      </c>
      <c r="CI37" s="16" t="n">
        <f aca="false">IF(BY37=0,"",N(AQ37)+p_road*(N(AR37)+N(AS37)+N(AT37)))</f>
        <v>8.93954646122067</v>
      </c>
      <c r="CJ37" s="16" t="n">
        <f aca="false">IF(CG37&gt;0,CI37*1000/CG37,"")</f>
        <v>56.9194838861341</v>
      </c>
      <c r="CK37" s="12" t="n">
        <f aca="false">IF(CH37="",1,MIN(p_idx_max,MAX(p_idx_min,CH37/p_fc_world)))</f>
        <v>1.00730297223438</v>
      </c>
      <c r="CL37" s="12" t="n">
        <f aca="false">IF(CJ37="",1,MIN(p_idx_max,MAX(p_idx_min,CJ37/p_cb_world)))</f>
        <v>1.08230887500716</v>
      </c>
      <c r="CM37" s="37" t="n">
        <f aca="false">p_b*(1-p_wb_idx+p_wb_idx*CK37)</f>
        <v>0.133971295307173</v>
      </c>
      <c r="CN37" s="37" t="n">
        <f aca="false">p_c*(1-p_wc_idx+p_wc_idx*CL37)</f>
        <v>0.139617844875924</v>
      </c>
      <c r="CO37" s="28" t="n">
        <f aca="false">IF(N(BR37)&gt;0,(N(BS37)+N(BT37)+N(BU37))/BR37,"")</f>
        <v>0.766831803784618</v>
      </c>
      <c r="CP37" s="16" t="n">
        <f aca="false">N(BS37)+N(BT37)+N(BU37)</f>
        <v>94.42</v>
      </c>
      <c r="CQ37" s="28" t="n">
        <f aca="false">IF(CP37&gt;0,N(BS37)/CP37,"")</f>
        <v>0.764986231730566</v>
      </c>
      <c r="CR37" s="28" t="n">
        <f aca="false">IF(CP37&gt;0,N(BT37)/CP37,"")</f>
        <v>0.225058250370684</v>
      </c>
      <c r="CS37" s="28" t="n">
        <f aca="false">IF(CP37&gt;0,N(BU37)/CP37,"")</f>
        <v>0.00995551789875026</v>
      </c>
      <c r="CT37" s="7" t="n">
        <f aca="false">1000*(p_sh_pv*p_cf_pv/p_capex_pv+(1-p_sh_pv)*p_cf_wind/p_capex_wind)*8760</f>
        <v>2301.28856624319</v>
      </c>
      <c r="CU37" s="13" t="n">
        <f aca="false">IF(AND(ISNUMBER(CO37),ISNUMBER(CQ37),BY37=1),1,0)</f>
        <v>1</v>
      </c>
      <c r="CV37" s="16" t="n">
        <f aca="false">IF(CU37=0,"",CQ37*p_hr_coal*N(AK37)+CR37*p_hr_gas*N(AO37)+CS37*p_hr_oil*N(AH37)/p_gj_l_oil)</f>
        <v>48.9125086180871</v>
      </c>
      <c r="CW37" s="37" t="n">
        <f aca="false">IF(CU37=0,"",CQ37*p_hr_coal*p_ef_coal+CR37*p_hr_gas*p_ef_gas+CS37*p_hr_oil*p_ef_oil)</f>
        <v>0.826461083456895</v>
      </c>
      <c r="CX37" s="16" t="n">
        <f aca="false">IF(CU37=0,"",CQ37*p_hr_coal*N(AW37)+CR37*p_hr_gas*N(AX37)+CS37*p_hr_oil*N(AY37)/p_gj_l_oil)</f>
        <v>34.4471015223901</v>
      </c>
      <c r="CY37" s="37" t="n">
        <f aca="false">IF(CU37=0,"",CO37*CW37)</f>
        <v>0.63375664338504</v>
      </c>
      <c r="CZ37" s="37" t="n">
        <f aca="false">IF(CU37=0,"",CT37*CO37*CV37/1000/1000-p_om_re)</f>
        <v>0.0713159656996776</v>
      </c>
      <c r="DA37" s="37" t="n">
        <f aca="false">IF(CU37=0,"",CT37*CO37*CX37/1000/1000)</f>
        <v>0.06078884353849</v>
      </c>
      <c r="DB37" s="37" t="n">
        <f aca="false">IF(CU37=0,"",CT37*CO37*CW37/1000)</f>
        <v>1.45845691720266</v>
      </c>
      <c r="DC37" s="13" t="n">
        <f aca="false">IF(AND(CU37=1,ISNUMBER(AD37),ISNUMBER(AV37)),1,0)</f>
        <v>1</v>
      </c>
      <c r="DD37" s="7" t="n">
        <f aca="false">IF(DC37=0,"",p_ev_km*p_ice_l/100*AD37-p_ev_km*p_ev_kwh*AV37+p_ev_km*p_ev_maint)</f>
        <v>628.399125</v>
      </c>
      <c r="DE37" s="37" t="n">
        <f aca="false">IF(DC37=0,"",DD37/p_ev_prem)</f>
        <v>0.125679825</v>
      </c>
      <c r="DF37" s="37" t="n">
        <f aca="false">IF(DC37=0,"",p_ev_km*p_ice_l/100*N(AZ37)/p_ev_prem)</f>
        <v>0.008816175</v>
      </c>
      <c r="DG37" s="37" t="n">
        <f aca="false">IF(DC37=0,"",1000/p_ev_prem*(p_ev_km*p_ice_l/100*p_gj_l_gso*p_ef_gso-p_ev_km*p_ev_kwh/1000*CY37))</f>
        <v>0.191034912572078</v>
      </c>
      <c r="DH37" s="11" t="str">
        <f aca="false">IFERROR(IF(INDEX(Damodaran!$D:$D,MATCH(A37,Damodaran!$A:$A,0))="","",INDEX(Damodaran!$D:$D,MATCH(A37,Damodaran!$A:$A,0))),"")</f>
        <v/>
      </c>
      <c r="DI37" s="11" t="str">
        <f aca="false">IFERROR(IF(INDEX(Damodaran!$E:$E,MATCH(A37,Damodaran!$A:$A,0))="","",INDEX(Damodaran!$E:$E,MATCH(A37,Damodaran!$A:$A,0))),"")</f>
        <v/>
      </c>
      <c r="DJ37" s="11" t="str">
        <f aca="false">IFERROR(IF(INDEX(Damodaran!$G:$G,MATCH(A37,Damodaran!$A:$A,0))="","",INDEX(Damodaran!$G:$G,MATCH(A37,Damodaran!$A:$A,0))),"")</f>
        <v/>
      </c>
      <c r="DK37" s="11" t="n">
        <f aca="false">IF(ISNUMBER(BG37),(1+BG37/100)*(1+p_infl)-1,"")</f>
        <v>0.0781399999999999</v>
      </c>
      <c r="DL37" s="11" t="str">
        <f aca="false">IF(ISNUMBER(BH37),BH37/100,"")</f>
        <v/>
      </c>
      <c r="DM37" s="11" t="n">
        <f aca="false">IF(COUNT(DK37,DL37)=0,"",AVERAGE(DK37,DL37))</f>
        <v>0.0781399999999999</v>
      </c>
      <c r="DN37" s="11" t="str">
        <f aca="false">IF(OR(DH37="",DI37=""),"",p_dv*(p_rf+DH37)*(1-IF(DJ37="",p_tax_def,DJ37))+(1-p_dv)*(p_rf+p_beta*p_erp+p_lambda*DI37))</f>
        <v/>
      </c>
      <c r="DO37" s="13" t="n">
        <f aca="false">IF(AND(ISNUMBER(DM37),ISNUMBER(DN37)),1,0)</f>
        <v>0</v>
      </c>
      <c r="DP37" s="11" t="n">
        <f aca="false">IF(DO37=1,DM37,0)</f>
        <v>0</v>
      </c>
      <c r="DQ37" s="11" t="n">
        <f aca="false">IF(DO37=1,DN37,0)</f>
        <v>0</v>
      </c>
      <c r="DR37" s="11" t="str">
        <f aca="false">IF(DN37="","",DN37+p_shift)</f>
        <v/>
      </c>
      <c r="DS37" s="11" t="n">
        <f aca="false">IF(E37="AE",p_r_ae,IF(E37="China",p_r_chn,p_r_emdc))</f>
        <v>0.105</v>
      </c>
      <c r="DT37" s="11" t="n">
        <f aca="false">IF(E37="AE",p_rh_ae,IF(E37="China",p_rh_chn,p_rh_emdc))</f>
        <v>0.15</v>
      </c>
      <c r="DU37" s="11" t="n">
        <f aca="false">IF(AND(p_use_obs=1,ISNUMBER(DM37)),DM37,IF(AND(p_use_dam=1,ISNUMBER(DR37)),DR37,DS37))</f>
        <v>0.0781399999999999</v>
      </c>
      <c r="DV37" s="6" t="str">
        <f aca="false">IF(AND(p_use_obs=1,ISNUMBER(DM37)),"Observed (IRENA/Steffen)",IF(AND(p_use_dam=1,ISNUMBER(DR37)),"Damodaran (eq. 5)","Group default (IHLEG)"))</f>
        <v>Observed (IRENA/Steffen)</v>
      </c>
      <c r="DW37" s="11" t="n">
        <f aca="false">IF(p_basis=1,(1+DU37)/(1+p_infl)-1,DU37)</f>
        <v>0.0781399999999999</v>
      </c>
      <c r="DX37" s="11" t="n">
        <f aca="false">DW37+(DT37-DS37)</f>
        <v>0.12314</v>
      </c>
      <c r="DY37" s="28" t="n">
        <f aca="false">IF(AND(p_use_pefa=1,ISNUMBER(BD37)),p_gap_lic-(BD37-1)/3*(p_gap_lic-p_gap_ae),IF(E37="AE",p_gap_ae,IF(D37="Low income",p_gap_lic,p_gap_em)))*(1-p_reform*p_reform_close)</f>
        <v>0.22</v>
      </c>
      <c r="DZ37" s="6" t="str">
        <f aca="false">IF(AND(p_use_pefa=1,ISNUMBER(BD37)),"PEFA PI-11","Income-group default (IMF 2015)")</f>
        <v>PEFA PI-11</v>
      </c>
      <c r="EA37" s="28" t="n">
        <f aca="false">IF(E37="AE",p_ps_ae,IF(E37="China",p_ps_chn,p_ps_emdc))</f>
        <v>0.4</v>
      </c>
      <c r="EB37" s="37" t="n">
        <f aca="false">(1-EA37)+EA37/(1-DY37)</f>
        <v>1.11282051282051</v>
      </c>
      <c r="EC37" s="16" t="n">
        <f aca="false">Results_Country!F37</f>
        <v>28.0685543562072</v>
      </c>
      <c r="ED37" s="16" t="n">
        <f aca="false">IF(CH37="",0,CH37*EC37)</f>
        <v>4552.2473154154</v>
      </c>
      <c r="EE37" s="16" t="n">
        <f aca="false">IF(CJ37="",0,CJ37*EC37)</f>
        <v>1597.64762738522</v>
      </c>
      <c r="EF37" s="16" t="n">
        <f aca="false">IF(CH37="",0,EC37)</f>
        <v>28.0685543562072</v>
      </c>
    </row>
    <row r="38" customFormat="false" ht="15" hidden="false" customHeight="false" outlineLevel="0" collapsed="false">
      <c r="A38" s="35" t="s">
        <v>830</v>
      </c>
      <c r="B38" s="35" t="s">
        <v>831</v>
      </c>
      <c r="C38" s="35" t="s">
        <v>762</v>
      </c>
      <c r="D38" s="35" t="s">
        <v>763</v>
      </c>
      <c r="E38" s="35" t="s">
        <v>31</v>
      </c>
      <c r="F38" s="36" t="n">
        <v>459.448</v>
      </c>
      <c r="G38" s="36" t="n">
        <v>1654.976</v>
      </c>
      <c r="H38" s="33" t="n">
        <v>8.019</v>
      </c>
      <c r="I38" s="33" t="n">
        <v>7.1</v>
      </c>
      <c r="J38" s="36" t="n">
        <v>100.987687</v>
      </c>
      <c r="K38" s="36" t="n">
        <v>291.761</v>
      </c>
      <c r="L38" s="36" t="n">
        <v>455.866</v>
      </c>
      <c r="M38" s="36" t="n">
        <v>444.589</v>
      </c>
      <c r="N38" s="36" t="n">
        <v>163.180225100411</v>
      </c>
      <c r="O38" s="36" t="n">
        <v>78.1262266701976</v>
      </c>
      <c r="P38" s="36" t="n">
        <v>0.160560483565205</v>
      </c>
      <c r="Q38" s="31" t="n">
        <v>0.0312035746265141</v>
      </c>
      <c r="R38" s="31" t="n">
        <v>0.000756235957207503</v>
      </c>
      <c r="S38" s="31" t="n">
        <v>0.567731118094748</v>
      </c>
      <c r="T38" s="31" t="n">
        <v>0.000299985276621657</v>
      </c>
      <c r="U38" s="31" t="n">
        <v>0.784758669979825</v>
      </c>
      <c r="V38" s="31" t="n">
        <v>0.0230766274491368</v>
      </c>
      <c r="W38" s="31" t="n">
        <v>0.691406493303566</v>
      </c>
      <c r="X38" s="31" t="n">
        <v>0</v>
      </c>
      <c r="Y38" s="36" t="n">
        <v>6.52916504464823</v>
      </c>
      <c r="Z38" s="36" t="n">
        <v>8.25128753143706</v>
      </c>
      <c r="AA38" s="36" t="n">
        <v>4.1974692672932</v>
      </c>
      <c r="AB38" s="36" t="n">
        <v>0.564158223048472</v>
      </c>
      <c r="AC38" s="36" t="n">
        <v>0.500004534912847</v>
      </c>
      <c r="AD38" s="31" t="n">
        <v>0.790202</v>
      </c>
      <c r="AE38" s="31" t="n">
        <v>0.739722</v>
      </c>
      <c r="AF38" s="31" t="n">
        <v>0.549365</v>
      </c>
      <c r="AG38" s="31" t="n">
        <v>0.7172</v>
      </c>
      <c r="AH38" s="31" t="n">
        <v>0.543345303403777</v>
      </c>
      <c r="AI38" s="31" t="n">
        <v>7.243</v>
      </c>
      <c r="AJ38" s="31" t="n">
        <v>8.4249</v>
      </c>
      <c r="AK38" s="31" t="n">
        <v>6.771</v>
      </c>
      <c r="AL38" s="31" t="n">
        <v>7.04351943542007</v>
      </c>
      <c r="AM38" s="31" t="n">
        <v>5.219</v>
      </c>
      <c r="AN38" s="31" t="n">
        <v>10.109</v>
      </c>
      <c r="AO38" s="31" t="n">
        <v>4.558</v>
      </c>
      <c r="AP38" s="31" t="n">
        <v>4.59939370372216</v>
      </c>
      <c r="AQ38" s="36" t="n">
        <v>8.83207525220014</v>
      </c>
      <c r="AR38" s="36" t="n">
        <v>0.497737462709584</v>
      </c>
      <c r="AS38" s="36" t="n">
        <v>7.26581967401894</v>
      </c>
      <c r="AT38" s="36" t="n">
        <v>1.14549891661877</v>
      </c>
      <c r="AU38" s="31" t="n">
        <v>0.486751712411334</v>
      </c>
      <c r="AV38" s="36" t="n">
        <v>0.1309</v>
      </c>
      <c r="AW38" s="31" t="n">
        <v>2.120322</v>
      </c>
      <c r="AX38" s="31" t="n">
        <v>0.190135</v>
      </c>
      <c r="AY38" s="31" t="n">
        <v>0.130452034007561</v>
      </c>
      <c r="AZ38" s="31" t="n">
        <v>0.098565</v>
      </c>
      <c r="BA38" s="33" t="n">
        <v>31.163</v>
      </c>
      <c r="BB38" s="33" t="n">
        <v>5.068</v>
      </c>
      <c r="BC38" s="33"/>
      <c r="BD38" s="33" t="n">
        <v>1.5</v>
      </c>
      <c r="BE38" s="33" t="n">
        <v>2</v>
      </c>
      <c r="BF38" s="33" t="n">
        <v>1</v>
      </c>
      <c r="BG38" s="33" t="n">
        <v>6</v>
      </c>
      <c r="BH38" s="33" t="n">
        <v>10.5</v>
      </c>
      <c r="BI38" s="29" t="n">
        <v>2022</v>
      </c>
      <c r="BJ38" s="33" t="n">
        <v>3</v>
      </c>
      <c r="BK38" s="33" t="n">
        <v>1</v>
      </c>
      <c r="BL38" s="33" t="n">
        <v>1.643</v>
      </c>
      <c r="BM38" s="33" t="n">
        <v>4.431</v>
      </c>
      <c r="BN38" s="29" t="n">
        <v>33.691</v>
      </c>
      <c r="BO38" s="33" t="n">
        <v>0.177</v>
      </c>
      <c r="BP38" s="33" t="n">
        <v>0.531</v>
      </c>
      <c r="BQ38" s="29" t="n">
        <v>2025</v>
      </c>
      <c r="BR38" s="36" t="n">
        <v>310.557</v>
      </c>
      <c r="BS38" s="36" t="n">
        <v>150.043</v>
      </c>
      <c r="BT38" s="36" t="n">
        <v>19.28</v>
      </c>
      <c r="BU38" s="36" t="n">
        <v>0.622</v>
      </c>
      <c r="BV38" s="16" t="n">
        <f aca="false">F38*(1+N(H38)/100)*(1+N(I38)/100)^5</f>
        <v>699.332758156695</v>
      </c>
      <c r="BW38" s="16" t="n">
        <f aca="false">IF(N(G38)&gt;0,G38,F38)</f>
        <v>1654.976</v>
      </c>
      <c r="BX38" s="12" t="n">
        <f aca="false">F38/BW38</f>
        <v>0.277616110445106</v>
      </c>
      <c r="BY38" s="13" t="n">
        <f aca="false">IF(ISNUMBER(K38),1,0)</f>
        <v>1</v>
      </c>
      <c r="BZ38" s="16" t="n">
        <f aca="false">IF(BY38=0,"",N(N38)+N(O38)+N(P38))</f>
        <v>241.467012254174</v>
      </c>
      <c r="CA38" s="37" t="n">
        <f aca="false">IF(BY38=0,"",(N(Y38)*34.2+N(Z38)*38.6)/1000)</f>
        <v>0.54179714324044</v>
      </c>
      <c r="CB38" s="37" t="n">
        <f aca="false">IF(BY38=0,"",N(O38)*0.0036+N(R38)+N(V38)+(N(AA38)*25.3+N(AB38)*37)/1000)</f>
        <v>0.432157106134367</v>
      </c>
      <c r="CC38" s="37" t="n">
        <f aca="false">IF(BY38=0,"",N(N38)*0.0036+N(Q38)+N(U38)+N(T38)+N(X38)+N(AC38)*38/1000)</f>
        <v>1.42271121257113</v>
      </c>
      <c r="CD38" s="37" t="n">
        <f aca="false">IF(BY38=0,"",N(Q38)+N(R38)+N(S38)+N(T38)+N(U38)+N(V38)+N(W38)+N(X38)+(N(Y38)*34.2+N(Z38)*38.6+N(AA38)*25.3+N(AB38)*37+N(AC38)*38)/1000)</f>
        <v>2.78709984697006</v>
      </c>
      <c r="CE38" s="16" t="n">
        <f aca="false">IF(BY38=0,"",MAX(0,N(L38)-N(K38))+MAX(0,N(M38)-N(L38)))</f>
        <v>164.105</v>
      </c>
      <c r="CF38" s="16" t="n">
        <f aca="false">IF(BY38=0,"",N(Y38)*N(AD38)+N(Z38)*N(AE38)+N(AA38)*N(AF38)+N(AB38)*N(AG38)+N(AC38)*N(AH38)+N(U38)*N(AI38)+N(V38)*N(AJ38)+N(W38)*N(AK38)+N(X38)*N(AL38)+N(Q38)*N(AM38)+N(R38)*N(AN38)+N(S38)*N(AO38)+N(T38)*N(AP38))</f>
        <v>27.5647834126173</v>
      </c>
      <c r="CG38" s="16" t="n">
        <f aca="false">IF(AND(BY38=1,N(K38)&gt;0),K38,0)</f>
        <v>291.761</v>
      </c>
      <c r="CH38" s="16" t="n">
        <f aca="false">IF(CG38&gt;0,CF38*1000/CG38,"")</f>
        <v>94.477272194081</v>
      </c>
      <c r="CI38" s="16" t="n">
        <f aca="false">IF(BY38=0,"",N(AQ38)+p_road*(N(AR38)+N(AS38)+N(AT38)))</f>
        <v>8.83207525220014</v>
      </c>
      <c r="CJ38" s="16" t="n">
        <f aca="false">IF(CG38&gt;0,CI38*1000/CG38,"")</f>
        <v>30.271610161057</v>
      </c>
      <c r="CK38" s="12" t="n">
        <f aca="false">IF(CH38="",1,MIN(p_idx_max,MAX(p_idx_min,CH38/p_fc_world)))</f>
        <v>0.586788586405791</v>
      </c>
      <c r="CL38" s="12" t="n">
        <f aca="false">IF(CJ38="",1,MIN(p_idx_max,MAX(p_idx_min,CJ38/p_cb_world)))</f>
        <v>0.575606630650603</v>
      </c>
      <c r="CM38" s="37" t="n">
        <f aca="false">p_b*(1-p_wb_idx+p_wb_idx*CK38)</f>
        <v>0.0780428819919702</v>
      </c>
      <c r="CN38" s="37" t="n">
        <f aca="false">p_c*(1-p_wc_idx+p_wc_idx*CL38)</f>
        <v>0.0742532553539277</v>
      </c>
      <c r="CO38" s="28" t="n">
        <f aca="false">IF(N(BR38)&gt;0,(N(BS38)+N(BT38)+N(BU38))/BR38,"")</f>
        <v>0.547226435082771</v>
      </c>
      <c r="CP38" s="16" t="n">
        <f aca="false">N(BS38)+N(BT38)+N(BU38)</f>
        <v>169.945</v>
      </c>
      <c r="CQ38" s="28" t="n">
        <f aca="false">IF(CP38&gt;0,N(BS38)/CP38,"")</f>
        <v>0.882891523728265</v>
      </c>
      <c r="CR38" s="28" t="n">
        <f aca="false">IF(CP38&gt;0,N(BT38)/CP38,"")</f>
        <v>0.113448468622201</v>
      </c>
      <c r="CS38" s="28" t="n">
        <f aca="false">IF(CP38&gt;0,N(BU38)/CP38,"")</f>
        <v>0.00366000764953367</v>
      </c>
      <c r="CT38" s="7" t="n">
        <f aca="false">1000*(p_sh_pv*p_cf_pv/p_capex_pv+(1-p_sh_pv)*p_cf_wind/p_capex_wind)*8760</f>
        <v>2301.28856624319</v>
      </c>
      <c r="CU38" s="13" t="n">
        <f aca="false">IF(AND(ISNUMBER(CO38),ISNUMBER(CQ38),BY38=1),1,0)</f>
        <v>1</v>
      </c>
      <c r="CV38" s="16" t="n">
        <f aca="false">IF(CU38=0,"",CQ38*p_hr_coal*N(AK38)+CR38*p_hr_gas*N(AO38)+CS38*p_hr_oil*N(AH38)/p_gj_l_oil)</f>
        <v>64.1997744339612</v>
      </c>
      <c r="CW38" s="37" t="n">
        <f aca="false">IF(CU38=0,"",CQ38*p_hr_coal*p_ef_coal+CR38*p_hr_gas*p_ef_gas+CS38*p_hr_oil*p_ef_oil)</f>
        <v>0.885923312836506</v>
      </c>
      <c r="CX38" s="16" t="n">
        <f aca="false">IF(CU38=0,"",CQ38*p_hr_coal*N(AW38)+CR38*p_hr_gas*N(AX38)+CS38*p_hr_oil*N(AY38)/p_gj_l_oil)</f>
        <v>19.0117999238796</v>
      </c>
      <c r="CY38" s="37" t="n">
        <f aca="false">IF(CU38=0,"",CO38*CW38)</f>
        <v>0.484800656240239</v>
      </c>
      <c r="CZ38" s="37" t="n">
        <f aca="false">IF(CU38=0,"",CT38*CO38*CV38/1000/1000-p_om_re)</f>
        <v>0.0658484411714052</v>
      </c>
      <c r="DA38" s="37" t="n">
        <f aca="false">IF(CU38=0,"",CT38*CO38*CX38/1000/1000)</f>
        <v>0.0239420527760484</v>
      </c>
      <c r="DB38" s="37" t="n">
        <f aca="false">IF(CU38=0,"",CT38*CO38*CW38/1000)</f>
        <v>1.11566620711286</v>
      </c>
      <c r="DC38" s="13" t="n">
        <f aca="false">IF(AND(CU38=1,ISNUMBER(AD38),ISNUMBER(AV38)),1,0)</f>
        <v>1</v>
      </c>
      <c r="DD38" s="7" t="n">
        <f aca="false">IF(DC38=0,"",p_ev_km*p_ice_l/100*AD38-p_ev_km*p_ev_kwh*AV38+p_ev_km*p_ev_maint)</f>
        <v>715.54725</v>
      </c>
      <c r="DE38" s="37" t="n">
        <f aca="false">IF(DC38=0,"",DD38/p_ev_prem)</f>
        <v>0.14310945</v>
      </c>
      <c r="DF38" s="37" t="n">
        <f aca="false">IF(DC38=0,"",p_ev_km*p_ice_l/100*N(AZ38)/p_ev_prem)</f>
        <v>0.022177125</v>
      </c>
      <c r="DG38" s="37" t="n">
        <f aca="false">IF(DC38=0,"",1000/p_ev_prem*(p_ev_km*p_ice_l/100*p_gj_l_gso*p_ef_gso-p_ev_km*p_ev_kwh/1000*CY38))</f>
        <v>0.271471145630271</v>
      </c>
      <c r="DH38" s="11" t="str">
        <f aca="false">IFERROR(IF(INDEX(Damodaran!$D:$D,MATCH(A38,Damodaran!$A:$A,0))="","",INDEX(Damodaran!$D:$D,MATCH(A38,Damodaran!$A:$A,0))),"")</f>
        <v/>
      </c>
      <c r="DI38" s="11" t="str">
        <f aca="false">IFERROR(IF(INDEX(Damodaran!$E:$E,MATCH(A38,Damodaran!$A:$A,0))="","",INDEX(Damodaran!$E:$E,MATCH(A38,Damodaran!$A:$A,0))),"")</f>
        <v/>
      </c>
      <c r="DJ38" s="11" t="str">
        <f aca="false">IFERROR(IF(INDEX(Damodaran!$G:$G,MATCH(A38,Damodaran!$A:$A,0))="","",INDEX(Damodaran!$G:$G,MATCH(A38,Damodaran!$A:$A,0))),"")</f>
        <v/>
      </c>
      <c r="DK38" s="11" t="n">
        <f aca="false">IF(ISNUMBER(BG38),(1+BG38/100)*(1+p_infl)-1,"")</f>
        <v>0.0812000000000002</v>
      </c>
      <c r="DL38" s="11" t="n">
        <f aca="false">IF(ISNUMBER(BH38),BH38/100,"")</f>
        <v>0.105</v>
      </c>
      <c r="DM38" s="11" t="n">
        <f aca="false">IF(COUNT(DK38,DL38)=0,"",AVERAGE(DK38,DL38))</f>
        <v>0.0931000000000001</v>
      </c>
      <c r="DN38" s="11" t="str">
        <f aca="false">IF(OR(DH38="",DI38=""),"",p_dv*(p_rf+DH38)*(1-IF(DJ38="",p_tax_def,DJ38))+(1-p_dv)*(p_rf+p_beta*p_erp+p_lambda*DI38))</f>
        <v/>
      </c>
      <c r="DO38" s="13" t="n">
        <f aca="false">IF(AND(ISNUMBER(DM38),ISNUMBER(DN38)),1,0)</f>
        <v>0</v>
      </c>
      <c r="DP38" s="11" t="n">
        <f aca="false">IF(DO38=1,DM38,0)</f>
        <v>0</v>
      </c>
      <c r="DQ38" s="11" t="n">
        <f aca="false">IF(DO38=1,DN38,0)</f>
        <v>0</v>
      </c>
      <c r="DR38" s="11" t="str">
        <f aca="false">IF(DN38="","",DN38+p_shift)</f>
        <v/>
      </c>
      <c r="DS38" s="11" t="n">
        <f aca="false">IF(E38="AE",p_r_ae,IF(E38="China",p_r_chn,p_r_emdc))</f>
        <v>0.105</v>
      </c>
      <c r="DT38" s="11" t="n">
        <f aca="false">IF(E38="AE",p_rh_ae,IF(E38="China",p_rh_chn,p_rh_emdc))</f>
        <v>0.15</v>
      </c>
      <c r="DU38" s="11" t="n">
        <f aca="false">IF(AND(p_use_obs=1,ISNUMBER(DM38)),DM38,IF(AND(p_use_dam=1,ISNUMBER(DR38)),DR38,DS38))</f>
        <v>0.0931000000000001</v>
      </c>
      <c r="DV38" s="6" t="str">
        <f aca="false">IF(AND(p_use_obs=1,ISNUMBER(DM38)),"Observed (IRENA/Steffen)",IF(AND(p_use_dam=1,ISNUMBER(DR38)),"Damodaran (eq. 5)","Group default (IHLEG)"))</f>
        <v>Observed (IRENA/Steffen)</v>
      </c>
      <c r="DW38" s="11" t="n">
        <f aca="false">IF(p_basis=1,(1+DU38)/(1+p_infl)-1,DU38)</f>
        <v>0.0931000000000001</v>
      </c>
      <c r="DX38" s="11" t="n">
        <f aca="false">DW38+(DT38-DS38)</f>
        <v>0.1381</v>
      </c>
      <c r="DY38" s="28" t="n">
        <f aca="false">IF(AND(p_use_pefa=1,ISNUMBER(BD38)),p_gap_lic-(BD38-1)/3*(p_gap_lic-p_gap_ae),IF(E38="AE",p_gap_ae,IF(D38="Low income",p_gap_lic,p_gap_em)))*(1-p_reform*p_reform_close)</f>
        <v>0.355</v>
      </c>
      <c r="DZ38" s="6" t="str">
        <f aca="false">IF(AND(p_use_pefa=1,ISNUMBER(BD38)),"PEFA PI-11","Income-group default (IMF 2015)")</f>
        <v>PEFA PI-11</v>
      </c>
      <c r="EA38" s="28" t="n">
        <f aca="false">IF(E38="AE",p_ps_ae,IF(E38="China",p_ps_chn,p_ps_emdc))</f>
        <v>0.4</v>
      </c>
      <c r="EB38" s="37" t="n">
        <f aca="false">(1-EA38)+EA38/(1-DY38)</f>
        <v>1.22015503875969</v>
      </c>
      <c r="EC38" s="16" t="n">
        <f aca="false">Results_Country!F38</f>
        <v>36.5627375914272</v>
      </c>
      <c r="ED38" s="16" t="n">
        <f aca="false">IF(CH38="",0,CH38*EC38)</f>
        <v>3454.34771158603</v>
      </c>
      <c r="EE38" s="16" t="n">
        <f aca="false">IF(CJ38="",0,CJ38*EC38)</f>
        <v>1106.81293878871</v>
      </c>
      <c r="EF38" s="16" t="n">
        <f aca="false">IF(CH38="",0,EC38)</f>
        <v>36.5627375914272</v>
      </c>
    </row>
    <row r="39" customFormat="false" ht="15" hidden="false" customHeight="false" outlineLevel="0" collapsed="false">
      <c r="A39" s="35" t="s">
        <v>832</v>
      </c>
      <c r="B39" s="35" t="s">
        <v>833</v>
      </c>
      <c r="C39" s="35" t="s">
        <v>770</v>
      </c>
      <c r="D39" s="35" t="s">
        <v>771</v>
      </c>
      <c r="E39" s="35" t="s">
        <v>31</v>
      </c>
      <c r="F39" s="36" t="n">
        <v>450.461</v>
      </c>
      <c r="G39" s="36" t="n">
        <v>1676.747</v>
      </c>
      <c r="H39" s="33" t="n">
        <v>3.49</v>
      </c>
      <c r="I39" s="33" t="n">
        <v>4.693</v>
      </c>
      <c r="J39" s="36" t="n">
        <v>173.562364</v>
      </c>
      <c r="K39" s="36" t="n">
        <v>130.798</v>
      </c>
      <c r="L39" s="36" t="n">
        <v>309.657</v>
      </c>
      <c r="M39" s="36" t="n">
        <v>326.847</v>
      </c>
      <c r="N39" s="36" t="n">
        <v>83.3579055558591</v>
      </c>
      <c r="O39" s="36" t="n">
        <v>69.5258547532395</v>
      </c>
      <c r="P39" s="36" t="n">
        <v>3.39852461356624</v>
      </c>
      <c r="Q39" s="31" t="n">
        <v>0.226050655360791</v>
      </c>
      <c r="R39" s="31" t="n">
        <v>0.162418290175255</v>
      </c>
      <c r="S39" s="31" t="n">
        <v>0.936809661069487</v>
      </c>
      <c r="T39" s="31" t="n">
        <v>0.0420461404673009</v>
      </c>
      <c r="U39" s="31" t="n">
        <v>0.0984576338016064</v>
      </c>
      <c r="V39" s="31" t="n">
        <v>0</v>
      </c>
      <c r="W39" s="31" t="n">
        <v>0.222008894925554</v>
      </c>
      <c r="X39" s="31" t="n">
        <v>0</v>
      </c>
      <c r="Y39" s="36" t="n">
        <v>0.906846739820802</v>
      </c>
      <c r="Z39" s="36" t="n">
        <v>6.09947045605352</v>
      </c>
      <c r="AA39" s="36" t="n">
        <v>0.0248181605127732</v>
      </c>
      <c r="AB39" s="36" t="n">
        <v>0.177542934864522</v>
      </c>
      <c r="AC39" s="36" t="n">
        <v>0.0860186467399974</v>
      </c>
      <c r="AD39" s="31" t="n">
        <v>0.826943</v>
      </c>
      <c r="AE39" s="31" t="n">
        <v>0.747548</v>
      </c>
      <c r="AF39" s="31" t="n">
        <v>0.5865</v>
      </c>
      <c r="AG39" s="31" t="n">
        <v>0.74779</v>
      </c>
      <c r="AH39" s="31" t="n">
        <v>0.543345303403777</v>
      </c>
      <c r="AI39" s="31" t="n">
        <v>6.683</v>
      </c>
      <c r="AJ39" s="31" t="n">
        <v>12.34525</v>
      </c>
      <c r="AK39" s="31" t="n">
        <v>4.506</v>
      </c>
      <c r="AL39" s="31" t="n">
        <v>5.1748444800692</v>
      </c>
      <c r="AM39" s="31" t="n">
        <v>4.869</v>
      </c>
      <c r="AN39" s="31" t="n">
        <v>11.34935</v>
      </c>
      <c r="AO39" s="31" t="n">
        <v>4.036</v>
      </c>
      <c r="AP39" s="31" t="n">
        <v>5.07436430431291</v>
      </c>
      <c r="AQ39" s="36" t="n">
        <v>9.90502124731579</v>
      </c>
      <c r="AR39" s="36" t="n">
        <v>0.0937626417058843</v>
      </c>
      <c r="AS39" s="36" t="n">
        <v>6.95051974870173</v>
      </c>
      <c r="AT39" s="36" t="n">
        <v>0.75758799677749</v>
      </c>
      <c r="AU39" s="31" t="n">
        <v>0.19247504915823</v>
      </c>
      <c r="AV39" s="36" t="n">
        <v>0.081866</v>
      </c>
      <c r="AW39" s="31" t="n">
        <v>1.242126</v>
      </c>
      <c r="AX39" s="31" t="n">
        <v>0.079822</v>
      </c>
      <c r="AY39" s="31" t="n">
        <v>1.06019320297949</v>
      </c>
      <c r="AZ39" s="31" t="n">
        <v>0.171965</v>
      </c>
      <c r="BA39" s="33" t="n">
        <v>40.972</v>
      </c>
      <c r="BB39" s="33" t="n">
        <v>27.513</v>
      </c>
      <c r="BC39" s="33" t="n">
        <v>78.21</v>
      </c>
      <c r="BD39" s="33" t="n">
        <v>2.5</v>
      </c>
      <c r="BE39" s="33" t="n">
        <v>1</v>
      </c>
      <c r="BF39" s="33" t="n">
        <v>1</v>
      </c>
      <c r="BG39" s="33" t="n">
        <v>6.8</v>
      </c>
      <c r="BH39" s="33"/>
      <c r="BI39" s="29"/>
      <c r="BJ39" s="33" t="n">
        <v>1</v>
      </c>
      <c r="BK39" s="33"/>
      <c r="BL39" s="33"/>
      <c r="BM39" s="33"/>
      <c r="BN39" s="29" t="n">
        <v>25.241</v>
      </c>
      <c r="BO39" s="33" t="n">
        <v>0.399</v>
      </c>
      <c r="BP39" s="33" t="n">
        <v>0.215</v>
      </c>
      <c r="BQ39" s="29" t="n">
        <v>2025</v>
      </c>
      <c r="BR39" s="36" t="n">
        <v>103.33</v>
      </c>
      <c r="BS39" s="36" t="n">
        <v>22.24</v>
      </c>
      <c r="BT39" s="36" t="n">
        <v>66.48</v>
      </c>
      <c r="BU39" s="36" t="n">
        <v>12.47</v>
      </c>
      <c r="BV39" s="16" t="n">
        <f aca="false">F39*(1+N(H39)/100)*(1+N(I39)/100)^5</f>
        <v>586.33228395574</v>
      </c>
      <c r="BW39" s="16" t="n">
        <f aca="false">IF(N(G39)&gt;0,G39,F39)</f>
        <v>1676.747</v>
      </c>
      <c r="BX39" s="12" t="n">
        <f aca="false">F39/BW39</f>
        <v>0.268651740542849</v>
      </c>
      <c r="BY39" s="13" t="n">
        <f aca="false">IF(ISNUMBER(K39),1,0)</f>
        <v>1</v>
      </c>
      <c r="BZ39" s="16" t="n">
        <f aca="false">IF(BY39=0,"",N(N39)+N(O39)+N(P39))</f>
        <v>156.282284922665</v>
      </c>
      <c r="CA39" s="37" t="n">
        <f aca="false">IF(BY39=0,"",(N(Y39)*34.2+N(Z39)*38.6)/1000)</f>
        <v>0.266453718105537</v>
      </c>
      <c r="CB39" s="37" t="n">
        <f aca="false">IF(BY39=0,"",N(O39)*0.0036+N(R39)+N(V39)+(N(AA39)*25.3+N(AB39)*37)/1000)</f>
        <v>0.419908355337877</v>
      </c>
      <c r="CC39" s="37" t="n">
        <f aca="false">IF(BY39=0,"",N(N39)*0.0036+N(Q39)+N(U39)+N(T39)+N(X39)+N(AC39)*38/1000)</f>
        <v>0.669911598206911</v>
      </c>
      <c r="CD39" s="37" t="n">
        <f aca="false">IF(BY39=0,"",N(Q39)+N(R39)+N(S39)+N(T39)+N(U39)+N(V39)+N(W39)+N(X39)+(N(Y39)*34.2+N(Z39)*38.6+N(AA39)*25.3+N(AB39)*37+N(AC39)*38)/1000)</f>
        <v>1.96471069053261</v>
      </c>
      <c r="CE39" s="16" t="n">
        <f aca="false">IF(BY39=0,"",MAX(0,N(L39)-N(K39))+MAX(0,N(M39)-N(L39)))</f>
        <v>196.049</v>
      </c>
      <c r="CF39" s="16" t="n">
        <f aca="false">IF(BY39=0,"",N(Y39)*N(AD39)+N(Z39)*N(AE39)+N(AA39)*N(AF39)+N(AB39)*N(AG39)+N(AC39)*N(AH39)+N(U39)*N(AI39)+N(V39)*N(AJ39)+N(W39)*N(AK39)+N(X39)*N(AL39)+N(Q39)*N(AM39)+N(R39)*N(AN39)+N(S39)*N(AO39)+N(T39)*N(AP39))</f>
        <v>14.1002843503447</v>
      </c>
      <c r="CG39" s="16" t="n">
        <f aca="false">IF(AND(BY39=1,N(K39)&gt;0),K39,0)</f>
        <v>130.798</v>
      </c>
      <c r="CH39" s="16" t="n">
        <f aca="false">IF(CG39&gt;0,CF39*1000/CG39,"")</f>
        <v>107.801987418345</v>
      </c>
      <c r="CI39" s="16" t="n">
        <f aca="false">IF(BY39=0,"",N(AQ39)+p_road*(N(AR39)+N(AS39)+N(AT39)))</f>
        <v>9.90502124731579</v>
      </c>
      <c r="CJ39" s="16" t="n">
        <f aca="false">IF(CG39&gt;0,CI39*1000/CG39,"")</f>
        <v>75.7276200501215</v>
      </c>
      <c r="CK39" s="12" t="n">
        <f aca="false">IF(CH39="",1,MIN(p_idx_max,MAX(p_idx_min,CH39/p_fc_world)))</f>
        <v>0.669547017392702</v>
      </c>
      <c r="CL39" s="12" t="n">
        <f aca="false">IF(CJ39="",1,MIN(p_idx_max,MAX(p_idx_min,CJ39/p_cb_world)))</f>
        <v>1.43994059094733</v>
      </c>
      <c r="CM39" s="37" t="n">
        <f aca="false">p_b*(1-p_wb_idx+p_wb_idx*CK39)</f>
        <v>0.0890497533132294</v>
      </c>
      <c r="CN39" s="37" t="n">
        <f aca="false">p_c*(1-p_wc_idx+p_wc_idx*CL39)</f>
        <v>0.185752336232205</v>
      </c>
      <c r="CO39" s="28" t="n">
        <f aca="false">IF(N(BR39)&gt;0,(N(BS39)+N(BT39)+N(BU39))/BR39,"")</f>
        <v>0.979289654504984</v>
      </c>
      <c r="CP39" s="16" t="n">
        <f aca="false">N(BS39)+N(BT39)+N(BU39)</f>
        <v>101.19</v>
      </c>
      <c r="CQ39" s="28" t="n">
        <f aca="false">IF(CP39&gt;0,N(BS39)/CP39,"")</f>
        <v>0.219784563692064</v>
      </c>
      <c r="CR39" s="28" t="n">
        <f aca="false">IF(CP39&gt;0,N(BT39)/CP39,"")</f>
        <v>0.656981915209013</v>
      </c>
      <c r="CS39" s="28" t="n">
        <f aca="false">IF(CP39&gt;0,N(BU39)/CP39,"")</f>
        <v>0.123233521098923</v>
      </c>
      <c r="CT39" s="7" t="n">
        <f aca="false">1000*(p_sh_pv*p_cf_pv/p_capex_pv+(1-p_sh_pv)*p_cf_wind/p_capex_wind)*8760</f>
        <v>2301.28856624319</v>
      </c>
      <c r="CU39" s="13" t="n">
        <f aca="false">IF(AND(ISNUMBER(CO39),ISNUMBER(CQ39),BY39=1),1,0)</f>
        <v>1</v>
      </c>
      <c r="CV39" s="16" t="n">
        <f aca="false">IF(CU39=0,"",CQ39*p_hr_coal*N(AK39)+CR39*p_hr_gas*N(AO39)+CS39*p_hr_oil*N(AH39)/p_gj_l_oil)</f>
        <v>48.0043952870616</v>
      </c>
      <c r="CW39" s="37" t="n">
        <f aca="false">IF(CU39=0,"",CQ39*p_hr_coal*p_ef_coal+CR39*p_hr_gas*p_ef_gas+CS39*p_hr_oil*p_ef_oil)</f>
        <v>0.58449322067398</v>
      </c>
      <c r="CX39" s="16" t="n">
        <f aca="false">IF(CU39=0,"",CQ39*p_hr_coal*N(AW39)+CR39*p_hr_gas*N(AX39)+CS39*p_hr_oil*N(AY39)/p_gj_l_oil)</f>
        <v>38.6631859616366</v>
      </c>
      <c r="CY39" s="37" t="n">
        <f aca="false">IF(CU39=0,"",CO39*CW39)</f>
        <v>0.572388164134327</v>
      </c>
      <c r="CZ39" s="37" t="n">
        <f aca="false">IF(CU39=0,"",CT39*CO39*CV39/1000/1000-p_om_re)</f>
        <v>0.0931840534200867</v>
      </c>
      <c r="DA39" s="37" t="n">
        <f aca="false">IF(CU39=0,"",CT39*CO39*CX39/1000/1000)</f>
        <v>0.0871324417368881</v>
      </c>
      <c r="DB39" s="37" t="n">
        <f aca="false">IF(CU39=0,"",CT39*CO39*CW39/1000)</f>
        <v>1.31723033757526</v>
      </c>
      <c r="DC39" s="13" t="n">
        <f aca="false">IF(AND(CU39=1,ISNUMBER(AD39),ISNUMBER(AV39)),1,0)</f>
        <v>1</v>
      </c>
      <c r="DD39" s="7" t="n">
        <f aca="false">IF(DC39=0,"",p_ev_km*p_ice_l/100*AD39-p_ev_km*p_ev_kwh*AV39+p_ev_km*p_ev_maint)</f>
        <v>889.272675</v>
      </c>
      <c r="DE39" s="37" t="n">
        <f aca="false">IF(DC39=0,"",DD39/p_ev_prem)</f>
        <v>0.177854535</v>
      </c>
      <c r="DF39" s="37" t="n">
        <f aca="false">IF(DC39=0,"",p_ev_km*p_ice_l/100*N(AZ39)/p_ev_prem)</f>
        <v>0.038692125</v>
      </c>
      <c r="DG39" s="37" t="n">
        <f aca="false">IF(DC39=0,"",1000/p_ev_prem*(p_ev_km*p_ice_l/100*p_gj_l_gso*p_ef_gso-p_ev_km*p_ev_kwh/1000*CY39))</f>
        <v>0.224173891367463</v>
      </c>
      <c r="DH39" s="11" t="str">
        <f aca="false">IFERROR(IF(INDEX(Damodaran!$D:$D,MATCH(A39,Damodaran!$A:$A,0))="","",INDEX(Damodaran!$D:$D,MATCH(A39,Damodaran!$A:$A,0))),"")</f>
        <v/>
      </c>
      <c r="DI39" s="11" t="str">
        <f aca="false">IFERROR(IF(INDEX(Damodaran!$E:$E,MATCH(A39,Damodaran!$A:$A,0))="","",INDEX(Damodaran!$E:$E,MATCH(A39,Damodaran!$A:$A,0))),"")</f>
        <v/>
      </c>
      <c r="DJ39" s="11" t="str">
        <f aca="false">IFERROR(IF(INDEX(Damodaran!$G:$G,MATCH(A39,Damodaran!$A:$A,0))="","",INDEX(Damodaran!$G:$G,MATCH(A39,Damodaran!$A:$A,0))),"")</f>
        <v/>
      </c>
      <c r="DK39" s="11" t="n">
        <f aca="false">IF(ISNUMBER(BG39),(1+BG39/100)*(1+p_infl)-1,"")</f>
        <v>0.0893600000000001</v>
      </c>
      <c r="DL39" s="11" t="str">
        <f aca="false">IF(ISNUMBER(BH39),BH39/100,"")</f>
        <v/>
      </c>
      <c r="DM39" s="11" t="n">
        <f aca="false">IF(COUNT(DK39,DL39)=0,"",AVERAGE(DK39,DL39))</f>
        <v>0.0893600000000001</v>
      </c>
      <c r="DN39" s="11" t="str">
        <f aca="false">IF(OR(DH39="",DI39=""),"",p_dv*(p_rf+DH39)*(1-IF(DJ39="",p_tax_def,DJ39))+(1-p_dv)*(p_rf+p_beta*p_erp+p_lambda*DI39))</f>
        <v/>
      </c>
      <c r="DO39" s="13" t="n">
        <f aca="false">IF(AND(ISNUMBER(DM39),ISNUMBER(DN39)),1,0)</f>
        <v>0</v>
      </c>
      <c r="DP39" s="11" t="n">
        <f aca="false">IF(DO39=1,DM39,0)</f>
        <v>0</v>
      </c>
      <c r="DQ39" s="11" t="n">
        <f aca="false">IF(DO39=1,DN39,0)</f>
        <v>0</v>
      </c>
      <c r="DR39" s="11" t="str">
        <f aca="false">IF(DN39="","",DN39+p_shift)</f>
        <v/>
      </c>
      <c r="DS39" s="11" t="n">
        <f aca="false">IF(E39="AE",p_r_ae,IF(E39="China",p_r_chn,p_r_emdc))</f>
        <v>0.105</v>
      </c>
      <c r="DT39" s="11" t="n">
        <f aca="false">IF(E39="AE",p_rh_ae,IF(E39="China",p_rh_chn,p_rh_emdc))</f>
        <v>0.15</v>
      </c>
      <c r="DU39" s="11" t="n">
        <f aca="false">IF(AND(p_use_obs=1,ISNUMBER(DM39)),DM39,IF(AND(p_use_dam=1,ISNUMBER(DR39)),DR39,DS39))</f>
        <v>0.0893600000000001</v>
      </c>
      <c r="DV39" s="6" t="str">
        <f aca="false">IF(AND(p_use_obs=1,ISNUMBER(DM39)),"Observed (IRENA/Steffen)",IF(AND(p_use_dam=1,ISNUMBER(DR39)),"Damodaran (eq. 5)","Group default (IHLEG)"))</f>
        <v>Observed (IRENA/Steffen)</v>
      </c>
      <c r="DW39" s="11" t="n">
        <f aca="false">IF(p_basis=1,(1+DU39)/(1+p_infl)-1,DU39)</f>
        <v>0.0893600000000001</v>
      </c>
      <c r="DX39" s="11" t="n">
        <f aca="false">DW39+(DT39-DS39)</f>
        <v>0.13436</v>
      </c>
      <c r="DY39" s="28" t="n">
        <f aca="false">IF(AND(p_use_pefa=1,ISNUMBER(BD39)),p_gap_lic-(BD39-1)/3*(p_gap_lic-p_gap_ae),IF(E39="AE",p_gap_ae,IF(D39="Low income",p_gap_lic,p_gap_em)))*(1-p_reform*p_reform_close)</f>
        <v>0.265</v>
      </c>
      <c r="DZ39" s="6" t="str">
        <f aca="false">IF(AND(p_use_pefa=1,ISNUMBER(BD39)),"PEFA PI-11","Income-group default (IMF 2015)")</f>
        <v>PEFA PI-11</v>
      </c>
      <c r="EA39" s="28" t="n">
        <f aca="false">IF(E39="AE",p_ps_ae,IF(E39="China",p_ps_chn,p_ps_emdc))</f>
        <v>0.4</v>
      </c>
      <c r="EB39" s="37" t="n">
        <f aca="false">(1-EA39)+EA39/(1-DY39)</f>
        <v>1.14421768707483</v>
      </c>
      <c r="EC39" s="16" t="n">
        <f aca="false">Results_Country!F39</f>
        <v>31.0228418859364</v>
      </c>
      <c r="ED39" s="16" t="n">
        <f aca="false">IF(CH39="",0,CH39*EC39)</f>
        <v>3344.32401066902</v>
      </c>
      <c r="EE39" s="16" t="n">
        <f aca="false">IF(CJ39="",0,CJ39*EC39)</f>
        <v>2349.28598321319</v>
      </c>
      <c r="EF39" s="16" t="n">
        <f aca="false">IF(CH39="",0,EC39)</f>
        <v>31.0228418859364</v>
      </c>
    </row>
    <row r="40" customFormat="false" ht="15" hidden="false" customHeight="false" outlineLevel="0" collapsed="false">
      <c r="A40" s="35" t="s">
        <v>834</v>
      </c>
      <c r="B40" s="35" t="s">
        <v>835</v>
      </c>
      <c r="C40" s="35" t="s">
        <v>766</v>
      </c>
      <c r="D40" s="35" t="s">
        <v>760</v>
      </c>
      <c r="E40" s="35" t="s">
        <v>29</v>
      </c>
      <c r="F40" s="36" t="n">
        <v>424.525</v>
      </c>
      <c r="G40" s="36" t="n">
        <v>487.667</v>
      </c>
      <c r="H40" s="33" t="n">
        <v>2.879</v>
      </c>
      <c r="I40" s="33" t="n">
        <v>2</v>
      </c>
      <c r="J40" s="36" t="n">
        <v>5.977412</v>
      </c>
      <c r="K40" s="36" t="n">
        <v>32.152</v>
      </c>
      <c r="L40" s="36" t="n">
        <v>46.771</v>
      </c>
      <c r="M40" s="36" t="n">
        <v>49.102</v>
      </c>
      <c r="N40" s="36" t="n">
        <v>21.7850597169199</v>
      </c>
      <c r="O40" s="36" t="n">
        <v>11.5934532316958</v>
      </c>
      <c r="P40" s="36" t="n">
        <v>0.734229736635779</v>
      </c>
      <c r="Q40" s="31" t="n">
        <v>0.0487605992714087</v>
      </c>
      <c r="R40" s="31" t="n">
        <v>0.0618587243709662</v>
      </c>
      <c r="S40" s="31" t="n">
        <v>0.0152700430339297</v>
      </c>
      <c r="T40" s="31" t="n">
        <v>0.0008924828758869</v>
      </c>
      <c r="U40" s="31" t="n">
        <v>0.00502999080232581</v>
      </c>
      <c r="V40" s="31" t="n">
        <v>0.00170231509072049</v>
      </c>
      <c r="W40" s="31" t="n">
        <v>0.0189928986659488</v>
      </c>
      <c r="X40" s="31" t="n">
        <v>0</v>
      </c>
      <c r="Y40" s="36" t="n">
        <v>1.58840175830754</v>
      </c>
      <c r="Z40" s="36" t="n">
        <v>4.16979499735741</v>
      </c>
      <c r="AA40" s="36" t="n">
        <v>0.123373600352165</v>
      </c>
      <c r="AB40" s="36" t="n">
        <v>0.0231371688462496</v>
      </c>
      <c r="AC40" s="36" t="n">
        <v>0.719559800306183</v>
      </c>
      <c r="AD40" s="31" t="n">
        <v>0.902393</v>
      </c>
      <c r="AE40" s="31" t="n">
        <v>0.851164</v>
      </c>
      <c r="AF40" s="31" t="n">
        <v>0.551428</v>
      </c>
      <c r="AG40" s="31" t="n">
        <v>0.652091</v>
      </c>
      <c r="AH40" s="31" t="n">
        <v>0.519571497279597</v>
      </c>
      <c r="AI40" s="31" t="n">
        <v>7.124</v>
      </c>
      <c r="AJ40" s="31" t="n">
        <v>15.41875</v>
      </c>
      <c r="AK40" s="31" t="n">
        <v>5.717</v>
      </c>
      <c r="AL40" s="31" t="n">
        <v>6.63410184213173</v>
      </c>
      <c r="AM40" s="31" t="n">
        <v>14.533</v>
      </c>
      <c r="AN40" s="31" t="n">
        <v>24.9625</v>
      </c>
      <c r="AO40" s="31" t="n">
        <v>14.533</v>
      </c>
      <c r="AP40" s="31" t="n">
        <v>19.6577820436325</v>
      </c>
      <c r="AQ40" s="36" t="n">
        <v>0.140151399856186</v>
      </c>
      <c r="AR40" s="36" t="n">
        <v>0.291724878836089</v>
      </c>
      <c r="AS40" s="36" t="n">
        <v>0.0241468152083802</v>
      </c>
      <c r="AT40" s="36" t="n">
        <v>0.0328718093782664</v>
      </c>
      <c r="AU40" s="31" t="n">
        <v>0.895650403872654</v>
      </c>
      <c r="AV40" s="36" t="n">
        <v>0.2325</v>
      </c>
      <c r="AW40" s="31" t="n">
        <v>1.222986</v>
      </c>
      <c r="AX40" s="31" t="n">
        <v>0.058575</v>
      </c>
      <c r="AY40" s="31" t="n">
        <v>0.0126629182409445</v>
      </c>
      <c r="AZ40" s="31" t="n">
        <v>0.026846</v>
      </c>
      <c r="BA40" s="33" t="n">
        <v>30.544</v>
      </c>
      <c r="BB40" s="33"/>
      <c r="BC40" s="33"/>
      <c r="BD40" s="33"/>
      <c r="BE40" s="33"/>
      <c r="BF40" s="33" t="n">
        <v>0</v>
      </c>
      <c r="BG40" s="33"/>
      <c r="BH40" s="33" t="n">
        <v>3.75</v>
      </c>
      <c r="BI40" s="29" t="n">
        <v>2020</v>
      </c>
      <c r="BJ40" s="33" t="n">
        <v>1</v>
      </c>
      <c r="BK40" s="33"/>
      <c r="BL40" s="33"/>
      <c r="BM40" s="33"/>
      <c r="BN40" s="29"/>
      <c r="BO40" s="33"/>
      <c r="BP40" s="33"/>
      <c r="BQ40" s="29" t="n">
        <v>2025</v>
      </c>
      <c r="BR40" s="36" t="n">
        <v>34.53</v>
      </c>
      <c r="BS40" s="36" t="n">
        <v>0.15</v>
      </c>
      <c r="BT40" s="36" t="n">
        <v>0.13</v>
      </c>
      <c r="BU40" s="36" t="n">
        <v>1.71</v>
      </c>
      <c r="BV40" s="16" t="n">
        <f aca="false">F40*(1+N(H40)/100)*(1+N(I40)/100)^5</f>
        <v>482.204061085231</v>
      </c>
      <c r="BW40" s="16" t="n">
        <f aca="false">IF(N(G40)&gt;0,G40,F40)</f>
        <v>487.667</v>
      </c>
      <c r="BX40" s="12" t="n">
        <f aca="false">F40/BW40</f>
        <v>0.870522303128979</v>
      </c>
      <c r="BY40" s="13" t="n">
        <f aca="false">IF(ISNUMBER(K40),1,0)</f>
        <v>1</v>
      </c>
      <c r="BZ40" s="16" t="n">
        <f aca="false">IF(BY40=0,"",N(N40)+N(O40)+N(P40))</f>
        <v>34.1127426852515</v>
      </c>
      <c r="CA40" s="37" t="n">
        <f aca="false">IF(BY40=0,"",(N(Y40)*34.2+N(Z40)*38.6)/1000)</f>
        <v>0.215277427032114</v>
      </c>
      <c r="CB40" s="37" t="n">
        <f aca="false">IF(BY40=0,"",N(O40)*0.0036+N(R40)+N(V40)+(N(AA40)*25.3+N(AB40)*37)/1000)</f>
        <v>0.109274898432013</v>
      </c>
      <c r="CC40" s="37" t="n">
        <f aca="false">IF(BY40=0,"",N(N40)*0.0036+N(Q40)+N(U40)+N(T40)+N(X40)+N(AC40)*38/1000)</f>
        <v>0.160452560342168</v>
      </c>
      <c r="CD40" s="37" t="n">
        <f aca="false">IF(BY40=0,"",N(Q40)+N(R40)+N(S40)+N(T40)+N(U40)+N(V40)+N(W40)+N(X40)+(N(Y40)*34.2+N(Z40)*38.6+N(AA40)*25.3+N(AB40)*37+N(AC40)*38)/1000)</f>
        <v>0.399105180891157</v>
      </c>
      <c r="CE40" s="16" t="n">
        <f aca="false">IF(BY40=0,"",MAX(0,N(L40)-N(K40))+MAX(0,N(M40)-N(L40)))</f>
        <v>16.95</v>
      </c>
      <c r="CF40" s="16" t="n">
        <f aca="false">IF(BY40=0,"",N(Y40)*N(AD40)+N(Z40)*N(AE40)+N(AA40)*N(AF40)+N(AB40)*N(AG40)+N(AC40)*N(AH40)+N(U40)*N(AI40)+N(V40)*N(AJ40)+N(W40)*N(AK40)+N(X40)*N(AL40)+N(Q40)*N(AM40)+N(R40)*N(AN40)+N(S40)*N(AO40)+N(T40)*N(AP40))</f>
        <v>8.10243756964717</v>
      </c>
      <c r="CG40" s="16" t="n">
        <f aca="false">IF(AND(BY40=1,N(K40)&gt;0),K40,0)</f>
        <v>32.152</v>
      </c>
      <c r="CH40" s="16" t="n">
        <f aca="false">IF(CG40&gt;0,CF40*1000/CG40,"")</f>
        <v>252.004154318462</v>
      </c>
      <c r="CI40" s="16" t="n">
        <f aca="false">IF(BY40=0,"",N(AQ40)+p_road*(N(AR40)+N(AS40)+N(AT40)))</f>
        <v>0.140151399856186</v>
      </c>
      <c r="CJ40" s="16" t="n">
        <f aca="false">IF(CG40&gt;0,CI40*1000/CG40,"")</f>
        <v>4.35902587261091</v>
      </c>
      <c r="CK40" s="12" t="n">
        <f aca="false">IF(CH40="",1,MIN(p_idx_max,MAX(p_idx_min,CH40/p_fc_world)))</f>
        <v>1.56517179261004</v>
      </c>
      <c r="CL40" s="12" t="n">
        <f aca="false">IF(CJ40="",1,MIN(p_idx_max,MAX(p_idx_min,CJ40/p_cb_world)))</f>
        <v>0.25</v>
      </c>
      <c r="CM40" s="37" t="n">
        <f aca="false">p_b*(1-p_wb_idx+p_wb_idx*CK40)</f>
        <v>0.208167848417136</v>
      </c>
      <c r="CN40" s="37" t="n">
        <f aca="false">p_c*(1-p_wc_idx+p_wc_idx*CL40)</f>
        <v>0.03225</v>
      </c>
      <c r="CO40" s="28" t="n">
        <f aca="false">IF(N(BR40)&gt;0,(N(BS40)+N(BT40)+N(BU40))/BR40,"")</f>
        <v>0.0576310454677092</v>
      </c>
      <c r="CP40" s="16" t="n">
        <f aca="false">N(BS40)+N(BT40)+N(BU40)</f>
        <v>1.99</v>
      </c>
      <c r="CQ40" s="28" t="n">
        <f aca="false">IF(CP40&gt;0,N(BS40)/CP40,"")</f>
        <v>0.0753768844221106</v>
      </c>
      <c r="CR40" s="28" t="n">
        <f aca="false">IF(CP40&gt;0,N(BT40)/CP40,"")</f>
        <v>0.0653266331658292</v>
      </c>
      <c r="CS40" s="28" t="n">
        <f aca="false">IF(CP40&gt;0,N(BU40)/CP40,"")</f>
        <v>0.85929648241206</v>
      </c>
      <c r="CT40" s="7" t="n">
        <f aca="false">1000*(p_sh_pv*p_cf_pv/p_capex_pv+(1-p_sh_pv)*p_cf_wind/p_capex_wind)*8760</f>
        <v>2301.28856624319</v>
      </c>
      <c r="CU40" s="13" t="n">
        <f aca="false">IF(AND(ISNUMBER(CO40),ISNUMBER(CQ40),BY40=1),1,0)</f>
        <v>1</v>
      </c>
      <c r="CV40" s="16" t="n">
        <f aca="false">IF(CU40=0,"",CQ40*p_hr_coal*N(AK40)+CR40*p_hr_gas*N(AO40)+CS40*p_hr_oil*N(AH40)/p_gj_l_oil)</f>
        <v>132.87773047433</v>
      </c>
      <c r="CW40" s="37" t="n">
        <f aca="false">IF(CU40=0,"",CQ40*p_hr_coal*p_ef_coal+CR40*p_hr_gas*p_ef_gas+CS40*p_hr_oil*p_ef_oil)</f>
        <v>0.797142964824121</v>
      </c>
      <c r="CX40" s="16" t="n">
        <f aca="false">IF(CU40=0,"",CQ40*p_hr_coal*N(AW40)+CR40*p_hr_gas*N(AX40)+CS40*p_hr_oil*N(AY40)/p_gj_l_oil)</f>
        <v>3.91045976698464</v>
      </c>
      <c r="CY40" s="37" t="n">
        <f aca="false">IF(CU40=0,"",CO40*CW40)</f>
        <v>0.0459401824500434</v>
      </c>
      <c r="CZ40" s="37" t="n">
        <f aca="false">IF(CU40=0,"",CT40*CO40*CV40/1000/1000-p_om_re)</f>
        <v>0.00262299750012598</v>
      </c>
      <c r="DA40" s="37" t="n">
        <f aca="false">IF(CU40=0,"",CT40*CO40*CX40/1000/1000)</f>
        <v>0.000518627330944871</v>
      </c>
      <c r="DB40" s="37" t="n">
        <f aca="false">IF(CU40=0,"",CT40*CO40*CW40/1000)</f>
        <v>0.105721616603411</v>
      </c>
      <c r="DC40" s="13" t="n">
        <f aca="false">IF(AND(CU40=1,ISNUMBER(AD40),ISNUMBER(AV40)),1,0)</f>
        <v>1</v>
      </c>
      <c r="DD40" s="7" t="n">
        <f aca="false">IF(DC40=0,"",p_ev_km*p_ice_l/100*AD40-p_ev_km*p_ev_kwh*AV40+p_ev_km*p_ev_maint)</f>
        <v>567.442125</v>
      </c>
      <c r="DE40" s="37" t="n">
        <f aca="false">IF(DC40=0,"",DD40/p_ev_prem)</f>
        <v>0.113488425</v>
      </c>
      <c r="DF40" s="37" t="n">
        <f aca="false">IF(DC40=0,"",p_ev_km*p_ice_l/100*N(AZ40)/p_ev_prem)</f>
        <v>0.00604035</v>
      </c>
      <c r="DG40" s="37" t="n">
        <f aca="false">IF(DC40=0,"",1000/p_ev_prem*(p_ev_km*p_ice_l/100*p_gj_l_gso*p_ef_gso-p_ev_km*p_ev_kwh/1000*CY40))</f>
        <v>0.508455801476977</v>
      </c>
      <c r="DH40" s="11" t="str">
        <f aca="false">IFERROR(IF(INDEX(Damodaran!$D:$D,MATCH(A40,Damodaran!$A:$A,0))="","",INDEX(Damodaran!$D:$D,MATCH(A40,Damodaran!$A:$A,0))),"")</f>
        <v/>
      </c>
      <c r="DI40" s="11" t="str">
        <f aca="false">IFERROR(IF(INDEX(Damodaran!$E:$E,MATCH(A40,Damodaran!$A:$A,0))="","",INDEX(Damodaran!$E:$E,MATCH(A40,Damodaran!$A:$A,0))),"")</f>
        <v/>
      </c>
      <c r="DJ40" s="11" t="str">
        <f aca="false">IFERROR(IF(INDEX(Damodaran!$G:$G,MATCH(A40,Damodaran!$A:$A,0))="","",INDEX(Damodaran!$G:$G,MATCH(A40,Damodaran!$A:$A,0))),"")</f>
        <v/>
      </c>
      <c r="DK40" s="11" t="str">
        <f aca="false">IF(ISNUMBER(BG40),(1+BG40/100)*(1+p_infl)-1,"")</f>
        <v/>
      </c>
      <c r="DL40" s="11" t="n">
        <f aca="false">IF(ISNUMBER(BH40),BH40/100,"")</f>
        <v>0.0375</v>
      </c>
      <c r="DM40" s="11" t="n">
        <f aca="false">IF(COUNT(DK40,DL40)=0,"",AVERAGE(DK40,DL40))</f>
        <v>0.0375</v>
      </c>
      <c r="DN40" s="11" t="str">
        <f aca="false">IF(OR(DH40="",DI40=""),"",p_dv*(p_rf+DH40)*(1-IF(DJ40="",p_tax_def,DJ40))+(1-p_dv)*(p_rf+p_beta*p_erp+p_lambda*DI40))</f>
        <v/>
      </c>
      <c r="DO40" s="13" t="n">
        <f aca="false">IF(AND(ISNUMBER(DM40),ISNUMBER(DN40)),1,0)</f>
        <v>0</v>
      </c>
      <c r="DP40" s="11" t="n">
        <f aca="false">IF(DO40=1,DM40,0)</f>
        <v>0</v>
      </c>
      <c r="DQ40" s="11" t="n">
        <f aca="false">IF(DO40=1,DN40,0)</f>
        <v>0</v>
      </c>
      <c r="DR40" s="11" t="str">
        <f aca="false">IF(DN40="","",DN40+p_shift)</f>
        <v/>
      </c>
      <c r="DS40" s="11" t="n">
        <f aca="false">IF(E40="AE",p_r_ae,IF(E40="China",p_r_chn,p_r_emdc))</f>
        <v>0.055</v>
      </c>
      <c r="DT40" s="11" t="n">
        <f aca="false">IF(E40="AE",p_rh_ae,IF(E40="China",p_rh_chn,p_rh_emdc))</f>
        <v>0.07</v>
      </c>
      <c r="DU40" s="11" t="n">
        <f aca="false">IF(AND(p_use_obs=1,ISNUMBER(DM40)),DM40,IF(AND(p_use_dam=1,ISNUMBER(DR40)),DR40,DS40))</f>
        <v>0.0375</v>
      </c>
      <c r="DV40" s="6" t="str">
        <f aca="false">IF(AND(p_use_obs=1,ISNUMBER(DM40)),"Observed (IRENA/Steffen)",IF(AND(p_use_dam=1,ISNUMBER(DR40)),"Damodaran (eq. 5)","Group default (IHLEG)"))</f>
        <v>Observed (IRENA/Steffen)</v>
      </c>
      <c r="DW40" s="11" t="n">
        <f aca="false">IF(p_basis=1,(1+DU40)/(1+p_infl)-1,DU40)</f>
        <v>0.0375</v>
      </c>
      <c r="DX40" s="11" t="n">
        <f aca="false">DW40+(DT40-DS40)</f>
        <v>0.0525</v>
      </c>
      <c r="DY40" s="28" t="n">
        <f aca="false">IF(AND(p_use_pefa=1,ISNUMBER(BD40)),p_gap_lic-(BD40-1)/3*(p_gap_lic-p_gap_ae),IF(E40="AE",p_gap_ae,IF(D40="Low income",p_gap_lic,p_gap_em)))*(1-p_reform*p_reform_close)</f>
        <v>0.13</v>
      </c>
      <c r="DZ40" s="6" t="str">
        <f aca="false">IF(AND(p_use_pefa=1,ISNUMBER(BD40)),"PEFA PI-11","Income-group default (IMF 2015)")</f>
        <v>Income-group default (IMF 2015)</v>
      </c>
      <c r="EA40" s="28" t="n">
        <f aca="false">IF(E40="AE",p_ps_ae,IF(E40="China",p_ps_chn,p_ps_emdc))</f>
        <v>0.3</v>
      </c>
      <c r="EB40" s="37" t="n">
        <f aca="false">(1-EA40)+EA40/(1-DY40)</f>
        <v>1.0448275862069</v>
      </c>
      <c r="EC40" s="16" t="n">
        <f aca="false">Results_Country!F40</f>
        <v>11.674521286336</v>
      </c>
      <c r="ED40" s="16" t="n">
        <f aca="false">IF(CH40="",0,CH40*EC40)</f>
        <v>2942.02786383598</v>
      </c>
      <c r="EE40" s="16" t="n">
        <f aca="false">IF(CJ40="",0,CJ40*EC40)</f>
        <v>50.8895403374854</v>
      </c>
      <c r="EF40" s="16" t="n">
        <f aca="false">IF(CH40="",0,EC40)</f>
        <v>11.674521286336</v>
      </c>
    </row>
    <row r="41" customFormat="false" ht="15" hidden="false" customHeight="false" outlineLevel="0" collapsed="false">
      <c r="A41" s="35" t="s">
        <v>836</v>
      </c>
      <c r="B41" s="35" t="s">
        <v>837</v>
      </c>
      <c r="C41" s="35" t="s">
        <v>762</v>
      </c>
      <c r="D41" s="35" t="s">
        <v>763</v>
      </c>
      <c r="E41" s="35" t="s">
        <v>31</v>
      </c>
      <c r="F41" s="36" t="n">
        <v>422.227</v>
      </c>
      <c r="G41" s="36" t="n">
        <v>1380.902</v>
      </c>
      <c r="H41" s="33" t="n">
        <v>5.171</v>
      </c>
      <c r="I41" s="33" t="n">
        <v>4.7</v>
      </c>
      <c r="J41" s="36" t="n">
        <v>35.557674</v>
      </c>
      <c r="K41" s="36" t="n">
        <v>276.641</v>
      </c>
      <c r="L41" s="36" t="n">
        <v>355.617</v>
      </c>
      <c r="M41" s="36" t="n">
        <v>409.34</v>
      </c>
      <c r="N41" s="36" t="n">
        <v>162.446562645965</v>
      </c>
      <c r="O41" s="36" t="n">
        <v>50.3043773758452</v>
      </c>
      <c r="P41" s="36" t="n">
        <v>0.480929110351711</v>
      </c>
      <c r="Q41" s="31" t="n">
        <v>0.903132642321349</v>
      </c>
      <c r="R41" s="31" t="n">
        <v>0.000589240231916722</v>
      </c>
      <c r="S41" s="31" t="n">
        <v>0.753306445073403</v>
      </c>
      <c r="T41" s="31" t="n">
        <v>0.00167917319377811</v>
      </c>
      <c r="U41" s="31" t="n">
        <v>0.0394522905477423</v>
      </c>
      <c r="V41" s="31" t="n">
        <v>0</v>
      </c>
      <c r="W41" s="31" t="n">
        <v>0.718938352100597</v>
      </c>
      <c r="X41" s="31" t="n">
        <v>0</v>
      </c>
      <c r="Y41" s="36" t="n">
        <v>14.5122883619094</v>
      </c>
      <c r="Z41" s="36" t="n">
        <v>9.77350424230719</v>
      </c>
      <c r="AA41" s="36" t="n">
        <v>2.56013816223148</v>
      </c>
      <c r="AB41" s="36" t="n">
        <v>0.159060656095403</v>
      </c>
      <c r="AC41" s="36" t="n">
        <v>1.47080048956303</v>
      </c>
      <c r="AD41" s="31" t="n">
        <v>0.790974</v>
      </c>
      <c r="AE41" s="31" t="n">
        <v>0.75567</v>
      </c>
      <c r="AF41" s="31" t="n">
        <v>0.545432</v>
      </c>
      <c r="AG41" s="31" t="n">
        <v>0.657835</v>
      </c>
      <c r="AH41" s="31" t="n">
        <v>0.543345303403777</v>
      </c>
      <c r="AI41" s="31" t="n">
        <v>6.754</v>
      </c>
      <c r="AJ41" s="31" t="n">
        <v>11.9361</v>
      </c>
      <c r="AK41" s="31" t="n">
        <v>4.558</v>
      </c>
      <c r="AL41" s="31" t="n">
        <v>4.67223826346314</v>
      </c>
      <c r="AM41" s="31" t="n">
        <v>7.43</v>
      </c>
      <c r="AN41" s="31" t="n">
        <v>13.4838</v>
      </c>
      <c r="AO41" s="31" t="n">
        <v>6.626</v>
      </c>
      <c r="AP41" s="31" t="n">
        <v>7.06664396722451</v>
      </c>
      <c r="AQ41" s="36" t="n">
        <v>14.4445054931344</v>
      </c>
      <c r="AR41" s="36" t="n">
        <v>3.16938419605573</v>
      </c>
      <c r="AS41" s="36" t="n">
        <v>4.2588824707971</v>
      </c>
      <c r="AT41" s="36" t="n">
        <v>1.71215468850968</v>
      </c>
      <c r="AU41" s="31" t="n">
        <v>0.320604568308772</v>
      </c>
      <c r="AV41" s="36" t="n">
        <v>0.04257</v>
      </c>
      <c r="AW41" s="31" t="n">
        <v>2.964863</v>
      </c>
      <c r="AX41" s="31" t="n">
        <v>0.244833</v>
      </c>
      <c r="AY41" s="31" t="n">
        <v>0.268396848213461</v>
      </c>
      <c r="AZ41" s="31" t="n">
        <v>0.10304</v>
      </c>
      <c r="BA41" s="33" t="n">
        <v>69.839</v>
      </c>
      <c r="BB41" s="33" t="n">
        <v>10.269</v>
      </c>
      <c r="BC41" s="33"/>
      <c r="BD41" s="33"/>
      <c r="BE41" s="33"/>
      <c r="BF41" s="33" t="n">
        <v>0</v>
      </c>
      <c r="BG41" s="33" t="n">
        <v>5.4</v>
      </c>
      <c r="BH41" s="33" t="n">
        <v>5.61</v>
      </c>
      <c r="BI41" s="29" t="n">
        <v>2020</v>
      </c>
      <c r="BJ41" s="33" t="n">
        <v>3</v>
      </c>
      <c r="BK41" s="33" t="n">
        <v>1</v>
      </c>
      <c r="BL41" s="33"/>
      <c r="BM41" s="33"/>
      <c r="BN41" s="29"/>
      <c r="BO41" s="33" t="n">
        <v>0.007</v>
      </c>
      <c r="BP41" s="33" t="n">
        <v>0.395</v>
      </c>
      <c r="BQ41" s="29" t="n">
        <v>2025</v>
      </c>
      <c r="BR41" s="36" t="n">
        <v>201.09</v>
      </c>
      <c r="BS41" s="36" t="n">
        <v>89.6</v>
      </c>
      <c r="BT41" s="36" t="n">
        <v>67.89</v>
      </c>
      <c r="BU41" s="36" t="n">
        <v>2.07</v>
      </c>
      <c r="BV41" s="16" t="n">
        <f aca="false">F41*(1+N(H41)/100)*(1+N(I41)/100)^5</f>
        <v>558.695808645077</v>
      </c>
      <c r="BW41" s="16" t="n">
        <f aca="false">IF(N(G41)&gt;0,G41,F41)</f>
        <v>1380.902</v>
      </c>
      <c r="BX41" s="12" t="n">
        <f aca="false">F41/BW41</f>
        <v>0.305761741238698</v>
      </c>
      <c r="BY41" s="13" t="n">
        <f aca="false">IF(ISNUMBER(K41),1,0)</f>
        <v>1</v>
      </c>
      <c r="BZ41" s="16" t="n">
        <f aca="false">IF(BY41=0,"",N(N41)+N(O41)+N(P41))</f>
        <v>213.231869132162</v>
      </c>
      <c r="CA41" s="37" t="n">
        <f aca="false">IF(BY41=0,"",(N(Y41)*34.2+N(Z41)*38.6)/1000)</f>
        <v>0.87357752573036</v>
      </c>
      <c r="CB41" s="37" t="n">
        <f aca="false">IF(BY41=0,"",N(O41)*0.0036+N(R41)+N(V41)+(N(AA41)*25.3+N(AB41)*37)/1000)</f>
        <v>0.252341738564946</v>
      </c>
      <c r="CC41" s="37" t="n">
        <f aca="false">IF(BY41=0,"",N(N41)*0.0036+N(Q41)+N(U41)+N(T41)+N(X41)+N(AC41)*38/1000)</f>
        <v>1.58496215019174</v>
      </c>
      <c r="CD41" s="37" t="n">
        <f aca="false">IF(BY41=0,"",N(Q41)+N(R41)+N(S41)+N(T41)+N(U41)+N(V41)+N(W41)+N(X41)+(N(Y41)*34.2+N(Z41)*38.6+N(AA41)*25.3+N(AB41)*37+N(AC41)*38)/1000)</f>
        <v>3.41722282758253</v>
      </c>
      <c r="CE41" s="16" t="n">
        <f aca="false">IF(BY41=0,"",MAX(0,N(L41)-N(K41))+MAX(0,N(M41)-N(L41)))</f>
        <v>132.699</v>
      </c>
      <c r="CF41" s="16" t="n">
        <f aca="false">IF(BY41=0,"",N(Y41)*N(AD41)+N(Z41)*N(AE41)+N(AA41)*N(AF41)+N(AB41)*N(AG41)+N(AC41)*N(AH41)+N(U41)*N(AI41)+N(V41)*N(AJ41)+N(W41)*N(AK41)+N(X41)*N(AL41)+N(Q41)*N(AM41)+N(R41)*N(AN41)+N(S41)*N(AO41)+N(T41)*N(AP41))</f>
        <v>36.4294333419069</v>
      </c>
      <c r="CG41" s="16" t="n">
        <f aca="false">IF(AND(BY41=1,N(K41)&gt;0),K41,0)</f>
        <v>276.641</v>
      </c>
      <c r="CH41" s="16" t="n">
        <f aca="false">IF(CG41&gt;0,CF41*1000/CG41,"")</f>
        <v>131.684867181318</v>
      </c>
      <c r="CI41" s="16" t="n">
        <f aca="false">IF(BY41=0,"",N(AQ41)+p_road*(N(AR41)+N(AS41)+N(AT41)))</f>
        <v>14.4445054931344</v>
      </c>
      <c r="CJ41" s="16" t="n">
        <f aca="false">IF(CG41&gt;0,CI41*1000/CG41,"")</f>
        <v>52.2138999393956</v>
      </c>
      <c r="CK41" s="12" t="n">
        <f aca="false">IF(CH41="",1,MIN(p_idx_max,MAX(p_idx_min,CH41/p_fc_world)))</f>
        <v>0.817881118599872</v>
      </c>
      <c r="CL41" s="12" t="n">
        <f aca="false">IF(CJ41="",1,MIN(p_idx_max,MAX(p_idx_min,CJ41/p_cb_world)))</f>
        <v>0.992833445506879</v>
      </c>
      <c r="CM41" s="37" t="n">
        <f aca="false">p_b*(1-p_wb_idx+p_wb_idx*CK41)</f>
        <v>0.108778188773783</v>
      </c>
      <c r="CN41" s="37" t="n">
        <f aca="false">p_c*(1-p_wc_idx+p_wc_idx*CL41)</f>
        <v>0.128075514470387</v>
      </c>
      <c r="CO41" s="28" t="n">
        <f aca="false">IF(N(BR41)&gt;0,(N(BS41)+N(BT41)+N(BU41))/BR41,"")</f>
        <v>0.793475558207768</v>
      </c>
      <c r="CP41" s="16" t="n">
        <f aca="false">N(BS41)+N(BT41)+N(BU41)</f>
        <v>159.56</v>
      </c>
      <c r="CQ41" s="28" t="n">
        <f aca="false">IF(CP41&gt;0,N(BS41)/CP41,"")</f>
        <v>0.561544246678365</v>
      </c>
      <c r="CR41" s="28" t="n">
        <f aca="false">IF(CP41&gt;0,N(BT41)/CP41,"")</f>
        <v>0.425482577086989</v>
      </c>
      <c r="CS41" s="28" t="n">
        <f aca="false">IF(CP41&gt;0,N(BU41)/CP41,"")</f>
        <v>0.0129731762346453</v>
      </c>
      <c r="CT41" s="7" t="n">
        <f aca="false">1000*(p_sh_pv*p_cf_pv/p_capex_pv+(1-p_sh_pv)*p_cf_wind/p_capex_wind)*8760</f>
        <v>2301.28856624319</v>
      </c>
      <c r="CU41" s="13" t="n">
        <f aca="false">IF(AND(ISNUMBER(CO41),ISNUMBER(CQ41),BY41=1),1,0)</f>
        <v>1</v>
      </c>
      <c r="CV41" s="16" t="n">
        <f aca="false">IF(CU41=0,"",CQ41*p_hr_coal*N(AK41)+CR41*p_hr_gas*N(AO41)+CS41*p_hr_oil*N(AH41)/p_gj_l_oil)</f>
        <v>48.6569942340596</v>
      </c>
      <c r="CW41" s="37" t="n">
        <f aca="false">IF(CU41=0,"",CQ41*p_hr_coal*p_ef_coal+CR41*p_hr_gas*p_ef_gas+CS41*p_hr_oil*p_ef_oil)</f>
        <v>0.720785951992981</v>
      </c>
      <c r="CX41" s="16" t="n">
        <f aca="false">IF(CU41=0,"",CQ41*p_hr_coal*N(AW41)+CR41*p_hr_gas*N(AX41)+CS41*p_hr_oil*N(AY41)/p_gj_l_oil)</f>
        <v>18.3774740964847</v>
      </c>
      <c r="CY41" s="37" t="n">
        <f aca="false">IF(CU41=0,"",CO41*CW41)</f>
        <v>0.571926035605948</v>
      </c>
      <c r="CZ41" s="37" t="n">
        <f aca="false">IF(CU41=0,"",CT41*CO41*CV41/1000/1000-p_om_re)</f>
        <v>0.0738484611596649</v>
      </c>
      <c r="DA41" s="37" t="n">
        <f aca="false">IF(CU41=0,"",CT41*CO41*CX41/1000/1000)</f>
        <v>0.0335575659610167</v>
      </c>
      <c r="DB41" s="37" t="n">
        <f aca="false">IF(CU41=0,"",CT41*CO41*CW41/1000)</f>
        <v>1.31616684647676</v>
      </c>
      <c r="DC41" s="13" t="n">
        <f aca="false">IF(AND(CU41=1,ISNUMBER(AD41),ISNUMBER(AV41)),1,0)</f>
        <v>1</v>
      </c>
      <c r="DD41" s="7" t="n">
        <f aca="false">IF(DC41=0,"",p_ev_km*p_ice_l/100*AD41-p_ev_km*p_ev_kwh*AV41+p_ev_km*p_ev_maint)</f>
        <v>954.90675</v>
      </c>
      <c r="DE41" s="37" t="n">
        <f aca="false">IF(DC41=0,"",DD41/p_ev_prem)</f>
        <v>0.19098135</v>
      </c>
      <c r="DF41" s="37" t="n">
        <f aca="false">IF(DC41=0,"",p_ev_km*p_ice_l/100*N(AZ41)/p_ev_prem)</f>
        <v>0.023184</v>
      </c>
      <c r="DG41" s="37" t="n">
        <f aca="false">IF(DC41=0,"",1000/p_ev_prem*(p_ev_km*p_ice_l/100*p_gj_l_gso*p_ef_gso-p_ev_km*p_ev_kwh/1000*CY41))</f>
        <v>0.224423440772788</v>
      </c>
      <c r="DH41" s="11" t="str">
        <f aca="false">IFERROR(IF(INDEX(Damodaran!$D:$D,MATCH(A41,Damodaran!$A:$A,0))="","",INDEX(Damodaran!$D:$D,MATCH(A41,Damodaran!$A:$A,0))),"")</f>
        <v/>
      </c>
      <c r="DI41" s="11" t="str">
        <f aca="false">IFERROR(IF(INDEX(Damodaran!$E:$E,MATCH(A41,Damodaran!$A:$A,0))="","",INDEX(Damodaran!$E:$E,MATCH(A41,Damodaran!$A:$A,0))),"")</f>
        <v/>
      </c>
      <c r="DJ41" s="11" t="str">
        <f aca="false">IFERROR(IF(INDEX(Damodaran!$G:$G,MATCH(A41,Damodaran!$A:$A,0))="","",INDEX(Damodaran!$G:$G,MATCH(A41,Damodaran!$A:$A,0))),"")</f>
        <v/>
      </c>
      <c r="DK41" s="11" t="n">
        <f aca="false">IF(ISNUMBER(BG41),(1+BG41/100)*(1+p_infl)-1,"")</f>
        <v>0.07508</v>
      </c>
      <c r="DL41" s="11" t="n">
        <f aca="false">IF(ISNUMBER(BH41),BH41/100,"")</f>
        <v>0.0561</v>
      </c>
      <c r="DM41" s="11" t="n">
        <f aca="false">IF(COUNT(DK41,DL41)=0,"",AVERAGE(DK41,DL41))</f>
        <v>0.06559</v>
      </c>
      <c r="DN41" s="11" t="str">
        <f aca="false">IF(OR(DH41="",DI41=""),"",p_dv*(p_rf+DH41)*(1-IF(DJ41="",p_tax_def,DJ41))+(1-p_dv)*(p_rf+p_beta*p_erp+p_lambda*DI41))</f>
        <v/>
      </c>
      <c r="DO41" s="13" t="n">
        <f aca="false">IF(AND(ISNUMBER(DM41),ISNUMBER(DN41)),1,0)</f>
        <v>0</v>
      </c>
      <c r="DP41" s="11" t="n">
        <f aca="false">IF(DO41=1,DM41,0)</f>
        <v>0</v>
      </c>
      <c r="DQ41" s="11" t="n">
        <f aca="false">IF(DO41=1,DN41,0)</f>
        <v>0</v>
      </c>
      <c r="DR41" s="11" t="str">
        <f aca="false">IF(DN41="","",DN41+p_shift)</f>
        <v/>
      </c>
      <c r="DS41" s="11" t="n">
        <f aca="false">IF(E41="AE",p_r_ae,IF(E41="China",p_r_chn,p_r_emdc))</f>
        <v>0.105</v>
      </c>
      <c r="DT41" s="11" t="n">
        <f aca="false">IF(E41="AE",p_rh_ae,IF(E41="China",p_rh_chn,p_rh_emdc))</f>
        <v>0.15</v>
      </c>
      <c r="DU41" s="11" t="n">
        <f aca="false">IF(AND(p_use_obs=1,ISNUMBER(DM41)),DM41,IF(AND(p_use_dam=1,ISNUMBER(DR41)),DR41,DS41))</f>
        <v>0.06559</v>
      </c>
      <c r="DV41" s="6" t="str">
        <f aca="false">IF(AND(p_use_obs=1,ISNUMBER(DM41)),"Observed (IRENA/Steffen)",IF(AND(p_use_dam=1,ISNUMBER(DR41)),"Damodaran (eq. 5)","Group default (IHLEG)"))</f>
        <v>Observed (IRENA/Steffen)</v>
      </c>
      <c r="DW41" s="11" t="n">
        <f aca="false">IF(p_basis=1,(1+DU41)/(1+p_infl)-1,DU41)</f>
        <v>0.06559</v>
      </c>
      <c r="DX41" s="11" t="n">
        <f aca="false">DW41+(DT41-DS41)</f>
        <v>0.11059</v>
      </c>
      <c r="DY41" s="28" t="n">
        <f aca="false">IF(AND(p_use_pefa=1,ISNUMBER(BD41)),p_gap_lic-(BD41-1)/3*(p_gap_lic-p_gap_ae),IF(E41="AE",p_gap_ae,IF(D41="Low income",p_gap_lic,p_gap_em)))*(1-p_reform*p_reform_close)</f>
        <v>0.27</v>
      </c>
      <c r="DZ41" s="6" t="str">
        <f aca="false">IF(AND(p_use_pefa=1,ISNUMBER(BD41)),"PEFA PI-11","Income-group default (IMF 2015)")</f>
        <v>Income-group default (IMF 2015)</v>
      </c>
      <c r="EA41" s="28" t="n">
        <f aca="false">IF(E41="AE",p_ps_ae,IF(E41="China",p_ps_chn,p_ps_emdc))</f>
        <v>0.4</v>
      </c>
      <c r="EB41" s="37" t="n">
        <f aca="false">(1-EA41)+EA41/(1-DY41)</f>
        <v>1.14794520547945</v>
      </c>
      <c r="EC41" s="16" t="n">
        <f aca="false">Results_Country!F41</f>
        <v>34.0232813480885</v>
      </c>
      <c r="ED41" s="16" t="n">
        <f aca="false">IF(CH41="",0,CH41*EC41)</f>
        <v>4480.35128539563</v>
      </c>
      <c r="EE41" s="16" t="n">
        <f aca="false">IF(CJ41="",0,CJ41*EC41)</f>
        <v>1776.488207919</v>
      </c>
      <c r="EF41" s="16" t="n">
        <f aca="false">IF(CH41="",0,EC41)</f>
        <v>34.0232813480885</v>
      </c>
    </row>
    <row r="42" customFormat="false" ht="15" hidden="false" customHeight="false" outlineLevel="0" collapsed="false">
      <c r="A42" s="35" t="s">
        <v>838</v>
      </c>
      <c r="B42" s="35" t="s">
        <v>839</v>
      </c>
      <c r="C42" s="35" t="s">
        <v>784</v>
      </c>
      <c r="D42" s="35" t="s">
        <v>763</v>
      </c>
      <c r="E42" s="35" t="s">
        <v>31</v>
      </c>
      <c r="F42" s="36" t="n">
        <v>420.504</v>
      </c>
      <c r="G42" s="36" t="n">
        <v>1132.936</v>
      </c>
      <c r="H42" s="33" t="n">
        <v>2.642</v>
      </c>
      <c r="I42" s="33" t="n">
        <v>2.342</v>
      </c>
      <c r="J42" s="36" t="n">
        <v>52.886364</v>
      </c>
      <c r="K42" s="36" t="n">
        <v>85.273</v>
      </c>
      <c r="L42" s="36" t="n">
        <v>213.882</v>
      </c>
      <c r="M42" s="36" t="n">
        <v>293.577</v>
      </c>
      <c r="N42" s="36" t="n">
        <v>30.0695028259004</v>
      </c>
      <c r="O42" s="36" t="n">
        <v>39.4534440417687</v>
      </c>
      <c r="P42" s="36" t="n">
        <v>0.414597415762337</v>
      </c>
      <c r="Q42" s="31" t="n">
        <v>0.101650054342491</v>
      </c>
      <c r="R42" s="31" t="n">
        <v>0.0752699181132348</v>
      </c>
      <c r="S42" s="31" t="n">
        <v>0.000703850655049986</v>
      </c>
      <c r="T42" s="31" t="n">
        <v>0.016514592545246</v>
      </c>
      <c r="U42" s="31" t="n">
        <v>0.0630058495695398</v>
      </c>
      <c r="V42" s="31" t="n">
        <v>0.0304110346395741</v>
      </c>
      <c r="W42" s="31" t="n">
        <v>0.193378900373444</v>
      </c>
      <c r="X42" s="31" t="n">
        <v>0</v>
      </c>
      <c r="Y42" s="36" t="n">
        <v>6.30784822462843</v>
      </c>
      <c r="Z42" s="36" t="n">
        <v>7.03599015143992</v>
      </c>
      <c r="AA42" s="36" t="n">
        <v>1.35921663535731</v>
      </c>
      <c r="AB42" s="36" t="n">
        <v>0.022746497317855</v>
      </c>
      <c r="AC42" s="36" t="n">
        <v>1.29838714739747</v>
      </c>
      <c r="AD42" s="31" t="n">
        <v>0.897535</v>
      </c>
      <c r="AE42" s="31" t="n">
        <v>0.670902</v>
      </c>
      <c r="AF42" s="31" t="n">
        <v>0.594653</v>
      </c>
      <c r="AG42" s="31" t="n">
        <v>0.672877</v>
      </c>
      <c r="AH42" s="31" t="n">
        <v>0.519462891908447</v>
      </c>
      <c r="AI42" s="31" t="n">
        <v>2.537</v>
      </c>
      <c r="AJ42" s="31" t="n">
        <v>6.32247</v>
      </c>
      <c r="AK42" s="31" t="n">
        <v>2.325</v>
      </c>
      <c r="AL42" s="31" t="n">
        <v>2.79545474864907</v>
      </c>
      <c r="AM42" s="31" t="n">
        <v>13.978</v>
      </c>
      <c r="AN42" s="31" t="n">
        <v>19.87062</v>
      </c>
      <c r="AO42" s="31" t="n">
        <v>13.978</v>
      </c>
      <c r="AP42" s="31" t="n">
        <v>16.4750582048321</v>
      </c>
      <c r="AQ42" s="36" t="n">
        <v>9.10548899508521</v>
      </c>
      <c r="AR42" s="36" t="n">
        <v>1.50166037692471</v>
      </c>
      <c r="AS42" s="36" t="n">
        <v>2.47454786160347</v>
      </c>
      <c r="AT42" s="36" t="n">
        <v>1.6166987727551</v>
      </c>
      <c r="AU42" s="31" t="n">
        <v>0.798581804165059</v>
      </c>
      <c r="AV42" s="36" t="n">
        <v>0.24678</v>
      </c>
      <c r="AW42" s="31" t="n">
        <v>3.661883</v>
      </c>
      <c r="AX42" s="31" t="n">
        <v>0.053637</v>
      </c>
      <c r="AY42" s="31" t="n">
        <v>0.718026594168542</v>
      </c>
      <c r="AZ42" s="31" t="n">
        <v>0.103407</v>
      </c>
      <c r="BA42" s="33" t="n">
        <v>61.008</v>
      </c>
      <c r="BB42" s="33" t="n">
        <v>13.549</v>
      </c>
      <c r="BC42" s="33" t="n">
        <v>83.432</v>
      </c>
      <c r="BD42" s="33" t="n">
        <v>3</v>
      </c>
      <c r="BE42" s="33" t="n">
        <v>2</v>
      </c>
      <c r="BF42" s="33" t="n">
        <v>1</v>
      </c>
      <c r="BG42" s="33" t="n">
        <v>5.6</v>
      </c>
      <c r="BH42" s="33" t="n">
        <v>5.96</v>
      </c>
      <c r="BI42" s="29" t="n">
        <v>2020</v>
      </c>
      <c r="BJ42" s="33" t="n">
        <v>2</v>
      </c>
      <c r="BK42" s="33"/>
      <c r="BL42" s="33" t="n">
        <v>1.297</v>
      </c>
      <c r="BM42" s="33" t="n">
        <v>8.145</v>
      </c>
      <c r="BN42" s="29" t="n">
        <v>15.241</v>
      </c>
      <c r="BO42" s="33" t="n">
        <v>0.298</v>
      </c>
      <c r="BP42" s="33" t="n">
        <v>0.439</v>
      </c>
      <c r="BQ42" s="29" t="n">
        <v>2025</v>
      </c>
      <c r="BR42" s="36" t="n">
        <v>90.32</v>
      </c>
      <c r="BS42" s="36" t="n">
        <v>5.53</v>
      </c>
      <c r="BT42" s="36" t="n">
        <v>12.43</v>
      </c>
      <c r="BU42" s="36" t="n">
        <v>2.8</v>
      </c>
      <c r="BV42" s="16" t="n">
        <f aca="false">F42*(1+N(H42)/100)*(1+N(I42)/100)^5</f>
        <v>484.579163943813</v>
      </c>
      <c r="BW42" s="16" t="n">
        <f aca="false">IF(N(G42)&gt;0,G42,F42)</f>
        <v>1132.936</v>
      </c>
      <c r="BX42" s="12" t="n">
        <f aca="false">F42/BW42</f>
        <v>0.37116306658099</v>
      </c>
      <c r="BY42" s="13" t="n">
        <f aca="false">IF(ISNUMBER(K42),1,0)</f>
        <v>1</v>
      </c>
      <c r="BZ42" s="16" t="n">
        <f aca="false">IF(BY42=0,"",N(N42)+N(O42)+N(P42))</f>
        <v>69.9375442834314</v>
      </c>
      <c r="CA42" s="37" t="n">
        <f aca="false">IF(BY42=0,"",(N(Y42)*34.2+N(Z42)*38.6)/1000)</f>
        <v>0.487317629127873</v>
      </c>
      <c r="CB42" s="37" t="n">
        <f aca="false">IF(BY42=0,"",N(O42)*0.0036+N(R42)+N(V42)+(N(AA42)*25.3+N(AB42)*37)/1000)</f>
        <v>0.282943152578477</v>
      </c>
      <c r="CC42" s="37" t="n">
        <f aca="false">IF(BY42=0,"",N(N42)*0.0036+N(Q42)+N(U42)+N(T42)+N(X42)+N(AC42)*38/1000)</f>
        <v>0.338759418231622</v>
      </c>
      <c r="CD42" s="37" t="n">
        <f aca="false">IF(BY42=0,"",N(Q42)+N(R42)+N(S42)+N(T42)+N(U42)+N(V42)+N(W42)+N(X42)+(N(Y42)*34.2+N(Z42)*38.6+N(AA42)*25.3+N(AB42)*37+N(AC42)*38)/1000)</f>
        <v>1.05282034224286</v>
      </c>
      <c r="CE42" s="16" t="n">
        <f aca="false">IF(BY42=0,"",MAX(0,N(L42)-N(K42))+MAX(0,N(M42)-N(L42)))</f>
        <v>208.304</v>
      </c>
      <c r="CF42" s="16" t="n">
        <f aca="false">IF(BY42=0,"",N(Y42)*N(AD42)+N(Z42)*N(AE42)+N(AA42)*N(AF42)+N(AB42)*N(AG42)+N(AC42)*N(AH42)+N(U42)*N(AI42)+N(V42)*N(AJ42)+N(W42)*N(AK42)+N(X42)*N(AL42)+N(Q42)*N(AM42)+N(R42)*N(AN42)+N(S42)*N(AO42)+N(T42)*N(AP42))</f>
        <v>15.8801725436486</v>
      </c>
      <c r="CG42" s="16" t="n">
        <f aca="false">IF(AND(BY42=1,N(K42)&gt;0),K42,0)</f>
        <v>85.273</v>
      </c>
      <c r="CH42" s="16" t="n">
        <f aca="false">IF(CG42&gt;0,CF42*1000/CG42,"")</f>
        <v>186.227440616005</v>
      </c>
      <c r="CI42" s="16" t="n">
        <f aca="false">IF(BY42=0,"",N(AQ42)+p_road*(N(AR42)+N(AS42)+N(AT42)))</f>
        <v>9.10548899508521</v>
      </c>
      <c r="CJ42" s="16" t="n">
        <f aca="false">IF(CG42&gt;0,CI42*1000/CG42,"")</f>
        <v>106.780446273559</v>
      </c>
      <c r="CK42" s="12" t="n">
        <f aca="false">IF(CH42="",1,MIN(p_idx_max,MAX(p_idx_min,CH42/p_fc_world)))</f>
        <v>1.15663941275265</v>
      </c>
      <c r="CL42" s="12" t="n">
        <f aca="false">IF(CJ42="",1,MIN(p_idx_max,MAX(p_idx_min,CJ42/p_cb_world)))</f>
        <v>2.03040183762544</v>
      </c>
      <c r="CM42" s="37" t="n">
        <f aca="false">p_b*(1-p_wb_idx+p_wb_idx*CK42)</f>
        <v>0.153833041896102</v>
      </c>
      <c r="CN42" s="37" t="n">
        <f aca="false">p_c*(1-p_wc_idx+p_wc_idx*CL42)</f>
        <v>0.261921837053682</v>
      </c>
      <c r="CO42" s="28" t="n">
        <f aca="false">IF(N(BR42)&gt;0,(N(BS42)+N(BT42)+N(BU42))/BR42,"")</f>
        <v>0.229849424269265</v>
      </c>
      <c r="CP42" s="16" t="n">
        <f aca="false">N(BS42)+N(BT42)+N(BU42)</f>
        <v>20.76</v>
      </c>
      <c r="CQ42" s="28" t="n">
        <f aca="false">IF(CP42&gt;0,N(BS42)/CP42,"")</f>
        <v>0.266377649325626</v>
      </c>
      <c r="CR42" s="28" t="n">
        <f aca="false">IF(CP42&gt;0,N(BT42)/CP42,"")</f>
        <v>0.598747591522158</v>
      </c>
      <c r="CS42" s="28" t="n">
        <f aca="false">IF(CP42&gt;0,N(BU42)/CP42,"")</f>
        <v>0.134874759152216</v>
      </c>
      <c r="CT42" s="7" t="n">
        <f aca="false">1000*(p_sh_pv*p_cf_pv/p_capex_pv+(1-p_sh_pv)*p_cf_wind/p_capex_wind)*8760</f>
        <v>2301.28856624319</v>
      </c>
      <c r="CU42" s="13" t="n">
        <f aca="false">IF(AND(ISNUMBER(CO42),ISNUMBER(CQ42),BY42=1),1,0)</f>
        <v>1</v>
      </c>
      <c r="CV42" s="16" t="n">
        <f aca="false">IF(CU42=0,"",CQ42*p_hr_coal*N(AK42)+CR42*p_hr_gas*N(AO42)+CS42*p_hr_oil*N(AH42)/p_gj_l_oil)</f>
        <v>88.0214177974137</v>
      </c>
      <c r="CW42" s="37" t="n">
        <f aca="false">IF(CU42=0,"",CQ42*p_hr_coal*p_ef_coal+CR42*p_hr_gas*p_ef_gas+CS42*p_hr_oil*p_ef_oil)</f>
        <v>0.613529022157996</v>
      </c>
      <c r="CX42" s="16" t="n">
        <f aca="false">IF(CU42=0,"",CQ42*p_hr_coal*N(AW42)+CR42*p_hr_gas*N(AX42)+CS42*p_hr_oil*N(AY42)/p_gj_l_oil)</f>
        <v>36.3387842585883</v>
      </c>
      <c r="CY42" s="37" t="n">
        <f aca="false">IF(CU42=0,"",CO42*CW42)</f>
        <v>0.1410192925155</v>
      </c>
      <c r="CZ42" s="37" t="n">
        <f aca="false">IF(CU42=0,"",CT42*CO42*CV42/1000/1000-p_om_re)</f>
        <v>0.0315589159192755</v>
      </c>
      <c r="DA42" s="37" t="n">
        <f aca="false">IF(CU42=0,"",CT42*CO42*CX42/1000/1000)</f>
        <v>0.0192213945564737</v>
      </c>
      <c r="DB42" s="37" t="n">
        <f aca="false">IF(CU42=0,"",CT42*CO42*CW42/1000)</f>
        <v>0.324526085485626</v>
      </c>
      <c r="DC42" s="13" t="n">
        <f aca="false">IF(AND(CU42=1,ISNUMBER(AD42),ISNUMBER(AV42)),1,0)</f>
        <v>1</v>
      </c>
      <c r="DD42" s="7" t="n">
        <f aca="false">IF(DC42=0,"",p_ev_km*p_ice_l/100*AD42-p_ev_km*p_ev_kwh*AV42+p_ev_km*p_ev_maint)</f>
        <v>523.420875</v>
      </c>
      <c r="DE42" s="37" t="n">
        <f aca="false">IF(DC42=0,"",DD42/p_ev_prem)</f>
        <v>0.104684175</v>
      </c>
      <c r="DF42" s="37" t="n">
        <f aca="false">IF(DC42=0,"",p_ev_km*p_ice_l/100*N(AZ42)/p_ev_prem)</f>
        <v>0.023266575</v>
      </c>
      <c r="DG42" s="37" t="n">
        <f aca="false">IF(DC42=0,"",1000/p_ev_prem*(p_ev_km*p_ice_l/100*p_gj_l_gso*p_ef_gso-p_ev_km*p_ev_kwh/1000*CY42))</f>
        <v>0.45711308204163</v>
      </c>
      <c r="DH42" s="11" t="str">
        <f aca="false">IFERROR(IF(INDEX(Damodaran!$D:$D,MATCH(A42,Damodaran!$A:$A,0))="","",INDEX(Damodaran!$D:$D,MATCH(A42,Damodaran!$A:$A,0))),"")</f>
        <v/>
      </c>
      <c r="DI42" s="11" t="str">
        <f aca="false">IFERROR(IF(INDEX(Damodaran!$E:$E,MATCH(A42,Damodaran!$A:$A,0))="","",INDEX(Damodaran!$E:$E,MATCH(A42,Damodaran!$A:$A,0))),"")</f>
        <v/>
      </c>
      <c r="DJ42" s="11" t="str">
        <f aca="false">IFERROR(IF(INDEX(Damodaran!$G:$G,MATCH(A42,Damodaran!$A:$A,0))="","",INDEX(Damodaran!$G:$G,MATCH(A42,Damodaran!$A:$A,0))),"")</f>
        <v/>
      </c>
      <c r="DK42" s="11" t="n">
        <f aca="false">IF(ISNUMBER(BG42),(1+BG42/100)*(1+p_infl)-1,"")</f>
        <v>0.0771200000000001</v>
      </c>
      <c r="DL42" s="11" t="n">
        <f aca="false">IF(ISNUMBER(BH42),BH42/100,"")</f>
        <v>0.0596</v>
      </c>
      <c r="DM42" s="11" t="n">
        <f aca="false">IF(COUNT(DK42,DL42)=0,"",AVERAGE(DK42,DL42))</f>
        <v>0.06836</v>
      </c>
      <c r="DN42" s="11" t="str">
        <f aca="false">IF(OR(DH42="",DI42=""),"",p_dv*(p_rf+DH42)*(1-IF(DJ42="",p_tax_def,DJ42))+(1-p_dv)*(p_rf+p_beta*p_erp+p_lambda*DI42))</f>
        <v/>
      </c>
      <c r="DO42" s="13" t="n">
        <f aca="false">IF(AND(ISNUMBER(DM42),ISNUMBER(DN42)),1,0)</f>
        <v>0</v>
      </c>
      <c r="DP42" s="11" t="n">
        <f aca="false">IF(DO42=1,DM42,0)</f>
        <v>0</v>
      </c>
      <c r="DQ42" s="11" t="n">
        <f aca="false">IF(DO42=1,DN42,0)</f>
        <v>0</v>
      </c>
      <c r="DR42" s="11" t="str">
        <f aca="false">IF(DN42="","",DN42+p_shift)</f>
        <v/>
      </c>
      <c r="DS42" s="11" t="n">
        <f aca="false">IF(E42="AE",p_r_ae,IF(E42="China",p_r_chn,p_r_emdc))</f>
        <v>0.105</v>
      </c>
      <c r="DT42" s="11" t="n">
        <f aca="false">IF(E42="AE",p_rh_ae,IF(E42="China",p_rh_chn,p_rh_emdc))</f>
        <v>0.15</v>
      </c>
      <c r="DU42" s="11" t="n">
        <f aca="false">IF(AND(p_use_obs=1,ISNUMBER(DM42)),DM42,IF(AND(p_use_dam=1,ISNUMBER(DR42)),DR42,DS42))</f>
        <v>0.06836</v>
      </c>
      <c r="DV42" s="6" t="str">
        <f aca="false">IF(AND(p_use_obs=1,ISNUMBER(DM42)),"Observed (IRENA/Steffen)",IF(AND(p_use_dam=1,ISNUMBER(DR42)),"Damodaran (eq. 5)","Group default (IHLEG)"))</f>
        <v>Observed (IRENA/Steffen)</v>
      </c>
      <c r="DW42" s="11" t="n">
        <f aca="false">IF(p_basis=1,(1+DU42)/(1+p_infl)-1,DU42)</f>
        <v>0.06836</v>
      </c>
      <c r="DX42" s="11" t="n">
        <f aca="false">DW42+(DT42-DS42)</f>
        <v>0.11336</v>
      </c>
      <c r="DY42" s="28" t="n">
        <f aca="false">IF(AND(p_use_pefa=1,ISNUMBER(BD42)),p_gap_lic-(BD42-1)/3*(p_gap_lic-p_gap_ae),IF(E42="AE",p_gap_ae,IF(D42="Low income",p_gap_lic,p_gap_em)))*(1-p_reform*p_reform_close)</f>
        <v>0.22</v>
      </c>
      <c r="DZ42" s="6" t="str">
        <f aca="false">IF(AND(p_use_pefa=1,ISNUMBER(BD42)),"PEFA PI-11","Income-group default (IMF 2015)")</f>
        <v>PEFA PI-11</v>
      </c>
      <c r="EA42" s="28" t="n">
        <f aca="false">IF(E42="AE",p_ps_ae,IF(E42="China",p_ps_chn,p_ps_emdc))</f>
        <v>0.4</v>
      </c>
      <c r="EB42" s="37" t="n">
        <f aca="false">(1-EA42)+EA42/(1-DY42)</f>
        <v>1.11282051282051</v>
      </c>
      <c r="EC42" s="16" t="n">
        <f aca="false">Results_Country!F42</f>
        <v>24.4462991364287</v>
      </c>
      <c r="ED42" s="16" t="n">
        <f aca="false">IF(CH42="",0,CH42*EC42)</f>
        <v>4552.57172071039</v>
      </c>
      <c r="EE42" s="16" t="n">
        <f aca="false">IF(CJ42="",0,CJ42*EC42)</f>
        <v>2610.38673152478</v>
      </c>
      <c r="EF42" s="16" t="n">
        <f aca="false">IF(CH42="",0,EC42)</f>
        <v>24.4462991364287</v>
      </c>
    </row>
    <row r="43" customFormat="false" ht="15" hidden="false" customHeight="false" outlineLevel="0" collapsed="false">
      <c r="A43" s="35" t="s">
        <v>840</v>
      </c>
      <c r="B43" s="35" t="s">
        <v>841</v>
      </c>
      <c r="C43" s="35" t="s">
        <v>799</v>
      </c>
      <c r="D43" s="35" t="s">
        <v>763</v>
      </c>
      <c r="E43" s="35" t="s">
        <v>31</v>
      </c>
      <c r="F43" s="36" t="n">
        <v>416.676</v>
      </c>
      <c r="G43" s="36" t="n">
        <v>1822.448</v>
      </c>
      <c r="H43" s="33" t="n">
        <v>-1.525</v>
      </c>
      <c r="I43" s="33" t="n">
        <v>-6.07</v>
      </c>
      <c r="J43" s="36" t="n">
        <v>91.567738</v>
      </c>
      <c r="K43" s="36" t="n">
        <v>743.218</v>
      </c>
      <c r="L43" s="36" t="n">
        <v>1024.794</v>
      </c>
      <c r="M43" s="36" t="n">
        <v>1024.852</v>
      </c>
      <c r="N43" s="36" t="n">
        <v>238.985056826927</v>
      </c>
      <c r="O43" s="36" t="n">
        <v>118.315808035321</v>
      </c>
      <c r="P43" s="36" t="n">
        <v>6.82856899303748</v>
      </c>
      <c r="Q43" s="31" t="n">
        <v>3.04839047464589</v>
      </c>
      <c r="R43" s="31" t="n">
        <v>2.78122191282358</v>
      </c>
      <c r="S43" s="31" t="n">
        <v>3.19927984834089</v>
      </c>
      <c r="T43" s="31" t="n">
        <v>0.325971054590249</v>
      </c>
      <c r="U43" s="31" t="n">
        <v>0.0389192926750766</v>
      </c>
      <c r="V43" s="31" t="n">
        <v>0.000393032480201442</v>
      </c>
      <c r="W43" s="31" t="n">
        <v>0.410794098482129</v>
      </c>
      <c r="X43" s="31" t="n">
        <v>0</v>
      </c>
      <c r="Y43" s="36" t="n">
        <v>32.3653544500869</v>
      </c>
      <c r="Z43" s="36" t="n">
        <v>28.0026490635167</v>
      </c>
      <c r="AA43" s="36" t="n">
        <v>4.54918171727383</v>
      </c>
      <c r="AB43" s="36" t="n">
        <v>2.7096306765928</v>
      </c>
      <c r="AC43" s="36" t="n">
        <v>5.96077606076338</v>
      </c>
      <c r="AD43" s="31" t="n">
        <v>0.592796</v>
      </c>
      <c r="AE43" s="31" t="n">
        <v>0.568361</v>
      </c>
      <c r="AF43" s="31" t="n">
        <v>0.425971</v>
      </c>
      <c r="AG43" s="31" t="n">
        <v>0.533792</v>
      </c>
      <c r="AH43" s="31" t="n">
        <v>0.39534605597551</v>
      </c>
      <c r="AI43" s="31" t="n">
        <v>4.308</v>
      </c>
      <c r="AJ43" s="31" t="n">
        <v>7.86108</v>
      </c>
      <c r="AK43" s="31" t="n">
        <v>2.799</v>
      </c>
      <c r="AL43" s="31" t="n">
        <v>2.93389870687334</v>
      </c>
      <c r="AM43" s="31" t="n">
        <v>4.104</v>
      </c>
      <c r="AN43" s="31" t="n">
        <v>8.81047</v>
      </c>
      <c r="AO43" s="31" t="n">
        <v>3.441</v>
      </c>
      <c r="AP43" s="31" t="n">
        <v>5.3188350728003</v>
      </c>
      <c r="AQ43" s="36" t="n">
        <v>23.0198424739388</v>
      </c>
      <c r="AR43" s="36" t="n">
        <v>1.78299524662493</v>
      </c>
      <c r="AS43" s="36" t="n">
        <v>11.4134511641505</v>
      </c>
      <c r="AT43" s="36" t="n">
        <v>4.72398053714005</v>
      </c>
      <c r="AU43" s="31" t="n">
        <v>0.0977701133169024</v>
      </c>
      <c r="AV43" s="36" t="n">
        <v>0.12426</v>
      </c>
      <c r="AW43" s="31" t="n">
        <v>0.003589</v>
      </c>
      <c r="AX43" s="31" t="n">
        <v>0.602845</v>
      </c>
      <c r="AY43" s="31" t="n">
        <v>0.303585460352461</v>
      </c>
      <c r="AZ43" s="31" t="n">
        <v>0.091425</v>
      </c>
      <c r="BA43" s="33" t="n">
        <v>31.229</v>
      </c>
      <c r="BB43" s="33" t="n">
        <v>12.826</v>
      </c>
      <c r="BC43" s="33"/>
      <c r="BD43" s="33"/>
      <c r="BE43" s="33"/>
      <c r="BF43" s="33" t="n">
        <v>0</v>
      </c>
      <c r="BG43" s="33"/>
      <c r="BH43" s="33"/>
      <c r="BI43" s="29"/>
      <c r="BJ43" s="33"/>
      <c r="BK43" s="33"/>
      <c r="BL43" s="33" t="n">
        <v>-0.44</v>
      </c>
      <c r="BM43" s="33" t="n">
        <v>0.04</v>
      </c>
      <c r="BN43" s="29" t="n">
        <v>11.417</v>
      </c>
      <c r="BO43" s="33" t="n">
        <v>0.001</v>
      </c>
      <c r="BP43" s="33"/>
      <c r="BQ43" s="29" t="n">
        <v>2025</v>
      </c>
      <c r="BR43" s="36" t="n">
        <v>398.348</v>
      </c>
      <c r="BS43" s="36" t="n">
        <v>0.73</v>
      </c>
      <c r="BT43" s="36" t="n">
        <v>351.654</v>
      </c>
      <c r="BU43" s="36" t="n">
        <v>22.591</v>
      </c>
      <c r="BV43" s="16" t="n">
        <f aca="false">F43*(1+N(H43)/100)*(1+N(I43)/100)^5</f>
        <v>300.017154394947</v>
      </c>
      <c r="BW43" s="16" t="n">
        <f aca="false">IF(N(G43)&gt;0,G43,F43)</f>
        <v>1822.448</v>
      </c>
      <c r="BX43" s="12" t="n">
        <f aca="false">F43/BW43</f>
        <v>0.228635330061544</v>
      </c>
      <c r="BY43" s="13" t="n">
        <f aca="false">IF(ISNUMBER(K43),1,0)</f>
        <v>1</v>
      </c>
      <c r="BZ43" s="16" t="n">
        <f aca="false">IF(BY43=0,"",N(N43)+N(O43)+N(P43))</f>
        <v>364.129433855286</v>
      </c>
      <c r="CA43" s="37" t="n">
        <f aca="false">IF(BY43=0,"",(N(Y43)*34.2+N(Z43)*38.6)/1000)</f>
        <v>2.18779737604472</v>
      </c>
      <c r="CB43" s="37" t="n">
        <f aca="false">IF(BY43=0,"",N(O43)*0.0036+N(R43)+N(V43)+(N(AA43)*25.3+N(AB43)*37)/1000)</f>
        <v>3.42290248671189</v>
      </c>
      <c r="CC43" s="37" t="n">
        <f aca="false">IF(BY43=0,"",N(N43)*0.0036+N(Q43)+N(U43)+N(T43)+N(X43)+N(AC43)*38/1000)</f>
        <v>4.50013651679716</v>
      </c>
      <c r="CD43" s="37" t="n">
        <f aca="false">IF(BY43=0,"",N(Q43)+N(R43)+N(S43)+N(T43)+N(U43)+N(V43)+N(W43)+N(X43)+(N(Y43)*34.2+N(Z43)*38.6+N(AA43)*25.3+N(AB43)*37+N(AC43)*38)/1000)</f>
        <v>12.4346272128727</v>
      </c>
      <c r="CE43" s="16" t="n">
        <f aca="false">IF(BY43=0,"",MAX(0,N(L43)-N(K43))+MAX(0,N(M43)-N(L43)))</f>
        <v>281.634</v>
      </c>
      <c r="CF43" s="16" t="n">
        <f aca="false">IF(BY43=0,"",N(Y43)*N(AD43)+N(Z43)*N(AE43)+N(AA43)*N(AF43)+N(AB43)*N(AG43)+N(AC43)*N(AH43)+N(U43)*N(AI43)+N(V43)*N(AJ43)+N(W43)*N(AK43)+N(X43)*N(AL43)+N(Q43)*N(AM43)+N(R43)*N(AN43)+N(S43)*N(AO43)+N(T43)*N(AP43))</f>
        <v>91.9199758750678</v>
      </c>
      <c r="CG43" s="16" t="n">
        <f aca="false">IF(AND(BY43=1,N(K43)&gt;0),K43,0)</f>
        <v>743.218</v>
      </c>
      <c r="CH43" s="16" t="n">
        <f aca="false">IF(CG43&gt;0,CF43*1000/CG43,"")</f>
        <v>123.678349925685</v>
      </c>
      <c r="CI43" s="16" t="n">
        <f aca="false">IF(BY43=0,"",N(AQ43)+p_road*(N(AR43)+N(AS43)+N(AT43)))</f>
        <v>23.0198424739388</v>
      </c>
      <c r="CJ43" s="16" t="n">
        <f aca="false">IF(CG43&gt;0,CI43*1000/CG43,"")</f>
        <v>30.9732036548345</v>
      </c>
      <c r="CK43" s="12" t="n">
        <f aca="false">IF(CH43="",1,MIN(p_idx_max,MAX(p_idx_min,CH43/p_fc_world)))</f>
        <v>0.768153466294088</v>
      </c>
      <c r="CL43" s="12" t="n">
        <f aca="false">IF(CJ43="",1,MIN(p_idx_max,MAX(p_idx_min,CJ43/p_cb_world)))</f>
        <v>0.588947244674472</v>
      </c>
      <c r="CM43" s="37" t="n">
        <f aca="false">p_b*(1-p_wb_idx+p_wb_idx*CK43)</f>
        <v>0.102164411017114</v>
      </c>
      <c r="CN43" s="37" t="n">
        <f aca="false">p_c*(1-p_wc_idx+p_wc_idx*CL43)</f>
        <v>0.0759741945630068</v>
      </c>
      <c r="CO43" s="28" t="n">
        <f aca="false">IF(N(BR43)&gt;0,(N(BS43)+N(BT43)+N(BU43))/BR43,"")</f>
        <v>0.941325172964343</v>
      </c>
      <c r="CP43" s="16" t="n">
        <f aca="false">N(BS43)+N(BT43)+N(BU43)</f>
        <v>374.975</v>
      </c>
      <c r="CQ43" s="28" t="n">
        <f aca="false">IF(CP43&gt;0,N(BS43)/CP43,"")</f>
        <v>0.00194679645309687</v>
      </c>
      <c r="CR43" s="28" t="n">
        <f aca="false">IF(CP43&gt;0,N(BT43)/CP43,"")</f>
        <v>0.937806520434696</v>
      </c>
      <c r="CS43" s="28" t="n">
        <f aca="false">IF(CP43&gt;0,N(BU43)/CP43,"")</f>
        <v>0.0602466831122075</v>
      </c>
      <c r="CT43" s="7" t="n">
        <f aca="false">1000*(p_sh_pv*p_cf_pv/p_capex_pv+(1-p_sh_pv)*p_cf_wind/p_capex_wind)*8760</f>
        <v>2301.28856624319</v>
      </c>
      <c r="CU43" s="13" t="n">
        <f aca="false">IF(AND(ISNUMBER(CO43),ISNUMBER(CQ43),BY43=1),1,0)</f>
        <v>1</v>
      </c>
      <c r="CV43" s="16" t="n">
        <f aca="false">IF(CU43=0,"",CQ43*p_hr_coal*N(AK43)+CR43*p_hr_gas*N(AO43)+CS43*p_hr_oil*N(AH43)/p_gj_l_oil)</f>
        <v>30.7360007388195</v>
      </c>
      <c r="CW43" s="37" t="n">
        <f aca="false">IF(CU43=0,"",CQ43*p_hr_coal*p_ef_coal+CR43*p_hr_gas*p_ef_gas+CS43*p_hr_oil*p_ef_oil)</f>
        <v>0.445386242282819</v>
      </c>
      <c r="CX43" s="16" t="n">
        <f aca="false">IF(CU43=0,"",CQ43*p_hr_coal*N(AW43)+CR43*p_hr_gas*N(AX43)+CS43*p_hr_oil*N(AY43)/p_gj_l_oil)</f>
        <v>9.21547335825432</v>
      </c>
      <c r="CY43" s="37" t="n">
        <f aca="false">IF(CU43=0,"",CO43*CW43)</f>
        <v>0.419253281552813</v>
      </c>
      <c r="CZ43" s="37" t="n">
        <f aca="false">IF(CU43=0,"",CT43*CO43*CV43/1000/1000-p_om_re)</f>
        <v>0.0515821953215054</v>
      </c>
      <c r="DA43" s="37" t="n">
        <f aca="false">IF(CU43=0,"",CT43*CO43*CX43/1000/1000)</f>
        <v>0.0199631192207925</v>
      </c>
      <c r="DB43" s="37" t="n">
        <f aca="false">IF(CU43=0,"",CT43*CO43*CW43/1000)</f>
        <v>0.964822783197427</v>
      </c>
      <c r="DC43" s="13" t="n">
        <f aca="false">IF(AND(CU43=1,ISNUMBER(AD43),ISNUMBER(AV43)),1,0)</f>
        <v>1</v>
      </c>
      <c r="DD43" s="7" t="n">
        <f aca="false">IF(DC43=0,"",p_ev_km*p_ice_l/100*AD43-p_ev_km*p_ev_kwh*AV43+p_ev_km*p_ev_maint)</f>
        <v>511.3935</v>
      </c>
      <c r="DE43" s="37" t="n">
        <f aca="false">IF(DC43=0,"",DD43/p_ev_prem)</f>
        <v>0.1022787</v>
      </c>
      <c r="DF43" s="37" t="n">
        <f aca="false">IF(DC43=0,"",p_ev_km*p_ice_l/100*N(AZ43)/p_ev_prem)</f>
        <v>0.020570625</v>
      </c>
      <c r="DG43" s="37" t="n">
        <f aca="false">IF(DC43=0,"",1000/p_ev_prem*(p_ev_km*p_ice_l/100*p_gj_l_gso*p_ef_gso-p_ev_km*p_ev_kwh/1000*CY43))</f>
        <v>0.306866727961481</v>
      </c>
      <c r="DH43" s="11" t="str">
        <f aca="false">IFERROR(IF(INDEX(Damodaran!$D:$D,MATCH(A43,Damodaran!$A:$A,0))="","",INDEX(Damodaran!$D:$D,MATCH(A43,Damodaran!$A:$A,0))),"")</f>
        <v/>
      </c>
      <c r="DI43" s="11" t="str">
        <f aca="false">IFERROR(IF(INDEX(Damodaran!$E:$E,MATCH(A43,Damodaran!$A:$A,0))="","",INDEX(Damodaran!$E:$E,MATCH(A43,Damodaran!$A:$A,0))),"")</f>
        <v/>
      </c>
      <c r="DJ43" s="11" t="str">
        <f aca="false">IFERROR(IF(INDEX(Damodaran!$G:$G,MATCH(A43,Damodaran!$A:$A,0))="","",INDEX(Damodaran!$G:$G,MATCH(A43,Damodaran!$A:$A,0))),"")</f>
        <v/>
      </c>
      <c r="DK43" s="11" t="str">
        <f aca="false">IF(ISNUMBER(BG43),(1+BG43/100)*(1+p_infl)-1,"")</f>
        <v/>
      </c>
      <c r="DL43" s="11" t="str">
        <f aca="false">IF(ISNUMBER(BH43),BH43/100,"")</f>
        <v/>
      </c>
      <c r="DM43" s="11" t="str">
        <f aca="false">IF(COUNT(DK43,DL43)=0,"",AVERAGE(DK43,DL43))</f>
        <v/>
      </c>
      <c r="DN43" s="11" t="str">
        <f aca="false">IF(OR(DH43="",DI43=""),"",p_dv*(p_rf+DH43)*(1-IF(DJ43="",p_tax_def,DJ43))+(1-p_dv)*(p_rf+p_beta*p_erp+p_lambda*DI43))</f>
        <v/>
      </c>
      <c r="DO43" s="13" t="n">
        <f aca="false">IF(AND(ISNUMBER(DM43),ISNUMBER(DN43)),1,0)</f>
        <v>0</v>
      </c>
      <c r="DP43" s="11" t="n">
        <f aca="false">IF(DO43=1,DM43,0)</f>
        <v>0</v>
      </c>
      <c r="DQ43" s="11" t="n">
        <f aca="false">IF(DO43=1,DN43,0)</f>
        <v>0</v>
      </c>
      <c r="DR43" s="11" t="str">
        <f aca="false">IF(DN43="","",DN43+p_shift)</f>
        <v/>
      </c>
      <c r="DS43" s="11" t="n">
        <f aca="false">IF(E43="AE",p_r_ae,IF(E43="China",p_r_chn,p_r_emdc))</f>
        <v>0.105</v>
      </c>
      <c r="DT43" s="11" t="n">
        <f aca="false">IF(E43="AE",p_rh_ae,IF(E43="China",p_rh_chn,p_rh_emdc))</f>
        <v>0.15</v>
      </c>
      <c r="DU43" s="11" t="n">
        <f aca="false">IF(AND(p_use_obs=1,ISNUMBER(DM43)),DM43,IF(AND(p_use_dam=1,ISNUMBER(DR43)),DR43,DS43))</f>
        <v>0.105</v>
      </c>
      <c r="DV43" s="6" t="str">
        <f aca="false">IF(AND(p_use_obs=1,ISNUMBER(DM43)),"Observed (IRENA/Steffen)",IF(AND(p_use_dam=1,ISNUMBER(DR43)),"Damodaran (eq. 5)","Group default (IHLEG)"))</f>
        <v>Group default (IHLEG)</v>
      </c>
      <c r="DW43" s="11" t="n">
        <f aca="false">IF(p_basis=1,(1+DU43)/(1+p_infl)-1,DU43)</f>
        <v>0.105</v>
      </c>
      <c r="DX43" s="11" t="n">
        <f aca="false">DW43+(DT43-DS43)</f>
        <v>0.15</v>
      </c>
      <c r="DY43" s="28" t="n">
        <f aca="false">IF(AND(p_use_pefa=1,ISNUMBER(BD43)),p_gap_lic-(BD43-1)/3*(p_gap_lic-p_gap_ae),IF(E43="AE",p_gap_ae,IF(D43="Low income",p_gap_lic,p_gap_em)))*(1-p_reform*p_reform_close)</f>
        <v>0.27</v>
      </c>
      <c r="DZ43" s="6" t="str">
        <f aca="false">IF(AND(p_use_pefa=1,ISNUMBER(BD43)),"PEFA PI-11","Income-group default (IMF 2015)")</f>
        <v>Income-group default (IMF 2015)</v>
      </c>
      <c r="EA43" s="28" t="n">
        <f aca="false">IF(E43="AE",p_ps_ae,IF(E43="China",p_ps_chn,p_ps_emdc))</f>
        <v>0.4</v>
      </c>
      <c r="EB43" s="37" t="n">
        <f aca="false">(1-EA43)+EA43/(1-DY43)</f>
        <v>1.14794520547945</v>
      </c>
      <c r="EC43" s="16" t="n">
        <f aca="false">Results_Country!F43</f>
        <v>57.4529478250048</v>
      </c>
      <c r="ED43" s="16" t="n">
        <f aca="false">IF(CH43="",0,CH43*EC43)</f>
        <v>7105.68578536307</v>
      </c>
      <c r="EE43" s="16" t="n">
        <f aca="false">IF(CJ43="",0,CJ43*EC43)</f>
        <v>1779.50185355446</v>
      </c>
      <c r="EF43" s="16" t="n">
        <f aca="false">IF(CH43="",0,EC43)</f>
        <v>57.4529478250048</v>
      </c>
    </row>
    <row r="44" customFormat="false" ht="15" hidden="false" customHeight="false" outlineLevel="0" collapsed="false">
      <c r="A44" s="35" t="s">
        <v>842</v>
      </c>
      <c r="B44" s="35" t="s">
        <v>843</v>
      </c>
      <c r="C44" s="35" t="s">
        <v>762</v>
      </c>
      <c r="D44" s="35" t="s">
        <v>760</v>
      </c>
      <c r="E44" s="35" t="s">
        <v>29</v>
      </c>
      <c r="F44" s="36" t="n">
        <v>408.369</v>
      </c>
      <c r="G44" s="36" t="n">
        <v>566.878</v>
      </c>
      <c r="H44" s="33" t="n">
        <v>3.488</v>
      </c>
      <c r="I44" s="33" t="n">
        <v>2.42</v>
      </c>
      <c r="J44" s="36" t="n">
        <v>7.41491</v>
      </c>
      <c r="K44" s="36" t="n">
        <v>36.233</v>
      </c>
      <c r="L44" s="36" t="n">
        <v>42.703</v>
      </c>
      <c r="M44" s="36" t="n">
        <v>42.703</v>
      </c>
      <c r="N44" s="36" t="n">
        <v>32.8469677564218</v>
      </c>
      <c r="O44" s="36" t="n">
        <v>13.6507604137226</v>
      </c>
      <c r="P44" s="36" t="n">
        <v>0.86719234163814</v>
      </c>
      <c r="Q44" s="31" t="n">
        <v>0.00157806200526852</v>
      </c>
      <c r="R44" s="31" t="n">
        <v>0.0255974741237345</v>
      </c>
      <c r="S44" s="31" t="n">
        <v>0.104475811491076</v>
      </c>
      <c r="T44" s="31" t="n">
        <v>0</v>
      </c>
      <c r="U44" s="31" t="n">
        <v>0</v>
      </c>
      <c r="V44" s="31" t="n">
        <v>0</v>
      </c>
      <c r="W44" s="31" t="n">
        <v>0.158109335478503</v>
      </c>
      <c r="X44" s="31" t="n">
        <v>0</v>
      </c>
      <c r="Y44" s="36" t="n">
        <v>0.753251356288911</v>
      </c>
      <c r="Z44" s="36" t="n">
        <v>2.30072468888844</v>
      </c>
      <c r="AA44" s="36" t="n">
        <v>0.575515596617768</v>
      </c>
      <c r="AB44" s="36" t="n">
        <v>0.00707530734290655</v>
      </c>
      <c r="AC44" s="36" t="n">
        <v>1.22929098032864</v>
      </c>
      <c r="AD44" s="31" t="n">
        <v>0.72</v>
      </c>
      <c r="AE44" s="31" t="n">
        <v>0.734</v>
      </c>
      <c r="AF44" s="31" t="n">
        <v>0.51</v>
      </c>
      <c r="AG44" s="31" t="n">
        <v>0.652</v>
      </c>
      <c r="AH44" s="31" t="n">
        <v>0.543345303403777</v>
      </c>
      <c r="AI44" s="31" t="n">
        <v>7.124</v>
      </c>
      <c r="AJ44" s="31" t="n">
        <v>11.451</v>
      </c>
      <c r="AK44" s="31" t="n">
        <v>4.833</v>
      </c>
      <c r="AL44" s="31" t="n">
        <v>4.833</v>
      </c>
      <c r="AM44" s="31" t="n">
        <v>39.742</v>
      </c>
      <c r="AN44" s="31" t="n">
        <v>44.582</v>
      </c>
      <c r="AO44" s="31" t="n">
        <v>39.742</v>
      </c>
      <c r="AP44" s="31" t="n">
        <v>40.6830596776905</v>
      </c>
      <c r="AQ44" s="36" t="s">
        <v>844</v>
      </c>
      <c r="AR44" s="36" t="s">
        <v>844</v>
      </c>
      <c r="AS44" s="36" t="s">
        <v>844</v>
      </c>
      <c r="AT44" s="36" t="s">
        <v>844</v>
      </c>
      <c r="AU44" s="31" t="n">
        <v>0.163079385563597</v>
      </c>
      <c r="AV44" s="36" t="n">
        <v>0.179</v>
      </c>
      <c r="AW44" s="31" t="s">
        <v>844</v>
      </c>
      <c r="AX44" s="31" t="s">
        <v>844</v>
      </c>
      <c r="AY44" s="31" t="s">
        <v>844</v>
      </c>
      <c r="AZ44" s="31" t="s">
        <v>844</v>
      </c>
      <c r="BA44" s="33" t="n">
        <v>9.211</v>
      </c>
      <c r="BB44" s="33"/>
      <c r="BC44" s="33"/>
      <c r="BD44" s="33"/>
      <c r="BE44" s="33"/>
      <c r="BF44" s="33" t="n">
        <v>0</v>
      </c>
      <c r="BG44" s="33"/>
      <c r="BH44" s="33"/>
      <c r="BI44" s="29"/>
      <c r="BJ44" s="33"/>
      <c r="BK44" s="33"/>
      <c r="BL44" s="33"/>
      <c r="BM44" s="33"/>
      <c r="BN44" s="29"/>
      <c r="BO44" s="33"/>
      <c r="BP44" s="33"/>
      <c r="BQ44" s="29" t="n">
        <v>2024</v>
      </c>
      <c r="BR44" s="36" t="n">
        <v>37.44</v>
      </c>
      <c r="BS44" s="36" t="n">
        <v>12.6</v>
      </c>
      <c r="BT44" s="36" t="n">
        <v>24</v>
      </c>
      <c r="BU44" s="36" t="n">
        <v>0.45</v>
      </c>
      <c r="BV44" s="16" t="n">
        <f aca="false">F44*(1+N(H44)/100)*(1+N(I44)/100)^5</f>
        <v>476.284686165841</v>
      </c>
      <c r="BW44" s="16" t="n">
        <f aca="false">IF(N(G44)&gt;0,G44,F44)</f>
        <v>566.878</v>
      </c>
      <c r="BX44" s="12" t="n">
        <f aca="false">F44/BW44</f>
        <v>0.7203825161675</v>
      </c>
      <c r="BY44" s="13" t="n">
        <f aca="false">IF(ISNUMBER(K44),1,0)</f>
        <v>1</v>
      </c>
      <c r="BZ44" s="16" t="n">
        <f aca="false">IF(BY44=0,"",N(N44)+N(O44)+N(P44))</f>
        <v>47.3649205117826</v>
      </c>
      <c r="CA44" s="37" t="n">
        <f aca="false">IF(BY44=0,"",(N(Y44)*34.2+N(Z44)*38.6)/1000)</f>
        <v>0.114569169376174</v>
      </c>
      <c r="CB44" s="37" t="n">
        <f aca="false">IF(BY44=0,"",N(O44)*0.0036+N(R44)+N(V44)+(N(AA44)*25.3+N(AB44)*37)/1000)</f>
        <v>0.089562542579253</v>
      </c>
      <c r="CC44" s="37" t="n">
        <f aca="false">IF(BY44=0,"",N(N44)*0.0036+N(Q44)+N(U44)+N(T44)+N(X44)+N(AC44)*38/1000)</f>
        <v>0.166540203180875</v>
      </c>
      <c r="CD44" s="37" t="n">
        <f aca="false">IF(BY44=0,"",N(Q44)+N(R44)+N(S44)+N(T44)+N(U44)+N(V44)+N(W44)+N(X44)+(N(Y44)*34.2+N(Z44)*38.6+N(AA44)*25.3+N(AB44)*37+N(AC44)*38)/1000)</f>
        <v>0.465865240693362</v>
      </c>
      <c r="CE44" s="16" t="n">
        <f aca="false">IF(BY44=0,"",MAX(0,N(L44)-N(K44))+MAX(0,N(M44)-N(L44)))</f>
        <v>6.47000000000001</v>
      </c>
      <c r="CF44" s="16" t="n">
        <f aca="false">IF(BY44=0,"",N(Y44)*N(AD44)+N(Z44)*N(AE44)+N(AA44)*N(AF44)+N(AB44)*N(AG44)+N(AC44)*N(AH44)+N(U44)*N(AI44)+N(V44)*N(AJ44)+N(W44)*N(AK44)+N(X44)*N(AL44)+N(Q44)*N(AM44)+N(R44)*N(AN44)+N(S44)*N(AO44)+N(T44)*N(AP44))</f>
        <v>9.31725048375662</v>
      </c>
      <c r="CG44" s="16" t="n">
        <f aca="false">IF(AND(BY44=1,N(K44)&gt;0),K44,0)</f>
        <v>36.233</v>
      </c>
      <c r="CH44" s="16" t="n">
        <f aca="false">IF(CG44&gt;0,CF44*1000/CG44,"")</f>
        <v>257.148193187333</v>
      </c>
      <c r="CI44" s="16" t="n">
        <f aca="false">IF(BY44=0,"",N(AQ44)+p_road*(N(AR44)+N(AS44)+N(AT44)))</f>
        <v>0</v>
      </c>
      <c r="CJ44" s="16" t="n">
        <f aca="false">IF(CG44&gt;0,CI44*1000/CG44,"")</f>
        <v>0</v>
      </c>
      <c r="CK44" s="12" t="n">
        <f aca="false">IF(CH44="",1,MIN(p_idx_max,MAX(p_idx_min,CH44/p_fc_world)))</f>
        <v>1.59712088709787</v>
      </c>
      <c r="CL44" s="12" t="n">
        <f aca="false">IF(CJ44="",1,MIN(p_idx_max,MAX(p_idx_min,CJ44/p_cb_world)))</f>
        <v>0.25</v>
      </c>
      <c r="CM44" s="37" t="n">
        <f aca="false">p_b*(1-p_wb_idx+p_wb_idx*CK44)</f>
        <v>0.212417077984017</v>
      </c>
      <c r="CN44" s="37" t="n">
        <f aca="false">p_c*(1-p_wc_idx+p_wc_idx*CL44)</f>
        <v>0.03225</v>
      </c>
      <c r="CO44" s="28" t="n">
        <f aca="false">IF(N(BR44)&gt;0,(N(BS44)+N(BT44)+N(BU44))/BR44,"")</f>
        <v>0.989583333333334</v>
      </c>
      <c r="CP44" s="16" t="n">
        <f aca="false">N(BS44)+N(BT44)+N(BU44)</f>
        <v>37.05</v>
      </c>
      <c r="CQ44" s="28" t="n">
        <f aca="false">IF(CP44&gt;0,N(BS44)/CP44,"")</f>
        <v>0.340080971659919</v>
      </c>
      <c r="CR44" s="28" t="n">
        <f aca="false">IF(CP44&gt;0,N(BT44)/CP44,"")</f>
        <v>0.647773279352227</v>
      </c>
      <c r="CS44" s="28" t="n">
        <f aca="false">IF(CP44&gt;0,N(BU44)/CP44,"")</f>
        <v>0.0121457489878543</v>
      </c>
      <c r="CT44" s="7" t="n">
        <f aca="false">1000*(p_sh_pv*p_cf_pv/p_capex_pv+(1-p_sh_pv)*p_cf_wind/p_capex_wind)*8760</f>
        <v>2301.28856624319</v>
      </c>
      <c r="CU44" s="13" t="n">
        <f aca="false">IF(AND(ISNUMBER(CO44),ISNUMBER(CQ44),BY44=1),1,0)</f>
        <v>1</v>
      </c>
      <c r="CV44" s="16" t="n">
        <f aca="false">IF(CU44=0,"",CQ44*p_hr_coal*N(AK44)+CR44*p_hr_gas*N(AO44)+CS44*p_hr_oil*N(AH44)/p_gj_l_oil)</f>
        <v>211.309811946175</v>
      </c>
      <c r="CW44" s="37" t="n">
        <f aca="false">IF(CU44=0,"",CQ44*p_hr_coal*p_ef_coal+CR44*p_hr_gas*p_ef_gas+CS44*p_hr_oil*p_ef_oil)</f>
        <v>0.604138056680162</v>
      </c>
      <c r="CX44" s="16" t="n">
        <f aca="false">IF(CU44=0,"",CQ44*p_hr_coal*N(AW44)+CR44*p_hr_gas*N(AX44)+CS44*p_hr_oil*N(AY44)/p_gj_l_oil)</f>
        <v>0</v>
      </c>
      <c r="CY44" s="37" t="n">
        <f aca="false">IF(CU44=0,"",CO44*CW44)</f>
        <v>0.597844951923077</v>
      </c>
      <c r="CZ44" s="37" t="n">
        <f aca="false">IF(CU44=0,"",CT44*CO44*CV44/1000/1000-p_om_re)</f>
        <v>0.466219386935828</v>
      </c>
      <c r="DA44" s="37" t="n">
        <f aca="false">IF(CU44=0,"",CT44*CO44*CX44/1000/1000)</f>
        <v>0</v>
      </c>
      <c r="DB44" s="37" t="n">
        <f aca="false">IF(CU44=0,"",CT44*CO44*CW44/1000)</f>
        <v>1.37581375224679</v>
      </c>
      <c r="DC44" s="13" t="n">
        <f aca="false">IF(AND(CU44=1,ISNUMBER(AD44),ISNUMBER(AV44)),1,0)</f>
        <v>1</v>
      </c>
      <c r="DD44" s="7" t="n">
        <f aca="false">IF(DC44=0,"",p_ev_km*p_ice_l/100*AD44-p_ev_km*p_ev_kwh*AV44+p_ev_km*p_ev_maint)</f>
        <v>506.7</v>
      </c>
      <c r="DE44" s="37" t="n">
        <f aca="false">IF(DC44=0,"",DD44/p_ev_prem)</f>
        <v>0.10134</v>
      </c>
      <c r="DF44" s="37" t="n">
        <f aca="false">IF(DC44=0,"",p_ev_km*p_ice_l/100*N(AZ44)/p_ev_prem)</f>
        <v>0</v>
      </c>
      <c r="DG44" s="37" t="n">
        <f aca="false">IF(DC44=0,"",1000/p_ev_prem*(p_ev_km*p_ice_l/100*p_gj_l_gso*p_ef_gso-p_ev_km*p_ev_kwh/1000*CY44))</f>
        <v>0.210427225961538</v>
      </c>
      <c r="DH44" s="11" t="str">
        <f aca="false">IFERROR(IF(INDEX(Damodaran!$D:$D,MATCH(A44,Damodaran!$A:$A,0))="","",INDEX(Damodaran!$D:$D,MATCH(A44,Damodaran!$A:$A,0))),"")</f>
        <v/>
      </c>
      <c r="DI44" s="11" t="str">
        <f aca="false">IFERROR(IF(INDEX(Damodaran!$E:$E,MATCH(A44,Damodaran!$A:$A,0))="","",INDEX(Damodaran!$E:$E,MATCH(A44,Damodaran!$A:$A,0))),"")</f>
        <v/>
      </c>
      <c r="DJ44" s="11" t="str">
        <f aca="false">IFERROR(IF(INDEX(Damodaran!$G:$G,MATCH(A44,Damodaran!$A:$A,0))="","",INDEX(Damodaran!$G:$G,MATCH(A44,Damodaran!$A:$A,0))),"")</f>
        <v/>
      </c>
      <c r="DK44" s="11" t="str">
        <f aca="false">IF(ISNUMBER(BG44),(1+BG44/100)*(1+p_infl)-1,"")</f>
        <v/>
      </c>
      <c r="DL44" s="11" t="str">
        <f aca="false">IF(ISNUMBER(BH44),BH44/100,"")</f>
        <v/>
      </c>
      <c r="DM44" s="11" t="str">
        <f aca="false">IF(COUNT(DK44,DL44)=0,"",AVERAGE(DK44,DL44))</f>
        <v/>
      </c>
      <c r="DN44" s="11" t="str">
        <f aca="false">IF(OR(DH44="",DI44=""),"",p_dv*(p_rf+DH44)*(1-IF(DJ44="",p_tax_def,DJ44))+(1-p_dv)*(p_rf+p_beta*p_erp+p_lambda*DI44))</f>
        <v/>
      </c>
      <c r="DO44" s="13" t="n">
        <f aca="false">IF(AND(ISNUMBER(DM44),ISNUMBER(DN44)),1,0)</f>
        <v>0</v>
      </c>
      <c r="DP44" s="11" t="n">
        <f aca="false">IF(DO44=1,DM44,0)</f>
        <v>0</v>
      </c>
      <c r="DQ44" s="11" t="n">
        <f aca="false">IF(DO44=1,DN44,0)</f>
        <v>0</v>
      </c>
      <c r="DR44" s="11" t="str">
        <f aca="false">IF(DN44="","",DN44+p_shift)</f>
        <v/>
      </c>
      <c r="DS44" s="11" t="n">
        <f aca="false">IF(E44="AE",p_r_ae,IF(E44="China",p_r_chn,p_r_emdc))</f>
        <v>0.055</v>
      </c>
      <c r="DT44" s="11" t="n">
        <f aca="false">IF(E44="AE",p_rh_ae,IF(E44="China",p_rh_chn,p_rh_emdc))</f>
        <v>0.07</v>
      </c>
      <c r="DU44" s="11" t="n">
        <f aca="false">IF(AND(p_use_obs=1,ISNUMBER(DM44)),DM44,IF(AND(p_use_dam=1,ISNUMBER(DR44)),DR44,DS44))</f>
        <v>0.055</v>
      </c>
      <c r="DV44" s="6" t="str">
        <f aca="false">IF(AND(p_use_obs=1,ISNUMBER(DM44)),"Observed (IRENA/Steffen)",IF(AND(p_use_dam=1,ISNUMBER(DR44)),"Damodaran (eq. 5)","Group default (IHLEG)"))</f>
        <v>Group default (IHLEG)</v>
      </c>
      <c r="DW44" s="11" t="n">
        <f aca="false">IF(p_basis=1,(1+DU44)/(1+p_infl)-1,DU44)</f>
        <v>0.055</v>
      </c>
      <c r="DX44" s="11" t="n">
        <f aca="false">DW44+(DT44-DS44)</f>
        <v>0.07</v>
      </c>
      <c r="DY44" s="28" t="n">
        <f aca="false">IF(AND(p_use_pefa=1,ISNUMBER(BD44)),p_gap_lic-(BD44-1)/3*(p_gap_lic-p_gap_ae),IF(E44="AE",p_gap_ae,IF(D44="Low income",p_gap_lic,p_gap_em)))*(1-p_reform*p_reform_close)</f>
        <v>0.13</v>
      </c>
      <c r="DZ44" s="6" t="str">
        <f aca="false">IF(AND(p_use_pefa=1,ISNUMBER(BD44)),"PEFA PI-11","Income-group default (IMF 2015)")</f>
        <v>Income-group default (IMF 2015)</v>
      </c>
      <c r="EA44" s="28" t="n">
        <f aca="false">IF(E44="AE",p_ps_ae,IF(E44="China",p_ps_chn,p_ps_emdc))</f>
        <v>0.3</v>
      </c>
      <c r="EB44" s="37" t="n">
        <f aca="false">(1-EA44)+EA44/(1-DY44)</f>
        <v>1.0448275862069</v>
      </c>
      <c r="EC44" s="16" t="n">
        <f aca="false">Results_Country!F44</f>
        <v>12.1977600657302</v>
      </c>
      <c r="ED44" s="16" t="n">
        <f aca="false">IF(CH44="",0,CH44*EC44)</f>
        <v>3136.63196183512</v>
      </c>
      <c r="EE44" s="16" t="n">
        <f aca="false">IF(CJ44="",0,CJ44*EC44)</f>
        <v>0</v>
      </c>
      <c r="EF44" s="16" t="n">
        <f aca="false">IF(CH44="",0,EC44)</f>
        <v>12.1977600657302</v>
      </c>
    </row>
    <row r="45" customFormat="false" ht="15" hidden="false" customHeight="false" outlineLevel="0" collapsed="false">
      <c r="A45" s="35" t="s">
        <v>845</v>
      </c>
      <c r="B45" s="35" t="s">
        <v>846</v>
      </c>
      <c r="C45" s="35" t="s">
        <v>847</v>
      </c>
      <c r="D45" s="35" t="s">
        <v>763</v>
      </c>
      <c r="E45" s="35" t="s">
        <v>31</v>
      </c>
      <c r="F45" s="36" t="n">
        <v>401.076</v>
      </c>
      <c r="G45" s="36" t="n">
        <v>990.744</v>
      </c>
      <c r="H45" s="33" t="n">
        <v>1.115</v>
      </c>
      <c r="I45" s="33" t="n">
        <v>1.049</v>
      </c>
      <c r="J45" s="36" t="n">
        <v>64.007186</v>
      </c>
      <c r="K45" s="36" t="n">
        <v>407.218</v>
      </c>
      <c r="L45" s="36" t="n">
        <v>540.307</v>
      </c>
      <c r="M45" s="36" t="n">
        <v>546.776</v>
      </c>
      <c r="N45" s="36" t="n">
        <v>133.781806768897</v>
      </c>
      <c r="O45" s="36" t="n">
        <v>45.4420965298401</v>
      </c>
      <c r="P45" s="36" t="n">
        <v>3.1555318475953</v>
      </c>
      <c r="Q45" s="31" t="n">
        <v>0.065868553999616</v>
      </c>
      <c r="R45" s="31" t="n">
        <v>0.00445546899709475</v>
      </c>
      <c r="S45" s="31" t="n">
        <v>0</v>
      </c>
      <c r="T45" s="31" t="n">
        <v>8.02785731477899E-006</v>
      </c>
      <c r="U45" s="31" t="n">
        <v>0.952613385962731</v>
      </c>
      <c r="V45" s="31" t="n">
        <v>0.153946503160275</v>
      </c>
      <c r="W45" s="31" t="n">
        <v>2.3928946251963</v>
      </c>
      <c r="X45" s="31" t="n">
        <v>0.0022068039060557</v>
      </c>
      <c r="Y45" s="36" t="n">
        <v>8.25363356977499</v>
      </c>
      <c r="Z45" s="36" t="n">
        <v>13.3884518063053</v>
      </c>
      <c r="AA45" s="36" t="n">
        <v>0.308519014141573</v>
      </c>
      <c r="AB45" s="36" t="n">
        <v>1.34714144007548</v>
      </c>
      <c r="AC45" s="36" t="n">
        <v>0.998122346874652</v>
      </c>
      <c r="AD45" s="31" t="n">
        <v>0.829346</v>
      </c>
      <c r="AE45" s="31" t="n">
        <v>0.810122</v>
      </c>
      <c r="AF45" s="31" t="n">
        <v>0.574132</v>
      </c>
      <c r="AG45" s="31" t="n">
        <v>0.634978</v>
      </c>
      <c r="AH45" s="31" t="n">
        <v>0.519462891908447</v>
      </c>
      <c r="AI45" s="31" t="n">
        <v>2.167</v>
      </c>
      <c r="AJ45" s="31" t="n">
        <v>5.5913</v>
      </c>
      <c r="AK45" s="31" t="n">
        <v>2.171</v>
      </c>
      <c r="AL45" s="31" t="n">
        <v>2.32037550097488</v>
      </c>
      <c r="AM45" s="31" t="n">
        <v>7.641</v>
      </c>
      <c r="AN45" s="31" t="n">
        <v>17.9078</v>
      </c>
      <c r="AO45" s="31" t="n">
        <v>6.32</v>
      </c>
      <c r="AP45" s="31" t="n">
        <v>8.2914663292871</v>
      </c>
      <c r="AQ45" s="36" t="n">
        <v>14.1829668539138</v>
      </c>
      <c r="AR45" s="36" t="n">
        <v>0.957930292571661</v>
      </c>
      <c r="AS45" s="36" t="n">
        <v>3.59551019029296</v>
      </c>
      <c r="AT45" s="36" t="n">
        <v>1.18256543050337</v>
      </c>
      <c r="AU45" s="31" t="n">
        <v>0.069872040918982</v>
      </c>
      <c r="AV45" s="36" t="n">
        <v>0.165198</v>
      </c>
      <c r="AW45" s="31" t="n">
        <v>2.180488</v>
      </c>
      <c r="AX45" s="31" t="n">
        <v>0.045998</v>
      </c>
      <c r="AY45" s="31" t="n">
        <v>0.0843951212093313</v>
      </c>
      <c r="AZ45" s="31" t="n">
        <v>0.023882</v>
      </c>
      <c r="BA45" s="33" t="n">
        <v>75.963</v>
      </c>
      <c r="BB45" s="33" t="n">
        <v>18.93</v>
      </c>
      <c r="BC45" s="33" t="n">
        <v>98.558</v>
      </c>
      <c r="BD45" s="33"/>
      <c r="BE45" s="33"/>
      <c r="BF45" s="33" t="n">
        <v>0</v>
      </c>
      <c r="BG45" s="33" t="n">
        <v>5.2</v>
      </c>
      <c r="BH45" s="33" t="n">
        <v>11</v>
      </c>
      <c r="BI45" s="29" t="n">
        <v>2022</v>
      </c>
      <c r="BJ45" s="33" t="n">
        <v>3</v>
      </c>
      <c r="BK45" s="33" t="n">
        <v>1</v>
      </c>
      <c r="BL45" s="33" t="n">
        <v>-0.137</v>
      </c>
      <c r="BM45" s="33" t="n">
        <v>5.529</v>
      </c>
      <c r="BN45" s="29" t="n">
        <v>26.332</v>
      </c>
      <c r="BO45" s="33" t="n">
        <v>0.622</v>
      </c>
      <c r="BP45" s="33" t="n">
        <v>0.283</v>
      </c>
      <c r="BQ45" s="29" t="n">
        <v>2025</v>
      </c>
      <c r="BR45" s="36" t="n">
        <v>242.76</v>
      </c>
      <c r="BS45" s="36" t="n">
        <v>197.5</v>
      </c>
      <c r="BT45" s="36" t="n">
        <v>0</v>
      </c>
      <c r="BU45" s="36" t="n">
        <v>1.95</v>
      </c>
      <c r="BV45" s="16" t="n">
        <f aca="false">F45*(1+N(H45)/100)*(1+N(I45)/100)^5</f>
        <v>427.269961214852</v>
      </c>
      <c r="BW45" s="16" t="n">
        <f aca="false">IF(N(G45)&gt;0,G45,F45)</f>
        <v>990.744</v>
      </c>
      <c r="BX45" s="12" t="n">
        <f aca="false">F45/BW45</f>
        <v>0.404823042077469</v>
      </c>
      <c r="BY45" s="13" t="n">
        <f aca="false">IF(ISNUMBER(K45),1,0)</f>
        <v>1</v>
      </c>
      <c r="BZ45" s="16" t="n">
        <f aca="false">IF(BY45=0,"",N(N45)+N(O45)+N(P45))</f>
        <v>182.379435146333</v>
      </c>
      <c r="CA45" s="37" t="n">
        <f aca="false">IF(BY45=0,"",(N(Y45)*34.2+N(Z45)*38.6)/1000)</f>
        <v>0.799068507809689</v>
      </c>
      <c r="CB45" s="37" t="n">
        <f aca="false">IF(BY45=0,"",N(O45)*0.0036+N(R45)+N(V45)+(N(AA45)*25.3+N(AB45)*37)/1000)</f>
        <v>0.379643284005369</v>
      </c>
      <c r="CC45" s="37" t="n">
        <f aca="false">IF(BY45=0,"",N(N45)*0.0036+N(Q45)+N(U45)+N(T45)+N(X45)+N(AC45)*38/1000)</f>
        <v>1.54023992527498</v>
      </c>
      <c r="CD45" s="37" t="n">
        <f aca="false">IF(BY45=0,"",N(Q45)+N(R45)+N(S45)+N(T45)+N(U45)+N(V45)+N(W45)+N(X45)+(N(Y45)*34.2+N(Z45)*38.6+N(AA45)*25.3+N(AB45)*37+N(AC45)*38)/1000)</f>
        <v>4.46664029041089</v>
      </c>
      <c r="CE45" s="16" t="n">
        <f aca="false">IF(BY45=0,"",MAX(0,N(L45)-N(K45))+MAX(0,N(M45)-N(L45)))</f>
        <v>139.558</v>
      </c>
      <c r="CF45" s="16" t="n">
        <f aca="false">IF(BY45=0,"",N(Y45)*N(AD45)+N(Z45)*N(AE45)+N(AA45)*N(AF45)+N(AB45)*N(AG45)+N(AC45)*N(AH45)+N(U45)*N(AI45)+N(V45)*N(AJ45)+N(W45)*N(AK45)+N(X45)*N(AL45)+N(Q45)*N(AM45)+N(R45)*N(AN45)+N(S45)*N(AO45)+N(T45)*N(AP45))</f>
        <v>27.950745644583</v>
      </c>
      <c r="CG45" s="16" t="n">
        <f aca="false">IF(AND(BY45=1,N(K45)&gt;0),K45,0)</f>
        <v>407.218</v>
      </c>
      <c r="CH45" s="16" t="n">
        <f aca="false">IF(CG45&gt;0,CF45*1000/CG45,"")</f>
        <v>68.638286236323</v>
      </c>
      <c r="CI45" s="16" t="n">
        <f aca="false">IF(BY45=0,"",N(AQ45)+p_road*(N(AR45)+N(AS45)+N(AT45)))</f>
        <v>14.1829668539138</v>
      </c>
      <c r="CJ45" s="16" t="n">
        <f aca="false">IF(CG45&gt;0,CI45*1000/CG45,"")</f>
        <v>34.8289291090125</v>
      </c>
      <c r="CK45" s="12" t="n">
        <f aca="false">IF(CH45="",1,MIN(p_idx_max,MAX(p_idx_min,CH45/p_fc_world)))</f>
        <v>0.426305311516512</v>
      </c>
      <c r="CL45" s="12" t="n">
        <f aca="false">IF(CJ45="",1,MIN(p_idx_max,MAX(p_idx_min,CJ45/p_cb_world)))</f>
        <v>0.662262840560688</v>
      </c>
      <c r="CM45" s="37" t="n">
        <f aca="false">p_b*(1-p_wb_idx+p_wb_idx*CK45)</f>
        <v>0.0566986064316961</v>
      </c>
      <c r="CN45" s="37" t="n">
        <f aca="false">p_c*(1-p_wc_idx+p_wc_idx*CL45)</f>
        <v>0.0854319064323287</v>
      </c>
      <c r="CO45" s="28" t="n">
        <f aca="false">IF(N(BR45)&gt;0,(N(BS45)+N(BT45)+N(BU45))/BR45,"")</f>
        <v>0.821593343219641</v>
      </c>
      <c r="CP45" s="16" t="n">
        <f aca="false">N(BS45)+N(BT45)+N(BU45)</f>
        <v>199.45</v>
      </c>
      <c r="CQ45" s="28" t="n">
        <f aca="false">IF(CP45&gt;0,N(BS45)/CP45,"")</f>
        <v>0.990223113562296</v>
      </c>
      <c r="CR45" s="28" t="n">
        <f aca="false">IF(CP45&gt;0,N(BT45)/CP45,"")</f>
        <v>0</v>
      </c>
      <c r="CS45" s="28" t="n">
        <f aca="false">IF(CP45&gt;0,N(BU45)/CP45,"")</f>
        <v>0.00977688643770369</v>
      </c>
      <c r="CT45" s="7" t="n">
        <f aca="false">1000*(p_sh_pv*p_cf_pv/p_capex_pv+(1-p_sh_pv)*p_cf_wind/p_capex_wind)*8760</f>
        <v>2301.28856624319</v>
      </c>
      <c r="CU45" s="13" t="n">
        <f aca="false">IF(AND(ISNUMBER(CO45),ISNUMBER(CQ45),BY45=1),1,0)</f>
        <v>1</v>
      </c>
      <c r="CV45" s="16" t="n">
        <f aca="false">IF(CU45=0,"",CQ45*p_hr_coal*N(AK45)+CR45*p_hr_gas*N(AO45)+CS45*p_hr_oil*N(AH45)/p_gj_l_oil)</f>
        <v>22.879263533243</v>
      </c>
      <c r="CW45" s="37" t="n">
        <f aca="false">IF(CU45=0,"",CQ45*p_hr_coal*p_ef_coal+CR45*p_hr_gas*p_ef_gas+CS45*p_hr_oil*p_ef_oil)</f>
        <v>0.944696741037854</v>
      </c>
      <c r="CX45" s="16" t="n">
        <f aca="false">IF(CU45=0,"",CQ45*p_hr_coal*N(AW45)+CR45*p_hr_gas*N(AX45)+CS45*p_hr_oil*N(AY45)/p_gj_l_oil)</f>
        <v>21.8161463177574</v>
      </c>
      <c r="CY45" s="37" t="n">
        <f aca="false">IF(CU45=0,"",CO45*CW45)</f>
        <v>0.77615655379799</v>
      </c>
      <c r="CZ45" s="37" t="n">
        <f aca="false">IF(CU45=0,"",CT45*CO45*CV45/1000/1000-p_om_re)</f>
        <v>0.0282583581786876</v>
      </c>
      <c r="DA45" s="37" t="n">
        <f aca="false">IF(CU45=0,"",CT45*CO45*CX45/1000/1000)</f>
        <v>0.0412482976176653</v>
      </c>
      <c r="DB45" s="37" t="n">
        <f aca="false">IF(CU45=0,"",CT45*CO45*CW45/1000)</f>
        <v>1.78616020287003</v>
      </c>
      <c r="DC45" s="13" t="n">
        <f aca="false">IF(AND(CU45=1,ISNUMBER(AD45),ISNUMBER(AV45)),1,0)</f>
        <v>1</v>
      </c>
      <c r="DD45" s="7" t="n">
        <f aca="false">IF(DC45=0,"",p_ev_km*p_ice_l/100*AD45-p_ev_km*p_ev_kwh*AV45+p_ev_km*p_ev_maint)</f>
        <v>666.97965</v>
      </c>
      <c r="DE45" s="37" t="n">
        <f aca="false">IF(DC45=0,"",DD45/p_ev_prem)</f>
        <v>0.13339593</v>
      </c>
      <c r="DF45" s="37" t="n">
        <f aca="false">IF(DC45=0,"",p_ev_km*p_ice_l/100*N(AZ45)/p_ev_prem)</f>
        <v>0.00537345</v>
      </c>
      <c r="DG45" s="37" t="n">
        <f aca="false">IF(DC45=0,"",1000/p_ev_prem*(p_ev_km*p_ice_l/100*p_gj_l_gso*p_ef_gso-p_ev_km*p_ev_kwh/1000*CY45))</f>
        <v>0.114138960949085</v>
      </c>
      <c r="DH45" s="11" t="str">
        <f aca="false">IFERROR(IF(INDEX(Damodaran!$D:$D,MATCH(A45,Damodaran!$A:$A,0))="","",INDEX(Damodaran!$D:$D,MATCH(A45,Damodaran!$A:$A,0))),"")</f>
        <v/>
      </c>
      <c r="DI45" s="11" t="str">
        <f aca="false">IFERROR(IF(INDEX(Damodaran!$E:$E,MATCH(A45,Damodaran!$A:$A,0))="","",INDEX(Damodaran!$E:$E,MATCH(A45,Damodaran!$A:$A,0))),"")</f>
        <v/>
      </c>
      <c r="DJ45" s="11" t="str">
        <f aca="false">IFERROR(IF(INDEX(Damodaran!$G:$G,MATCH(A45,Damodaran!$A:$A,0))="","",INDEX(Damodaran!$G:$G,MATCH(A45,Damodaran!$A:$A,0))),"")</f>
        <v/>
      </c>
      <c r="DK45" s="11" t="n">
        <f aca="false">IF(ISNUMBER(BG45),(1+BG45/100)*(1+p_infl)-1,"")</f>
        <v>0.07304</v>
      </c>
      <c r="DL45" s="11" t="n">
        <f aca="false">IF(ISNUMBER(BH45),BH45/100,"")</f>
        <v>0.11</v>
      </c>
      <c r="DM45" s="11" t="n">
        <f aca="false">IF(COUNT(DK45,DL45)=0,"",AVERAGE(DK45,DL45))</f>
        <v>0.09152</v>
      </c>
      <c r="DN45" s="11" t="str">
        <f aca="false">IF(OR(DH45="",DI45=""),"",p_dv*(p_rf+DH45)*(1-IF(DJ45="",p_tax_def,DJ45))+(1-p_dv)*(p_rf+p_beta*p_erp+p_lambda*DI45))</f>
        <v/>
      </c>
      <c r="DO45" s="13" t="n">
        <f aca="false">IF(AND(ISNUMBER(DM45),ISNUMBER(DN45)),1,0)</f>
        <v>0</v>
      </c>
      <c r="DP45" s="11" t="n">
        <f aca="false">IF(DO45=1,DM45,0)</f>
        <v>0</v>
      </c>
      <c r="DQ45" s="11" t="n">
        <f aca="false">IF(DO45=1,DN45,0)</f>
        <v>0</v>
      </c>
      <c r="DR45" s="11" t="str">
        <f aca="false">IF(DN45="","",DN45+p_shift)</f>
        <v/>
      </c>
      <c r="DS45" s="11" t="n">
        <f aca="false">IF(E45="AE",p_r_ae,IF(E45="China",p_r_chn,p_r_emdc))</f>
        <v>0.105</v>
      </c>
      <c r="DT45" s="11" t="n">
        <f aca="false">IF(E45="AE",p_rh_ae,IF(E45="China",p_rh_chn,p_rh_emdc))</f>
        <v>0.15</v>
      </c>
      <c r="DU45" s="11" t="n">
        <f aca="false">IF(AND(p_use_obs=1,ISNUMBER(DM45)),DM45,IF(AND(p_use_dam=1,ISNUMBER(DR45)),DR45,DS45))</f>
        <v>0.09152</v>
      </c>
      <c r="DV45" s="6" t="str">
        <f aca="false">IF(AND(p_use_obs=1,ISNUMBER(DM45)),"Observed (IRENA/Steffen)",IF(AND(p_use_dam=1,ISNUMBER(DR45)),"Damodaran (eq. 5)","Group default (IHLEG)"))</f>
        <v>Observed (IRENA/Steffen)</v>
      </c>
      <c r="DW45" s="11" t="n">
        <f aca="false">IF(p_basis=1,(1+DU45)/(1+p_infl)-1,DU45)</f>
        <v>0.09152</v>
      </c>
      <c r="DX45" s="11" t="n">
        <f aca="false">DW45+(DT45-DS45)</f>
        <v>0.13652</v>
      </c>
      <c r="DY45" s="28" t="n">
        <f aca="false">IF(AND(p_use_pefa=1,ISNUMBER(BD45)),p_gap_lic-(BD45-1)/3*(p_gap_lic-p_gap_ae),IF(E45="AE",p_gap_ae,IF(D45="Low income",p_gap_lic,p_gap_em)))*(1-p_reform*p_reform_close)</f>
        <v>0.27</v>
      </c>
      <c r="DZ45" s="6" t="str">
        <f aca="false">IF(AND(p_use_pefa=1,ISNUMBER(BD45)),"PEFA PI-11","Income-group default (IMF 2015)")</f>
        <v>Income-group default (IMF 2015)</v>
      </c>
      <c r="EA45" s="28" t="n">
        <f aca="false">IF(E45="AE",p_ps_ae,IF(E45="China",p_ps_chn,p_ps_emdc))</f>
        <v>0.4</v>
      </c>
      <c r="EB45" s="37" t="n">
        <f aca="false">(1-EA45)+EA45/(1-DY45)</f>
        <v>1.14794520547945</v>
      </c>
      <c r="EC45" s="16" t="n">
        <f aca="false">Results_Country!F45</f>
        <v>32.8132049454123</v>
      </c>
      <c r="ED45" s="16" t="n">
        <f aca="false">IF(CH45="",0,CH45*EC45)</f>
        <v>2252.24215337434</v>
      </c>
      <c r="EE45" s="16" t="n">
        <f aca="false">IF(CJ45="",0,CJ45*EC45)</f>
        <v>1142.84878888326</v>
      </c>
      <c r="EF45" s="16" t="n">
        <f aca="false">IF(CH45="",0,EC45)</f>
        <v>32.8132049454123</v>
      </c>
    </row>
    <row r="46" customFormat="false" ht="15" hidden="false" customHeight="false" outlineLevel="0" collapsed="false">
      <c r="A46" s="35" t="s">
        <v>848</v>
      </c>
      <c r="B46" s="35" t="s">
        <v>849</v>
      </c>
      <c r="C46" s="35" t="s">
        <v>799</v>
      </c>
      <c r="D46" s="35" t="s">
        <v>771</v>
      </c>
      <c r="E46" s="35" t="s">
        <v>31</v>
      </c>
      <c r="F46" s="36" t="n">
        <v>383.105</v>
      </c>
      <c r="G46" s="36" t="n">
        <v>2229.748</v>
      </c>
      <c r="H46" s="33" t="n">
        <v>4.392</v>
      </c>
      <c r="I46" s="33" t="n">
        <v>4.24</v>
      </c>
      <c r="J46" s="36" t="n">
        <v>116.538258</v>
      </c>
      <c r="K46" s="36" t="n">
        <v>282.871</v>
      </c>
      <c r="L46" s="36" t="n">
        <v>402.065</v>
      </c>
      <c r="M46" s="36" t="n">
        <v>402.239</v>
      </c>
      <c r="N46" s="36" t="n">
        <v>143.651500894912</v>
      </c>
      <c r="O46" s="36" t="n">
        <v>94.7541616128756</v>
      </c>
      <c r="P46" s="36" t="n">
        <v>0.750293310875189</v>
      </c>
      <c r="Q46" s="31" t="n">
        <v>0.4900876224985</v>
      </c>
      <c r="R46" s="31" t="n">
        <v>0.105109235732408</v>
      </c>
      <c r="S46" s="31" t="n">
        <v>1.55489838434137</v>
      </c>
      <c r="T46" s="31" t="n">
        <v>0.0272916132417381</v>
      </c>
      <c r="U46" s="31" t="n">
        <v>0.0808627016183556</v>
      </c>
      <c r="V46" s="31" t="n">
        <v>0</v>
      </c>
      <c r="W46" s="31" t="n">
        <v>0</v>
      </c>
      <c r="X46" s="31" t="n">
        <v>0</v>
      </c>
      <c r="Y46" s="36" t="n">
        <v>11.3492130833547</v>
      </c>
      <c r="Z46" s="36" t="n">
        <v>19.7453246642785</v>
      </c>
      <c r="AA46" s="36" t="n">
        <v>11.6433395271827</v>
      </c>
      <c r="AB46" s="36" t="n">
        <v>0.824954409400141</v>
      </c>
      <c r="AC46" s="36" t="n">
        <v>5.90486064603235</v>
      </c>
      <c r="AD46" s="31" t="n">
        <v>0.8208</v>
      </c>
      <c r="AE46" s="31" t="n">
        <v>0.754164</v>
      </c>
      <c r="AF46" s="31" t="n">
        <v>0.550341</v>
      </c>
      <c r="AG46" s="31" t="n">
        <v>0.686925</v>
      </c>
      <c r="AH46" s="31" t="n">
        <v>0.543345303403777</v>
      </c>
      <c r="AI46" s="31" t="n">
        <v>7.124</v>
      </c>
      <c r="AJ46" s="31" t="n">
        <v>13.90002</v>
      </c>
      <c r="AK46" s="31" t="n">
        <v>5.575</v>
      </c>
      <c r="AL46" s="31" t="n">
        <v>7.124</v>
      </c>
      <c r="AM46" s="31" t="n">
        <v>9.112</v>
      </c>
      <c r="AN46" s="31" t="n">
        <v>15.56442</v>
      </c>
      <c r="AO46" s="31" t="n">
        <v>8.355</v>
      </c>
      <c r="AP46" s="31" t="n">
        <v>8.87998742109437</v>
      </c>
      <c r="AQ46" s="36" t="n">
        <v>32.4369435256371</v>
      </c>
      <c r="AR46" s="36" t="n">
        <v>0.511260363796285</v>
      </c>
      <c r="AS46" s="36" t="n">
        <v>4.00586011816688</v>
      </c>
      <c r="AT46" s="36" t="n">
        <v>2.95765975057284</v>
      </c>
      <c r="AU46" s="31" t="n">
        <v>0.28214298688952</v>
      </c>
      <c r="AV46" s="36" t="n">
        <v>0.1083</v>
      </c>
      <c r="AW46" s="31" t="n">
        <v>3.341697</v>
      </c>
      <c r="AX46" s="31" t="n">
        <v>0.314868</v>
      </c>
      <c r="AY46" s="31" t="n">
        <v>0.990568704714898</v>
      </c>
      <c r="AZ46" s="31" t="n">
        <v>0.164454</v>
      </c>
      <c r="BA46" s="33" t="n">
        <v>90.926</v>
      </c>
      <c r="BB46" s="33" t="n">
        <v>55.785</v>
      </c>
      <c r="BC46" s="33"/>
      <c r="BD46" s="33"/>
      <c r="BE46" s="33"/>
      <c r="BF46" s="33" t="n">
        <v>0</v>
      </c>
      <c r="BG46" s="33" t="n">
        <v>8.8</v>
      </c>
      <c r="BH46" s="33" t="n">
        <v>9.71</v>
      </c>
      <c r="BI46" s="29" t="n">
        <v>2020</v>
      </c>
      <c r="BJ46" s="33" t="n">
        <v>2</v>
      </c>
      <c r="BK46" s="33"/>
      <c r="BL46" s="33" t="n">
        <v>1.841</v>
      </c>
      <c r="BM46" s="33" t="n">
        <v>8.372</v>
      </c>
      <c r="BN46" s="29" t="n">
        <v>8.034</v>
      </c>
      <c r="BO46" s="33" t="n">
        <v>0.749</v>
      </c>
      <c r="BP46" s="33" t="n">
        <v>0.448</v>
      </c>
      <c r="BQ46" s="29" t="n">
        <v>2025</v>
      </c>
      <c r="BR46" s="36" t="n">
        <v>245.71</v>
      </c>
      <c r="BS46" s="36" t="n">
        <v>0</v>
      </c>
      <c r="BT46" s="36" t="n">
        <v>195.65</v>
      </c>
      <c r="BU46" s="36" t="n">
        <v>18.08</v>
      </c>
      <c r="BV46" s="16" t="n">
        <f aca="false">F46*(1+N(H46)/100)*(1+N(I46)/100)^5</f>
        <v>492.217501664139</v>
      </c>
      <c r="BW46" s="16" t="n">
        <f aca="false">IF(N(G46)&gt;0,G46,F46)</f>
        <v>2229.748</v>
      </c>
      <c r="BX46" s="12" t="n">
        <f aca="false">F46/BW46</f>
        <v>0.171815380033977</v>
      </c>
      <c r="BY46" s="13" t="n">
        <f aca="false">IF(ISNUMBER(K46),1,0)</f>
        <v>1</v>
      </c>
      <c r="BZ46" s="16" t="n">
        <f aca="false">IF(BY46=0,"",N(N46)+N(O46)+N(P46))</f>
        <v>239.155955818663</v>
      </c>
      <c r="CA46" s="37" t="n">
        <f aca="false">IF(BY46=0,"",(N(Y46)*34.2+N(Z46)*38.6)/1000)</f>
        <v>1.15031261949188</v>
      </c>
      <c r="CB46" s="37" t="n">
        <f aca="false">IF(BY46=0,"",N(O46)*0.0036+N(R46)+N(V46)+(N(AA46)*25.3+N(AB46)*37)/1000)</f>
        <v>0.771324020724287</v>
      </c>
      <c r="CC46" s="37" t="n">
        <f aca="false">IF(BY46=0,"",N(N46)*0.0036+N(Q46)+N(U46)+N(T46)+N(X46)+N(AC46)*38/1000)</f>
        <v>1.33977204512951</v>
      </c>
      <c r="CD46" s="37" t="n">
        <f aca="false">IF(BY46=0,"",N(Q46)+N(R46)+N(S46)+N(T46)+N(U46)+N(V46)+N(W46)+N(X46)+(N(Y46)*34.2+N(Z46)*38.6+N(AA46)*25.3+N(AB46)*37+N(AC46)*38)/1000)</f>
        <v>3.95804668465901</v>
      </c>
      <c r="CE46" s="16" t="n">
        <f aca="false">IF(BY46=0,"",MAX(0,N(L46)-N(K46))+MAX(0,N(M46)-N(L46)))</f>
        <v>119.368</v>
      </c>
      <c r="CF46" s="16" t="n">
        <f aca="false">IF(BY46=0,"",N(Y46)*N(AD46)+N(Z46)*N(AE46)+N(AA46)*N(AF46)+N(AB46)*N(AG46)+N(AC46)*N(AH46)+N(U46)*N(AI46)+N(V46)*N(AJ46)+N(W46)*N(AK46)+N(X46)*N(AL46)+N(Q46)*N(AM46)+N(R46)*N(AN46)+N(S46)*N(AO46)+N(T46)*N(AP46))</f>
        <v>54.3007481314243</v>
      </c>
      <c r="CG46" s="16" t="n">
        <f aca="false">IF(AND(BY46=1,N(K46)&gt;0),K46,0)</f>
        <v>282.871</v>
      </c>
      <c r="CH46" s="16" t="n">
        <f aca="false">IF(CG46&gt;0,CF46*1000/CG46,"")</f>
        <v>191.962937633848</v>
      </c>
      <c r="CI46" s="16" t="n">
        <f aca="false">IF(BY46=0,"",N(AQ46)+p_road*(N(AR46)+N(AS46)+N(AT46)))</f>
        <v>32.4369435256371</v>
      </c>
      <c r="CJ46" s="16" t="n">
        <f aca="false">IF(CG46&gt;0,CI46*1000/CG46,"")</f>
        <v>114.670445275893</v>
      </c>
      <c r="CK46" s="12" t="n">
        <f aca="false">IF(CH46="",1,MIN(p_idx_max,MAX(p_idx_min,CH46/p_fc_world)))</f>
        <v>1.19226199275815</v>
      </c>
      <c r="CL46" s="12" t="n">
        <f aca="false">IF(CJ46="",1,MIN(p_idx_max,MAX(p_idx_min,CJ46/p_cb_world)))</f>
        <v>2.18042807400359</v>
      </c>
      <c r="CM46" s="37" t="n">
        <f aca="false">p_b*(1-p_wb_idx+p_wb_idx*CK46)</f>
        <v>0.158570845036833</v>
      </c>
      <c r="CN46" s="37" t="n">
        <f aca="false">p_c*(1-p_wc_idx+p_wc_idx*CL46)</f>
        <v>0.281275221546463</v>
      </c>
      <c r="CO46" s="28" t="n">
        <f aca="false">IF(N(BR46)&gt;0,(N(BS46)+N(BT46)+N(BU46))/BR46,"")</f>
        <v>0.869846567091287</v>
      </c>
      <c r="CP46" s="16" t="n">
        <f aca="false">N(BS46)+N(BT46)+N(BU46)</f>
        <v>213.73</v>
      </c>
      <c r="CQ46" s="28" t="n">
        <f aca="false">IF(CP46&gt;0,N(BS46)/CP46,"")</f>
        <v>0</v>
      </c>
      <c r="CR46" s="28" t="n">
        <f aca="false">IF(CP46&gt;0,N(BT46)/CP46,"")</f>
        <v>0.915407289570954</v>
      </c>
      <c r="CS46" s="28" t="n">
        <f aca="false">IF(CP46&gt;0,N(BU46)/CP46,"")</f>
        <v>0.084592710429046</v>
      </c>
      <c r="CT46" s="7" t="n">
        <f aca="false">1000*(p_sh_pv*p_cf_pv/p_capex_pv+(1-p_sh_pv)*p_cf_wind/p_capex_wind)*8760</f>
        <v>2301.28856624319</v>
      </c>
      <c r="CU46" s="13" t="n">
        <f aca="false">IF(AND(ISNUMBER(CO46),ISNUMBER(CQ46),BY46=1),1,0)</f>
        <v>1</v>
      </c>
      <c r="CV46" s="16" t="n">
        <f aca="false">IF(CU46=0,"",CQ46*p_hr_coal*N(AK46)+CR46*p_hr_gas*N(AO46)+CS46*p_hr_oil*N(AH46)/p_gj_l_oil)</f>
        <v>69.8646120054106</v>
      </c>
      <c r="CW46" s="37" t="n">
        <f aca="false">IF(CU46=0,"",CQ46*p_hr_coal*p_ef_coal+CR46*p_hr_gas*p_ef_gas+CS46*p_hr_oil*p_ef_oil)</f>
        <v>0.453906112852665</v>
      </c>
      <c r="CX46" s="16" t="n">
        <f aca="false">IF(CU46=0,"",CQ46*p_hr_coal*N(AW46)+CR46*p_hr_gas*N(AX46)+CS46*p_hr_oil*N(AY46)/p_gj_l_oil)</f>
        <v>24.955690664748</v>
      </c>
      <c r="CY46" s="37" t="n">
        <f aca="false">IF(CU46=0,"",CO46*CW46)</f>
        <v>0.39482867404664</v>
      </c>
      <c r="CZ46" s="37" t="n">
        <f aca="false">IF(CU46=0,"",CT46*CO46*CV46/1000/1000-p_om_re)</f>
        <v>0.124852741796681</v>
      </c>
      <c r="DA46" s="37" t="n">
        <f aca="false">IF(CU46=0,"",CT46*CO46*CX46/1000/1000)</f>
        <v>0.0499555019732244</v>
      </c>
      <c r="DB46" s="37" t="n">
        <f aca="false">IF(CU46=0,"",CT46*CO46*CW46/1000)</f>
        <v>0.908614713208494</v>
      </c>
      <c r="DC46" s="13" t="n">
        <f aca="false">IF(AND(CU46=1,ISNUMBER(AD46),ISNUMBER(AV46)),1,0)</f>
        <v>1</v>
      </c>
      <c r="DD46" s="7" t="n">
        <f aca="false">IF(DC46=0,"",p_ev_km*p_ice_l/100*AD46-p_ev_km*p_ev_kwh*AV46+p_ev_km*p_ev_maint)</f>
        <v>810.99</v>
      </c>
      <c r="DE46" s="37" t="n">
        <f aca="false">IF(DC46=0,"",DD46/p_ev_prem)</f>
        <v>0.162198</v>
      </c>
      <c r="DF46" s="37" t="n">
        <f aca="false">IF(DC46=0,"",p_ev_km*p_ice_l/100*N(AZ46)/p_ev_prem)</f>
        <v>0.03700215</v>
      </c>
      <c r="DG46" s="37" t="n">
        <f aca="false">IF(DC46=0,"",1000/p_ev_prem*(p_ev_km*p_ice_l/100*p_gj_l_gso*p_ef_gso-p_ev_km*p_ev_kwh/1000*CY46))</f>
        <v>0.320056016014814</v>
      </c>
      <c r="DH46" s="11" t="str">
        <f aca="false">IFERROR(IF(INDEX(Damodaran!$D:$D,MATCH(A46,Damodaran!$A:$A,0))="","",INDEX(Damodaran!$D:$D,MATCH(A46,Damodaran!$A:$A,0))),"")</f>
        <v/>
      </c>
      <c r="DI46" s="11" t="str">
        <f aca="false">IFERROR(IF(INDEX(Damodaran!$E:$E,MATCH(A46,Damodaran!$A:$A,0))="","",INDEX(Damodaran!$E:$E,MATCH(A46,Damodaran!$A:$A,0))),"")</f>
        <v/>
      </c>
      <c r="DJ46" s="11" t="str">
        <f aca="false">IFERROR(IF(INDEX(Damodaran!$G:$G,MATCH(A46,Damodaran!$A:$A,0))="","",INDEX(Damodaran!$G:$G,MATCH(A46,Damodaran!$A:$A,0))),"")</f>
        <v/>
      </c>
      <c r="DK46" s="11" t="n">
        <f aca="false">IF(ISNUMBER(BG46),(1+BG46/100)*(1+p_infl)-1,"")</f>
        <v>0.10976</v>
      </c>
      <c r="DL46" s="11" t="n">
        <f aca="false">IF(ISNUMBER(BH46),BH46/100,"")</f>
        <v>0.0971</v>
      </c>
      <c r="DM46" s="11" t="n">
        <f aca="false">IF(COUNT(DK46,DL46)=0,"",AVERAGE(DK46,DL46))</f>
        <v>0.10343</v>
      </c>
      <c r="DN46" s="11" t="str">
        <f aca="false">IF(OR(DH46="",DI46=""),"",p_dv*(p_rf+DH46)*(1-IF(DJ46="",p_tax_def,DJ46))+(1-p_dv)*(p_rf+p_beta*p_erp+p_lambda*DI46))</f>
        <v/>
      </c>
      <c r="DO46" s="13" t="n">
        <f aca="false">IF(AND(ISNUMBER(DM46),ISNUMBER(DN46)),1,0)</f>
        <v>0</v>
      </c>
      <c r="DP46" s="11" t="n">
        <f aca="false">IF(DO46=1,DM46,0)</f>
        <v>0</v>
      </c>
      <c r="DQ46" s="11" t="n">
        <f aca="false">IF(DO46=1,DN46,0)</f>
        <v>0</v>
      </c>
      <c r="DR46" s="11" t="str">
        <f aca="false">IF(DN46="","",DN46+p_shift)</f>
        <v/>
      </c>
      <c r="DS46" s="11" t="n">
        <f aca="false">IF(E46="AE",p_r_ae,IF(E46="China",p_r_chn,p_r_emdc))</f>
        <v>0.105</v>
      </c>
      <c r="DT46" s="11" t="n">
        <f aca="false">IF(E46="AE",p_rh_ae,IF(E46="China",p_rh_chn,p_rh_emdc))</f>
        <v>0.15</v>
      </c>
      <c r="DU46" s="11" t="n">
        <f aca="false">IF(AND(p_use_obs=1,ISNUMBER(DM46)),DM46,IF(AND(p_use_dam=1,ISNUMBER(DR46)),DR46,DS46))</f>
        <v>0.10343</v>
      </c>
      <c r="DV46" s="6" t="str">
        <f aca="false">IF(AND(p_use_obs=1,ISNUMBER(DM46)),"Observed (IRENA/Steffen)",IF(AND(p_use_dam=1,ISNUMBER(DR46)),"Damodaran (eq. 5)","Group default (IHLEG)"))</f>
        <v>Observed (IRENA/Steffen)</v>
      </c>
      <c r="DW46" s="11" t="n">
        <f aca="false">IF(p_basis=1,(1+DU46)/(1+p_infl)-1,DU46)</f>
        <v>0.10343</v>
      </c>
      <c r="DX46" s="11" t="n">
        <f aca="false">DW46+(DT46-DS46)</f>
        <v>0.14843</v>
      </c>
      <c r="DY46" s="28" t="n">
        <f aca="false">IF(AND(p_use_pefa=1,ISNUMBER(BD46)),p_gap_lic-(BD46-1)/3*(p_gap_lic-p_gap_ae),IF(E46="AE",p_gap_ae,IF(D46="Low income",p_gap_lic,p_gap_em)))*(1-p_reform*p_reform_close)</f>
        <v>0.27</v>
      </c>
      <c r="DZ46" s="6" t="str">
        <f aca="false">IF(AND(p_use_pefa=1,ISNUMBER(BD46)),"PEFA PI-11","Income-group default (IMF 2015)")</f>
        <v>Income-group default (IMF 2015)</v>
      </c>
      <c r="EA46" s="28" t="n">
        <f aca="false">IF(E46="AE",p_ps_ae,IF(E46="China",p_ps_chn,p_ps_emdc))</f>
        <v>0.4</v>
      </c>
      <c r="EB46" s="37" t="n">
        <f aca="false">(1-EA46)+EA46/(1-DY46)</f>
        <v>1.14794520547945</v>
      </c>
      <c r="EC46" s="16" t="n">
        <f aca="false">Results_Country!F46</f>
        <v>35.3499674518349</v>
      </c>
      <c r="ED46" s="16" t="n">
        <f aca="false">IF(CH46="",0,CH46*EC46)</f>
        <v>6785.88359731515</v>
      </c>
      <c r="EE46" s="16" t="n">
        <f aca="false">IF(CJ46="",0,CJ46*EC46)</f>
        <v>4053.59650819022</v>
      </c>
      <c r="EF46" s="16" t="n">
        <f aca="false">IF(CH46="",0,EC46)</f>
        <v>35.3499674518349</v>
      </c>
    </row>
    <row r="47" customFormat="false" ht="15" hidden="false" customHeight="false" outlineLevel="0" collapsed="false">
      <c r="A47" s="35" t="s">
        <v>850</v>
      </c>
      <c r="B47" s="35" t="s">
        <v>851</v>
      </c>
      <c r="C47" s="35" t="s">
        <v>766</v>
      </c>
      <c r="D47" s="35" t="s">
        <v>760</v>
      </c>
      <c r="E47" s="35" t="s">
        <v>31</v>
      </c>
      <c r="F47" s="36" t="n">
        <v>382.65</v>
      </c>
      <c r="G47" s="36" t="n">
        <v>886.346</v>
      </c>
      <c r="H47" s="33" t="n">
        <v>0.665</v>
      </c>
      <c r="I47" s="33" t="n">
        <v>0.694</v>
      </c>
      <c r="J47" s="36" t="n">
        <v>19.015088</v>
      </c>
      <c r="K47" s="36" t="n">
        <v>90.142</v>
      </c>
      <c r="L47" s="36" t="n">
        <v>130.282</v>
      </c>
      <c r="M47" s="36" t="n">
        <v>81.013</v>
      </c>
      <c r="N47" s="36" t="n">
        <v>36.5031495987651</v>
      </c>
      <c r="O47" s="36" t="n">
        <v>17.0727233559774</v>
      </c>
      <c r="P47" s="36" t="n">
        <v>1.55732855408776</v>
      </c>
      <c r="Q47" s="31" t="n">
        <v>0.163796852108594</v>
      </c>
      <c r="R47" s="31" t="n">
        <v>0.233783270515317</v>
      </c>
      <c r="S47" s="31" t="n">
        <v>0.0848630525926277</v>
      </c>
      <c r="T47" s="31" t="n">
        <v>0</v>
      </c>
      <c r="U47" s="31" t="n">
        <v>0.0380176079742493</v>
      </c>
      <c r="V47" s="31" t="n">
        <v>0.00355325548542446</v>
      </c>
      <c r="W47" s="31" t="n">
        <v>0.0615060849535938</v>
      </c>
      <c r="X47" s="31" t="n">
        <v>0</v>
      </c>
      <c r="Y47" s="36" t="n">
        <v>1.97242735974224</v>
      </c>
      <c r="Z47" s="36" t="n">
        <v>8.03626410220344</v>
      </c>
      <c r="AA47" s="36" t="n">
        <v>1.04525391749823</v>
      </c>
      <c r="AB47" s="36" t="n">
        <v>0.0640179080893573</v>
      </c>
      <c r="AC47" s="36" t="n">
        <v>3.469682207642</v>
      </c>
      <c r="AD47" s="31" t="n">
        <v>0.854738</v>
      </c>
      <c r="AE47" s="31" t="n">
        <v>0.818669</v>
      </c>
      <c r="AF47" s="31" t="n">
        <v>0.562142</v>
      </c>
      <c r="AG47" s="31" t="n">
        <v>0.591</v>
      </c>
      <c r="AH47" s="31" t="n">
        <v>0.52052079235819</v>
      </c>
      <c r="AI47" s="31" t="n">
        <v>3.936</v>
      </c>
      <c r="AJ47" s="31" t="n">
        <v>8.26574</v>
      </c>
      <c r="AK47" s="31" t="n">
        <v>3.141</v>
      </c>
      <c r="AL47" s="31" t="n">
        <v>3.61087720922546</v>
      </c>
      <c r="AM47" s="31" t="n">
        <v>14.578</v>
      </c>
      <c r="AN47" s="31" t="n">
        <v>21.38311</v>
      </c>
      <c r="AO47" s="31" t="n">
        <v>14.578</v>
      </c>
      <c r="AP47" s="31" t="n">
        <v>17.8756336981084</v>
      </c>
      <c r="AQ47" s="36" t="n">
        <v>5.39488483872867</v>
      </c>
      <c r="AR47" s="36" t="n">
        <v>1.6101070738077</v>
      </c>
      <c r="AS47" s="36" t="n">
        <v>1.17269402304014</v>
      </c>
      <c r="AT47" s="36" t="n">
        <v>0.864144377965398</v>
      </c>
      <c r="AU47" s="31" t="n">
        <v>0.580171627229845</v>
      </c>
      <c r="AV47" s="36" t="n">
        <v>0.171283</v>
      </c>
      <c r="AW47" s="31" t="n">
        <v>13.012126</v>
      </c>
      <c r="AX47" s="31" t="n">
        <v>0.190196</v>
      </c>
      <c r="AY47" s="31" t="n">
        <v>0.140713921844233</v>
      </c>
      <c r="AZ47" s="31" t="n">
        <v>0.070814</v>
      </c>
      <c r="BA47" s="33" t="n">
        <v>57.468</v>
      </c>
      <c r="BB47" s="33" t="n">
        <v>6.45</v>
      </c>
      <c r="BC47" s="33" t="n">
        <v>100</v>
      </c>
      <c r="BD47" s="33"/>
      <c r="BE47" s="33"/>
      <c r="BF47" s="33" t="n">
        <v>0</v>
      </c>
      <c r="BG47" s="33" t="n">
        <v>5.1</v>
      </c>
      <c r="BH47" s="33" t="n">
        <v>7.18</v>
      </c>
      <c r="BI47" s="29" t="n">
        <v>2020</v>
      </c>
      <c r="BJ47" s="33" t="n">
        <v>2</v>
      </c>
      <c r="BK47" s="33"/>
      <c r="BL47" s="33"/>
      <c r="BM47" s="33"/>
      <c r="BN47" s="29"/>
      <c r="BO47" s="33"/>
      <c r="BP47" s="33"/>
      <c r="BQ47" s="29" t="n">
        <v>2025</v>
      </c>
      <c r="BR47" s="36" t="n">
        <v>49.78</v>
      </c>
      <c r="BS47" s="36" t="n">
        <v>7.56</v>
      </c>
      <c r="BT47" s="36" t="n">
        <v>8.43</v>
      </c>
      <c r="BU47" s="36" t="n">
        <v>0.18</v>
      </c>
      <c r="BV47" s="16" t="n">
        <f aca="false">F47*(1+N(H47)/100)*(1+N(I47)/100)^5</f>
        <v>398.74769150566</v>
      </c>
      <c r="BW47" s="16" t="n">
        <f aca="false">IF(N(G47)&gt;0,G47,F47)</f>
        <v>886.346</v>
      </c>
      <c r="BX47" s="12" t="n">
        <f aca="false">F47/BW47</f>
        <v>0.431716282354746</v>
      </c>
      <c r="BY47" s="13" t="n">
        <f aca="false">IF(ISNUMBER(K47),1,0)</f>
        <v>1</v>
      </c>
      <c r="BZ47" s="16" t="n">
        <f aca="false">IF(BY47=0,"",N(N47)+N(O47)+N(P47))</f>
        <v>55.1332015088303</v>
      </c>
      <c r="CA47" s="37" t="n">
        <f aca="false">IF(BY47=0,"",(N(Y47)*34.2+N(Z47)*38.6)/1000)</f>
        <v>0.377656810048237</v>
      </c>
      <c r="CB47" s="37" t="n">
        <f aca="false">IF(BY47=0,"",N(O47)*0.0036+N(R47)+N(V47)+(N(AA47)*25.3+N(AB47)*37)/1000)</f>
        <v>0.327611916794271</v>
      </c>
      <c r="CC47" s="37" t="n">
        <f aca="false">IF(BY47=0,"",N(N47)*0.0036+N(Q47)+N(U47)+N(T47)+N(X47)+N(AC47)*38/1000)</f>
        <v>0.465073722528794</v>
      </c>
      <c r="CD47" s="37" t="n">
        <f aca="false">IF(BY47=0,"",N(Q47)+N(R47)+N(S47)+N(T47)+N(U47)+N(V47)+N(W47)+N(X47)+(N(Y47)*34.2+N(Z47)*38.6+N(AA47)*25.3+N(AB47)*37+N(AC47)*38)/1000)</f>
        <v>1.12383844428045</v>
      </c>
      <c r="CE47" s="16" t="n">
        <f aca="false">IF(BY47=0,"",MAX(0,N(L47)-N(K47))+MAX(0,N(M47)-N(L47)))</f>
        <v>40.14</v>
      </c>
      <c r="CF47" s="16" t="n">
        <f aca="false">IF(BY47=0,"",N(Y47)*N(AD47)+N(Z47)*N(AE47)+N(AA47)*N(AF47)+N(AB47)*N(AG47)+N(AC47)*N(AH47)+N(U47)*N(AI47)+N(V47)*N(AJ47)+N(W47)*N(AK47)+N(X47)*N(AL47)+N(Q47)*N(AM47)+N(R47)*N(AN47)+N(S47)*N(AO47)+N(T47)*N(AP47))</f>
        <v>19.6925820403673</v>
      </c>
      <c r="CG47" s="16" t="n">
        <f aca="false">IF(AND(BY47=1,N(K47)&gt;0),K47,0)</f>
        <v>90.142</v>
      </c>
      <c r="CH47" s="16" t="n">
        <f aca="false">IF(CG47&gt;0,CF47*1000/CG47,"")</f>
        <v>218.461782968731</v>
      </c>
      <c r="CI47" s="16" t="n">
        <f aca="false">IF(BY47=0,"",N(AQ47)+p_road*(N(AR47)+N(AS47)+N(AT47)))</f>
        <v>5.39488483872867</v>
      </c>
      <c r="CJ47" s="16" t="n">
        <f aca="false">IF(CG47&gt;0,CI47*1000/CG47,"")</f>
        <v>59.848736867705</v>
      </c>
      <c r="CK47" s="12" t="n">
        <f aca="false">IF(CH47="",1,MIN(p_idx_max,MAX(p_idx_min,CH47/p_fc_world)))</f>
        <v>1.35684358613331</v>
      </c>
      <c r="CL47" s="12" t="n">
        <f aca="false">IF(CJ47="",1,MIN(p_idx_max,MAX(p_idx_min,CJ47/p_cb_world)))</f>
        <v>1.13800784278835</v>
      </c>
      <c r="CM47" s="37" t="n">
        <f aca="false">p_b*(1-p_wb_idx+p_wb_idx*CK47)</f>
        <v>0.180460196955731</v>
      </c>
      <c r="CN47" s="37" t="n">
        <f aca="false">p_c*(1-p_wc_idx+p_wc_idx*CL47)</f>
        <v>0.146803011719697</v>
      </c>
      <c r="CO47" s="28" t="n">
        <f aca="false">IF(N(BR47)&gt;0,(N(BS47)+N(BT47)+N(BU47))/BR47,"")</f>
        <v>0.324829248694255</v>
      </c>
      <c r="CP47" s="16" t="n">
        <f aca="false">N(BS47)+N(BT47)+N(BU47)</f>
        <v>16.17</v>
      </c>
      <c r="CQ47" s="28" t="n">
        <f aca="false">IF(CP47&gt;0,N(BS47)/CP47,"")</f>
        <v>0.467532467532468</v>
      </c>
      <c r="CR47" s="28" t="n">
        <f aca="false">IF(CP47&gt;0,N(BT47)/CP47,"")</f>
        <v>0.521335807050093</v>
      </c>
      <c r="CS47" s="28" t="n">
        <f aca="false">IF(CP47&gt;0,N(BU47)/CP47,"")</f>
        <v>0.0111317254174397</v>
      </c>
      <c r="CT47" s="7" t="n">
        <f aca="false">1000*(p_sh_pv*p_cf_pv/p_capex_pv+(1-p_sh_pv)*p_cf_wind/p_capex_wind)*8760</f>
        <v>2301.28856624319</v>
      </c>
      <c r="CU47" s="13" t="n">
        <f aca="false">IF(AND(ISNUMBER(CO47),ISNUMBER(CQ47),BY47=1),1,0)</f>
        <v>1</v>
      </c>
      <c r="CV47" s="16" t="n">
        <f aca="false">IF(CU47=0,"",CQ47*p_hr_coal*N(AK47)+CR47*p_hr_gas*N(AO47)+CS47*p_hr_oil*N(AH47)/p_gj_l_oil)</f>
        <v>73.2616134714337</v>
      </c>
      <c r="CW47" s="37" t="n">
        <f aca="false">IF(CU47=0,"",CQ47*p_hr_coal*p_ef_coal+CR47*p_hr_gas*p_ef_gas+CS47*p_hr_oil*p_ef_oil)</f>
        <v>0.670684508348794</v>
      </c>
      <c r="CX47" s="16" t="n">
        <f aca="false">IF(CU47=0,"",CQ47*p_hr_coal*N(AW47)+CR47*p_hr_gas*N(AX47)+CS47*p_hr_oil*N(AY47)/p_gj_l_oil)</f>
        <v>62.0056738563155</v>
      </c>
      <c r="CY47" s="37" t="n">
        <f aca="false">IF(CU47=0,"",CO47*CW47)</f>
        <v>0.217857944957814</v>
      </c>
      <c r="CZ47" s="37" t="n">
        <f aca="false">IF(CU47=0,"",CT47*CO47*CV47/1000/1000-p_om_re)</f>
        <v>0.0397649488570489</v>
      </c>
      <c r="DA47" s="37" t="n">
        <f aca="false">IF(CU47=0,"",CT47*CO47*CX47/1000/1000)</f>
        <v>0.0463508431862758</v>
      </c>
      <c r="DB47" s="37" t="n">
        <f aca="false">IF(CU47=0,"",CT47*CO47*CW47/1000)</f>
        <v>0.501353997796657</v>
      </c>
      <c r="DC47" s="13" t="n">
        <f aca="false">IF(AND(CU47=1,ISNUMBER(AD47),ISNUMBER(AV47)),1,0)</f>
        <v>1</v>
      </c>
      <c r="DD47" s="7" t="n">
        <f aca="false">IF(DC47=0,"",p_ev_km*p_ice_l/100*AD47-p_ev_km*p_ev_kwh*AV47+p_ev_km*p_ev_maint)</f>
        <v>679.11615</v>
      </c>
      <c r="DE47" s="37" t="n">
        <f aca="false">IF(DC47=0,"",DD47/p_ev_prem)</f>
        <v>0.13582323</v>
      </c>
      <c r="DF47" s="37" t="n">
        <f aca="false">IF(DC47=0,"",p_ev_km*p_ice_l/100*N(AZ47)/p_ev_prem)</f>
        <v>0.01593315</v>
      </c>
      <c r="DG47" s="37" t="n">
        <f aca="false">IF(DC47=0,"",1000/p_ev_prem*(p_ev_km*p_ice_l/100*p_gj_l_gso*p_ef_gso-p_ev_km*p_ev_kwh/1000*CY47))</f>
        <v>0.41562020972278</v>
      </c>
      <c r="DH47" s="11" t="str">
        <f aca="false">IFERROR(IF(INDEX(Damodaran!$D:$D,MATCH(A47,Damodaran!$A:$A,0))="","",INDEX(Damodaran!$D:$D,MATCH(A47,Damodaran!$A:$A,0))),"")</f>
        <v/>
      </c>
      <c r="DI47" s="11" t="str">
        <f aca="false">IFERROR(IF(INDEX(Damodaran!$E:$E,MATCH(A47,Damodaran!$A:$A,0))="","",INDEX(Damodaran!$E:$E,MATCH(A47,Damodaran!$A:$A,0))),"")</f>
        <v/>
      </c>
      <c r="DJ47" s="11" t="str">
        <f aca="false">IFERROR(IF(INDEX(Damodaran!$G:$G,MATCH(A47,Damodaran!$A:$A,0))="","",INDEX(Damodaran!$G:$G,MATCH(A47,Damodaran!$A:$A,0))),"")</f>
        <v/>
      </c>
      <c r="DK47" s="11" t="n">
        <f aca="false">IF(ISNUMBER(BG47),(1+BG47/100)*(1+p_infl)-1,"")</f>
        <v>0.07202</v>
      </c>
      <c r="DL47" s="11" t="n">
        <f aca="false">IF(ISNUMBER(BH47),BH47/100,"")</f>
        <v>0.0718</v>
      </c>
      <c r="DM47" s="11" t="n">
        <f aca="false">IF(COUNT(DK47,DL47)=0,"",AVERAGE(DK47,DL47))</f>
        <v>0.07191</v>
      </c>
      <c r="DN47" s="11" t="str">
        <f aca="false">IF(OR(DH47="",DI47=""),"",p_dv*(p_rf+DH47)*(1-IF(DJ47="",p_tax_def,DJ47))+(1-p_dv)*(p_rf+p_beta*p_erp+p_lambda*DI47))</f>
        <v/>
      </c>
      <c r="DO47" s="13" t="n">
        <f aca="false">IF(AND(ISNUMBER(DM47),ISNUMBER(DN47)),1,0)</f>
        <v>0</v>
      </c>
      <c r="DP47" s="11" t="n">
        <f aca="false">IF(DO47=1,DM47,0)</f>
        <v>0</v>
      </c>
      <c r="DQ47" s="11" t="n">
        <f aca="false">IF(DO47=1,DN47,0)</f>
        <v>0</v>
      </c>
      <c r="DR47" s="11" t="str">
        <f aca="false">IF(DN47="","",DN47+p_shift)</f>
        <v/>
      </c>
      <c r="DS47" s="11" t="n">
        <f aca="false">IF(E47="AE",p_r_ae,IF(E47="China",p_r_chn,p_r_emdc))</f>
        <v>0.105</v>
      </c>
      <c r="DT47" s="11" t="n">
        <f aca="false">IF(E47="AE",p_rh_ae,IF(E47="China",p_rh_chn,p_rh_emdc))</f>
        <v>0.15</v>
      </c>
      <c r="DU47" s="11" t="n">
        <f aca="false">IF(AND(p_use_obs=1,ISNUMBER(DM47)),DM47,IF(AND(p_use_dam=1,ISNUMBER(DR47)),DR47,DS47))</f>
        <v>0.07191</v>
      </c>
      <c r="DV47" s="6" t="str">
        <f aca="false">IF(AND(p_use_obs=1,ISNUMBER(DM47)),"Observed (IRENA/Steffen)",IF(AND(p_use_dam=1,ISNUMBER(DR47)),"Damodaran (eq. 5)","Group default (IHLEG)"))</f>
        <v>Observed (IRENA/Steffen)</v>
      </c>
      <c r="DW47" s="11" t="n">
        <f aca="false">IF(p_basis=1,(1+DU47)/(1+p_infl)-1,DU47)</f>
        <v>0.07191</v>
      </c>
      <c r="DX47" s="11" t="n">
        <f aca="false">DW47+(DT47-DS47)</f>
        <v>0.11691</v>
      </c>
      <c r="DY47" s="28" t="n">
        <f aca="false">IF(AND(p_use_pefa=1,ISNUMBER(BD47)),p_gap_lic-(BD47-1)/3*(p_gap_lic-p_gap_ae),IF(E47="AE",p_gap_ae,IF(D47="Low income",p_gap_lic,p_gap_em)))*(1-p_reform*p_reform_close)</f>
        <v>0.27</v>
      </c>
      <c r="DZ47" s="6" t="str">
        <f aca="false">IF(AND(p_use_pefa=1,ISNUMBER(BD47)),"PEFA PI-11","Income-group default (IMF 2015)")</f>
        <v>Income-group default (IMF 2015)</v>
      </c>
      <c r="EA47" s="28" t="n">
        <f aca="false">IF(E47="AE",p_ps_ae,IF(E47="China",p_ps_chn,p_ps_emdc))</f>
        <v>0.4</v>
      </c>
      <c r="EB47" s="37" t="n">
        <f aca="false">(1-EA47)+EA47/(1-DY47)</f>
        <v>1.14794520547945</v>
      </c>
      <c r="EC47" s="16" t="n">
        <f aca="false">Results_Country!F47</f>
        <v>19.2956573188834</v>
      </c>
      <c r="ED47" s="16" t="n">
        <f aca="false">IF(CH47="",0,CH47*EC47)</f>
        <v>4215.3637014369</v>
      </c>
      <c r="EE47" s="16" t="n">
        <f aca="false">IF(CJ47="",0,CJ47*EC47)</f>
        <v>1154.82071756726</v>
      </c>
      <c r="EF47" s="16" t="n">
        <f aca="false">IF(CH47="",0,EC47)</f>
        <v>19.2956573188834</v>
      </c>
    </row>
    <row r="48" customFormat="false" ht="15" hidden="false" customHeight="false" outlineLevel="0" collapsed="false">
      <c r="A48" s="35" t="s">
        <v>852</v>
      </c>
      <c r="B48" s="35" t="s">
        <v>853</v>
      </c>
      <c r="C48" s="35" t="s">
        <v>799</v>
      </c>
      <c r="D48" s="35" t="s">
        <v>771</v>
      </c>
      <c r="E48" s="35" t="s">
        <v>31</v>
      </c>
      <c r="F48" s="36" t="n">
        <v>372.243</v>
      </c>
      <c r="G48" s="36" t="n">
        <v>1591.102</v>
      </c>
      <c r="H48" s="33" t="n">
        <v>3.093</v>
      </c>
      <c r="I48" s="33" t="n">
        <v>3.603</v>
      </c>
      <c r="J48" s="36" t="n">
        <v>251.269164</v>
      </c>
      <c r="K48" s="36" t="n">
        <v>186.695</v>
      </c>
      <c r="L48" s="36" t="n">
        <v>540.123</v>
      </c>
      <c r="M48" s="36" t="n">
        <v>546.769</v>
      </c>
      <c r="N48" s="36" t="n">
        <v>59.4162031590594</v>
      </c>
      <c r="O48" s="36" t="n">
        <v>61.3352232690534</v>
      </c>
      <c r="P48" s="36" t="n">
        <v>0</v>
      </c>
      <c r="Q48" s="31" t="n">
        <v>0.184845823794631</v>
      </c>
      <c r="R48" s="31" t="n">
        <v>0.16796723048403</v>
      </c>
      <c r="S48" s="31" t="n">
        <v>0.472522904886148</v>
      </c>
      <c r="T48" s="31" t="n">
        <v>0.0110921464506155</v>
      </c>
      <c r="U48" s="31" t="n">
        <v>0.321173023185624</v>
      </c>
      <c r="V48" s="31" t="n">
        <v>3.98819421128922E-005</v>
      </c>
      <c r="W48" s="31" t="n">
        <v>0.220325169520071</v>
      </c>
      <c r="X48" s="31" t="n">
        <v>0</v>
      </c>
      <c r="Y48" s="36" t="n">
        <v>11.8650579356354</v>
      </c>
      <c r="Z48" s="36" t="n">
        <v>10.5754230988106</v>
      </c>
      <c r="AA48" s="36" t="n">
        <v>2.42191961327575</v>
      </c>
      <c r="AB48" s="36" t="n">
        <v>0.3665173092576</v>
      </c>
      <c r="AC48" s="36" t="n">
        <v>1.18689695242856</v>
      </c>
      <c r="AD48" s="31" t="n">
        <v>0.8424</v>
      </c>
      <c r="AE48" s="31" t="n">
        <v>0.786167</v>
      </c>
      <c r="AF48" s="31" t="n">
        <v>0.539961</v>
      </c>
      <c r="AG48" s="31" t="n">
        <v>0.701789</v>
      </c>
      <c r="AH48" s="31" t="n">
        <v>0.543345482163316</v>
      </c>
      <c r="AI48" s="31" t="n">
        <v>6.276</v>
      </c>
      <c r="AJ48" s="31" t="n">
        <v>11.78658</v>
      </c>
      <c r="AK48" s="31" t="n">
        <v>4.204</v>
      </c>
      <c r="AL48" s="31" t="n">
        <v>5.43341108525052</v>
      </c>
      <c r="AM48" s="31" t="n">
        <v>4.545</v>
      </c>
      <c r="AN48" s="31" t="n">
        <v>11.18871</v>
      </c>
      <c r="AO48" s="31" t="n">
        <v>3.708</v>
      </c>
      <c r="AP48" s="31" t="n">
        <v>5.41788562851227</v>
      </c>
      <c r="AQ48" s="36" t="n">
        <v>9.30359467846018</v>
      </c>
      <c r="AR48" s="36" t="n">
        <v>0.493308664351302</v>
      </c>
      <c r="AS48" s="36" t="n">
        <v>3.70154701397661</v>
      </c>
      <c r="AT48" s="36" t="n">
        <v>2.50118128565669</v>
      </c>
      <c r="AU48" s="31" t="n">
        <v>0.334840791341746</v>
      </c>
      <c r="AV48" s="36" t="n">
        <v>0.16263</v>
      </c>
      <c r="AW48" s="31" t="n">
        <v>1.36758</v>
      </c>
      <c r="AX48" s="31" t="n">
        <v>0.100463</v>
      </c>
      <c r="AY48" s="31" t="n">
        <v>0.178608160136952</v>
      </c>
      <c r="AZ48" s="31" t="n">
        <v>0.079802</v>
      </c>
      <c r="BA48" s="33" t="n">
        <v>70.22</v>
      </c>
      <c r="BB48" s="33" t="n">
        <v>61.261</v>
      </c>
      <c r="BC48" s="33" t="n">
        <v>93.488</v>
      </c>
      <c r="BD48" s="33"/>
      <c r="BE48" s="33"/>
      <c r="BF48" s="33" t="n">
        <v>1</v>
      </c>
      <c r="BG48" s="33" t="n">
        <v>9.2</v>
      </c>
      <c r="BH48" s="33" t="n">
        <v>6.44</v>
      </c>
      <c r="BI48" s="29" t="n">
        <v>2020</v>
      </c>
      <c r="BJ48" s="33" t="n">
        <v>2</v>
      </c>
      <c r="BK48" s="33"/>
      <c r="BL48" s="33" t="n">
        <v>5.1</v>
      </c>
      <c r="BM48" s="33" t="n">
        <v>8.11</v>
      </c>
      <c r="BN48" s="29" t="n">
        <v>18.072</v>
      </c>
      <c r="BO48" s="33" t="n">
        <v>0.415</v>
      </c>
      <c r="BP48" s="33" t="n">
        <v>0.124</v>
      </c>
      <c r="BQ48" s="29" t="n">
        <v>2025</v>
      </c>
      <c r="BR48" s="36" t="n">
        <v>171.06</v>
      </c>
      <c r="BS48" s="36" t="n">
        <v>24.75</v>
      </c>
      <c r="BT48" s="36" t="n">
        <v>39.34</v>
      </c>
      <c r="BU48" s="36" t="n">
        <v>2.59</v>
      </c>
      <c r="BV48" s="16" t="n">
        <f aca="false">F48*(1+N(H48)/100)*(1+N(I48)/100)^5</f>
        <v>458.054731945104</v>
      </c>
      <c r="BW48" s="16" t="n">
        <f aca="false">IF(N(G48)&gt;0,G48,F48)</f>
        <v>1591.102</v>
      </c>
      <c r="BX48" s="12" t="n">
        <f aca="false">F48/BW48</f>
        <v>0.233952945819941</v>
      </c>
      <c r="BY48" s="13" t="n">
        <f aca="false">IF(ISNUMBER(K48),1,0)</f>
        <v>1</v>
      </c>
      <c r="BZ48" s="16" t="n">
        <f aca="false">IF(BY48=0,"",N(N48)+N(O48)+N(P48))</f>
        <v>120.751426428113</v>
      </c>
      <c r="CA48" s="37" t="n">
        <f aca="false">IF(BY48=0,"",(N(Y48)*34.2+N(Z48)*38.6)/1000)</f>
        <v>0.813996313012822</v>
      </c>
      <c r="CB48" s="37" t="n">
        <f aca="false">IF(BY48=0,"",N(O48)*0.0036+N(R48)+N(V48)+(N(AA48)*25.3+N(AB48)*37)/1000)</f>
        <v>0.463649622853143</v>
      </c>
      <c r="CC48" s="37" t="n">
        <f aca="false">IF(BY48=0,"",N(N48)*0.0036+N(Q48)+N(U48)+N(T48)+N(X48)+N(AC48)*38/1000)</f>
        <v>0.776111408995769</v>
      </c>
      <c r="CD48" s="37" t="n">
        <f aca="false">IF(BY48=0,"",N(Q48)+N(R48)+N(S48)+N(T48)+N(U48)+N(V48)+N(W48)+N(X48)+(N(Y48)*34.2+N(Z48)*38.6+N(AA48)*25.3+N(AB48)*37+N(AC48)*38)/1000)</f>
        <v>2.31190028412675</v>
      </c>
      <c r="CE48" s="16" t="n">
        <f aca="false">IF(BY48=0,"",MAX(0,N(L48)-N(K48))+MAX(0,N(M48)-N(L48)))</f>
        <v>360.074</v>
      </c>
      <c r="CF48" s="16" t="n">
        <f aca="false">IF(BY48=0,"",N(Y48)*N(AD48)+N(Z48)*N(AE48)+N(AA48)*N(AF48)+N(AB48)*N(AG48)+N(AC48)*N(AH48)+N(U48)*N(AI48)+N(V48)*N(AJ48)+N(W48)*N(AK48)+N(X48)*N(AL48)+N(Q48)*N(AM48)+N(R48)*N(AN48)+N(S48)*N(AO48)+N(T48)*N(AP48))</f>
        <v>27.9930992960221</v>
      </c>
      <c r="CG48" s="16" t="n">
        <f aca="false">IF(AND(BY48=1,N(K48)&gt;0),K48,0)</f>
        <v>186.695</v>
      </c>
      <c r="CH48" s="16" t="n">
        <f aca="false">IF(CG48&gt;0,CF48*1000/CG48,"")</f>
        <v>149.940273151515</v>
      </c>
      <c r="CI48" s="16" t="n">
        <f aca="false">IF(BY48=0,"",N(AQ48)+p_road*(N(AR48)+N(AS48)+N(AT48)))</f>
        <v>9.30359467846018</v>
      </c>
      <c r="CJ48" s="16" t="n">
        <f aca="false">IF(CG48&gt;0,CI48*1000/CG48,"")</f>
        <v>49.8331218214745</v>
      </c>
      <c r="CK48" s="12" t="n">
        <f aca="false">IF(CH48="",1,MIN(p_idx_max,MAX(p_idx_min,CH48/p_fc_world)))</f>
        <v>0.931263560903147</v>
      </c>
      <c r="CL48" s="12" t="n">
        <f aca="false">IF(CJ48="",1,MIN(p_idx_max,MAX(p_idx_min,CJ48/p_cb_world)))</f>
        <v>0.947563581647895</v>
      </c>
      <c r="CM48" s="37" t="n">
        <f aca="false">p_b*(1-p_wb_idx+p_wb_idx*CK48)</f>
        <v>0.123858053600119</v>
      </c>
      <c r="CN48" s="37" t="n">
        <f aca="false">p_c*(1-p_wc_idx+p_wc_idx*CL48)</f>
        <v>0.122235702032579</v>
      </c>
      <c r="CO48" s="28" t="n">
        <f aca="false">IF(N(BR48)&gt;0,(N(BS48)+N(BT48)+N(BU48))/BR48,"")</f>
        <v>0.389804746872442</v>
      </c>
      <c r="CP48" s="16" t="n">
        <f aca="false">N(BS48)+N(BT48)+N(BU48)</f>
        <v>66.68</v>
      </c>
      <c r="CQ48" s="28" t="n">
        <f aca="false">IF(CP48&gt;0,N(BS48)/CP48,"")</f>
        <v>0.371175764847031</v>
      </c>
      <c r="CR48" s="28" t="n">
        <f aca="false">IF(CP48&gt;0,N(BT48)/CP48,"")</f>
        <v>0.58998200359928</v>
      </c>
      <c r="CS48" s="28" t="n">
        <f aca="false">IF(CP48&gt;0,N(BU48)/CP48,"")</f>
        <v>0.0388422315536893</v>
      </c>
      <c r="CT48" s="7" t="n">
        <f aca="false">1000*(p_sh_pv*p_cf_pv/p_capex_pv+(1-p_sh_pv)*p_cf_wind/p_capex_wind)*8760</f>
        <v>2301.28856624319</v>
      </c>
      <c r="CU48" s="13" t="n">
        <f aca="false">IF(AND(ISNUMBER(CO48),ISNUMBER(CQ48),BY48=1),1,0)</f>
        <v>1</v>
      </c>
      <c r="CV48" s="16" t="n">
        <f aca="false">IF(CU48=0,"",CQ48*p_hr_coal*N(AK48)+CR48*p_hr_gas*N(AO48)+CS48*p_hr_oil*N(AH48)/p_gj_l_oil)</f>
        <v>37.7525583590917</v>
      </c>
      <c r="CW48" s="37" t="n">
        <f aca="false">IF(CU48=0,"",CQ48*p_hr_coal*p_ef_coal+CR48*p_hr_gas*p_ef_gas+CS48*p_hr_oil*p_ef_oil)</f>
        <v>0.630934283143371</v>
      </c>
      <c r="CX48" s="16" t="n">
        <f aca="false">IF(CU48=0,"",CQ48*p_hr_coal*N(AW48)+CR48*p_hr_gas*N(AX48)+CS48*p_hr_oil*N(AY48)/p_gj_l_oil)</f>
        <v>7.407815270954</v>
      </c>
      <c r="CY48" s="37" t="n">
        <f aca="false">IF(CU48=0,"",CO48*CW48)</f>
        <v>0.245941178533848</v>
      </c>
      <c r="CZ48" s="37" t="n">
        <f aca="false">IF(CU48=0,"",CT48*CO48*CV48/1000/1000-p_om_re)</f>
        <v>0.018866053550172</v>
      </c>
      <c r="DA48" s="37" t="n">
        <f aca="false">IF(CU48=0,"",CT48*CO48*CX48/1000/1000)</f>
        <v>0.00664520444600527</v>
      </c>
      <c r="DB48" s="37" t="n">
        <f aca="false">IF(CU48=0,"",CT48*CO48*CW48/1000)</f>
        <v>0.56598162212832</v>
      </c>
      <c r="DC48" s="13" t="n">
        <f aca="false">IF(AND(CU48=1,ISNUMBER(AD48),ISNUMBER(AV48)),1,0)</f>
        <v>1</v>
      </c>
      <c r="DD48" s="7" t="n">
        <f aca="false">IF(DC48=0,"",p_ev_km*p_ice_l/100*AD48-p_ev_km*p_ev_kwh*AV48+p_ev_km*p_ev_maint)</f>
        <v>688.599</v>
      </c>
      <c r="DE48" s="37" t="n">
        <f aca="false">IF(DC48=0,"",DD48/p_ev_prem)</f>
        <v>0.1377198</v>
      </c>
      <c r="DF48" s="37" t="n">
        <f aca="false">IF(DC48=0,"",p_ev_km*p_ice_l/100*N(AZ48)/p_ev_prem)</f>
        <v>0.01795545</v>
      </c>
      <c r="DG48" s="37" t="n">
        <f aca="false">IF(DC48=0,"",1000/p_ev_prem*(p_ev_km*p_ice_l/100*p_gj_l_gso*p_ef_gso-p_ev_km*p_ev_kwh/1000*CY48))</f>
        <v>0.400455263591722</v>
      </c>
      <c r="DH48" s="11" t="str">
        <f aca="false">IFERROR(IF(INDEX(Damodaran!$D:$D,MATCH(A48,Damodaran!$A:$A,0))="","",INDEX(Damodaran!$D:$D,MATCH(A48,Damodaran!$A:$A,0))),"")</f>
        <v/>
      </c>
      <c r="DI48" s="11" t="str">
        <f aca="false">IFERROR(IF(INDEX(Damodaran!$E:$E,MATCH(A48,Damodaran!$A:$A,0))="","",INDEX(Damodaran!$E:$E,MATCH(A48,Damodaran!$A:$A,0))),"")</f>
        <v/>
      </c>
      <c r="DJ48" s="11" t="str">
        <f aca="false">IFERROR(IF(INDEX(Damodaran!$G:$G,MATCH(A48,Damodaran!$A:$A,0))="","",INDEX(Damodaran!$G:$G,MATCH(A48,Damodaran!$A:$A,0))),"")</f>
        <v/>
      </c>
      <c r="DK48" s="11" t="n">
        <f aca="false">IF(ISNUMBER(BG48),(1+BG48/100)*(1+p_infl)-1,"")</f>
        <v>0.11384</v>
      </c>
      <c r="DL48" s="11" t="n">
        <f aca="false">IF(ISNUMBER(BH48),BH48/100,"")</f>
        <v>0.0644</v>
      </c>
      <c r="DM48" s="11" t="n">
        <f aca="false">IF(COUNT(DK48,DL48)=0,"",AVERAGE(DK48,DL48))</f>
        <v>0.0891200000000001</v>
      </c>
      <c r="DN48" s="11" t="str">
        <f aca="false">IF(OR(DH48="",DI48=""),"",p_dv*(p_rf+DH48)*(1-IF(DJ48="",p_tax_def,DJ48))+(1-p_dv)*(p_rf+p_beta*p_erp+p_lambda*DI48))</f>
        <v/>
      </c>
      <c r="DO48" s="13" t="n">
        <f aca="false">IF(AND(ISNUMBER(DM48),ISNUMBER(DN48)),1,0)</f>
        <v>0</v>
      </c>
      <c r="DP48" s="11" t="n">
        <f aca="false">IF(DO48=1,DM48,0)</f>
        <v>0</v>
      </c>
      <c r="DQ48" s="11" t="n">
        <f aca="false">IF(DO48=1,DN48,0)</f>
        <v>0</v>
      </c>
      <c r="DR48" s="11" t="str">
        <f aca="false">IF(DN48="","",DN48+p_shift)</f>
        <v/>
      </c>
      <c r="DS48" s="11" t="n">
        <f aca="false">IF(E48="AE",p_r_ae,IF(E48="China",p_r_chn,p_r_emdc))</f>
        <v>0.105</v>
      </c>
      <c r="DT48" s="11" t="n">
        <f aca="false">IF(E48="AE",p_rh_ae,IF(E48="China",p_rh_chn,p_rh_emdc))</f>
        <v>0.15</v>
      </c>
      <c r="DU48" s="11" t="n">
        <f aca="false">IF(AND(p_use_obs=1,ISNUMBER(DM48)),DM48,IF(AND(p_use_dam=1,ISNUMBER(DR48)),DR48,DS48))</f>
        <v>0.0891200000000001</v>
      </c>
      <c r="DV48" s="6" t="str">
        <f aca="false">IF(AND(p_use_obs=1,ISNUMBER(DM48)),"Observed (IRENA/Steffen)",IF(AND(p_use_dam=1,ISNUMBER(DR48)),"Damodaran (eq. 5)","Group default (IHLEG)"))</f>
        <v>Observed (IRENA/Steffen)</v>
      </c>
      <c r="DW48" s="11" t="n">
        <f aca="false">IF(p_basis=1,(1+DU48)/(1+p_infl)-1,DU48)</f>
        <v>0.0891200000000001</v>
      </c>
      <c r="DX48" s="11" t="n">
        <f aca="false">DW48+(DT48-DS48)</f>
        <v>0.13412</v>
      </c>
      <c r="DY48" s="28" t="n">
        <f aca="false">IF(AND(p_use_pefa=1,ISNUMBER(BD48)),p_gap_lic-(BD48-1)/3*(p_gap_lic-p_gap_ae),IF(E48="AE",p_gap_ae,IF(D48="Low income",p_gap_lic,p_gap_em)))*(1-p_reform*p_reform_close)</f>
        <v>0.27</v>
      </c>
      <c r="DZ48" s="6" t="str">
        <f aca="false">IF(AND(p_use_pefa=1,ISNUMBER(BD48)),"PEFA PI-11","Income-group default (IMF 2015)")</f>
        <v>Income-group default (IMF 2015)</v>
      </c>
      <c r="EA48" s="28" t="n">
        <f aca="false">IF(E48="AE",p_ps_ae,IF(E48="China",p_ps_chn,p_ps_emdc))</f>
        <v>0.4</v>
      </c>
      <c r="EB48" s="37" t="n">
        <f aca="false">(1-EA48)+EA48/(1-DY48)</f>
        <v>1.14794520547945</v>
      </c>
      <c r="EC48" s="16" t="n">
        <f aca="false">Results_Country!F48</f>
        <v>29.976733436581</v>
      </c>
      <c r="ED48" s="16" t="n">
        <f aca="false">IF(CH48="",0,CH48*EC48)</f>
        <v>4494.71959967112</v>
      </c>
      <c r="EE48" s="16" t="n">
        <f aca="false">IF(CJ48="",0,CJ48*EC48)</f>
        <v>1493.83420915501</v>
      </c>
      <c r="EF48" s="16" t="n">
        <f aca="false">IF(CH48="",0,EC48)</f>
        <v>29.976733436581</v>
      </c>
    </row>
    <row r="49" customFormat="false" ht="15" hidden="false" customHeight="false" outlineLevel="0" collapsed="false">
      <c r="A49" s="35" t="s">
        <v>854</v>
      </c>
      <c r="B49" s="35" t="s">
        <v>855</v>
      </c>
      <c r="C49" s="35" t="s">
        <v>766</v>
      </c>
      <c r="D49" s="35" t="s">
        <v>760</v>
      </c>
      <c r="E49" s="35" t="s">
        <v>29</v>
      </c>
      <c r="F49" s="36" t="n">
        <v>347.083</v>
      </c>
      <c r="G49" s="36" t="n">
        <v>622.915</v>
      </c>
      <c r="H49" s="33" t="n">
        <v>2.548</v>
      </c>
      <c r="I49" s="33" t="n">
        <v>2.234</v>
      </c>
      <c r="J49" s="36" t="n">
        <v>10.735859</v>
      </c>
      <c r="K49" s="36" t="n">
        <v>88.264</v>
      </c>
      <c r="L49" s="36" t="n">
        <v>110.852</v>
      </c>
      <c r="M49" s="36" t="n">
        <v>118.786</v>
      </c>
      <c r="N49" s="36" t="n">
        <v>42.1973952670909</v>
      </c>
      <c r="O49" s="36" t="n">
        <v>17.7024567104547</v>
      </c>
      <c r="P49" s="36" t="n">
        <v>1.73259602804134</v>
      </c>
      <c r="Q49" s="31" t="n">
        <v>0.150633435617128</v>
      </c>
      <c r="R49" s="31" t="n">
        <v>0.186461434247175</v>
      </c>
      <c r="S49" s="31" t="n">
        <v>0.0486752584949739</v>
      </c>
      <c r="T49" s="31" t="n">
        <v>0.00617847540569954</v>
      </c>
      <c r="U49" s="31" t="n">
        <v>0.0870508303925257</v>
      </c>
      <c r="V49" s="31" t="n">
        <v>0.0359100907355583</v>
      </c>
      <c r="W49" s="31" t="n">
        <v>0.179258700321369</v>
      </c>
      <c r="X49" s="31" t="n">
        <v>1.51350109898256E-005</v>
      </c>
      <c r="Y49" s="36" t="n">
        <v>2.29614019276497</v>
      </c>
      <c r="Z49" s="36" t="n">
        <v>6.71424726852674</v>
      </c>
      <c r="AA49" s="36" t="n">
        <v>0.359210986331563</v>
      </c>
      <c r="AB49" s="36" t="n">
        <v>0.0113944450394336</v>
      </c>
      <c r="AC49" s="36" t="n">
        <v>0.550499339379191</v>
      </c>
      <c r="AD49" s="31" t="n">
        <v>0.87604</v>
      </c>
      <c r="AE49" s="31" t="n">
        <v>0.838741</v>
      </c>
      <c r="AF49" s="31" t="n">
        <v>0.54008</v>
      </c>
      <c r="AG49" s="31" t="n">
        <v>0.591</v>
      </c>
      <c r="AH49" s="31" t="n">
        <v>0.519462891908447</v>
      </c>
      <c r="AI49" s="31" t="n">
        <v>3.58</v>
      </c>
      <c r="AJ49" s="31" t="n">
        <v>11.38368</v>
      </c>
      <c r="AK49" s="31" t="n">
        <v>3.674</v>
      </c>
      <c r="AL49" s="31" t="n">
        <v>4.56299764018187</v>
      </c>
      <c r="AM49" s="31" t="n">
        <v>18.851</v>
      </c>
      <c r="AN49" s="31" t="n">
        <v>31.73346</v>
      </c>
      <c r="AO49" s="31" t="n">
        <v>18.851</v>
      </c>
      <c r="AP49" s="31" t="n">
        <v>25.0777184306058</v>
      </c>
      <c r="AQ49" s="36" t="n">
        <v>3.26869931857327</v>
      </c>
      <c r="AR49" s="36" t="n">
        <v>0.845034262934615</v>
      </c>
      <c r="AS49" s="36" t="n">
        <v>0.276141508753964</v>
      </c>
      <c r="AT49" s="36" t="n">
        <v>0.624776281680227</v>
      </c>
      <c r="AU49" s="31" t="n">
        <v>0.44556406150865</v>
      </c>
      <c r="AV49" s="36" t="n">
        <v>0.316996</v>
      </c>
      <c r="AW49" s="31" t="n">
        <v>2.333934</v>
      </c>
      <c r="AX49" s="31" t="n">
        <v>0.101864</v>
      </c>
      <c r="AY49" s="31" t="n">
        <v>0.213762695111041</v>
      </c>
      <c r="AZ49" s="31" t="n">
        <v>0.061072</v>
      </c>
      <c r="BA49" s="33" t="n">
        <v>43.291</v>
      </c>
      <c r="BB49" s="33" t="n">
        <v>1.643</v>
      </c>
      <c r="BC49" s="33"/>
      <c r="BD49" s="33"/>
      <c r="BE49" s="33"/>
      <c r="BF49" s="33" t="n">
        <v>0</v>
      </c>
      <c r="BG49" s="33"/>
      <c r="BH49" s="33" t="n">
        <v>5.75</v>
      </c>
      <c r="BI49" s="29" t="n">
        <v>2019</v>
      </c>
      <c r="BJ49" s="33" t="n">
        <v>1</v>
      </c>
      <c r="BK49" s="33"/>
      <c r="BL49" s="33"/>
      <c r="BM49" s="33"/>
      <c r="BN49" s="29"/>
      <c r="BO49" s="33"/>
      <c r="BP49" s="33"/>
      <c r="BQ49" s="29" t="n">
        <v>2025</v>
      </c>
      <c r="BR49" s="36" t="n">
        <v>75.4</v>
      </c>
      <c r="BS49" s="36" t="n">
        <v>26.6</v>
      </c>
      <c r="BT49" s="36" t="n">
        <v>4.08</v>
      </c>
      <c r="BU49" s="36" t="n">
        <v>0.16</v>
      </c>
      <c r="BV49" s="16" t="n">
        <f aca="false">F49*(1+N(H49)/100)*(1+N(I49)/100)^5</f>
        <v>397.500156359744</v>
      </c>
      <c r="BW49" s="16" t="n">
        <f aca="false">IF(N(G49)&gt;0,G49,F49)</f>
        <v>622.915</v>
      </c>
      <c r="BX49" s="12" t="n">
        <f aca="false">F49/BW49</f>
        <v>0.55719159114807</v>
      </c>
      <c r="BY49" s="13" t="n">
        <f aca="false">IF(ISNUMBER(K49),1,0)</f>
        <v>1</v>
      </c>
      <c r="BZ49" s="16" t="n">
        <f aca="false">IF(BY49=0,"",N(N49)+N(O49)+N(P49))</f>
        <v>61.6324480055869</v>
      </c>
      <c r="CA49" s="37" t="n">
        <f aca="false">IF(BY49=0,"",(N(Y49)*34.2+N(Z49)*38.6)/1000)</f>
        <v>0.337697939157694</v>
      </c>
      <c r="CB49" s="37" t="n">
        <f aca="false">IF(BY49=0,"",N(O49)*0.0036+N(R49)+N(V49)+(N(AA49)*25.3+N(AB49)*37)/1000)</f>
        <v>0.295610001561018</v>
      </c>
      <c r="CC49" s="37" t="n">
        <f aca="false">IF(BY49=0,"",N(N49)*0.0036+N(Q49)+N(U49)+N(T49)+N(X49)+N(AC49)*38/1000)</f>
        <v>0.416707474284279</v>
      </c>
      <c r="CD49" s="37" t="n">
        <f aca="false">IF(BY49=0,"",N(Q49)+N(R49)+N(S49)+N(T49)+N(U49)+N(V49)+N(W49)+N(X49)+(N(Y49)*34.2+N(Z49)*38.6+N(AA49)*25.3+N(AB49)*37+N(AC49)*38)/1000)</f>
        <v>1.06230990670017</v>
      </c>
      <c r="CE49" s="16" t="n">
        <f aca="false">IF(BY49=0,"",MAX(0,N(L49)-N(K49))+MAX(0,N(M49)-N(L49)))</f>
        <v>30.522</v>
      </c>
      <c r="CF49" s="16" t="n">
        <f aca="false">IF(BY49=0,"",N(Y49)*N(AD49)+N(Z49)*N(AE49)+N(AA49)*N(AF49)+N(AB49)*N(AG49)+N(AC49)*N(AH49)+N(U49)*N(AI49)+N(V49)*N(AJ49)+N(W49)*N(AK49)+N(X49)*N(AL49)+N(Q49)*N(AM49)+N(R49)*N(AN49)+N(S49)*N(AO49)+N(T49)*N(AP49))</f>
        <v>19.3379990930622</v>
      </c>
      <c r="CG49" s="16" t="n">
        <f aca="false">IF(AND(BY49=1,N(K49)&gt;0),K49,0)</f>
        <v>88.264</v>
      </c>
      <c r="CH49" s="16" t="n">
        <f aca="false">IF(CG49&gt;0,CF49*1000/CG49,"")</f>
        <v>219.092711559211</v>
      </c>
      <c r="CI49" s="16" t="n">
        <f aca="false">IF(BY49=0,"",N(AQ49)+p_road*(N(AR49)+N(AS49)+N(AT49)))</f>
        <v>3.26869931857327</v>
      </c>
      <c r="CJ49" s="16" t="n">
        <f aca="false">IF(CG49&gt;0,CI49*1000/CG49,"")</f>
        <v>37.0332108059149</v>
      </c>
      <c r="CK49" s="12" t="n">
        <f aca="false">IF(CH49="",1,MIN(p_idx_max,MAX(p_idx_min,CH49/p_fc_world)))</f>
        <v>1.36076221848936</v>
      </c>
      <c r="CL49" s="12" t="n">
        <f aca="false">IF(CJ49="",1,MIN(p_idx_max,MAX(p_idx_min,CJ49/p_cb_world)))</f>
        <v>0.70417667183059</v>
      </c>
      <c r="CM49" s="37" t="n">
        <f aca="false">p_b*(1-p_wb_idx+p_wb_idx*CK49)</f>
        <v>0.180981375059085</v>
      </c>
      <c r="CN49" s="37" t="n">
        <f aca="false">p_c*(1-p_wc_idx+p_wc_idx*CL49)</f>
        <v>0.090838790666146</v>
      </c>
      <c r="CO49" s="28" t="n">
        <f aca="false">IF(N(BR49)&gt;0,(N(BS49)+N(BT49)+N(BU49))/BR49,"")</f>
        <v>0.409018567639257</v>
      </c>
      <c r="CP49" s="16" t="n">
        <f aca="false">N(BS49)+N(BT49)+N(BU49)</f>
        <v>30.84</v>
      </c>
      <c r="CQ49" s="28" t="n">
        <f aca="false">IF(CP49&gt;0,N(BS49)/CP49,"")</f>
        <v>0.862516212710765</v>
      </c>
      <c r="CR49" s="28" t="n">
        <f aca="false">IF(CP49&gt;0,N(BT49)/CP49,"")</f>
        <v>0.132295719844358</v>
      </c>
      <c r="CS49" s="28" t="n">
        <f aca="false">IF(CP49&gt;0,N(BU49)/CP49,"")</f>
        <v>0.00518806744487678</v>
      </c>
      <c r="CT49" s="7" t="n">
        <f aca="false">1000*(p_sh_pv*p_cf_pv/p_capex_pv+(1-p_sh_pv)*p_cf_wind/p_capex_wind)*8760</f>
        <v>2301.28856624319</v>
      </c>
      <c r="CU49" s="13" t="n">
        <f aca="false">IF(AND(ISNUMBER(CO49),ISNUMBER(CQ49),BY49=1),1,0)</f>
        <v>1</v>
      </c>
      <c r="CV49" s="16" t="n">
        <f aca="false">IF(CU49=0,"",CQ49*p_hr_coal*N(AK49)+CR49*p_hr_gas*N(AO49)+CS49*p_hr_oil*N(AH49)/p_gj_l_oil)</f>
        <v>51.1262434379735</v>
      </c>
      <c r="CW49" s="37" t="n">
        <f aca="false">IF(CU49=0,"",CQ49*p_hr_coal*p_ef_coal+CR49*p_hr_gas*p_ef_gas+CS49*p_hr_oil*p_ef_oil)</f>
        <v>0.875820103761349</v>
      </c>
      <c r="CX49" s="16" t="n">
        <f aca="false">IF(CU49=0,"",CQ49*p_hr_coal*N(AW49)+CR49*p_hr_gas*N(AX49)+CS49*p_hr_oil*N(AY49)/p_gj_l_oil)</f>
        <v>20.5333055687944</v>
      </c>
      <c r="CY49" s="37" t="n">
        <f aca="false">IF(CU49=0,"",CO49*CW49)</f>
        <v>0.358226684350133</v>
      </c>
      <c r="CZ49" s="37" t="n">
        <f aca="false">IF(CU49=0,"",CT49*CO49*CV49/1000/1000-p_om_re)</f>
        <v>0.0331235865372494</v>
      </c>
      <c r="DA49" s="37" t="n">
        <f aca="false">IF(CU49=0,"",CT49*CO49*CX49/1000/1000)</f>
        <v>0.0193273794628482</v>
      </c>
      <c r="DB49" s="37" t="n">
        <f aca="false">IF(CU49=0,"",CT49*CO49*CW49/1000)</f>
        <v>0.82438297281817</v>
      </c>
      <c r="DC49" s="13" t="n">
        <f aca="false">IF(AND(CU49=1,ISNUMBER(AD49),ISNUMBER(AV49)),1,0)</f>
        <v>1</v>
      </c>
      <c r="DD49" s="7" t="n">
        <f aca="false">IF(DC49=0,"",p_ev_km*p_ice_l/100*AD49-p_ev_km*p_ev_kwh*AV49+p_ev_km*p_ev_maint)</f>
        <v>309.6558</v>
      </c>
      <c r="DE49" s="37" t="n">
        <f aca="false">IF(DC49=0,"",DD49/p_ev_prem)</f>
        <v>0.06193116</v>
      </c>
      <c r="DF49" s="37" t="n">
        <f aca="false">IF(DC49=0,"",p_ev_km*p_ice_l/100*N(AZ49)/p_ev_prem)</f>
        <v>0.0137412</v>
      </c>
      <c r="DG49" s="37" t="n">
        <f aca="false">IF(DC49=0,"",1000/p_ev_prem*(p_ev_km*p_ice_l/100*p_gj_l_gso*p_ef_gso-p_ev_km*p_ev_kwh/1000*CY49))</f>
        <v>0.339821090450928</v>
      </c>
      <c r="DH49" s="11" t="str">
        <f aca="false">IFERROR(IF(INDEX(Damodaran!$D:$D,MATCH(A49,Damodaran!$A:$A,0))="","",INDEX(Damodaran!$D:$D,MATCH(A49,Damodaran!$A:$A,0))),"")</f>
        <v/>
      </c>
      <c r="DI49" s="11" t="str">
        <f aca="false">IFERROR(IF(INDEX(Damodaran!$E:$E,MATCH(A49,Damodaran!$A:$A,0))="","",INDEX(Damodaran!$E:$E,MATCH(A49,Damodaran!$A:$A,0))),"")</f>
        <v/>
      </c>
      <c r="DJ49" s="11" t="str">
        <f aca="false">IFERROR(IF(INDEX(Damodaran!$G:$G,MATCH(A49,Damodaran!$A:$A,0))="","",INDEX(Damodaran!$G:$G,MATCH(A49,Damodaran!$A:$A,0))),"")</f>
        <v/>
      </c>
      <c r="DK49" s="11" t="str">
        <f aca="false">IF(ISNUMBER(BG49),(1+BG49/100)*(1+p_infl)-1,"")</f>
        <v/>
      </c>
      <c r="DL49" s="11" t="n">
        <f aca="false">IF(ISNUMBER(BH49),BH49/100,"")</f>
        <v>0.0575</v>
      </c>
      <c r="DM49" s="11" t="n">
        <f aca="false">IF(COUNT(DK49,DL49)=0,"",AVERAGE(DK49,DL49))</f>
        <v>0.0575</v>
      </c>
      <c r="DN49" s="11" t="str">
        <f aca="false">IF(OR(DH49="",DI49=""),"",p_dv*(p_rf+DH49)*(1-IF(DJ49="",p_tax_def,DJ49))+(1-p_dv)*(p_rf+p_beta*p_erp+p_lambda*DI49))</f>
        <v/>
      </c>
      <c r="DO49" s="13" t="n">
        <f aca="false">IF(AND(ISNUMBER(DM49),ISNUMBER(DN49)),1,0)</f>
        <v>0</v>
      </c>
      <c r="DP49" s="11" t="n">
        <f aca="false">IF(DO49=1,DM49,0)</f>
        <v>0</v>
      </c>
      <c r="DQ49" s="11" t="n">
        <f aca="false">IF(DO49=1,DN49,0)</f>
        <v>0</v>
      </c>
      <c r="DR49" s="11" t="str">
        <f aca="false">IF(DN49="","",DN49+p_shift)</f>
        <v/>
      </c>
      <c r="DS49" s="11" t="n">
        <f aca="false">IF(E49="AE",p_r_ae,IF(E49="China",p_r_chn,p_r_emdc))</f>
        <v>0.055</v>
      </c>
      <c r="DT49" s="11" t="n">
        <f aca="false">IF(E49="AE",p_rh_ae,IF(E49="China",p_rh_chn,p_rh_emdc))</f>
        <v>0.07</v>
      </c>
      <c r="DU49" s="11" t="n">
        <f aca="false">IF(AND(p_use_obs=1,ISNUMBER(DM49)),DM49,IF(AND(p_use_dam=1,ISNUMBER(DR49)),DR49,DS49))</f>
        <v>0.0575</v>
      </c>
      <c r="DV49" s="6" t="str">
        <f aca="false">IF(AND(p_use_obs=1,ISNUMBER(DM49)),"Observed (IRENA/Steffen)",IF(AND(p_use_dam=1,ISNUMBER(DR49)),"Damodaran (eq. 5)","Group default (IHLEG)"))</f>
        <v>Observed (IRENA/Steffen)</v>
      </c>
      <c r="DW49" s="11" t="n">
        <f aca="false">IF(p_basis=1,(1+DU49)/(1+p_infl)-1,DU49)</f>
        <v>0.0575</v>
      </c>
      <c r="DX49" s="11" t="n">
        <f aca="false">DW49+(DT49-DS49)</f>
        <v>0.0725</v>
      </c>
      <c r="DY49" s="28" t="n">
        <f aca="false">IF(AND(p_use_pefa=1,ISNUMBER(BD49)),p_gap_lic-(BD49-1)/3*(p_gap_lic-p_gap_ae),IF(E49="AE",p_gap_ae,IF(D49="Low income",p_gap_lic,p_gap_em)))*(1-p_reform*p_reform_close)</f>
        <v>0.13</v>
      </c>
      <c r="DZ49" s="6" t="str">
        <f aca="false">IF(AND(p_use_pefa=1,ISNUMBER(BD49)),"PEFA PI-11","Income-group default (IMF 2015)")</f>
        <v>Income-group default (IMF 2015)</v>
      </c>
      <c r="EA49" s="28" t="n">
        <f aca="false">IF(E49="AE",p_ps_ae,IF(E49="China",p_ps_chn,p_ps_emdc))</f>
        <v>0.3</v>
      </c>
      <c r="EB49" s="37" t="n">
        <f aca="false">(1-EA49)+EA49/(1-DY49)</f>
        <v>1.0448275862069</v>
      </c>
      <c r="EC49" s="16" t="n">
        <f aca="false">Results_Country!F49</f>
        <v>14.1623978236579</v>
      </c>
      <c r="ED49" s="16" t="n">
        <f aca="false">IF(CH49="",0,CH49*EC49)</f>
        <v>3102.87814136547</v>
      </c>
      <c r="EE49" s="16" t="n">
        <f aca="false">IF(CJ49="",0,CJ49*EC49)</f>
        <v>524.479064120753</v>
      </c>
      <c r="EF49" s="16" t="n">
        <f aca="false">IF(CH49="",0,EC49)</f>
        <v>14.1623978236579</v>
      </c>
    </row>
    <row r="50" customFormat="false" ht="15" hidden="false" customHeight="false" outlineLevel="0" collapsed="false">
      <c r="A50" s="35" t="s">
        <v>856</v>
      </c>
      <c r="B50" s="35" t="s">
        <v>857</v>
      </c>
      <c r="C50" s="35" t="s">
        <v>784</v>
      </c>
      <c r="D50" s="35" t="s">
        <v>760</v>
      </c>
      <c r="E50" s="35" t="s">
        <v>31</v>
      </c>
      <c r="F50" s="36" t="n">
        <v>330.21</v>
      </c>
      <c r="G50" s="36" t="n">
        <v>679.026</v>
      </c>
      <c r="H50" s="33" t="n">
        <v>2.292</v>
      </c>
      <c r="I50" s="33" t="n">
        <v>2.396</v>
      </c>
      <c r="J50" s="36" t="n">
        <v>19.764772</v>
      </c>
      <c r="K50" s="36" t="n">
        <v>93.038</v>
      </c>
      <c r="L50" s="36" t="n">
        <v>138.572</v>
      </c>
      <c r="M50" s="36" t="n">
        <v>81.712</v>
      </c>
      <c r="N50" s="36" t="n">
        <v>64.0419384904272</v>
      </c>
      <c r="O50" s="36" t="n">
        <v>15.937847067987</v>
      </c>
      <c r="P50" s="36" t="n">
        <v>1.29835710214767</v>
      </c>
      <c r="Q50" s="31" t="n">
        <v>0.0510574803010156</v>
      </c>
      <c r="R50" s="31" t="n">
        <v>0.028749240721123</v>
      </c>
      <c r="S50" s="31" t="n">
        <v>0.0637529095706023</v>
      </c>
      <c r="T50" s="31" t="n">
        <v>0.000327809129529767</v>
      </c>
      <c r="U50" s="31" t="n">
        <v>0.0112676631443397</v>
      </c>
      <c r="V50" s="31" t="n">
        <v>0.00192463770713748</v>
      </c>
      <c r="W50" s="31" t="n">
        <v>0.169991992098538</v>
      </c>
      <c r="X50" s="31" t="n">
        <v>0</v>
      </c>
      <c r="Y50" s="36" t="n">
        <v>4.67046658810428</v>
      </c>
      <c r="Z50" s="36" t="n">
        <v>10.4398335819381</v>
      </c>
      <c r="AA50" s="36" t="n">
        <v>2.82803653172084</v>
      </c>
      <c r="AB50" s="36" t="n">
        <v>0.598066957361558</v>
      </c>
      <c r="AC50" s="36" t="n">
        <v>2.70053398294833</v>
      </c>
      <c r="AD50" s="31" t="n">
        <v>0.89962</v>
      </c>
      <c r="AE50" s="31" t="n">
        <v>0.682448</v>
      </c>
      <c r="AF50" s="31" t="n">
        <v>0.596488</v>
      </c>
      <c r="AG50" s="31" t="n">
        <v>0.660358</v>
      </c>
      <c r="AH50" s="31" t="n">
        <v>0.519462891908447</v>
      </c>
      <c r="AI50" s="31" t="n">
        <v>8.794</v>
      </c>
      <c r="AJ50" s="31" t="n">
        <v>14.4109</v>
      </c>
      <c r="AK50" s="31" t="n">
        <v>3.853</v>
      </c>
      <c r="AL50" s="31" t="n">
        <v>4.26784810089643</v>
      </c>
      <c r="AM50" s="31" t="n">
        <v>13.977</v>
      </c>
      <c r="AN50" s="31" t="n">
        <v>38.95346</v>
      </c>
      <c r="AO50" s="31" t="n">
        <v>13.977</v>
      </c>
      <c r="AP50" s="31" t="n">
        <v>18.9787839829814</v>
      </c>
      <c r="AQ50" s="36" t="n">
        <v>5.33119633774949</v>
      </c>
      <c r="AR50" s="36" t="n">
        <v>1.89624006075593</v>
      </c>
      <c r="AS50" s="36" t="n">
        <v>0.763907729919327</v>
      </c>
      <c r="AT50" s="36" t="n">
        <v>1.2626809844713</v>
      </c>
      <c r="AU50" s="31" t="n">
        <v>0.642070644805046</v>
      </c>
      <c r="AV50" s="36" t="n">
        <v>0.21658</v>
      </c>
      <c r="AW50" s="31" t="n">
        <v>0.379918</v>
      </c>
      <c r="AX50" s="31" t="n">
        <v>0.046421</v>
      </c>
      <c r="AY50" s="31" t="n">
        <v>0.0394558761378743</v>
      </c>
      <c r="AZ50" s="31" t="n">
        <v>0.054724</v>
      </c>
      <c r="BA50" s="33" t="n">
        <v>41.65</v>
      </c>
      <c r="BB50" s="33" t="n">
        <v>3.195</v>
      </c>
      <c r="BC50" s="33" t="n">
        <v>106.026</v>
      </c>
      <c r="BD50" s="33"/>
      <c r="BE50" s="33"/>
      <c r="BF50" s="33" t="n">
        <v>0</v>
      </c>
      <c r="BG50" s="33"/>
      <c r="BH50" s="33" t="n">
        <v>6.03</v>
      </c>
      <c r="BI50" s="29" t="n">
        <v>2020</v>
      </c>
      <c r="BJ50" s="33" t="n">
        <v>1</v>
      </c>
      <c r="BK50" s="33"/>
      <c r="BL50" s="33"/>
      <c r="BM50" s="33"/>
      <c r="BN50" s="29"/>
      <c r="BO50" s="33"/>
      <c r="BP50" s="33"/>
      <c r="BQ50" s="29" t="n">
        <v>2025</v>
      </c>
      <c r="BR50" s="36" t="n">
        <v>88.5</v>
      </c>
      <c r="BS50" s="36" t="n">
        <v>15.72</v>
      </c>
      <c r="BT50" s="36" t="n">
        <v>13.54</v>
      </c>
      <c r="BU50" s="36" t="n">
        <v>0.5</v>
      </c>
      <c r="BV50" s="16" t="n">
        <f aca="false">F50*(1+N(H50)/100)*(1+N(I50)/100)^5</f>
        <v>380.230411499507</v>
      </c>
      <c r="BW50" s="16" t="n">
        <f aca="false">IF(N(G50)&gt;0,G50,F50)</f>
        <v>679.026</v>
      </c>
      <c r="BX50" s="12" t="n">
        <f aca="false">F50/BW50</f>
        <v>0.486299493686545</v>
      </c>
      <c r="BY50" s="13" t="n">
        <f aca="false">IF(ISNUMBER(K50),1,0)</f>
        <v>1</v>
      </c>
      <c r="BZ50" s="16" t="n">
        <f aca="false">IF(BY50=0,"",N(N50)+N(O50)+N(P50))</f>
        <v>81.2781426605619</v>
      </c>
      <c r="CA50" s="37" t="n">
        <f aca="false">IF(BY50=0,"",(N(Y50)*34.2+N(Z50)*38.6)/1000)</f>
        <v>0.562707533575977</v>
      </c>
      <c r="CB50" s="37" t="n">
        <f aca="false">IF(BY50=0,"",N(O50)*0.0036+N(R50)+N(V50)+(N(AA50)*25.3+N(AB50)*37)/1000)</f>
        <v>0.181727929547929</v>
      </c>
      <c r="CC50" s="37" t="n">
        <f aca="false">IF(BY50=0,"",N(N50)*0.0036+N(Q50)+N(U50)+N(T50)+N(X50)+N(AC50)*38/1000)</f>
        <v>0.395824222492459</v>
      </c>
      <c r="CD50" s="37" t="n">
        <f aca="false">IF(BY50=0,"",N(Q50)+N(R50)+N(S50)+N(T50)+N(U50)+N(V50)+N(W50)+N(X50)+(N(Y50)*34.2+N(Z50)*38.6+N(AA50)*25.3+N(AB50)*37+N(AC50)*38)/1000)</f>
        <v>1.08607735927521</v>
      </c>
      <c r="CE50" s="16" t="n">
        <f aca="false">IF(BY50=0,"",MAX(0,N(L50)-N(K50))+MAX(0,N(M50)-N(L50)))</f>
        <v>45.534</v>
      </c>
      <c r="CF50" s="16" t="n">
        <f aca="false">IF(BY50=0,"",N(Y50)*N(AD50)+N(Z50)*N(AE50)+N(AA50)*N(AF50)+N(AB50)*N(AG50)+N(AC50)*N(AH50)+N(U50)*N(AI50)+N(V50)*N(AJ50)+N(W50)*N(AK50)+N(X50)*N(AL50)+N(Q50)*N(AM50)+N(R50)*N(AN50)+N(S50)*N(AO50)+N(T50)*N(AP50))</f>
        <v>18.3235554204927</v>
      </c>
      <c r="CG50" s="16" t="n">
        <f aca="false">IF(AND(BY50=1,N(K50)&gt;0),K50,0)</f>
        <v>93.038</v>
      </c>
      <c r="CH50" s="16" t="n">
        <f aca="false">IF(CG50&gt;0,CF50*1000/CG50,"")</f>
        <v>196.947004670057</v>
      </c>
      <c r="CI50" s="16" t="n">
        <f aca="false">IF(BY50=0,"",N(AQ50)+p_road*(N(AR50)+N(AS50)+N(AT50)))</f>
        <v>5.33119633774949</v>
      </c>
      <c r="CJ50" s="16" t="n">
        <f aca="false">IF(CG50&gt;0,CI50*1000/CG50,"")</f>
        <v>57.301278378184</v>
      </c>
      <c r="CK50" s="12" t="n">
        <f aca="false">IF(CH50="",1,MIN(p_idx_max,MAX(p_idx_min,CH50/p_fc_world)))</f>
        <v>1.22321751870433</v>
      </c>
      <c r="CL50" s="12" t="n">
        <f aca="false">IF(CJ50="",1,MIN(p_idx_max,MAX(p_idx_min,CJ50/p_cb_world)))</f>
        <v>1.089568595914</v>
      </c>
      <c r="CM50" s="37" t="n">
        <f aca="false">p_b*(1-p_wb_idx+p_wb_idx*CK50)</f>
        <v>0.162687929987675</v>
      </c>
      <c r="CN50" s="37" t="n">
        <f aca="false">p_c*(1-p_wc_idx+p_wc_idx*CL50)</f>
        <v>0.140554348872906</v>
      </c>
      <c r="CO50" s="28" t="n">
        <f aca="false">IF(N(BR50)&gt;0,(N(BS50)+N(BT50)+N(BU50))/BR50,"")</f>
        <v>0.336271186440678</v>
      </c>
      <c r="CP50" s="16" t="n">
        <f aca="false">N(BS50)+N(BT50)+N(BU50)</f>
        <v>29.76</v>
      </c>
      <c r="CQ50" s="28" t="n">
        <f aca="false">IF(CP50&gt;0,N(BS50)/CP50,"")</f>
        <v>0.528225806451613</v>
      </c>
      <c r="CR50" s="28" t="n">
        <f aca="false">IF(CP50&gt;0,N(BT50)/CP50,"")</f>
        <v>0.45497311827957</v>
      </c>
      <c r="CS50" s="28" t="n">
        <f aca="false">IF(CP50&gt;0,N(BU50)/CP50,"")</f>
        <v>0.0168010752688172</v>
      </c>
      <c r="CT50" s="7" t="n">
        <f aca="false">1000*(p_sh_pv*p_cf_pv/p_capex_pv+(1-p_sh_pv)*p_cf_wind/p_capex_wind)*8760</f>
        <v>2301.28856624319</v>
      </c>
      <c r="CU50" s="13" t="n">
        <f aca="false">IF(AND(ISNUMBER(CO50),ISNUMBER(CQ50),BY50=1),1,0)</f>
        <v>1</v>
      </c>
      <c r="CV50" s="16" t="n">
        <f aca="false">IF(CU50=0,"",CQ50*p_hr_coal*N(AK50)+CR50*p_hr_gas*N(AO50)+CS50*p_hr_oil*N(AH50)/p_gj_l_oil)</f>
        <v>70.4203053203864</v>
      </c>
      <c r="CW50" s="37" t="n">
        <f aca="false">IF(CU50=0,"",CQ50*p_hr_coal*p_ef_coal+CR50*p_hr_gas*p_ef_gas+CS50*p_hr_oil*p_ef_oil)</f>
        <v>0.704785786290323</v>
      </c>
      <c r="CX50" s="16" t="n">
        <f aca="false">IF(CU50=0,"",CQ50*p_hr_coal*N(AW50)+CR50*p_hr_gas*N(AX50)+CS50*p_hr_oil*N(AY50)/p_gj_l_oil)</f>
        <v>2.34555007304885</v>
      </c>
      <c r="CY50" s="37" t="n">
        <f aca="false">IF(CU50=0,"",CO50*CW50)</f>
        <v>0.236999152542373</v>
      </c>
      <c r="CZ50" s="37" t="n">
        <f aca="false">IF(CU50=0,"",CT50*CO50*CV50/1000/1000-p_om_re)</f>
        <v>0.0394952487855724</v>
      </c>
      <c r="DA50" s="37" t="n">
        <f aca="false">IF(CU50=0,"",CT50*CO50*CX50/1000/1000)</f>
        <v>0.00181512042852235</v>
      </c>
      <c r="DB50" s="37" t="n">
        <f aca="false">IF(CU50=0,"",CT50*CO50*CW50/1000)</f>
        <v>0.545403439955089</v>
      </c>
      <c r="DC50" s="13" t="n">
        <f aca="false">IF(AND(CU50=1,ISNUMBER(AD50),ISNUMBER(AV50)),1,0)</f>
        <v>1</v>
      </c>
      <c r="DD50" s="7" t="n">
        <f aca="false">IF(DC50=0,"",p_ev_km*p_ice_l/100*AD50-p_ev_km*p_ev_kwh*AV50+p_ev_km*p_ev_maint)</f>
        <v>607.3065</v>
      </c>
      <c r="DE50" s="37" t="n">
        <f aca="false">IF(DC50=0,"",DD50/p_ev_prem)</f>
        <v>0.1214613</v>
      </c>
      <c r="DF50" s="37" t="n">
        <f aca="false">IF(DC50=0,"",p_ev_km*p_ice_l/100*N(AZ50)/p_ev_prem)</f>
        <v>0.0123129</v>
      </c>
      <c r="DG50" s="37" t="n">
        <f aca="false">IF(DC50=0,"",1000/p_ev_prem*(p_ev_km*p_ice_l/100*p_gj_l_gso*p_ef_gso-p_ev_km*p_ev_kwh/1000*CY50))</f>
        <v>0.405283957627119</v>
      </c>
      <c r="DH50" s="11" t="str">
        <f aca="false">IFERROR(IF(INDEX(Damodaran!$D:$D,MATCH(A50,Damodaran!$A:$A,0))="","",INDEX(Damodaran!$D:$D,MATCH(A50,Damodaran!$A:$A,0))),"")</f>
        <v/>
      </c>
      <c r="DI50" s="11" t="str">
        <f aca="false">IFERROR(IF(INDEX(Damodaran!$E:$E,MATCH(A50,Damodaran!$A:$A,0))="","",INDEX(Damodaran!$E:$E,MATCH(A50,Damodaran!$A:$A,0))),"")</f>
        <v/>
      </c>
      <c r="DJ50" s="11" t="str">
        <f aca="false">IFERROR(IF(INDEX(Damodaran!$G:$G,MATCH(A50,Damodaran!$A:$A,0))="","",INDEX(Damodaran!$G:$G,MATCH(A50,Damodaran!$A:$A,0))),"")</f>
        <v/>
      </c>
      <c r="DK50" s="11" t="str">
        <f aca="false">IF(ISNUMBER(BG50),(1+BG50/100)*(1+p_infl)-1,"")</f>
        <v/>
      </c>
      <c r="DL50" s="11" t="n">
        <f aca="false">IF(ISNUMBER(BH50),BH50/100,"")</f>
        <v>0.0603</v>
      </c>
      <c r="DM50" s="11" t="n">
        <f aca="false">IF(COUNT(DK50,DL50)=0,"",AVERAGE(DK50,DL50))</f>
        <v>0.0603</v>
      </c>
      <c r="DN50" s="11" t="str">
        <f aca="false">IF(OR(DH50="",DI50=""),"",p_dv*(p_rf+DH50)*(1-IF(DJ50="",p_tax_def,DJ50))+(1-p_dv)*(p_rf+p_beta*p_erp+p_lambda*DI50))</f>
        <v/>
      </c>
      <c r="DO50" s="13" t="n">
        <f aca="false">IF(AND(ISNUMBER(DM50),ISNUMBER(DN50)),1,0)</f>
        <v>0</v>
      </c>
      <c r="DP50" s="11" t="n">
        <f aca="false">IF(DO50=1,DM50,0)</f>
        <v>0</v>
      </c>
      <c r="DQ50" s="11" t="n">
        <f aca="false">IF(DO50=1,DN50,0)</f>
        <v>0</v>
      </c>
      <c r="DR50" s="11" t="str">
        <f aca="false">IF(DN50="","",DN50+p_shift)</f>
        <v/>
      </c>
      <c r="DS50" s="11" t="n">
        <f aca="false">IF(E50="AE",p_r_ae,IF(E50="China",p_r_chn,p_r_emdc))</f>
        <v>0.105</v>
      </c>
      <c r="DT50" s="11" t="n">
        <f aca="false">IF(E50="AE",p_rh_ae,IF(E50="China",p_rh_chn,p_rh_emdc))</f>
        <v>0.15</v>
      </c>
      <c r="DU50" s="11" t="n">
        <f aca="false">IF(AND(p_use_obs=1,ISNUMBER(DM50)),DM50,IF(AND(p_use_dam=1,ISNUMBER(DR50)),DR50,DS50))</f>
        <v>0.0603</v>
      </c>
      <c r="DV50" s="6" t="str">
        <f aca="false">IF(AND(p_use_obs=1,ISNUMBER(DM50)),"Observed (IRENA/Steffen)",IF(AND(p_use_dam=1,ISNUMBER(DR50)),"Damodaran (eq. 5)","Group default (IHLEG)"))</f>
        <v>Observed (IRENA/Steffen)</v>
      </c>
      <c r="DW50" s="11" t="n">
        <f aca="false">IF(p_basis=1,(1+DU50)/(1+p_infl)-1,DU50)</f>
        <v>0.0603</v>
      </c>
      <c r="DX50" s="11" t="n">
        <f aca="false">DW50+(DT50-DS50)</f>
        <v>0.1053</v>
      </c>
      <c r="DY50" s="28" t="n">
        <f aca="false">IF(AND(p_use_pefa=1,ISNUMBER(BD50)),p_gap_lic-(BD50-1)/3*(p_gap_lic-p_gap_ae),IF(E50="AE",p_gap_ae,IF(D50="Low income",p_gap_lic,p_gap_em)))*(1-p_reform*p_reform_close)</f>
        <v>0.27</v>
      </c>
      <c r="DZ50" s="6" t="str">
        <f aca="false">IF(AND(p_use_pefa=1,ISNUMBER(BD50)),"PEFA PI-11","Income-group default (IMF 2015)")</f>
        <v>Income-group default (IMF 2015)</v>
      </c>
      <c r="EA50" s="28" t="n">
        <f aca="false">IF(E50="AE",p_ps_ae,IF(E50="China",p_ps_chn,p_ps_emdc))</f>
        <v>0.4</v>
      </c>
      <c r="EB50" s="37" t="n">
        <f aca="false">(1-EA50)+EA50/(1-DY50)</f>
        <v>1.14794520547945</v>
      </c>
      <c r="EC50" s="16" t="n">
        <f aca="false">Results_Country!F50</f>
        <v>19.2672336690885</v>
      </c>
      <c r="ED50" s="16" t="n">
        <f aca="false">IF(CH50="",0,CH50*EC50)</f>
        <v>3794.62395940504</v>
      </c>
      <c r="EE50" s="16" t="n">
        <f aca="false">IF(CJ50="",0,CJ50*EC50)</f>
        <v>1104.03712004996</v>
      </c>
      <c r="EF50" s="16" t="n">
        <f aca="false">IF(CH50="",0,EC50)</f>
        <v>19.2672336690885</v>
      </c>
    </row>
    <row r="51" customFormat="false" ht="15" hidden="false" customHeight="false" outlineLevel="0" collapsed="false">
      <c r="A51" s="35" t="s">
        <v>858</v>
      </c>
      <c r="B51" s="35" t="s">
        <v>859</v>
      </c>
      <c r="C51" s="35" t="s">
        <v>766</v>
      </c>
      <c r="D51" s="35" t="s">
        <v>760</v>
      </c>
      <c r="E51" s="35" t="s">
        <v>29</v>
      </c>
      <c r="F51" s="36" t="n">
        <v>313.562</v>
      </c>
      <c r="G51" s="36" t="n">
        <v>516.808</v>
      </c>
      <c r="H51" s="33" t="n">
        <v>1.864</v>
      </c>
      <c r="I51" s="33" t="n">
        <v>1.93</v>
      </c>
      <c r="J51" s="36" t="n">
        <v>10.425292</v>
      </c>
      <c r="K51" s="36" t="n">
        <v>45.198</v>
      </c>
      <c r="L51" s="36" t="n">
        <v>62.361</v>
      </c>
      <c r="M51" s="36" t="n">
        <v>55.863</v>
      </c>
      <c r="N51" s="36" t="n">
        <v>40.1375090952085</v>
      </c>
      <c r="O51" s="36" t="n">
        <v>17.4676961180602</v>
      </c>
      <c r="P51" s="36" t="n">
        <v>0.569683031026805</v>
      </c>
      <c r="Q51" s="31" t="n">
        <v>0.0688157875969836</v>
      </c>
      <c r="R51" s="31" t="n">
        <v>0.039847238103584</v>
      </c>
      <c r="S51" s="31" t="n">
        <v>0.0544164450516942</v>
      </c>
      <c r="T51" s="31" t="n">
        <v>0.00116935649356099</v>
      </c>
      <c r="U51" s="31" t="n">
        <v>0.000517396331002458</v>
      </c>
      <c r="V51" s="31" t="n">
        <v>0</v>
      </c>
      <c r="W51" s="31" t="n">
        <v>0.0557562976367798</v>
      </c>
      <c r="X51" s="31" t="n">
        <v>0</v>
      </c>
      <c r="Y51" s="36" t="n">
        <v>1.39203163186669</v>
      </c>
      <c r="Z51" s="36" t="n">
        <v>5.77628061008195</v>
      </c>
      <c r="AA51" s="36" t="n">
        <v>0.849522516892973</v>
      </c>
      <c r="AB51" s="36" t="n">
        <v>0.150298112501537</v>
      </c>
      <c r="AC51" s="36" t="n">
        <v>1.02679954855464</v>
      </c>
      <c r="AD51" s="31" t="n">
        <v>0.890209</v>
      </c>
      <c r="AE51" s="31" t="n">
        <v>0.858774</v>
      </c>
      <c r="AF51" s="31" t="n">
        <v>0.595436</v>
      </c>
      <c r="AG51" s="31" t="n">
        <v>0.595588</v>
      </c>
      <c r="AH51" s="31" t="n">
        <v>0.519462891908447</v>
      </c>
      <c r="AI51" s="31" t="n">
        <v>8.81</v>
      </c>
      <c r="AJ51" s="31" t="n">
        <v>31.9431</v>
      </c>
      <c r="AK51" s="31" t="n">
        <v>4.039</v>
      </c>
      <c r="AL51" s="31" t="n">
        <v>4.08286592955184</v>
      </c>
      <c r="AM51" s="31" t="n">
        <v>14.363</v>
      </c>
      <c r="AN51" s="31" t="n">
        <v>32.19279</v>
      </c>
      <c r="AO51" s="31" t="n">
        <v>14.363</v>
      </c>
      <c r="AP51" s="31" t="n">
        <v>18.7195746454144</v>
      </c>
      <c r="AQ51" s="36" t="n">
        <v>0.140919442599096</v>
      </c>
      <c r="AR51" s="36" t="n">
        <v>0.0835634492024288</v>
      </c>
      <c r="AS51" s="36" t="n">
        <v>0.042101464597722</v>
      </c>
      <c r="AT51" s="36" t="n">
        <v>0.111937541084385</v>
      </c>
      <c r="AU51" s="31" t="n">
        <v>0.793912031086268</v>
      </c>
      <c r="AV51" s="36" t="n">
        <v>0.208128</v>
      </c>
      <c r="AW51" s="31" t="n">
        <v>1.086916</v>
      </c>
      <c r="AX51" s="31" t="n">
        <v>0.453177</v>
      </c>
      <c r="AY51" s="31" t="n">
        <v>0.0865389354305737</v>
      </c>
      <c r="AZ51" s="31" t="n">
        <v>0.020997</v>
      </c>
      <c r="BA51" s="33" t="n">
        <v>93.477</v>
      </c>
      <c r="BB51" s="33" t="n">
        <v>4.283</v>
      </c>
      <c r="BC51" s="33"/>
      <c r="BD51" s="33"/>
      <c r="BE51" s="33"/>
      <c r="BF51" s="33" t="n">
        <v>0</v>
      </c>
      <c r="BG51" s="33"/>
      <c r="BH51" s="33" t="n">
        <v>10.03</v>
      </c>
      <c r="BI51" s="29" t="n">
        <v>2020</v>
      </c>
      <c r="BJ51" s="33" t="n">
        <v>1</v>
      </c>
      <c r="BK51" s="33"/>
      <c r="BL51" s="33"/>
      <c r="BM51" s="33"/>
      <c r="BN51" s="29"/>
      <c r="BO51" s="33"/>
      <c r="BP51" s="33"/>
      <c r="BQ51" s="29" t="n">
        <v>2025</v>
      </c>
      <c r="BR51" s="36" t="n">
        <v>51.14</v>
      </c>
      <c r="BS51" s="36" t="n">
        <v>0</v>
      </c>
      <c r="BT51" s="36" t="n">
        <v>8.42</v>
      </c>
      <c r="BU51" s="36" t="n">
        <v>1.35</v>
      </c>
      <c r="BV51" s="16" t="n">
        <f aca="false">F51*(1+N(H51)/100)*(1+N(I51)/100)^5</f>
        <v>351.442494614824</v>
      </c>
      <c r="BW51" s="16" t="n">
        <f aca="false">IF(N(G51)&gt;0,G51,F51)</f>
        <v>516.808</v>
      </c>
      <c r="BX51" s="12" t="n">
        <f aca="false">F51/BW51</f>
        <v>0.6067282240213</v>
      </c>
      <c r="BY51" s="13" t="n">
        <f aca="false">IF(ISNUMBER(K51),1,0)</f>
        <v>1</v>
      </c>
      <c r="BZ51" s="16" t="n">
        <f aca="false">IF(BY51=0,"",N(N51)+N(O51)+N(P51))</f>
        <v>58.1748882442956</v>
      </c>
      <c r="CA51" s="37" t="n">
        <f aca="false">IF(BY51=0,"",(N(Y51)*34.2+N(Z51)*38.6)/1000)</f>
        <v>0.270571913359004</v>
      </c>
      <c r="CB51" s="37" t="n">
        <f aca="false">IF(BY51=0,"",N(O51)*0.0036+N(R51)+N(V51)+(N(AA51)*25.3+N(AB51)*37)/1000)</f>
        <v>0.12978489396855</v>
      </c>
      <c r="CC51" s="37" t="n">
        <f aca="false">IF(BY51=0,"",N(N51)*0.0036+N(Q51)+N(U51)+N(T51)+N(X51)+N(AC51)*38/1000)</f>
        <v>0.254015956009374</v>
      </c>
      <c r="CD51" s="37" t="n">
        <f aca="false">IF(BY51=0,"",N(Q51)+N(R51)+N(S51)+N(T51)+N(U51)+N(V51)+N(W51)+N(X51)+(N(Y51)*34.2+N(Z51)*38.6+N(AA51)*25.3+N(AB51)*37+N(AC51)*38)/1000)</f>
        <v>0.557166767257635</v>
      </c>
      <c r="CE51" s="16" t="n">
        <f aca="false">IF(BY51=0,"",MAX(0,N(L51)-N(K51))+MAX(0,N(M51)-N(L51)))</f>
        <v>17.163</v>
      </c>
      <c r="CF51" s="16" t="n">
        <f aca="false">IF(BY51=0,"",N(Y51)*N(AD51)+N(Z51)*N(AE51)+N(AA51)*N(AF51)+N(AB51)*N(AG51)+N(AC51)*N(AH51)+N(U51)*N(AI51)+N(V51)*N(AJ51)+N(W51)*N(AK51)+N(X51)*N(AL51)+N(Q51)*N(AM51)+N(R51)*N(AN51)+N(S51)*N(AO51)+N(T51)*N(AP51))</f>
        <v>10.6328811259957</v>
      </c>
      <c r="CG51" s="16" t="n">
        <f aca="false">IF(AND(BY51=1,N(K51)&gt;0),K51,0)</f>
        <v>45.198</v>
      </c>
      <c r="CH51" s="16" t="n">
        <f aca="false">IF(CG51&gt;0,CF51*1000/CG51,"")</f>
        <v>235.251142218587</v>
      </c>
      <c r="CI51" s="16" t="n">
        <f aca="false">IF(BY51=0,"",N(AQ51)+p_road*(N(AR51)+N(AS51)+N(AT51)))</f>
        <v>0.140919442599096</v>
      </c>
      <c r="CJ51" s="16" t="n">
        <f aca="false">IF(CG51&gt;0,CI51*1000/CG51,"")</f>
        <v>3.11782474001275</v>
      </c>
      <c r="CK51" s="12" t="n">
        <f aca="false">IF(CH51="",1,MIN(p_idx_max,MAX(p_idx_min,CH51/p_fc_world)))</f>
        <v>1.46112056357022</v>
      </c>
      <c r="CL51" s="12" t="n">
        <f aca="false">IF(CJ51="",1,MIN(p_idx_max,MAX(p_idx_min,CJ51/p_cb_world)))</f>
        <v>0.25</v>
      </c>
      <c r="CM51" s="37" t="n">
        <f aca="false">p_b*(1-p_wb_idx+p_wb_idx*CK51)</f>
        <v>0.194329034954839</v>
      </c>
      <c r="CN51" s="37" t="n">
        <f aca="false">p_c*(1-p_wc_idx+p_wc_idx*CL51)</f>
        <v>0.03225</v>
      </c>
      <c r="CO51" s="28" t="n">
        <f aca="false">IF(N(BR51)&gt;0,(N(BS51)+N(BT51)+N(BU51))/BR51,"")</f>
        <v>0.191044192412984</v>
      </c>
      <c r="CP51" s="16" t="n">
        <f aca="false">N(BS51)+N(BT51)+N(BU51)</f>
        <v>9.77</v>
      </c>
      <c r="CQ51" s="28" t="n">
        <f aca="false">IF(CP51&gt;0,N(BS51)/CP51,"")</f>
        <v>0</v>
      </c>
      <c r="CR51" s="28" t="n">
        <f aca="false">IF(CP51&gt;0,N(BT51)/CP51,"")</f>
        <v>0.861821903787103</v>
      </c>
      <c r="CS51" s="28" t="n">
        <f aca="false">IF(CP51&gt;0,N(BU51)/CP51,"")</f>
        <v>0.138178096212897</v>
      </c>
      <c r="CT51" s="7" t="n">
        <f aca="false">1000*(p_sh_pv*p_cf_pv/p_capex_pv+(1-p_sh_pv)*p_cf_wind/p_capex_wind)*8760</f>
        <v>2301.28856624319</v>
      </c>
      <c r="CU51" s="13" t="n">
        <f aca="false">IF(AND(ISNUMBER(CO51),ISNUMBER(CQ51),BY51=1),1,0)</f>
        <v>1</v>
      </c>
      <c r="CV51" s="16" t="n">
        <f aca="false">IF(CU51=0,"",CQ51*p_hr_coal*N(AK51)+CR51*p_hr_gas*N(AO51)+CS51*p_hr_oil*N(AH51)/p_gj_l_oil)</f>
        <v>112.36282068615</v>
      </c>
      <c r="CW51" s="37" t="n">
        <f aca="false">IF(CU51=0,"",CQ51*p_hr_coal*p_ef_coal+CR51*p_hr_gas*p_ef_gas+CS51*p_hr_oil*p_ef_oil)</f>
        <v>0.474908904810645</v>
      </c>
      <c r="CX51" s="16" t="n">
        <f aca="false">IF(CU51=0,"",CQ51*p_hr_coal*N(AW51)+CR51*p_hr_gas*N(AX51)+CS51*p_hr_oil*N(AY51)/p_gj_l_oil)</f>
        <v>6.18194943057786</v>
      </c>
      <c r="CY51" s="37" t="n">
        <f aca="false">IF(CU51=0,"",CO51*CW51)</f>
        <v>0.0907285881892843</v>
      </c>
      <c r="CZ51" s="37" t="n">
        <f aca="false">IF(CU51=0,"",CT51*CO51*CV51/1000/1000-p_om_re)</f>
        <v>0.0344000686746199</v>
      </c>
      <c r="DA51" s="37" t="n">
        <f aca="false">IF(CU51=0,"",CT51*CO51*CX51/1000/1000)</f>
        <v>0.00271788056359479</v>
      </c>
      <c r="DB51" s="37" t="n">
        <f aca="false">IF(CU51=0,"",CT51*CO51*CW51/1000)</f>
        <v>0.208792662631387</v>
      </c>
      <c r="DC51" s="13" t="n">
        <f aca="false">IF(AND(CU51=1,ISNUMBER(AD51),ISNUMBER(AV51)),1,0)</f>
        <v>1</v>
      </c>
      <c r="DD51" s="7" t="n">
        <f aca="false">IF(DC51=0,"",p_ev_km*p_ice_l/100*AD51-p_ev_km*p_ev_kwh*AV51+p_ev_km*p_ev_maint)</f>
        <v>619.539525</v>
      </c>
      <c r="DE51" s="37" t="n">
        <f aca="false">IF(DC51=0,"",DD51/p_ev_prem)</f>
        <v>0.123907905</v>
      </c>
      <c r="DF51" s="37" t="n">
        <f aca="false">IF(DC51=0,"",p_ev_km*p_ice_l/100*N(AZ51)/p_ev_prem)</f>
        <v>0.004724325</v>
      </c>
      <c r="DG51" s="37" t="n">
        <f aca="false">IF(DC51=0,"",1000/p_ev_prem*(p_ev_km*p_ice_l/100*p_gj_l_gso*p_ef_gso-p_ev_km*p_ev_kwh/1000*CY51))</f>
        <v>0.484270062377786</v>
      </c>
      <c r="DH51" s="11" t="str">
        <f aca="false">IFERROR(IF(INDEX(Damodaran!$D:$D,MATCH(A51,Damodaran!$A:$A,0))="","",INDEX(Damodaran!$D:$D,MATCH(A51,Damodaran!$A:$A,0))),"")</f>
        <v/>
      </c>
      <c r="DI51" s="11" t="str">
        <f aca="false">IFERROR(IF(INDEX(Damodaran!$E:$E,MATCH(A51,Damodaran!$A:$A,0))="","",INDEX(Damodaran!$E:$E,MATCH(A51,Damodaran!$A:$A,0))),"")</f>
        <v/>
      </c>
      <c r="DJ51" s="11" t="str">
        <f aca="false">IFERROR(IF(INDEX(Damodaran!$G:$G,MATCH(A51,Damodaran!$A:$A,0))="","",INDEX(Damodaran!$G:$G,MATCH(A51,Damodaran!$A:$A,0))),"")</f>
        <v/>
      </c>
      <c r="DK51" s="11" t="str">
        <f aca="false">IF(ISNUMBER(BG51),(1+BG51/100)*(1+p_infl)-1,"")</f>
        <v/>
      </c>
      <c r="DL51" s="11" t="n">
        <f aca="false">IF(ISNUMBER(BH51),BH51/100,"")</f>
        <v>0.1003</v>
      </c>
      <c r="DM51" s="11" t="n">
        <f aca="false">IF(COUNT(DK51,DL51)=0,"",AVERAGE(DK51,DL51))</f>
        <v>0.1003</v>
      </c>
      <c r="DN51" s="11" t="str">
        <f aca="false">IF(OR(DH51="",DI51=""),"",p_dv*(p_rf+DH51)*(1-IF(DJ51="",p_tax_def,DJ51))+(1-p_dv)*(p_rf+p_beta*p_erp+p_lambda*DI51))</f>
        <v/>
      </c>
      <c r="DO51" s="13" t="n">
        <f aca="false">IF(AND(ISNUMBER(DM51),ISNUMBER(DN51)),1,0)</f>
        <v>0</v>
      </c>
      <c r="DP51" s="11" t="n">
        <f aca="false">IF(DO51=1,DM51,0)</f>
        <v>0</v>
      </c>
      <c r="DQ51" s="11" t="n">
        <f aca="false">IF(DO51=1,DN51,0)</f>
        <v>0</v>
      </c>
      <c r="DR51" s="11" t="str">
        <f aca="false">IF(DN51="","",DN51+p_shift)</f>
        <v/>
      </c>
      <c r="DS51" s="11" t="n">
        <f aca="false">IF(E51="AE",p_r_ae,IF(E51="China",p_r_chn,p_r_emdc))</f>
        <v>0.055</v>
      </c>
      <c r="DT51" s="11" t="n">
        <f aca="false">IF(E51="AE",p_rh_ae,IF(E51="China",p_rh_chn,p_rh_emdc))</f>
        <v>0.07</v>
      </c>
      <c r="DU51" s="11" t="n">
        <f aca="false">IF(AND(p_use_obs=1,ISNUMBER(DM51)),DM51,IF(AND(p_use_dam=1,ISNUMBER(DR51)),DR51,DS51))</f>
        <v>0.1003</v>
      </c>
      <c r="DV51" s="6" t="str">
        <f aca="false">IF(AND(p_use_obs=1,ISNUMBER(DM51)),"Observed (IRENA/Steffen)",IF(AND(p_use_dam=1,ISNUMBER(DR51)),"Damodaran (eq. 5)","Group default (IHLEG)"))</f>
        <v>Observed (IRENA/Steffen)</v>
      </c>
      <c r="DW51" s="11" t="n">
        <f aca="false">IF(p_basis=1,(1+DU51)/(1+p_infl)-1,DU51)</f>
        <v>0.1003</v>
      </c>
      <c r="DX51" s="11" t="n">
        <f aca="false">DW51+(DT51-DS51)</f>
        <v>0.1153</v>
      </c>
      <c r="DY51" s="28" t="n">
        <f aca="false">IF(AND(p_use_pefa=1,ISNUMBER(BD51)),p_gap_lic-(BD51-1)/3*(p_gap_lic-p_gap_ae),IF(E51="AE",p_gap_ae,IF(D51="Low income",p_gap_lic,p_gap_em)))*(1-p_reform*p_reform_close)</f>
        <v>0.13</v>
      </c>
      <c r="DZ51" s="6" t="str">
        <f aca="false">IF(AND(p_use_pefa=1,ISNUMBER(BD51)),"PEFA PI-11","Income-group default (IMF 2015)")</f>
        <v>Income-group default (IMF 2015)</v>
      </c>
      <c r="EA51" s="28" t="n">
        <f aca="false">IF(E51="AE",p_ps_ae,IF(E51="China",p_ps_chn,p_ps_emdc))</f>
        <v>0.3</v>
      </c>
      <c r="EB51" s="37" t="n">
        <f aca="false">(1-EA51)+EA51/(1-DY51)</f>
        <v>1.0448275862069</v>
      </c>
      <c r="EC51" s="16" t="n">
        <f aca="false">Results_Country!F51</f>
        <v>11.985856837287</v>
      </c>
      <c r="ED51" s="16" t="n">
        <f aca="false">IF(CH51="",0,CH51*EC51)</f>
        <v>2819.68651144022</v>
      </c>
      <c r="EE51" s="16" t="n">
        <f aca="false">IF(CJ51="",0,CJ51*EC51)</f>
        <v>37.3698009775443</v>
      </c>
      <c r="EF51" s="16" t="n">
        <f aca="false">IF(CH51="",0,EC51)</f>
        <v>11.985856837287</v>
      </c>
    </row>
    <row r="52" customFormat="false" ht="15" hidden="false" customHeight="false" outlineLevel="0" collapsed="false">
      <c r="A52" s="35" t="s">
        <v>860</v>
      </c>
      <c r="B52" s="35" t="s">
        <v>861</v>
      </c>
      <c r="C52" s="35" t="s">
        <v>766</v>
      </c>
      <c r="D52" s="35" t="s">
        <v>760</v>
      </c>
      <c r="E52" s="35" t="s">
        <v>29</v>
      </c>
      <c r="F52" s="36" t="n">
        <v>298.639</v>
      </c>
      <c r="G52" s="36" t="n">
        <v>361.15</v>
      </c>
      <c r="H52" s="33" t="n">
        <v>0.173</v>
      </c>
      <c r="I52" s="33" t="n">
        <v>1.047</v>
      </c>
      <c r="J52" s="36" t="n">
        <v>5.61731</v>
      </c>
      <c r="K52" s="36" t="n">
        <v>37.015</v>
      </c>
      <c r="L52" s="36" t="n">
        <v>47.19</v>
      </c>
      <c r="M52" s="36" t="n">
        <v>45.832</v>
      </c>
      <c r="N52" s="36" t="n">
        <v>60.3553892755392</v>
      </c>
      <c r="O52" s="36" t="n">
        <v>25.7317404501419</v>
      </c>
      <c r="P52" s="36" t="n">
        <v>0.983155391957165</v>
      </c>
      <c r="Q52" s="31" t="n">
        <v>0.0588152363999761</v>
      </c>
      <c r="R52" s="31" t="n">
        <v>0.00451395672781718</v>
      </c>
      <c r="S52" s="31" t="n">
        <v>0.0145370290353963</v>
      </c>
      <c r="T52" s="31" t="n">
        <v>0.00102895719096212</v>
      </c>
      <c r="U52" s="31" t="n">
        <v>0.0477315364561723</v>
      </c>
      <c r="V52" s="31" t="n">
        <v>0.00221383050067676</v>
      </c>
      <c r="W52" s="31" t="n">
        <v>0.00728026275732112</v>
      </c>
      <c r="X52" s="31" t="n">
        <v>0</v>
      </c>
      <c r="Y52" s="36" t="n">
        <v>1.77430637818225</v>
      </c>
      <c r="Z52" s="36" t="n">
        <v>4.64747944852684</v>
      </c>
      <c r="AA52" s="36" t="n">
        <v>0.681849967617667</v>
      </c>
      <c r="AB52" s="36" t="n">
        <v>0.0342109836738472</v>
      </c>
      <c r="AC52" s="36" t="n">
        <v>0.988528216155337</v>
      </c>
      <c r="AD52" s="31" t="n">
        <v>0.883232</v>
      </c>
      <c r="AE52" s="31" t="n">
        <v>0.815444</v>
      </c>
      <c r="AF52" s="31" t="n">
        <v>0.514954</v>
      </c>
      <c r="AG52" s="31" t="n">
        <v>0.591</v>
      </c>
      <c r="AH52" s="31" t="n">
        <v>0.519609990231101</v>
      </c>
      <c r="AI52" s="31" t="n">
        <v>25.12</v>
      </c>
      <c r="AJ52" s="31" t="n">
        <v>13.6586</v>
      </c>
      <c r="AK52" s="31" t="n">
        <v>8.828</v>
      </c>
      <c r="AL52" s="31" t="n">
        <v>22.6039309158868</v>
      </c>
      <c r="AM52" s="31" t="n">
        <v>20.216</v>
      </c>
      <c r="AN52" s="31" t="n">
        <v>30.06628</v>
      </c>
      <c r="AO52" s="31" t="n">
        <v>20.216</v>
      </c>
      <c r="AP52" s="31" t="n">
        <v>20.7870272881057</v>
      </c>
      <c r="AQ52" s="36" t="n">
        <v>0.0880118300678887</v>
      </c>
      <c r="AR52" s="36" t="n">
        <v>0.201591070809939</v>
      </c>
      <c r="AS52" s="36" t="n">
        <v>0.0354191647738359</v>
      </c>
      <c r="AT52" s="36" t="n">
        <v>0</v>
      </c>
      <c r="AU52" s="31" t="n">
        <v>0.683823354842496</v>
      </c>
      <c r="AV52" s="36" t="n">
        <v>0.258614</v>
      </c>
      <c r="AW52" s="31" t="n">
        <v>0.769747</v>
      </c>
      <c r="AX52" s="31" t="n">
        <v>0.026391</v>
      </c>
      <c r="AY52" s="31" t="n">
        <v>0.0403814740495341</v>
      </c>
      <c r="AZ52" s="31" t="n">
        <v>0.009783</v>
      </c>
      <c r="BA52" s="33" t="n">
        <v>82.447</v>
      </c>
      <c r="BB52" s="33" t="n">
        <v>0.159</v>
      </c>
      <c r="BC52" s="33"/>
      <c r="BD52" s="33"/>
      <c r="BE52" s="33"/>
      <c r="BF52" s="33" t="n">
        <v>0</v>
      </c>
      <c r="BG52" s="33"/>
      <c r="BH52" s="33" t="n">
        <v>3.69</v>
      </c>
      <c r="BI52" s="29" t="n">
        <v>2020</v>
      </c>
      <c r="BJ52" s="33" t="n">
        <v>1</v>
      </c>
      <c r="BK52" s="33"/>
      <c r="BL52" s="33"/>
      <c r="BM52" s="33"/>
      <c r="BN52" s="29"/>
      <c r="BO52" s="33"/>
      <c r="BP52" s="33"/>
      <c r="BQ52" s="29" t="n">
        <v>2025</v>
      </c>
      <c r="BR52" s="36" t="n">
        <v>82.3</v>
      </c>
      <c r="BS52" s="36" t="n">
        <v>0.16</v>
      </c>
      <c r="BT52" s="36" t="n">
        <v>0.95</v>
      </c>
      <c r="BU52" s="36" t="n">
        <v>1.9</v>
      </c>
      <c r="BV52" s="16" t="n">
        <f aca="false">F52*(1+N(H52)/100)*(1+N(I52)/100)^5</f>
        <v>315.14783213489</v>
      </c>
      <c r="BW52" s="16" t="n">
        <f aca="false">IF(N(G52)&gt;0,G52,F52)</f>
        <v>361.15</v>
      </c>
      <c r="BX52" s="12" t="n">
        <f aca="false">F52/BW52</f>
        <v>0.826911255710924</v>
      </c>
      <c r="BY52" s="13" t="n">
        <f aca="false">IF(ISNUMBER(K52),1,0)</f>
        <v>1</v>
      </c>
      <c r="BZ52" s="16" t="n">
        <f aca="false">IF(BY52=0,"",N(N52)+N(O52)+N(P52))</f>
        <v>87.0702851176383</v>
      </c>
      <c r="CA52" s="37" t="n">
        <f aca="false">IF(BY52=0,"",(N(Y52)*34.2+N(Z52)*38.6)/1000)</f>
        <v>0.240073984846969</v>
      </c>
      <c r="CB52" s="37" t="n">
        <f aca="false">IF(BY52=0,"",N(O52)*0.0036+N(R52)+N(V52)+(N(AA52)*25.3+N(AB52)*37)/1000)</f>
        <v>0.117878663425664</v>
      </c>
      <c r="CC52" s="37" t="n">
        <f aca="false">IF(BY52=0,"",N(N52)*0.0036+N(Q52)+N(U52)+N(T52)+N(X52)+N(AC52)*38/1000)</f>
        <v>0.362419203652954</v>
      </c>
      <c r="CD52" s="37" t="n">
        <f aca="false">IF(BY52=0,"",N(Q52)+N(R52)+N(S52)+N(T52)+N(U52)+N(V52)+N(W52)+N(X52)+(N(Y52)*34.2+N(Z52)*38.6+N(AA52)*25.3+N(AB52)*37+N(AC52)*38)/1000)</f>
        <v>0.432275476705853</v>
      </c>
      <c r="CE52" s="16" t="n">
        <f aca="false">IF(BY52=0,"",MAX(0,N(L52)-N(K52))+MAX(0,N(M52)-N(L52)))</f>
        <v>10.175</v>
      </c>
      <c r="CF52" s="16" t="n">
        <f aca="false">IF(BY52=0,"",N(Y52)*N(AD52)+N(Z52)*N(AE52)+N(AA52)*N(AF52)+N(AB52)*N(AG52)+N(AC52)*N(AH52)+N(U52)*N(AI52)+N(V52)*N(AJ52)+N(W52)*N(AK52)+N(X52)*N(AL52)+N(Q52)*N(AM52)+N(R52)*N(AN52)+N(S52)*N(AO52)+N(T52)*N(AP52))</f>
        <v>9.17539302556662</v>
      </c>
      <c r="CG52" s="16" t="n">
        <f aca="false">IF(AND(BY52=1,N(K52)&gt;0),K52,0)</f>
        <v>37.015</v>
      </c>
      <c r="CH52" s="16" t="n">
        <f aca="false">IF(CG52&gt;0,CF52*1000/CG52,"")</f>
        <v>247.88310213607</v>
      </c>
      <c r="CI52" s="16" t="n">
        <f aca="false">IF(BY52=0,"",N(AQ52)+p_road*(N(AR52)+N(AS52)+N(AT52)))</f>
        <v>0.0880118300678887</v>
      </c>
      <c r="CJ52" s="16" t="n">
        <f aca="false">IF(CG52&gt;0,CI52*1000/CG52,"")</f>
        <v>2.37773416366037</v>
      </c>
      <c r="CK52" s="12" t="n">
        <f aca="false">IF(CH52="",1,MIN(p_idx_max,MAX(p_idx_min,CH52/p_fc_world)))</f>
        <v>1.53957636284739</v>
      </c>
      <c r="CL52" s="12" t="n">
        <f aca="false">IF(CJ52="",1,MIN(p_idx_max,MAX(p_idx_min,CJ52/p_cb_world)))</f>
        <v>0.25</v>
      </c>
      <c r="CM52" s="37" t="n">
        <f aca="false">p_b*(1-p_wb_idx+p_wb_idx*CK52)</f>
        <v>0.204763656258703</v>
      </c>
      <c r="CN52" s="37" t="n">
        <f aca="false">p_c*(1-p_wc_idx+p_wc_idx*CL52)</f>
        <v>0.03225</v>
      </c>
      <c r="CO52" s="28" t="n">
        <f aca="false">IF(N(BR52)&gt;0,(N(BS52)+N(BT52)+N(BU52))/BR52,"")</f>
        <v>0.0365735115431349</v>
      </c>
      <c r="CP52" s="16" t="n">
        <f aca="false">N(BS52)+N(BT52)+N(BU52)</f>
        <v>3.01</v>
      </c>
      <c r="CQ52" s="28" t="n">
        <f aca="false">IF(CP52&gt;0,N(BS52)/CP52,"")</f>
        <v>0.053156146179402</v>
      </c>
      <c r="CR52" s="28" t="n">
        <f aca="false">IF(CP52&gt;0,N(BT52)/CP52,"")</f>
        <v>0.315614617940199</v>
      </c>
      <c r="CS52" s="28" t="n">
        <f aca="false">IF(CP52&gt;0,N(BU52)/CP52,"")</f>
        <v>0.631229235880399</v>
      </c>
      <c r="CT52" s="7" t="n">
        <f aca="false">1000*(p_sh_pv*p_cf_pv/p_capex_pv+(1-p_sh_pv)*p_cf_wind/p_capex_wind)*8760</f>
        <v>2301.28856624319</v>
      </c>
      <c r="CU52" s="13" t="n">
        <f aca="false">IF(AND(ISNUMBER(CO52),ISNUMBER(CQ52),BY52=1),1,0)</f>
        <v>1</v>
      </c>
      <c r="CV52" s="16" t="n">
        <f aca="false">IF(CU52=0,"",CQ52*p_hr_coal*N(AK52)+CR52*p_hr_gas*N(AO52)+CS52*p_hr_oil*N(AH52)/p_gj_l_oil)</f>
        <v>141.767011387865</v>
      </c>
      <c r="CW52" s="37" t="n">
        <f aca="false">IF(CU52=0,"",CQ52*p_hr_coal*p_ef_coal+CR52*p_hr_gas*p_ef_gas+CS52*p_hr_oil*p_ef_oil)</f>
        <v>0.696080564784053</v>
      </c>
      <c r="CX52" s="16" t="n">
        <f aca="false">IF(CU52=0,"",CQ52*p_hr_coal*N(AW52)+CR52*p_hr_gas*N(AX52)+CS52*p_hr_oil*N(AY52)/p_gj_l_oil)</f>
        <v>7.40543754654782</v>
      </c>
      <c r="CY52" s="37" t="n">
        <f aca="false">IF(CU52=0,"",CO52*CW52)</f>
        <v>0.0254581105710814</v>
      </c>
      <c r="CZ52" s="37" t="n">
        <f aca="false">IF(CU52=0,"",CT52*CO52*CV52/1000/1000-p_om_re)</f>
        <v>-0.00306800880734072</v>
      </c>
      <c r="DA52" s="37" t="n">
        <f aca="false">IF(CU52=0,"",CT52*CO52*CX52/1000/1000)</f>
        <v>0.000623287566819375</v>
      </c>
      <c r="DB52" s="37" t="n">
        <f aca="false">IF(CU52=0,"",CT52*CO52*CW52/1000)</f>
        <v>0.0585864587753846</v>
      </c>
      <c r="DC52" s="13" t="n">
        <f aca="false">IF(AND(CU52=1,ISNUMBER(AD52),ISNUMBER(AV52)),1,0)</f>
        <v>1</v>
      </c>
      <c r="DD52" s="7" t="n">
        <f aca="false">IF(DC52=0,"",p_ev_km*p_ice_l/100*AD52-p_ev_km*p_ev_kwh*AV52+p_ev_km*p_ev_maint)</f>
        <v>475.3782</v>
      </c>
      <c r="DE52" s="37" t="n">
        <f aca="false">IF(DC52=0,"",DD52/p_ev_prem)</f>
        <v>0.09507564</v>
      </c>
      <c r="DF52" s="37" t="n">
        <f aca="false">IF(DC52=0,"",p_ev_km*p_ice_l/100*N(AZ52)/p_ev_prem)</f>
        <v>0.002201175</v>
      </c>
      <c r="DG52" s="37" t="n">
        <f aca="false">IF(DC52=0,"",1000/p_ev_prem*(p_ev_km*p_ice_l/100*p_gj_l_gso*p_ef_gso-p_ev_km*p_ev_kwh/1000*CY52))</f>
        <v>0.519516120291616</v>
      </c>
      <c r="DH52" s="11" t="str">
        <f aca="false">IFERROR(IF(INDEX(Damodaran!$D:$D,MATCH(A52,Damodaran!$A:$A,0))="","",INDEX(Damodaran!$D:$D,MATCH(A52,Damodaran!$A:$A,0))),"")</f>
        <v/>
      </c>
      <c r="DI52" s="11" t="str">
        <f aca="false">IFERROR(IF(INDEX(Damodaran!$E:$E,MATCH(A52,Damodaran!$A:$A,0))="","",INDEX(Damodaran!$E:$E,MATCH(A52,Damodaran!$A:$A,0))),"")</f>
        <v/>
      </c>
      <c r="DJ52" s="11" t="str">
        <f aca="false">IFERROR(IF(INDEX(Damodaran!$G:$G,MATCH(A52,Damodaran!$A:$A,0))="","",INDEX(Damodaran!$G:$G,MATCH(A52,Damodaran!$A:$A,0))),"")</f>
        <v/>
      </c>
      <c r="DK52" s="11" t="str">
        <f aca="false">IF(ISNUMBER(BG52),(1+BG52/100)*(1+p_infl)-1,"")</f>
        <v/>
      </c>
      <c r="DL52" s="11" t="n">
        <f aca="false">IF(ISNUMBER(BH52),BH52/100,"")</f>
        <v>0.0369</v>
      </c>
      <c r="DM52" s="11" t="n">
        <f aca="false">IF(COUNT(DK52,DL52)=0,"",AVERAGE(DK52,DL52))</f>
        <v>0.0369</v>
      </c>
      <c r="DN52" s="11" t="str">
        <f aca="false">IF(OR(DH52="",DI52=""),"",p_dv*(p_rf+DH52)*(1-IF(DJ52="",p_tax_def,DJ52))+(1-p_dv)*(p_rf+p_beta*p_erp+p_lambda*DI52))</f>
        <v/>
      </c>
      <c r="DO52" s="13" t="n">
        <f aca="false">IF(AND(ISNUMBER(DM52),ISNUMBER(DN52)),1,0)</f>
        <v>0</v>
      </c>
      <c r="DP52" s="11" t="n">
        <f aca="false">IF(DO52=1,DM52,0)</f>
        <v>0</v>
      </c>
      <c r="DQ52" s="11" t="n">
        <f aca="false">IF(DO52=1,DN52,0)</f>
        <v>0</v>
      </c>
      <c r="DR52" s="11" t="str">
        <f aca="false">IF(DN52="","",DN52+p_shift)</f>
        <v/>
      </c>
      <c r="DS52" s="11" t="n">
        <f aca="false">IF(E52="AE",p_r_ae,IF(E52="China",p_r_chn,p_r_emdc))</f>
        <v>0.055</v>
      </c>
      <c r="DT52" s="11" t="n">
        <f aca="false">IF(E52="AE",p_rh_ae,IF(E52="China",p_rh_chn,p_rh_emdc))</f>
        <v>0.07</v>
      </c>
      <c r="DU52" s="11" t="n">
        <f aca="false">IF(AND(p_use_obs=1,ISNUMBER(DM52)),DM52,IF(AND(p_use_dam=1,ISNUMBER(DR52)),DR52,DS52))</f>
        <v>0.0369</v>
      </c>
      <c r="DV52" s="6" t="str">
        <f aca="false">IF(AND(p_use_obs=1,ISNUMBER(DM52)),"Observed (IRENA/Steffen)",IF(AND(p_use_dam=1,ISNUMBER(DR52)),"Damodaran (eq. 5)","Group default (IHLEG)"))</f>
        <v>Observed (IRENA/Steffen)</v>
      </c>
      <c r="DW52" s="11" t="n">
        <f aca="false">IF(p_basis=1,(1+DU52)/(1+p_infl)-1,DU52)</f>
        <v>0.0369</v>
      </c>
      <c r="DX52" s="11" t="n">
        <f aca="false">DW52+(DT52-DS52)</f>
        <v>0.0519</v>
      </c>
      <c r="DY52" s="28" t="n">
        <f aca="false">IF(AND(p_use_pefa=1,ISNUMBER(BD52)),p_gap_lic-(BD52-1)/3*(p_gap_lic-p_gap_ae),IF(E52="AE",p_gap_ae,IF(D52="Low income",p_gap_lic,p_gap_em)))*(1-p_reform*p_reform_close)</f>
        <v>0.13</v>
      </c>
      <c r="DZ52" s="6" t="str">
        <f aca="false">IF(AND(p_use_pefa=1,ISNUMBER(BD52)),"PEFA PI-11","Income-group default (IMF 2015)")</f>
        <v>Income-group default (IMF 2015)</v>
      </c>
      <c r="EA52" s="28" t="n">
        <f aca="false">IF(E52="AE",p_ps_ae,IF(E52="China",p_ps_chn,p_ps_emdc))</f>
        <v>0.3</v>
      </c>
      <c r="EB52" s="37" t="n">
        <f aca="false">(1-EA52)+EA52/(1-DY52)</f>
        <v>1.0448275862069</v>
      </c>
      <c r="EC52" s="16" t="n">
        <f aca="false">Results_Country!F52</f>
        <v>13.5783606739313</v>
      </c>
      <c r="ED52" s="16" t="n">
        <f aca="false">IF(CH52="",0,CH52*EC52)</f>
        <v>3365.84616577651</v>
      </c>
      <c r="EE52" s="16" t="n">
        <f aca="false">IF(CJ52="",0,CJ52*EC52)</f>
        <v>32.285732060909</v>
      </c>
      <c r="EF52" s="16" t="n">
        <f aca="false">IF(CH52="",0,EC52)</f>
        <v>13.5783606739313</v>
      </c>
    </row>
    <row r="53" customFormat="false" ht="15" hidden="false" customHeight="false" outlineLevel="0" collapsed="false">
      <c r="A53" s="35" t="s">
        <v>862</v>
      </c>
      <c r="B53" s="35" t="s">
        <v>863</v>
      </c>
      <c r="C53" s="35" t="s">
        <v>784</v>
      </c>
      <c r="D53" s="35" t="s">
        <v>763</v>
      </c>
      <c r="E53" s="35" t="s">
        <v>31</v>
      </c>
      <c r="F53" s="36" t="n">
        <v>295.22</v>
      </c>
      <c r="G53" s="36" t="n">
        <v>621.37</v>
      </c>
      <c r="H53" s="33" t="n">
        <v>3.439</v>
      </c>
      <c r="I53" s="33" t="n">
        <v>2.82</v>
      </c>
      <c r="J53" s="36" t="n">
        <v>34.217848</v>
      </c>
      <c r="K53" s="36" t="n">
        <v>61.093</v>
      </c>
      <c r="L53" s="36" t="n">
        <v>104.947</v>
      </c>
      <c r="M53" s="36" t="n">
        <v>190.373</v>
      </c>
      <c r="N53" s="36" t="n">
        <v>43.9890873862156</v>
      </c>
      <c r="O53" s="36" t="n">
        <v>11.8426987988037</v>
      </c>
      <c r="P53" s="36" t="n">
        <v>0.0868097250775144</v>
      </c>
      <c r="Q53" s="31" t="n">
        <v>0.10883424164266</v>
      </c>
      <c r="R53" s="31" t="n">
        <v>0.0189676694209559</v>
      </c>
      <c r="S53" s="31" t="n">
        <v>0.191207453751702</v>
      </c>
      <c r="T53" s="31" t="n">
        <v>0.0269491341036889</v>
      </c>
      <c r="U53" s="31" t="n">
        <v>0.0251498832610672</v>
      </c>
      <c r="V53" s="31" t="n">
        <v>4.75652199736993E-006</v>
      </c>
      <c r="W53" s="31" t="n">
        <v>0.000285639495249426</v>
      </c>
      <c r="X53" s="31" t="n">
        <v>0</v>
      </c>
      <c r="Y53" s="36" t="n">
        <v>3.03455221865075</v>
      </c>
      <c r="Z53" s="36" t="n">
        <v>7.51765618929742</v>
      </c>
      <c r="AA53" s="36" t="n">
        <v>3.95033942866468</v>
      </c>
      <c r="AB53" s="36" t="n">
        <v>0.254545336185876</v>
      </c>
      <c r="AC53" s="36" t="n">
        <v>0.399452290449892</v>
      </c>
      <c r="AD53" s="31" t="n">
        <v>0.89208</v>
      </c>
      <c r="AE53" s="31" t="n">
        <v>0.690452</v>
      </c>
      <c r="AF53" s="31" t="n">
        <v>0.574406</v>
      </c>
      <c r="AG53" s="31" t="n">
        <v>0.568</v>
      </c>
      <c r="AH53" s="31" t="n">
        <v>0.519462891908447</v>
      </c>
      <c r="AI53" s="31" t="n">
        <v>5.097</v>
      </c>
      <c r="AJ53" s="31" t="n">
        <v>10.03118</v>
      </c>
      <c r="AK53" s="31" t="n">
        <v>3.67</v>
      </c>
      <c r="AL53" s="31" t="n">
        <v>5.0819004006674</v>
      </c>
      <c r="AM53" s="31" t="n">
        <v>5.917</v>
      </c>
      <c r="AN53" s="31" t="n">
        <v>11.66784</v>
      </c>
      <c r="AO53" s="31" t="n">
        <v>5.255</v>
      </c>
      <c r="AP53" s="31" t="n">
        <v>5.86214486312668</v>
      </c>
      <c r="AQ53" s="36" t="n">
        <v>4.60410827296358</v>
      </c>
      <c r="AR53" s="36" t="n">
        <v>0.984689992856004</v>
      </c>
      <c r="AS53" s="36" t="n">
        <v>1.08872858508609</v>
      </c>
      <c r="AT53" s="36" t="n">
        <v>1.08657394997109</v>
      </c>
      <c r="AU53" s="31" t="n">
        <v>0.638873163776825</v>
      </c>
      <c r="AV53" s="36" t="n">
        <v>0.111441</v>
      </c>
      <c r="AW53" s="31" t="n">
        <v>1.740443</v>
      </c>
      <c r="AX53" s="31" t="n">
        <v>0.046316</v>
      </c>
      <c r="AY53" s="31" t="n">
        <v>2.33127751676372</v>
      </c>
      <c r="AZ53" s="31" t="n">
        <v>0.068825</v>
      </c>
      <c r="BA53" s="33" t="n">
        <v>32.077</v>
      </c>
      <c r="BB53" s="33" t="n">
        <v>7.61</v>
      </c>
      <c r="BC53" s="33" t="n">
        <v>76.318</v>
      </c>
      <c r="BD53" s="33"/>
      <c r="BE53" s="33"/>
      <c r="BF53" s="33" t="n">
        <v>1</v>
      </c>
      <c r="BG53" s="33" t="n">
        <v>5.2</v>
      </c>
      <c r="BH53" s="33" t="n">
        <v>7.88</v>
      </c>
      <c r="BI53" s="29" t="n">
        <v>2020</v>
      </c>
      <c r="BJ53" s="33" t="n">
        <v>2</v>
      </c>
      <c r="BK53" s="33"/>
      <c r="BL53" s="33" t="n">
        <v>-1.037</v>
      </c>
      <c r="BM53" s="33" t="n">
        <v>5.692</v>
      </c>
      <c r="BN53" s="29" t="n">
        <v>18.689</v>
      </c>
      <c r="BO53" s="33" t="n">
        <v>0.318</v>
      </c>
      <c r="BP53" s="33" t="n">
        <v>0.431</v>
      </c>
      <c r="BQ53" s="29" t="n">
        <v>2025</v>
      </c>
      <c r="BR53" s="36" t="n">
        <v>60.449</v>
      </c>
      <c r="BS53" s="36" t="n">
        <v>0.019</v>
      </c>
      <c r="BT53" s="36" t="n">
        <v>21.83</v>
      </c>
      <c r="BU53" s="36" t="n">
        <v>0.13</v>
      </c>
      <c r="BV53" s="16" t="n">
        <f aca="false">F53*(1+N(H53)/100)*(1+N(I53)/100)^5</f>
        <v>350.928053016394</v>
      </c>
      <c r="BW53" s="16" t="n">
        <f aca="false">IF(N(G53)&gt;0,G53,F53)</f>
        <v>621.37</v>
      </c>
      <c r="BX53" s="12" t="n">
        <f aca="false">F53/BW53</f>
        <v>0.475111447285836</v>
      </c>
      <c r="BY53" s="13" t="n">
        <f aca="false">IF(ISNUMBER(K53),1,0)</f>
        <v>1</v>
      </c>
      <c r="BZ53" s="16" t="n">
        <f aca="false">IF(BY53=0,"",N(N53)+N(O53)+N(P53))</f>
        <v>55.9185959100968</v>
      </c>
      <c r="CA53" s="37" t="n">
        <f aca="false">IF(BY53=0,"",(N(Y53)*34.2+N(Z53)*38.6)/1000)</f>
        <v>0.393963214784736</v>
      </c>
      <c r="CB53" s="37" t="n">
        <f aca="false">IF(BY53=0,"",N(O53)*0.0036+N(R53)+N(V53)+(N(AA53)*25.3+N(AB53)*37)/1000)</f>
        <v>0.17096790660274</v>
      </c>
      <c r="CC53" s="37" t="n">
        <f aca="false">IF(BY53=0,"",N(N53)*0.0036+N(Q53)+N(U53)+N(T53)+N(X53)+N(AC53)*38/1000)</f>
        <v>0.334473160634888</v>
      </c>
      <c r="CD53" s="37" t="n">
        <f aca="false">IF(BY53=0,"",N(Q53)+N(R53)+N(S53)+N(T53)+N(U53)+N(V53)+N(W53)+N(X53)+(N(Y53)*34.2+N(Z53)*38.6+N(AA53)*25.3+N(AB53)*37+N(AC53)*38)/1000)</f>
        <v>0.889902945003246</v>
      </c>
      <c r="CE53" s="16" t="n">
        <f aca="false">IF(BY53=0,"",MAX(0,N(L53)-N(K53))+MAX(0,N(M53)-N(L53)))</f>
        <v>129.28</v>
      </c>
      <c r="CF53" s="16" t="n">
        <f aca="false">IF(BY53=0,"",N(Y53)*N(AD53)+N(Z53)*N(AE53)+N(AA53)*N(AF53)+N(AB53)*N(AG53)+N(AC53)*N(AH53)+N(U53)*N(AI53)+N(V53)*N(AJ53)+N(W53)*N(AK53)+N(X53)*N(AL53)+N(Q53)*N(AM53)+N(R53)*N(AN53)+N(S53)*N(AO53)+N(T53)*N(AP53))</f>
        <v>12.6761689599691</v>
      </c>
      <c r="CG53" s="16" t="n">
        <f aca="false">IF(AND(BY53=1,N(K53)&gt;0),K53,0)</f>
        <v>61.093</v>
      </c>
      <c r="CH53" s="16" t="n">
        <f aca="false">IF(CG53&gt;0,CF53*1000/CG53,"")</f>
        <v>207.489711750431</v>
      </c>
      <c r="CI53" s="16" t="n">
        <f aca="false">IF(BY53=0,"",N(AQ53)+p_road*(N(AR53)+N(AS53)+N(AT53)))</f>
        <v>4.60410827296358</v>
      </c>
      <c r="CJ53" s="16" t="n">
        <f aca="false">IF(CG53&gt;0,CI53*1000/CG53,"")</f>
        <v>75.3622881993612</v>
      </c>
      <c r="CK53" s="12" t="n">
        <f aca="false">IF(CH53="",1,MIN(p_idx_max,MAX(p_idx_min,CH53/p_fc_world)))</f>
        <v>1.28869718424626</v>
      </c>
      <c r="CL53" s="12" t="n">
        <f aca="false">IF(CJ53="",1,MIN(p_idx_max,MAX(p_idx_min,CJ53/p_cb_world)))</f>
        <v>1.43299390279408</v>
      </c>
      <c r="CM53" s="37" t="n">
        <f aca="false">p_b*(1-p_wb_idx+p_wb_idx*CK53)</f>
        <v>0.171396725504753</v>
      </c>
      <c r="CN53" s="37" t="n">
        <f aca="false">p_c*(1-p_wc_idx+p_wc_idx*CL53)</f>
        <v>0.184856213460437</v>
      </c>
      <c r="CO53" s="28" t="n">
        <f aca="false">IF(N(BR53)&gt;0,(N(BS53)+N(BT53)+N(BU53))/BR53,"")</f>
        <v>0.363595758407914</v>
      </c>
      <c r="CP53" s="16" t="n">
        <f aca="false">N(BS53)+N(BT53)+N(BU53)</f>
        <v>21.979</v>
      </c>
      <c r="CQ53" s="28" t="n">
        <f aca="false">IF(CP53&gt;0,N(BS53)/CP53,"")</f>
        <v>0.00086446153146185</v>
      </c>
      <c r="CR53" s="28" t="n">
        <f aca="false">IF(CP53&gt;0,N(BT53)/CP53,"")</f>
        <v>0.993220801674326</v>
      </c>
      <c r="CS53" s="28" t="n">
        <f aca="false">IF(CP53&gt;0,N(BU53)/CP53,"")</f>
        <v>0.00591473679421266</v>
      </c>
      <c r="CT53" s="7" t="n">
        <f aca="false">1000*(p_sh_pv*p_cf_pv/p_capex_pv+(1-p_sh_pv)*p_cf_wind/p_capex_wind)*8760</f>
        <v>2301.28856624319</v>
      </c>
      <c r="CU53" s="13" t="n">
        <f aca="false">IF(AND(ISNUMBER(CO53),ISNUMBER(CQ53),BY53=1),1,0)</f>
        <v>1</v>
      </c>
      <c r="CV53" s="16" t="n">
        <f aca="false">IF(CU53=0,"",CQ53*p_hr_coal*N(AK53)+CR53*p_hr_gas*N(AO53)+CS53*p_hr_oil*N(AH53)/p_gj_l_oil)</f>
        <v>40.0128205308259</v>
      </c>
      <c r="CW53" s="37" t="n">
        <f aca="false">IF(CU53=0,"",CQ53*p_hr_coal*p_ef_coal+CR53*p_hr_gas*p_ef_gas+CS53*p_hr_oil*p_ef_oil)</f>
        <v>0.423522339505892</v>
      </c>
      <c r="CX53" s="16" t="n">
        <f aca="false">IF(CU53=0,"",CQ53*p_hr_coal*N(AW53)+CR53*p_hr_gas*N(AX53)+CS53*p_hr_oil*N(AY53)/p_gj_l_oil)</f>
        <v>4.11092522066457</v>
      </c>
      <c r="CY53" s="37" t="n">
        <f aca="false">IF(CU53=0,"",CO53*CW53)</f>
        <v>0.153990926235339</v>
      </c>
      <c r="CZ53" s="37" t="n">
        <f aca="false">IF(CU53=0,"",CT53*CO53*CV53/1000/1000-p_om_re)</f>
        <v>0.018480277897432</v>
      </c>
      <c r="DA53" s="37" t="n">
        <f aca="false">IF(CU53=0,"",CT53*CO53*CX53/1000/1000)</f>
        <v>0.00343977047799911</v>
      </c>
      <c r="DB53" s="37" t="n">
        <f aca="false">IF(CU53=0,"",CT53*CO53*CW53/1000)</f>
        <v>0.354377557850584</v>
      </c>
      <c r="DC53" s="13" t="n">
        <f aca="false">IF(AND(CU53=1,ISNUMBER(AD53),ISNUMBER(AV53)),1,0)</f>
        <v>1</v>
      </c>
      <c r="DD53" s="7" t="n">
        <f aca="false">IF(DC53=0,"",p_ev_km*p_ice_l/100*AD53-p_ev_km*p_ev_kwh*AV53+p_ev_km*p_ev_maint)</f>
        <v>882.6993</v>
      </c>
      <c r="DE53" s="37" t="n">
        <f aca="false">IF(DC53=0,"",DD53/p_ev_prem)</f>
        <v>0.17653986</v>
      </c>
      <c r="DF53" s="37" t="n">
        <f aca="false">IF(DC53=0,"",p_ev_km*p_ice_l/100*N(AZ53)/p_ev_prem)</f>
        <v>0.015485625</v>
      </c>
      <c r="DG53" s="37" t="n">
        <f aca="false">IF(DC53=0,"",1000/p_ev_prem*(p_ev_km*p_ice_l/100*p_gj_l_gso*p_ef_gso-p_ev_km*p_ev_kwh/1000*CY53))</f>
        <v>0.450108399832917</v>
      </c>
      <c r="DH53" s="11" t="str">
        <f aca="false">IFERROR(IF(INDEX(Damodaran!$D:$D,MATCH(A53,Damodaran!$A:$A,0))="","",INDEX(Damodaran!$D:$D,MATCH(A53,Damodaran!$A:$A,0))),"")</f>
        <v/>
      </c>
      <c r="DI53" s="11" t="str">
        <f aca="false">IFERROR(IF(INDEX(Damodaran!$E:$E,MATCH(A53,Damodaran!$A:$A,0))="","",INDEX(Damodaran!$E:$E,MATCH(A53,Damodaran!$A:$A,0))),"")</f>
        <v/>
      </c>
      <c r="DJ53" s="11" t="str">
        <f aca="false">IFERROR(IF(INDEX(Damodaran!$G:$G,MATCH(A53,Damodaran!$A:$A,0))="","",INDEX(Damodaran!$G:$G,MATCH(A53,Damodaran!$A:$A,0))),"")</f>
        <v/>
      </c>
      <c r="DK53" s="11" t="n">
        <f aca="false">IF(ISNUMBER(BG53),(1+BG53/100)*(1+p_infl)-1,"")</f>
        <v>0.07304</v>
      </c>
      <c r="DL53" s="11" t="n">
        <f aca="false">IF(ISNUMBER(BH53),BH53/100,"")</f>
        <v>0.0788</v>
      </c>
      <c r="DM53" s="11" t="n">
        <f aca="false">IF(COUNT(DK53,DL53)=0,"",AVERAGE(DK53,DL53))</f>
        <v>0.07592</v>
      </c>
      <c r="DN53" s="11" t="str">
        <f aca="false">IF(OR(DH53="",DI53=""),"",p_dv*(p_rf+DH53)*(1-IF(DJ53="",p_tax_def,DJ53))+(1-p_dv)*(p_rf+p_beta*p_erp+p_lambda*DI53))</f>
        <v/>
      </c>
      <c r="DO53" s="13" t="n">
        <f aca="false">IF(AND(ISNUMBER(DM53),ISNUMBER(DN53)),1,0)</f>
        <v>0</v>
      </c>
      <c r="DP53" s="11" t="n">
        <f aca="false">IF(DO53=1,DM53,0)</f>
        <v>0</v>
      </c>
      <c r="DQ53" s="11" t="n">
        <f aca="false">IF(DO53=1,DN53,0)</f>
        <v>0</v>
      </c>
      <c r="DR53" s="11" t="str">
        <f aca="false">IF(DN53="","",DN53+p_shift)</f>
        <v/>
      </c>
      <c r="DS53" s="11" t="n">
        <f aca="false">IF(E53="AE",p_r_ae,IF(E53="China",p_r_chn,p_r_emdc))</f>
        <v>0.105</v>
      </c>
      <c r="DT53" s="11" t="n">
        <f aca="false">IF(E53="AE",p_rh_ae,IF(E53="China",p_rh_chn,p_rh_emdc))</f>
        <v>0.15</v>
      </c>
      <c r="DU53" s="11" t="n">
        <f aca="false">IF(AND(p_use_obs=1,ISNUMBER(DM53)),DM53,IF(AND(p_use_dam=1,ISNUMBER(DR53)),DR53,DS53))</f>
        <v>0.07592</v>
      </c>
      <c r="DV53" s="6" t="str">
        <f aca="false">IF(AND(p_use_obs=1,ISNUMBER(DM53)),"Observed (IRENA/Steffen)",IF(AND(p_use_dam=1,ISNUMBER(DR53)),"Damodaran (eq. 5)","Group default (IHLEG)"))</f>
        <v>Observed (IRENA/Steffen)</v>
      </c>
      <c r="DW53" s="11" t="n">
        <f aca="false">IF(p_basis=1,(1+DU53)/(1+p_infl)-1,DU53)</f>
        <v>0.07592</v>
      </c>
      <c r="DX53" s="11" t="n">
        <f aca="false">DW53+(DT53-DS53)</f>
        <v>0.12092</v>
      </c>
      <c r="DY53" s="28" t="n">
        <f aca="false">IF(AND(p_use_pefa=1,ISNUMBER(BD53)),p_gap_lic-(BD53-1)/3*(p_gap_lic-p_gap_ae),IF(E53="AE",p_gap_ae,IF(D53="Low income",p_gap_lic,p_gap_em)))*(1-p_reform*p_reform_close)</f>
        <v>0.27</v>
      </c>
      <c r="DZ53" s="6" t="str">
        <f aca="false">IF(AND(p_use_pefa=1,ISNUMBER(BD53)),"PEFA PI-11","Income-group default (IMF 2015)")</f>
        <v>Income-group default (IMF 2015)</v>
      </c>
      <c r="EA53" s="28" t="n">
        <f aca="false">IF(E53="AE",p_ps_ae,IF(E53="China",p_ps_chn,p_ps_emdc))</f>
        <v>0.4</v>
      </c>
      <c r="EB53" s="37" t="n">
        <f aca="false">(1-EA53)+EA53/(1-DY53)</f>
        <v>1.14794520547945</v>
      </c>
      <c r="EC53" s="16" t="n">
        <f aca="false">Results_Country!F53</f>
        <v>17.2872490604357</v>
      </c>
      <c r="ED53" s="16" t="n">
        <f aca="false">IF(CH53="",0,CH53*EC53)</f>
        <v>3586.9263245077</v>
      </c>
      <c r="EE53" s="16" t="n">
        <f aca="false">IF(CJ53="",0,CJ53*EC53)</f>
        <v>1302.80664586669</v>
      </c>
      <c r="EF53" s="16" t="n">
        <f aca="false">IF(CH53="",0,EC53)</f>
        <v>17.2872490604357</v>
      </c>
    </row>
    <row r="54" customFormat="false" ht="15" hidden="false" customHeight="false" outlineLevel="0" collapsed="false">
      <c r="A54" s="35" t="s">
        <v>864</v>
      </c>
      <c r="B54" s="35" t="s">
        <v>865</v>
      </c>
      <c r="C54" s="35" t="s">
        <v>766</v>
      </c>
      <c r="D54" s="35" t="s">
        <v>763</v>
      </c>
      <c r="E54" s="35" t="s">
        <v>31</v>
      </c>
      <c r="F54" s="36" t="n">
        <v>291.48</v>
      </c>
      <c r="G54" s="36" t="n">
        <v>843.272</v>
      </c>
      <c r="H54" s="33" t="n">
        <v>6.485</v>
      </c>
      <c r="I54" s="33" t="n">
        <v>4.609</v>
      </c>
      <c r="J54" s="36" t="n">
        <v>20.592571</v>
      </c>
      <c r="K54" s="36" t="n">
        <v>234.272</v>
      </c>
      <c r="L54" s="36" t="n">
        <v>320.164</v>
      </c>
      <c r="M54" s="36" t="n">
        <v>322.744</v>
      </c>
      <c r="N54" s="36" t="n">
        <v>68.6895849150497</v>
      </c>
      <c r="O54" s="36" t="n">
        <v>14.6777546975155</v>
      </c>
      <c r="P54" s="36" t="n">
        <v>3.09186048157091</v>
      </c>
      <c r="Q54" s="31" t="n">
        <v>0.203654894711745</v>
      </c>
      <c r="R54" s="31" t="n">
        <v>0.212191687688476</v>
      </c>
      <c r="S54" s="31" t="n">
        <v>0.722365070883262</v>
      </c>
      <c r="T54" s="31" t="n">
        <v>0.0120046731916788</v>
      </c>
      <c r="U54" s="31" t="n">
        <v>0.50747108644444</v>
      </c>
      <c r="V54" s="31" t="n">
        <v>0.202117385417123</v>
      </c>
      <c r="W54" s="31" t="n">
        <v>0.184616368037976</v>
      </c>
      <c r="X54" s="31" t="n">
        <v>0.000512952106943428</v>
      </c>
      <c r="Y54" s="36" t="n">
        <v>6.56150748016751</v>
      </c>
      <c r="Z54" s="36" t="n">
        <v>6.86544370880177</v>
      </c>
      <c r="AA54" s="36" t="n">
        <v>1.79985492311655</v>
      </c>
      <c r="AB54" s="36" t="n">
        <v>0.198854409505126</v>
      </c>
      <c r="AC54" s="36" t="n">
        <v>3.66117065007273</v>
      </c>
      <c r="AD54" s="31" t="n">
        <v>0.81088</v>
      </c>
      <c r="AE54" s="31" t="n">
        <v>0.784284</v>
      </c>
      <c r="AF54" s="31" t="n">
        <v>0.557535</v>
      </c>
      <c r="AG54" s="31" t="n">
        <v>0.591543</v>
      </c>
      <c r="AH54" s="31" t="n">
        <v>0.519462891908447</v>
      </c>
      <c r="AI54" s="31" t="n">
        <v>3.425</v>
      </c>
      <c r="AJ54" s="31" t="n">
        <v>1.30704</v>
      </c>
      <c r="AK54" s="31" t="n">
        <v>3.486</v>
      </c>
      <c r="AL54" s="31" t="n">
        <v>2.9588708531095</v>
      </c>
      <c r="AM54" s="31" t="n">
        <v>8.856</v>
      </c>
      <c r="AN54" s="31" t="n">
        <v>14.45248</v>
      </c>
      <c r="AO54" s="31" t="n">
        <v>8.181</v>
      </c>
      <c r="AP54" s="31" t="n">
        <v>9.47093845318615</v>
      </c>
      <c r="AQ54" s="36" t="n">
        <v>28.1296390072859</v>
      </c>
      <c r="AR54" s="36" t="n">
        <v>2.68982594567356</v>
      </c>
      <c r="AS54" s="36" t="n">
        <v>2.4128646078414</v>
      </c>
      <c r="AT54" s="36" t="n">
        <v>0.654434136318559</v>
      </c>
      <c r="AU54" s="31" t="n">
        <v>0.199967405001122</v>
      </c>
      <c r="AV54" s="36" t="n">
        <v>0.11088</v>
      </c>
      <c r="AW54" s="31" t="n">
        <v>2.571263</v>
      </c>
      <c r="AX54" s="31" t="n">
        <v>0.108247</v>
      </c>
      <c r="AY54" s="31" t="n">
        <v>0.145843633456684</v>
      </c>
      <c r="AZ54" s="31" t="n">
        <v>0.423157</v>
      </c>
      <c r="BA54" s="33" t="n">
        <v>24.377</v>
      </c>
      <c r="BB54" s="33" t="n">
        <v>4.295</v>
      </c>
      <c r="BC54" s="33"/>
      <c r="BD54" s="33" t="n">
        <v>2.5</v>
      </c>
      <c r="BE54" s="33" t="n">
        <v>4</v>
      </c>
      <c r="BF54" s="33" t="n">
        <v>0</v>
      </c>
      <c r="BG54" s="33" t="n">
        <v>6.3</v>
      </c>
      <c r="BH54" s="33"/>
      <c r="BI54" s="29"/>
      <c r="BJ54" s="33" t="n">
        <v>1</v>
      </c>
      <c r="BK54" s="33"/>
      <c r="BL54" s="33" t="n">
        <v>4.119</v>
      </c>
      <c r="BM54" s="33" t="n">
        <v>4.714</v>
      </c>
      <c r="BN54" s="29" t="n">
        <v>12.088</v>
      </c>
      <c r="BO54" s="33" t="n">
        <v>0.506</v>
      </c>
      <c r="BP54" s="33" t="n">
        <v>0.138</v>
      </c>
      <c r="BQ54" s="29" t="n">
        <v>2025</v>
      </c>
      <c r="BR54" s="36" t="n">
        <v>123.69</v>
      </c>
      <c r="BS54" s="36" t="n">
        <v>67.12</v>
      </c>
      <c r="BT54" s="36" t="n">
        <v>36.37</v>
      </c>
      <c r="BU54" s="36" t="n">
        <v>1.82</v>
      </c>
      <c r="BV54" s="16" t="n">
        <f aca="false">F54*(1+N(H54)/100)*(1+N(I54)/100)^5</f>
        <v>388.814496452288</v>
      </c>
      <c r="BW54" s="16" t="n">
        <f aca="false">IF(N(G54)&gt;0,G54,F54)</f>
        <v>843.272</v>
      </c>
      <c r="BX54" s="12" t="n">
        <f aca="false">F54/BW54</f>
        <v>0.345653596941438</v>
      </c>
      <c r="BY54" s="13" t="n">
        <f aca="false">IF(ISNUMBER(K54),1,0)</f>
        <v>1</v>
      </c>
      <c r="BZ54" s="16" t="n">
        <f aca="false">IF(BY54=0,"",N(N54)+N(O54)+N(P54))</f>
        <v>86.4592000941362</v>
      </c>
      <c r="CA54" s="37" t="n">
        <f aca="false">IF(BY54=0,"",(N(Y54)*34.2+N(Z54)*38.6)/1000)</f>
        <v>0.489409682981477</v>
      </c>
      <c r="CB54" s="37" t="n">
        <f aca="false">IF(BY54=0,"",N(O54)*0.0036+N(R54)+N(V54)+(N(AA54)*25.3+N(AB54)*37)/1000)</f>
        <v>0.520042932723193</v>
      </c>
      <c r="CC54" s="37" t="n">
        <f aca="false">IF(BY54=0,"",N(N54)*0.0036+N(Q54)+N(U54)+N(T54)+N(X54)+N(AC54)*38/1000)</f>
        <v>1.11005059685175</v>
      </c>
      <c r="CD54" s="37" t="n">
        <f aca="false">IF(BY54=0,"",N(Q54)+N(R54)+N(S54)+N(T54)+N(U54)+N(V54)+N(W54)+N(X54)+(N(Y54)*34.2+N(Z54)*38.6+N(AA54)*25.3+N(AB54)*37+N(AC54)*38)/1000)</f>
        <v>2.72636222887242</v>
      </c>
      <c r="CE54" s="16" t="n">
        <f aca="false">IF(BY54=0,"",MAX(0,N(L54)-N(K54))+MAX(0,N(M54)-N(L54)))</f>
        <v>88.472</v>
      </c>
      <c r="CF54" s="16" t="n">
        <f aca="false">IF(BY54=0,"",N(Y54)*N(AD54)+N(Z54)*N(AE54)+N(AA54)*N(AF54)+N(AB54)*N(AG54)+N(AC54)*N(AH54)+N(U54)*N(AI54)+N(V54)*N(AJ54)+N(W54)*N(AK54)+N(X54)*N(AL54)+N(Q54)*N(AM54)+N(R54)*N(AN54)+N(S54)*N(AO54)+N(T54)*N(AP54))</f>
        <v>27.2689906138335</v>
      </c>
      <c r="CG54" s="16" t="n">
        <f aca="false">IF(AND(BY54=1,N(K54)&gt;0),K54,0)</f>
        <v>234.272</v>
      </c>
      <c r="CH54" s="16" t="n">
        <f aca="false">IF(CG54&gt;0,CF54*1000/CG54,"")</f>
        <v>116.398846698852</v>
      </c>
      <c r="CI54" s="16" t="n">
        <f aca="false">IF(BY54=0,"",N(AQ54)+p_road*(N(AR54)+N(AS54)+N(AT54)))</f>
        <v>28.1296390072859</v>
      </c>
      <c r="CJ54" s="16" t="n">
        <f aca="false">IF(CG54&gt;0,CI54*1000/CG54,"")</f>
        <v>120.072560985888</v>
      </c>
      <c r="CK54" s="12" t="n">
        <f aca="false">IF(CH54="",1,MIN(p_idx_max,MAX(p_idx_min,CH54/p_fc_world)))</f>
        <v>0.72294122308458</v>
      </c>
      <c r="CL54" s="12" t="n">
        <f aca="false">IF(CJ54="",1,MIN(p_idx_max,MAX(p_idx_min,CJ54/p_cb_world)))</f>
        <v>2.28314787006568</v>
      </c>
      <c r="CM54" s="37" t="n">
        <f aca="false">p_b*(1-p_wb_idx+p_wb_idx*CK54)</f>
        <v>0.0961511826702492</v>
      </c>
      <c r="CN54" s="37" t="n">
        <f aca="false">p_c*(1-p_wc_idx+p_wc_idx*CL54)</f>
        <v>0.294526075238473</v>
      </c>
      <c r="CO54" s="28" t="n">
        <f aca="false">IF(N(BR54)&gt;0,(N(BS54)+N(BT54)+N(BU54))/BR54,"")</f>
        <v>0.851402700299135</v>
      </c>
      <c r="CP54" s="16" t="n">
        <f aca="false">N(BS54)+N(BT54)+N(BU54)</f>
        <v>105.31</v>
      </c>
      <c r="CQ54" s="28" t="n">
        <f aca="false">IF(CP54&gt;0,N(BS54)/CP54,"")</f>
        <v>0.637356376412496</v>
      </c>
      <c r="CR54" s="28" t="n">
        <f aca="false">IF(CP54&gt;0,N(BT54)/CP54,"")</f>
        <v>0.345361314215174</v>
      </c>
      <c r="CS54" s="28" t="n">
        <f aca="false">IF(CP54&gt;0,N(BU54)/CP54,"")</f>
        <v>0.0172823093723293</v>
      </c>
      <c r="CT54" s="7" t="n">
        <f aca="false">1000*(p_sh_pv*p_cf_pv/p_capex_pv+(1-p_sh_pv)*p_cf_wind/p_capex_wind)*8760</f>
        <v>2301.28856624319</v>
      </c>
      <c r="CU54" s="13" t="n">
        <f aca="false">IF(AND(ISNUMBER(CO54),ISNUMBER(CQ54),BY54=1),1,0)</f>
        <v>1</v>
      </c>
      <c r="CV54" s="16" t="n">
        <f aca="false">IF(CU54=0,"",CQ54*p_hr_coal*N(AK54)+CR54*p_hr_gas*N(AO54)+CS54*p_hr_oil*N(AH54)/p_gj_l_oil)</f>
        <v>45.8508211875254</v>
      </c>
      <c r="CW54" s="37" t="n">
        <f aca="false">IF(CU54=0,"",CQ54*p_hr_coal*p_ef_coal+CR54*p_hr_gas*p_ef_gas+CS54*p_hr_oil*p_ef_oil)</f>
        <v>0.762295237869148</v>
      </c>
      <c r="CX54" s="16" t="n">
        <f aca="false">IF(CU54=0,"",CQ54*p_hr_coal*N(AW54)+CR54*p_hr_gas*N(AX54)+CS54*p_hr_oil*N(AY54)/p_gj_l_oil)</f>
        <v>17.3541233936329</v>
      </c>
      <c r="CY54" s="37" t="n">
        <f aca="false">IF(CU54=0,"",CO54*CW54)</f>
        <v>0.649020223946964</v>
      </c>
      <c r="CZ54" s="37" t="n">
        <f aca="false">IF(CU54=0,"",CT54*CO54*CV54/1000/1000-p_om_re)</f>
        <v>0.0748365822524128</v>
      </c>
      <c r="DA54" s="37" t="n">
        <f aca="false">IF(CU54=0,"",CT54*CO54*CX54/1000/1000)</f>
        <v>0.0340023383069699</v>
      </c>
      <c r="DB54" s="37" t="n">
        <f aca="false">IF(CU54=0,"",CT54*CO54*CW54/1000)</f>
        <v>1.49358282062975</v>
      </c>
      <c r="DC54" s="13" t="n">
        <f aca="false">IF(AND(CU54=1,ISNUMBER(AD54),ISNUMBER(AV54)),1,0)</f>
        <v>1</v>
      </c>
      <c r="DD54" s="7" t="n">
        <f aca="false">IF(DC54=0,"",p_ev_km*p_ice_l/100*AD54-p_ev_km*p_ev_kwh*AV54+p_ev_km*p_ev_maint)</f>
        <v>792.864</v>
      </c>
      <c r="DE54" s="37" t="n">
        <f aca="false">IF(DC54=0,"",DD54/p_ev_prem)</f>
        <v>0.1585728</v>
      </c>
      <c r="DF54" s="37" t="n">
        <f aca="false">IF(DC54=0,"",p_ev_km*p_ice_l/100*N(AZ54)/p_ev_prem)</f>
        <v>0.095210325</v>
      </c>
      <c r="DG54" s="37" t="n">
        <f aca="false">IF(DC54=0,"",1000/p_ev_prem*(p_ev_km*p_ice_l/100*p_gj_l_gso*p_ef_gso-p_ev_km*p_ev_kwh/1000*CY54))</f>
        <v>0.182792579068639</v>
      </c>
      <c r="DH54" s="11" t="str">
        <f aca="false">IFERROR(IF(INDEX(Damodaran!$D:$D,MATCH(A54,Damodaran!$A:$A,0))="","",INDEX(Damodaran!$D:$D,MATCH(A54,Damodaran!$A:$A,0))),"")</f>
        <v/>
      </c>
      <c r="DI54" s="11" t="str">
        <f aca="false">IFERROR(IF(INDEX(Damodaran!$E:$E,MATCH(A54,Damodaran!$A:$A,0))="","",INDEX(Damodaran!$E:$E,MATCH(A54,Damodaran!$A:$A,0))),"")</f>
        <v/>
      </c>
      <c r="DJ54" s="11" t="str">
        <f aca="false">IFERROR(IF(INDEX(Damodaran!$G:$G,MATCH(A54,Damodaran!$A:$A,0))="","",INDEX(Damodaran!$G:$G,MATCH(A54,Damodaran!$A:$A,0))),"")</f>
        <v/>
      </c>
      <c r="DK54" s="11" t="n">
        <f aca="false">IF(ISNUMBER(BG54),(1+BG54/100)*(1+p_infl)-1,"")</f>
        <v>0.08426</v>
      </c>
      <c r="DL54" s="11" t="str">
        <f aca="false">IF(ISNUMBER(BH54),BH54/100,"")</f>
        <v/>
      </c>
      <c r="DM54" s="11" t="n">
        <f aca="false">IF(COUNT(DK54,DL54)=0,"",AVERAGE(DK54,DL54))</f>
        <v>0.08426</v>
      </c>
      <c r="DN54" s="11" t="str">
        <f aca="false">IF(OR(DH54="",DI54=""),"",p_dv*(p_rf+DH54)*(1-IF(DJ54="",p_tax_def,DJ54))+(1-p_dv)*(p_rf+p_beta*p_erp+p_lambda*DI54))</f>
        <v/>
      </c>
      <c r="DO54" s="13" t="n">
        <f aca="false">IF(AND(ISNUMBER(DM54),ISNUMBER(DN54)),1,0)</f>
        <v>0</v>
      </c>
      <c r="DP54" s="11" t="n">
        <f aca="false">IF(DO54=1,DM54,0)</f>
        <v>0</v>
      </c>
      <c r="DQ54" s="11" t="n">
        <f aca="false">IF(DO54=1,DN54,0)</f>
        <v>0</v>
      </c>
      <c r="DR54" s="11" t="str">
        <f aca="false">IF(DN54="","",DN54+p_shift)</f>
        <v/>
      </c>
      <c r="DS54" s="11" t="n">
        <f aca="false">IF(E54="AE",p_r_ae,IF(E54="China",p_r_chn,p_r_emdc))</f>
        <v>0.105</v>
      </c>
      <c r="DT54" s="11" t="n">
        <f aca="false">IF(E54="AE",p_rh_ae,IF(E54="China",p_rh_chn,p_rh_emdc))</f>
        <v>0.15</v>
      </c>
      <c r="DU54" s="11" t="n">
        <f aca="false">IF(AND(p_use_obs=1,ISNUMBER(DM54)),DM54,IF(AND(p_use_dam=1,ISNUMBER(DR54)),DR54,DS54))</f>
        <v>0.08426</v>
      </c>
      <c r="DV54" s="6" t="str">
        <f aca="false">IF(AND(p_use_obs=1,ISNUMBER(DM54)),"Observed (IRENA/Steffen)",IF(AND(p_use_dam=1,ISNUMBER(DR54)),"Damodaran (eq. 5)","Group default (IHLEG)"))</f>
        <v>Observed (IRENA/Steffen)</v>
      </c>
      <c r="DW54" s="11" t="n">
        <f aca="false">IF(p_basis=1,(1+DU54)/(1+p_infl)-1,DU54)</f>
        <v>0.08426</v>
      </c>
      <c r="DX54" s="11" t="n">
        <f aca="false">DW54+(DT54-DS54)</f>
        <v>0.12926</v>
      </c>
      <c r="DY54" s="28" t="n">
        <f aca="false">IF(AND(p_use_pefa=1,ISNUMBER(BD54)),p_gap_lic-(BD54-1)/3*(p_gap_lic-p_gap_ae),IF(E54="AE",p_gap_ae,IF(D54="Low income",p_gap_lic,p_gap_em)))*(1-p_reform*p_reform_close)</f>
        <v>0.265</v>
      </c>
      <c r="DZ54" s="6" t="str">
        <f aca="false">IF(AND(p_use_pefa=1,ISNUMBER(BD54)),"PEFA PI-11","Income-group default (IMF 2015)")</f>
        <v>PEFA PI-11</v>
      </c>
      <c r="EA54" s="28" t="n">
        <f aca="false">IF(E54="AE",p_ps_ae,IF(E54="China",p_ps_chn,p_ps_emdc))</f>
        <v>0.4</v>
      </c>
      <c r="EB54" s="37" t="n">
        <f aca="false">(1-EA54)+EA54/(1-DY54)</f>
        <v>1.14421768707483</v>
      </c>
      <c r="EC54" s="16" t="n">
        <f aca="false">Results_Country!F54</f>
        <v>21.1156892754546</v>
      </c>
      <c r="ED54" s="16" t="n">
        <f aca="false">IF(CH54="",0,CH54*EC54)</f>
        <v>2457.84187891424</v>
      </c>
      <c r="EE54" s="16" t="n">
        <f aca="false">IF(CJ54="",0,CJ54*EC54)</f>
        <v>2535.41488828608</v>
      </c>
      <c r="EF54" s="16" t="n">
        <f aca="false">IF(CH54="",0,EC54)</f>
        <v>21.1156892754546</v>
      </c>
    </row>
    <row r="55" customFormat="false" ht="15" hidden="false" customHeight="false" outlineLevel="0" collapsed="false">
      <c r="A55" s="35" t="s">
        <v>866</v>
      </c>
      <c r="B55" s="35" t="s">
        <v>867</v>
      </c>
      <c r="C55" s="35" t="s">
        <v>799</v>
      </c>
      <c r="D55" s="35" t="s">
        <v>763</v>
      </c>
      <c r="E55" s="35" t="s">
        <v>31</v>
      </c>
      <c r="F55" s="36" t="n">
        <v>286.523</v>
      </c>
      <c r="G55" s="36" t="n">
        <v>682.72</v>
      </c>
      <c r="H55" s="33" t="n">
        <v>-0.414</v>
      </c>
      <c r="I55" s="33" t="n">
        <v>-6.771</v>
      </c>
      <c r="J55" s="36" t="n">
        <v>46.042015</v>
      </c>
      <c r="K55" s="36" t="n">
        <v>176.459</v>
      </c>
      <c r="L55" s="36" t="n">
        <v>351.037</v>
      </c>
      <c r="M55" s="36" t="n">
        <v>351.508</v>
      </c>
      <c r="N55" s="36" t="n">
        <v>18.9066187308388</v>
      </c>
      <c r="O55" s="36" t="n">
        <v>37.0526665433301</v>
      </c>
      <c r="P55" s="36" t="n">
        <v>4.22645943798705</v>
      </c>
      <c r="Q55" s="31" t="n">
        <v>0.109157520401362</v>
      </c>
      <c r="R55" s="31" t="n">
        <v>0</v>
      </c>
      <c r="S55" s="31" t="n">
        <v>1.06872117915353</v>
      </c>
      <c r="T55" s="31" t="n">
        <v>0</v>
      </c>
      <c r="U55" s="31" t="n">
        <v>0</v>
      </c>
      <c r="V55" s="31" t="n">
        <v>0</v>
      </c>
      <c r="W55" s="31" t="n">
        <v>0</v>
      </c>
      <c r="X55" s="31" t="n">
        <v>0</v>
      </c>
      <c r="Y55" s="36" t="n">
        <v>10.3644837312972</v>
      </c>
      <c r="Z55" s="36" t="n">
        <v>9.45259309022926</v>
      </c>
      <c r="AA55" s="36" t="n">
        <v>3.80723777872051</v>
      </c>
      <c r="AB55" s="36" t="n">
        <v>2.03510216651761</v>
      </c>
      <c r="AC55" s="36" t="n">
        <v>6.15376056836676</v>
      </c>
      <c r="AD55" s="31" t="n">
        <v>0.72</v>
      </c>
      <c r="AE55" s="31" t="n">
        <v>0.734</v>
      </c>
      <c r="AF55" s="31" t="n">
        <v>0.51</v>
      </c>
      <c r="AG55" s="31" t="n">
        <v>0.652</v>
      </c>
      <c r="AH55" s="31" t="n">
        <v>0.543345303403777</v>
      </c>
      <c r="AI55" s="31" t="n">
        <v>7.124</v>
      </c>
      <c r="AJ55" s="31" t="n">
        <v>12.193</v>
      </c>
      <c r="AK55" s="31" t="n">
        <v>5.575</v>
      </c>
      <c r="AL55" s="31" t="n">
        <v>8.29733333333333</v>
      </c>
      <c r="AM55" s="31" t="n">
        <v>7.375</v>
      </c>
      <c r="AN55" s="31" t="n">
        <v>13.291</v>
      </c>
      <c r="AO55" s="31" t="n">
        <v>6.389</v>
      </c>
      <c r="AP55" s="31" t="n">
        <v>6.48037555094291</v>
      </c>
      <c r="AQ55" s="36" t="n">
        <v>7.03727203781164</v>
      </c>
      <c r="AR55" s="36" t="n">
        <v>2.37276338072538</v>
      </c>
      <c r="AS55" s="36" t="n">
        <v>3.34778278284787</v>
      </c>
      <c r="AT55" s="36" t="n">
        <v>1.47750431207316</v>
      </c>
      <c r="AU55" s="31" t="n">
        <v>0.12869294648126</v>
      </c>
      <c r="AV55" s="36" t="n">
        <v>0.111054</v>
      </c>
      <c r="AW55" s="31" t="n">
        <v>0.963307</v>
      </c>
      <c r="AX55" s="31" t="n">
        <v>0.051841</v>
      </c>
      <c r="AY55" s="31" t="n">
        <v>0.198346168253674</v>
      </c>
      <c r="AZ55" s="31" t="n">
        <v>0.091489</v>
      </c>
      <c r="BA55" s="33" t="n">
        <v>45.202</v>
      </c>
      <c r="BB55" s="33" t="n">
        <v>1.539</v>
      </c>
      <c r="BC55" s="33"/>
      <c r="BD55" s="33"/>
      <c r="BE55" s="33" t="n">
        <v>3</v>
      </c>
      <c r="BF55" s="33" t="n">
        <v>0</v>
      </c>
      <c r="BG55" s="33" t="n">
        <v>9.6</v>
      </c>
      <c r="BH55" s="33"/>
      <c r="BI55" s="29"/>
      <c r="BJ55" s="33" t="n">
        <v>1</v>
      </c>
      <c r="BK55" s="33"/>
      <c r="BL55" s="33" t="n">
        <v>2.106</v>
      </c>
      <c r="BM55" s="33" t="n">
        <v>2.116</v>
      </c>
      <c r="BN55" s="29" t="n">
        <v>40</v>
      </c>
      <c r="BO55" s="33" t="n">
        <v>0.008</v>
      </c>
      <c r="BP55" s="33" t="n">
        <v>0.016</v>
      </c>
      <c r="BQ55" s="29" t="n">
        <v>2024</v>
      </c>
      <c r="BR55" s="36" t="n">
        <v>149.73</v>
      </c>
      <c r="BS55" s="36" t="n">
        <v>0</v>
      </c>
      <c r="BT55" s="36" t="n">
        <v>79.3</v>
      </c>
      <c r="BU55" s="36" t="n">
        <v>68</v>
      </c>
      <c r="BV55" s="16" t="n">
        <f aca="false">F55*(1+N(H55)/100)*(1+N(I55)/100)^5</f>
        <v>200.96152044257</v>
      </c>
      <c r="BW55" s="16" t="n">
        <f aca="false">IF(N(G55)&gt;0,G55,F55)</f>
        <v>682.72</v>
      </c>
      <c r="BX55" s="12" t="n">
        <f aca="false">F55/BW55</f>
        <v>0.419678638387626</v>
      </c>
      <c r="BY55" s="13" t="n">
        <f aca="false">IF(ISNUMBER(K55),1,0)</f>
        <v>1</v>
      </c>
      <c r="BZ55" s="16" t="n">
        <f aca="false">IF(BY55=0,"",N(N55)+N(O55)+N(P55))</f>
        <v>60.1857447121559</v>
      </c>
      <c r="CA55" s="37" t="n">
        <f aca="false">IF(BY55=0,"",(N(Y55)*34.2+N(Z55)*38.6)/1000)</f>
        <v>0.719335436893213</v>
      </c>
      <c r="CB55" s="37" t="n">
        <f aca="false">IF(BY55=0,"",N(O55)*0.0036+N(R55)+N(V55)+(N(AA55)*25.3+N(AB55)*37)/1000)</f>
        <v>0.305011495518768</v>
      </c>
      <c r="CC55" s="37" t="n">
        <f aca="false">IF(BY55=0,"",N(N55)*0.0036+N(Q55)+N(U55)+N(T55)+N(X55)+N(AC55)*38/1000)</f>
        <v>0.411064249430318</v>
      </c>
      <c r="CD55" s="37" t="n">
        <f aca="false">IF(BY55=0,"",N(Q55)+N(R55)+N(S55)+N(T55)+N(U55)+N(V55)+N(W55)+N(X55)+(N(Y55)*34.2+N(Z55)*38.6+N(AA55)*25.3+N(AB55)*37+N(AC55)*38)/1000)</f>
        <v>2.30267893400882</v>
      </c>
      <c r="CE55" s="16" t="n">
        <f aca="false">IF(BY55=0,"",MAX(0,N(L55)-N(K55))+MAX(0,N(M55)-N(L55)))</f>
        <v>175.049</v>
      </c>
      <c r="CF55" s="16" t="n">
        <f aca="false">IF(BY55=0,"",N(Y55)*N(AD55)+N(Z55)*N(AE55)+N(AA55)*N(AF55)+N(AB55)*N(AG55)+N(AC55)*N(AH55)+N(U55)*N(AI55)+N(V55)*N(AJ55)+N(W55)*N(AK55)+N(X55)*N(AL55)+N(Q55)*N(AM55)+N(R55)*N(AN55)+N(S55)*N(AO55)+N(T55)*N(AP55))</f>
        <v>28.6459227241445</v>
      </c>
      <c r="CG55" s="16" t="n">
        <f aca="false">IF(AND(BY55=1,N(K55)&gt;0),K55,0)</f>
        <v>176.459</v>
      </c>
      <c r="CH55" s="16" t="n">
        <f aca="false">IF(CG55&gt;0,CF55*1000/CG55,"")</f>
        <v>162.33755560297</v>
      </c>
      <c r="CI55" s="16" t="n">
        <f aca="false">IF(BY55=0,"",N(AQ55)+p_road*(N(AR55)+N(AS55)+N(AT55)))</f>
        <v>7.03727203781164</v>
      </c>
      <c r="CJ55" s="16" t="n">
        <f aca="false">IF(CG55&gt;0,CI55*1000/CG55,"")</f>
        <v>39.8804937000189</v>
      </c>
      <c r="CK55" s="12" t="n">
        <f aca="false">IF(CH55="",1,MIN(p_idx_max,MAX(p_idx_min,CH55/p_fc_world)))</f>
        <v>1.00826180266037</v>
      </c>
      <c r="CL55" s="12" t="n">
        <f aca="false">IF(CJ55="",1,MIN(p_idx_max,MAX(p_idx_min,CJ55/p_cb_world)))</f>
        <v>0.758317000160158</v>
      </c>
      <c r="CM55" s="37" t="n">
        <f aca="false">p_b*(1-p_wb_idx+p_wb_idx*CK55)</f>
        <v>0.134098819753829</v>
      </c>
      <c r="CN55" s="37" t="n">
        <f aca="false">p_c*(1-p_wc_idx+p_wc_idx*CL55)</f>
        <v>0.0978228930206604</v>
      </c>
      <c r="CO55" s="28" t="n">
        <f aca="false">IF(N(BR55)&gt;0,(N(BS55)+N(BT55)+N(BU55))/BR55,"")</f>
        <v>0.983770787417351</v>
      </c>
      <c r="CP55" s="16" t="n">
        <f aca="false">N(BS55)+N(BT55)+N(BU55)</f>
        <v>147.3</v>
      </c>
      <c r="CQ55" s="28" t="n">
        <f aca="false">IF(CP55&gt;0,N(BS55)/CP55,"")</f>
        <v>0</v>
      </c>
      <c r="CR55" s="28" t="n">
        <f aca="false">IF(CP55&gt;0,N(BT55)/CP55,"")</f>
        <v>0.538357094365241</v>
      </c>
      <c r="CS55" s="28" t="n">
        <f aca="false">IF(CP55&gt;0,N(BU55)/CP55,"")</f>
        <v>0.461642905634759</v>
      </c>
      <c r="CT55" s="7" t="n">
        <f aca="false">1000*(p_sh_pv*p_cf_pv/p_capex_pv+(1-p_sh_pv)*p_cf_wind/p_capex_wind)*8760</f>
        <v>2301.28856624319</v>
      </c>
      <c r="CU55" s="13" t="n">
        <f aca="false">IF(AND(ISNUMBER(CO55),ISNUMBER(CQ55),BY55=1),1,0)</f>
        <v>1</v>
      </c>
      <c r="CV55" s="16" t="n">
        <f aca="false">IF(CU55=0,"",CQ55*p_hr_coal*N(AK55)+CR55*p_hr_gas*N(AO55)+CS55*p_hr_oil*N(AH55)/p_gj_l_oil)</f>
        <v>94.0280939080121</v>
      </c>
      <c r="CW55" s="37" t="n">
        <f aca="false">IF(CU55=0,"",CQ55*p_hr_coal*p_ef_coal+CR55*p_hr_gas*p_ef_gas+CS55*p_hr_oil*p_ef_oil)</f>
        <v>0.601690936863544</v>
      </c>
      <c r="CX55" s="16" t="n">
        <f aca="false">IF(CU55=0,"",CQ55*p_hr_coal*N(AW55)+CR55*p_hr_gas*N(AX55)+CS55*p_hr_oil*N(AY55)/p_gj_l_oil)</f>
        <v>25.1169225883648</v>
      </c>
      <c r="CY55" s="37" t="n">
        <f aca="false">IF(CU55=0,"",CO55*CW55)</f>
        <v>0.591925966740132</v>
      </c>
      <c r="CZ55" s="37" t="n">
        <f aca="false">IF(CU55=0,"",CT55*CO55*CV55/1000/1000-p_om_re)</f>
        <v>0.197874006634601</v>
      </c>
      <c r="DA55" s="37" t="n">
        <f aca="false">IF(CU55=0,"",CT55*CO55*CX55/1000/1000)</f>
        <v>0.0568632174012489</v>
      </c>
      <c r="DB55" s="37" t="n">
        <f aca="false">IF(CU55=0,"",CT55*CO55*CW55/1000)</f>
        <v>1.36219245932152</v>
      </c>
      <c r="DC55" s="13" t="n">
        <f aca="false">IF(AND(CU55=1,ISNUMBER(AD55),ISNUMBER(AV55)),1,0)</f>
        <v>1</v>
      </c>
      <c r="DD55" s="7" t="n">
        <f aca="false">IF(DC55=0,"",p_ev_km*p_ice_l/100*AD55-p_ev_km*p_ev_kwh*AV55+p_ev_km*p_ev_maint)</f>
        <v>690.1542</v>
      </c>
      <c r="DE55" s="37" t="n">
        <f aca="false">IF(DC55=0,"",DD55/p_ev_prem)</f>
        <v>0.13803084</v>
      </c>
      <c r="DF55" s="37" t="n">
        <f aca="false">IF(DC55=0,"",p_ev_km*p_ice_l/100*N(AZ55)/p_ev_prem)</f>
        <v>0.020585025</v>
      </c>
      <c r="DG55" s="37" t="n">
        <f aca="false">IF(DC55=0,"",1000/p_ev_prem*(p_ev_km*p_ice_l/100*p_gj_l_gso*p_ef_gso-p_ev_km*p_ev_kwh/1000*CY55))</f>
        <v>0.213623477960329</v>
      </c>
      <c r="DH55" s="11" t="str">
        <f aca="false">IFERROR(IF(INDEX(Damodaran!$D:$D,MATCH(A55,Damodaran!$A:$A,0))="","",INDEX(Damodaran!$D:$D,MATCH(A55,Damodaran!$A:$A,0))),"")</f>
        <v/>
      </c>
      <c r="DI55" s="11" t="str">
        <f aca="false">IFERROR(IF(INDEX(Damodaran!$E:$E,MATCH(A55,Damodaran!$A:$A,0))="","",INDEX(Damodaran!$E:$E,MATCH(A55,Damodaran!$A:$A,0))),"")</f>
        <v/>
      </c>
      <c r="DJ55" s="11" t="str">
        <f aca="false">IFERROR(IF(INDEX(Damodaran!$G:$G,MATCH(A55,Damodaran!$A:$A,0))="","",INDEX(Damodaran!$G:$G,MATCH(A55,Damodaran!$A:$A,0))),"")</f>
        <v/>
      </c>
      <c r="DK55" s="11" t="n">
        <f aca="false">IF(ISNUMBER(BG55),(1+BG55/100)*(1+p_infl)-1,"")</f>
        <v>0.11792</v>
      </c>
      <c r="DL55" s="11" t="str">
        <f aca="false">IF(ISNUMBER(BH55),BH55/100,"")</f>
        <v/>
      </c>
      <c r="DM55" s="11" t="n">
        <f aca="false">IF(COUNT(DK55,DL55)=0,"",AVERAGE(DK55,DL55))</f>
        <v>0.11792</v>
      </c>
      <c r="DN55" s="11" t="str">
        <f aca="false">IF(OR(DH55="",DI55=""),"",p_dv*(p_rf+DH55)*(1-IF(DJ55="",p_tax_def,DJ55))+(1-p_dv)*(p_rf+p_beta*p_erp+p_lambda*DI55))</f>
        <v/>
      </c>
      <c r="DO55" s="13" t="n">
        <f aca="false">IF(AND(ISNUMBER(DM55),ISNUMBER(DN55)),1,0)</f>
        <v>0</v>
      </c>
      <c r="DP55" s="11" t="n">
        <f aca="false">IF(DO55=1,DM55,0)</f>
        <v>0</v>
      </c>
      <c r="DQ55" s="11" t="n">
        <f aca="false">IF(DO55=1,DN55,0)</f>
        <v>0</v>
      </c>
      <c r="DR55" s="11" t="str">
        <f aca="false">IF(DN55="","",DN55+p_shift)</f>
        <v/>
      </c>
      <c r="DS55" s="11" t="n">
        <f aca="false">IF(E55="AE",p_r_ae,IF(E55="China",p_r_chn,p_r_emdc))</f>
        <v>0.105</v>
      </c>
      <c r="DT55" s="11" t="n">
        <f aca="false">IF(E55="AE",p_rh_ae,IF(E55="China",p_rh_chn,p_rh_emdc))</f>
        <v>0.15</v>
      </c>
      <c r="DU55" s="11" t="n">
        <f aca="false">IF(AND(p_use_obs=1,ISNUMBER(DM55)),DM55,IF(AND(p_use_dam=1,ISNUMBER(DR55)),DR55,DS55))</f>
        <v>0.11792</v>
      </c>
      <c r="DV55" s="6" t="str">
        <f aca="false">IF(AND(p_use_obs=1,ISNUMBER(DM55)),"Observed (IRENA/Steffen)",IF(AND(p_use_dam=1,ISNUMBER(DR55)),"Damodaran (eq. 5)","Group default (IHLEG)"))</f>
        <v>Observed (IRENA/Steffen)</v>
      </c>
      <c r="DW55" s="11" t="n">
        <f aca="false">IF(p_basis=1,(1+DU55)/(1+p_infl)-1,DU55)</f>
        <v>0.11792</v>
      </c>
      <c r="DX55" s="11" t="n">
        <f aca="false">DW55+(DT55-DS55)</f>
        <v>0.16292</v>
      </c>
      <c r="DY55" s="28" t="n">
        <f aca="false">IF(AND(p_use_pefa=1,ISNUMBER(BD55)),p_gap_lic-(BD55-1)/3*(p_gap_lic-p_gap_ae),IF(E55="AE",p_gap_ae,IF(D55="Low income",p_gap_lic,p_gap_em)))*(1-p_reform*p_reform_close)</f>
        <v>0.27</v>
      </c>
      <c r="DZ55" s="6" t="str">
        <f aca="false">IF(AND(p_use_pefa=1,ISNUMBER(BD55)),"PEFA PI-11","Income-group default (IMF 2015)")</f>
        <v>Income-group default (IMF 2015)</v>
      </c>
      <c r="EA55" s="28" t="n">
        <f aca="false">IF(E55="AE",p_ps_ae,IF(E55="China",p_ps_chn,p_ps_emdc))</f>
        <v>0.4</v>
      </c>
      <c r="EB55" s="37" t="n">
        <f aca="false">(1-EA55)+EA55/(1-DY55)</f>
        <v>1.14794520547945</v>
      </c>
      <c r="EC55" s="16" t="n">
        <f aca="false">Results_Country!F55</f>
        <v>20.1354346850207</v>
      </c>
      <c r="ED55" s="16" t="n">
        <f aca="false">IF(CH55="",0,CH55*EC55)</f>
        <v>3268.73724776952</v>
      </c>
      <c r="EE55" s="16" t="n">
        <f aca="false">IF(CJ55="",0,CJ55*EC55)</f>
        <v>803.011076103109</v>
      </c>
      <c r="EF55" s="16" t="n">
        <f aca="false">IF(CH55="",0,EC55)</f>
        <v>20.1354346850207</v>
      </c>
    </row>
    <row r="56" customFormat="false" ht="15" hidden="false" customHeight="false" outlineLevel="0" collapsed="false">
      <c r="A56" s="35" t="s">
        <v>868</v>
      </c>
      <c r="B56" s="35" t="s">
        <v>869</v>
      </c>
      <c r="C56" s="35" t="s">
        <v>799</v>
      </c>
      <c r="D56" s="35" t="s">
        <v>763</v>
      </c>
      <c r="E56" s="35" t="s">
        <v>31</v>
      </c>
      <c r="F56" s="36" t="n">
        <v>269.14</v>
      </c>
      <c r="G56" s="36" t="n">
        <v>826.1</v>
      </c>
      <c r="H56" s="33" t="n">
        <v>3.822</v>
      </c>
      <c r="I56" s="33" t="n">
        <v>3.777</v>
      </c>
      <c r="J56" s="36" t="n">
        <v>46.814307</v>
      </c>
      <c r="K56" s="36" t="n">
        <v>174.501</v>
      </c>
      <c r="L56" s="36" t="n">
        <v>286.588</v>
      </c>
      <c r="M56" s="36" t="n">
        <v>287.012</v>
      </c>
      <c r="N56" s="36" t="n">
        <v>28.6716856719068</v>
      </c>
      <c r="O56" s="36" t="n">
        <v>25.4486135009097</v>
      </c>
      <c r="P56" s="36" t="n">
        <v>10.788541952251</v>
      </c>
      <c r="Q56" s="31" t="n">
        <v>0.363611031983056</v>
      </c>
      <c r="R56" s="31" t="n">
        <v>0.411381823665707</v>
      </c>
      <c r="S56" s="31" t="n">
        <v>0.768974977855781</v>
      </c>
      <c r="T56" s="31" t="n">
        <v>0.0303954167131603</v>
      </c>
      <c r="U56" s="31" t="n">
        <v>0.00409220849133803</v>
      </c>
      <c r="V56" s="31" t="n">
        <v>0</v>
      </c>
      <c r="W56" s="31" t="n">
        <v>0</v>
      </c>
      <c r="X56" s="31" t="n">
        <v>0</v>
      </c>
      <c r="Y56" s="36" t="n">
        <v>4.25787139415929</v>
      </c>
      <c r="Z56" s="36" t="n">
        <v>10.6715084275609</v>
      </c>
      <c r="AA56" s="36" t="n">
        <v>4.95684260478938</v>
      </c>
      <c r="AB56" s="36" t="n">
        <v>0.185257393613849</v>
      </c>
      <c r="AC56" s="36" t="n">
        <v>1.09547137480839</v>
      </c>
      <c r="AD56" s="31" t="n">
        <v>0.855231</v>
      </c>
      <c r="AE56" s="31" t="n">
        <v>0.805774</v>
      </c>
      <c r="AF56" s="31" t="n">
        <v>0.555572</v>
      </c>
      <c r="AG56" s="31" t="n">
        <v>0.652</v>
      </c>
      <c r="AH56" s="31" t="n">
        <v>0.543345303403777</v>
      </c>
      <c r="AI56" s="31" t="n">
        <v>7.124</v>
      </c>
      <c r="AJ56" s="31" t="n">
        <v>14.50967</v>
      </c>
      <c r="AK56" s="31" t="n">
        <v>5.575</v>
      </c>
      <c r="AL56" s="31" t="n">
        <v>7.124</v>
      </c>
      <c r="AM56" s="31" t="n">
        <v>5.06</v>
      </c>
      <c r="AN56" s="31" t="n">
        <v>10.74689</v>
      </c>
      <c r="AO56" s="31" t="n">
        <v>4.398</v>
      </c>
      <c r="AP56" s="31" t="n">
        <v>6.24553100921215</v>
      </c>
      <c r="AQ56" s="36" t="n">
        <v>5.81646678719209</v>
      </c>
      <c r="AR56" s="36" t="n">
        <v>0.878979644999337</v>
      </c>
      <c r="AS56" s="36" t="n">
        <v>3.48341549922674</v>
      </c>
      <c r="AT56" s="36" t="n">
        <v>2.21971394230668</v>
      </c>
      <c r="AU56" s="31" t="n">
        <v>0.0242182456964538</v>
      </c>
      <c r="AV56" s="36" t="n">
        <v>0.12495</v>
      </c>
      <c r="AW56" s="31" t="n">
        <v>1.323586</v>
      </c>
      <c r="AX56" s="31" t="n">
        <v>0.072375</v>
      </c>
      <c r="AY56" s="31" t="n">
        <v>0.525053714815364</v>
      </c>
      <c r="AZ56" s="31" t="n">
        <v>0.077905</v>
      </c>
      <c r="BA56" s="33" t="n">
        <v>48.069</v>
      </c>
      <c r="BB56" s="33" t="n">
        <v>4.884</v>
      </c>
      <c r="BC56" s="33"/>
      <c r="BD56" s="33"/>
      <c r="BE56" s="33"/>
      <c r="BF56" s="33" t="n">
        <v>0</v>
      </c>
      <c r="BG56" s="33" t="n">
        <v>11</v>
      </c>
      <c r="BH56" s="33"/>
      <c r="BI56" s="29"/>
      <c r="BJ56" s="33" t="n">
        <v>1</v>
      </c>
      <c r="BK56" s="33"/>
      <c r="BL56" s="33"/>
      <c r="BM56" s="33"/>
      <c r="BN56" s="29" t="n">
        <v>19.583</v>
      </c>
      <c r="BO56" s="33" t="n">
        <v>0.014</v>
      </c>
      <c r="BP56" s="33" t="n">
        <v>0.005</v>
      </c>
      <c r="BQ56" s="29" t="n">
        <v>2024</v>
      </c>
      <c r="BR56" s="36" t="n">
        <v>96.36</v>
      </c>
      <c r="BS56" s="36" t="n">
        <v>0</v>
      </c>
      <c r="BT56" s="36" t="n">
        <v>95</v>
      </c>
      <c r="BU56" s="36" t="n">
        <v>0.33</v>
      </c>
      <c r="BV56" s="16" t="n">
        <f aca="false">F56*(1+N(H56)/100)*(1+N(I56)/100)^5</f>
        <v>336.335878751681</v>
      </c>
      <c r="BW56" s="16" t="n">
        <f aca="false">IF(N(G56)&gt;0,G56,F56)</f>
        <v>826.1</v>
      </c>
      <c r="BX56" s="12" t="n">
        <f aca="false">F56/BW56</f>
        <v>0.325795908485656</v>
      </c>
      <c r="BY56" s="13" t="n">
        <f aca="false">IF(ISNUMBER(K56),1,0)</f>
        <v>1</v>
      </c>
      <c r="BZ56" s="16" t="n">
        <f aca="false">IF(BY56=0,"",N(N56)+N(O56)+N(P56))</f>
        <v>64.9088411250675</v>
      </c>
      <c r="CA56" s="37" t="n">
        <f aca="false">IF(BY56=0,"",(N(Y56)*34.2+N(Z56)*38.6)/1000)</f>
        <v>0.557539426984098</v>
      </c>
      <c r="CB56" s="37" t="n">
        <f aca="false">IF(BY56=0,"",N(O56)*0.0036+N(R56)+N(V56)+(N(AA56)*25.3+N(AB56)*37)/1000)</f>
        <v>0.635259473733866</v>
      </c>
      <c r="CC56" s="37" t="n">
        <f aca="false">IF(BY56=0,"",N(N56)*0.0036+N(Q56)+N(U56)+N(T56)+N(X56)+N(AC56)*38/1000)</f>
        <v>0.542944637849137</v>
      </c>
      <c r="CD56" s="37" t="n">
        <f aca="false">IF(BY56=0,"",N(Q56)+N(R56)+N(S56)+N(T56)+N(U56)+N(V56)+N(W56)+N(X56)+(N(Y56)*34.2+N(Z56)*38.6+N(AA56)*25.3+N(AB56)*37+N(AC56)*38)/1000)</f>
        <v>2.30988543940074</v>
      </c>
      <c r="CE56" s="16" t="n">
        <f aca="false">IF(BY56=0,"",MAX(0,N(L56)-N(K56))+MAX(0,N(M56)-N(L56)))</f>
        <v>112.511</v>
      </c>
      <c r="CF56" s="16" t="n">
        <f aca="false">IF(BY56=0,"",N(Y56)*N(AD56)+N(Z56)*N(AE56)+N(AA56)*N(AF56)+N(AB56)*N(AG56)+N(AC56)*N(AH56)+N(U56)*N(AI56)+N(V56)*N(AJ56)+N(W56)*N(AK56)+N(X56)*N(AL56)+N(Q56)*N(AM56)+N(R56)*N(AN56)+N(S56)*N(AO56)+N(T56)*N(AP56))</f>
        <v>25.5720650410784</v>
      </c>
      <c r="CG56" s="16" t="n">
        <f aca="false">IF(AND(BY56=1,N(K56)&gt;0),K56,0)</f>
        <v>174.501</v>
      </c>
      <c r="CH56" s="16" t="n">
        <f aca="false">IF(CG56&gt;0,CF56*1000/CG56,"")</f>
        <v>146.543945542309</v>
      </c>
      <c r="CI56" s="16" t="n">
        <f aca="false">IF(BY56=0,"",N(AQ56)+p_road*(N(AR56)+N(AS56)+N(AT56)))</f>
        <v>5.81646678719209</v>
      </c>
      <c r="CJ56" s="16" t="n">
        <f aca="false">IF(CG56&gt;0,CI56*1000/CG56,"")</f>
        <v>33.3319968779095</v>
      </c>
      <c r="CK56" s="12" t="n">
        <f aca="false">IF(CH56="",1,MIN(p_idx_max,MAX(p_idx_min,CH56/p_fc_world)))</f>
        <v>0.910169320664252</v>
      </c>
      <c r="CL56" s="12" t="n">
        <f aca="false">IF(CJ56="",1,MIN(p_idx_max,MAX(p_idx_min,CJ56/p_cb_world)))</f>
        <v>0.633799071594545</v>
      </c>
      <c r="CM56" s="37" t="n">
        <f aca="false">p_b*(1-p_wb_idx+p_wb_idx*CK56)</f>
        <v>0.121052519648346</v>
      </c>
      <c r="CN56" s="37" t="n">
        <f aca="false">p_c*(1-p_wc_idx+p_wc_idx*CL56)</f>
        <v>0.0817600802356963</v>
      </c>
      <c r="CO56" s="28" t="n">
        <f aca="false">IF(N(BR56)&gt;0,(N(BS56)+N(BT56)+N(BU56))/BR56,"")</f>
        <v>0.989310917393109</v>
      </c>
      <c r="CP56" s="16" t="n">
        <f aca="false">N(BS56)+N(BT56)+N(BU56)</f>
        <v>95.33</v>
      </c>
      <c r="CQ56" s="28" t="n">
        <f aca="false">IF(CP56&gt;0,N(BS56)/CP56,"")</f>
        <v>0</v>
      </c>
      <c r="CR56" s="28" t="n">
        <f aca="false">IF(CP56&gt;0,N(BT56)/CP56,"")</f>
        <v>0.996538340501416</v>
      </c>
      <c r="CS56" s="28" t="n">
        <f aca="false">IF(CP56&gt;0,N(BU56)/CP56,"")</f>
        <v>0.00346165949858387</v>
      </c>
      <c r="CT56" s="7" t="n">
        <f aca="false">1000*(p_sh_pv*p_cf_pv/p_capex_pv+(1-p_sh_pv)*p_cf_wind/p_capex_wind)*8760</f>
        <v>2301.28856624319</v>
      </c>
      <c r="CU56" s="13" t="n">
        <f aca="false">IF(AND(ISNUMBER(CO56),ISNUMBER(CQ56),BY56=1),1,0)</f>
        <v>1</v>
      </c>
      <c r="CV56" s="16" t="n">
        <f aca="false">IF(CU56=0,"",CQ56*p_hr_coal*N(AK56)+CR56*p_hr_gas*N(AO56)+CS56*p_hr_oil*N(AH56)/p_gj_l_oil)</f>
        <v>33.3824545324406</v>
      </c>
      <c r="CW56" s="37" t="n">
        <f aca="false">IF(CU56=0,"",CQ56*p_hr_coal*p_ef_coal+CR56*p_hr_gas*p_ef_gas+CS56*p_hr_oil*p_ef_oil)</f>
        <v>0.42210679744047</v>
      </c>
      <c r="CX56" s="16" t="n">
        <f aca="false">IF(CU56=0,"",CQ56*p_hr_coal*N(AW56)+CR56*p_hr_gas*N(AX56)+CS56*p_hr_oil*N(AY56)/p_gj_l_oil)</f>
        <v>1.03534669026307</v>
      </c>
      <c r="CY56" s="37" t="n">
        <f aca="false">IF(CU56=0,"",CO56*CW56)</f>
        <v>0.417594863013699</v>
      </c>
      <c r="CZ56" s="37" t="n">
        <f aca="false">IF(CU56=0,"",CT56*CO56*CV56/1000/1000-p_om_re)</f>
        <v>0.0610014971598915</v>
      </c>
      <c r="DA56" s="37" t="n">
        <f aca="false">IF(CU56=0,"",CT56*CO56*CX56/1000/1000)</f>
        <v>0.00235716335547057</v>
      </c>
      <c r="DB56" s="37" t="n">
        <f aca="false">IF(CU56=0,"",CT56*CO56*CW56/1000)</f>
        <v>0.961006283575317</v>
      </c>
      <c r="DC56" s="13" t="n">
        <f aca="false">IF(AND(CU56=1,ISNUMBER(AD56),ISNUMBER(AV56)),1,0)</f>
        <v>1</v>
      </c>
      <c r="DD56" s="7" t="n">
        <f aca="false">IF(DC56=0,"",p_ev_km*p_ice_l/100*AD56-p_ev_km*p_ev_kwh*AV56+p_ev_km*p_ev_maint)</f>
        <v>804.769875</v>
      </c>
      <c r="DE56" s="37" t="n">
        <f aca="false">IF(DC56=0,"",DD56/p_ev_prem)</f>
        <v>0.160953975</v>
      </c>
      <c r="DF56" s="37" t="n">
        <f aca="false">IF(DC56=0,"",p_ev_km*p_ice_l/100*N(AZ56)/p_ev_prem)</f>
        <v>0.017528625</v>
      </c>
      <c r="DG56" s="37" t="n">
        <f aca="false">IF(DC56=0,"",1000/p_ev_prem*(p_ev_km*p_ice_l/100*p_gj_l_gso*p_ef_gso-p_ev_km*p_ev_kwh/1000*CY56))</f>
        <v>0.307762273972603</v>
      </c>
      <c r="DH56" s="11" t="str">
        <f aca="false">IFERROR(IF(INDEX(Damodaran!$D:$D,MATCH(A56,Damodaran!$A:$A,0))="","",INDEX(Damodaran!$D:$D,MATCH(A56,Damodaran!$A:$A,0))),"")</f>
        <v/>
      </c>
      <c r="DI56" s="11" t="str">
        <f aca="false">IFERROR(IF(INDEX(Damodaran!$E:$E,MATCH(A56,Damodaran!$A:$A,0))="","",INDEX(Damodaran!$E:$E,MATCH(A56,Damodaran!$A:$A,0))),"")</f>
        <v/>
      </c>
      <c r="DJ56" s="11" t="str">
        <f aca="false">IFERROR(IF(INDEX(Damodaran!$G:$G,MATCH(A56,Damodaran!$A:$A,0))="","",INDEX(Damodaran!$G:$G,MATCH(A56,Damodaran!$A:$A,0))),"")</f>
        <v/>
      </c>
      <c r="DK56" s="11" t="n">
        <f aca="false">IF(ISNUMBER(BG56),(1+BG56/100)*(1+p_infl)-1,"")</f>
        <v>0.1322</v>
      </c>
      <c r="DL56" s="11" t="str">
        <f aca="false">IF(ISNUMBER(BH56),BH56/100,"")</f>
        <v/>
      </c>
      <c r="DM56" s="11" t="n">
        <f aca="false">IF(COUNT(DK56,DL56)=0,"",AVERAGE(DK56,DL56))</f>
        <v>0.1322</v>
      </c>
      <c r="DN56" s="11" t="str">
        <f aca="false">IF(OR(DH56="",DI56=""),"",p_dv*(p_rf+DH56)*(1-IF(DJ56="",p_tax_def,DJ56))+(1-p_dv)*(p_rf+p_beta*p_erp+p_lambda*DI56))</f>
        <v/>
      </c>
      <c r="DO56" s="13" t="n">
        <f aca="false">IF(AND(ISNUMBER(DM56),ISNUMBER(DN56)),1,0)</f>
        <v>0</v>
      </c>
      <c r="DP56" s="11" t="n">
        <f aca="false">IF(DO56=1,DM56,0)</f>
        <v>0</v>
      </c>
      <c r="DQ56" s="11" t="n">
        <f aca="false">IF(DO56=1,DN56,0)</f>
        <v>0</v>
      </c>
      <c r="DR56" s="11" t="str">
        <f aca="false">IF(DN56="","",DN56+p_shift)</f>
        <v/>
      </c>
      <c r="DS56" s="11" t="n">
        <f aca="false">IF(E56="AE",p_r_ae,IF(E56="China",p_r_chn,p_r_emdc))</f>
        <v>0.105</v>
      </c>
      <c r="DT56" s="11" t="n">
        <f aca="false">IF(E56="AE",p_rh_ae,IF(E56="China",p_rh_chn,p_rh_emdc))</f>
        <v>0.15</v>
      </c>
      <c r="DU56" s="11" t="n">
        <f aca="false">IF(AND(p_use_obs=1,ISNUMBER(DM56)),DM56,IF(AND(p_use_dam=1,ISNUMBER(DR56)),DR56,DS56))</f>
        <v>0.1322</v>
      </c>
      <c r="DV56" s="6" t="str">
        <f aca="false">IF(AND(p_use_obs=1,ISNUMBER(DM56)),"Observed (IRENA/Steffen)",IF(AND(p_use_dam=1,ISNUMBER(DR56)),"Damodaran (eq. 5)","Group default (IHLEG)"))</f>
        <v>Observed (IRENA/Steffen)</v>
      </c>
      <c r="DW56" s="11" t="n">
        <f aca="false">IF(p_basis=1,(1+DU56)/(1+p_infl)-1,DU56)</f>
        <v>0.1322</v>
      </c>
      <c r="DX56" s="11" t="n">
        <f aca="false">DW56+(DT56-DS56)</f>
        <v>0.1772</v>
      </c>
      <c r="DY56" s="28" t="n">
        <f aca="false">IF(AND(p_use_pefa=1,ISNUMBER(BD56)),p_gap_lic-(BD56-1)/3*(p_gap_lic-p_gap_ae),IF(E56="AE",p_gap_ae,IF(D56="Low income",p_gap_lic,p_gap_em)))*(1-p_reform*p_reform_close)</f>
        <v>0.27</v>
      </c>
      <c r="DZ56" s="6" t="str">
        <f aca="false">IF(AND(p_use_pefa=1,ISNUMBER(BD56)),"PEFA PI-11","Income-group default (IMF 2015)")</f>
        <v>Income-group default (IMF 2015)</v>
      </c>
      <c r="EA56" s="28" t="n">
        <f aca="false">IF(E56="AE",p_ps_ae,IF(E56="China",p_ps_chn,p_ps_emdc))</f>
        <v>0.4</v>
      </c>
      <c r="EB56" s="37" t="n">
        <f aca="false">(1-EA56)+EA56/(1-DY56)</f>
        <v>1.14794520547945</v>
      </c>
      <c r="EC56" s="16" t="n">
        <f aca="false">Results_Country!F56</f>
        <v>19.4382180349588</v>
      </c>
      <c r="ED56" s="16" t="n">
        <f aca="false">IF(CH56="",0,CH56*EC56)</f>
        <v>2848.55316515452</v>
      </c>
      <c r="EE56" s="16" t="n">
        <f aca="false">IF(CJ56="",0,CJ56*EC56)</f>
        <v>647.914622853371</v>
      </c>
      <c r="EF56" s="16" t="n">
        <f aca="false">IF(CH56="",0,EC56)</f>
        <v>19.4382180349588</v>
      </c>
    </row>
    <row r="57" customFormat="false" ht="15" hidden="false" customHeight="false" outlineLevel="0" collapsed="false">
      <c r="A57" s="35" t="s">
        <v>870</v>
      </c>
      <c r="B57" s="35" t="s">
        <v>871</v>
      </c>
      <c r="C57" s="35" t="s">
        <v>762</v>
      </c>
      <c r="D57" s="35" t="s">
        <v>760</v>
      </c>
      <c r="E57" s="35" t="s">
        <v>29</v>
      </c>
      <c r="F57" s="36" t="n">
        <v>258.827</v>
      </c>
      <c r="G57" s="36" t="n">
        <v>288.555</v>
      </c>
      <c r="H57" s="33" t="n">
        <v>0.176</v>
      </c>
      <c r="I57" s="33" t="n">
        <v>2.131</v>
      </c>
      <c r="J57" s="36" t="n">
        <v>5.213944</v>
      </c>
      <c r="K57" s="36" t="n">
        <v>31.995</v>
      </c>
      <c r="L57" s="36" t="n">
        <v>75.344</v>
      </c>
      <c r="M57" s="36" t="n">
        <v>54</v>
      </c>
      <c r="N57" s="36" t="n">
        <v>25.9275574692681</v>
      </c>
      <c r="O57" s="36" t="n">
        <v>13.7719687386947</v>
      </c>
      <c r="P57" s="36" t="n">
        <v>0.674673036077819</v>
      </c>
      <c r="Q57" s="31" t="n">
        <v>0.0286860760757748</v>
      </c>
      <c r="R57" s="31" t="n">
        <v>0.0281802779028006</v>
      </c>
      <c r="S57" s="31" t="n">
        <v>0.0433195033781694</v>
      </c>
      <c r="T57" s="31" t="n">
        <v>0</v>
      </c>
      <c r="U57" s="31" t="n">
        <v>0.00762751625655009</v>
      </c>
      <c r="V57" s="31" t="n">
        <v>0.0167358686411134</v>
      </c>
      <c r="W57" s="31" t="n">
        <v>0.012043193043654</v>
      </c>
      <c r="X57" s="31" t="n">
        <v>0</v>
      </c>
      <c r="Y57" s="36" t="n">
        <v>2.96665478443012</v>
      </c>
      <c r="Z57" s="36" t="n">
        <v>3.90881849972665</v>
      </c>
      <c r="AA57" s="36" t="n">
        <v>0.34906274793787</v>
      </c>
      <c r="AB57" s="36" t="n">
        <v>0.306704327254836</v>
      </c>
      <c r="AC57" s="36" t="n">
        <v>0.268335114897251</v>
      </c>
      <c r="AD57" s="31" t="n">
        <v>0.824983</v>
      </c>
      <c r="AE57" s="31" t="n">
        <v>0.783637</v>
      </c>
      <c r="AF57" s="31" t="n">
        <v>0.54032</v>
      </c>
      <c r="AG57" s="31" t="n">
        <v>0.652</v>
      </c>
      <c r="AH57" s="31" t="n">
        <v>0.543345303403777</v>
      </c>
      <c r="AI57" s="31" t="n">
        <v>3.896</v>
      </c>
      <c r="AJ57" s="31" t="n">
        <v>7.1392</v>
      </c>
      <c r="AK57" s="31" t="n">
        <v>2.437</v>
      </c>
      <c r="AL57" s="31" t="n">
        <v>4.90424500960607</v>
      </c>
      <c r="AM57" s="31" t="n">
        <v>9.364</v>
      </c>
      <c r="AN57" s="31" t="n">
        <v>27.6092</v>
      </c>
      <c r="AO57" s="31" t="n">
        <v>9.395</v>
      </c>
      <c r="AP57" s="31" t="n">
        <v>14.509413979553</v>
      </c>
      <c r="AQ57" s="36" t="n">
        <v>0.373410005366611</v>
      </c>
      <c r="AR57" s="36" t="n">
        <v>0.986380181727637</v>
      </c>
      <c r="AS57" s="36" t="n">
        <v>0.132479446263772</v>
      </c>
      <c r="AT57" s="36" t="n">
        <v>0.302040536248734</v>
      </c>
      <c r="AU57" s="31" t="n">
        <v>0.854691849728394</v>
      </c>
      <c r="AV57" s="36" t="n">
        <v>0.186703</v>
      </c>
      <c r="AW57" s="31" t="n">
        <v>1.342812</v>
      </c>
      <c r="AX57" s="31" t="n">
        <v>0.035253</v>
      </c>
      <c r="AY57" s="31" t="n">
        <v>0.0915400112364477</v>
      </c>
      <c r="AZ57" s="31" t="n">
        <v>0.011447</v>
      </c>
      <c r="BA57" s="33" t="n">
        <v>51.425</v>
      </c>
      <c r="BB57" s="33" t="n">
        <v>2.013</v>
      </c>
      <c r="BC57" s="33"/>
      <c r="BD57" s="33"/>
      <c r="BE57" s="33"/>
      <c r="BF57" s="33" t="n">
        <v>0</v>
      </c>
      <c r="BG57" s="33"/>
      <c r="BH57" s="33"/>
      <c r="BI57" s="29"/>
      <c r="BJ57" s="33"/>
      <c r="BK57" s="33"/>
      <c r="BL57" s="33"/>
      <c r="BM57" s="33"/>
      <c r="BN57" s="29"/>
      <c r="BO57" s="33"/>
      <c r="BP57" s="33"/>
      <c r="BQ57" s="29" t="n">
        <v>2025</v>
      </c>
      <c r="BR57" s="36" t="n">
        <v>43.34</v>
      </c>
      <c r="BS57" s="36" t="n">
        <v>0.49</v>
      </c>
      <c r="BT57" s="36" t="n">
        <v>3.84</v>
      </c>
      <c r="BU57" s="36" t="n">
        <v>0.64</v>
      </c>
      <c r="BV57" s="16" t="n">
        <f aca="false">F57*(1+N(H57)/100)*(1+N(I57)/100)^5</f>
        <v>288.11189323152</v>
      </c>
      <c r="BW57" s="16" t="n">
        <f aca="false">IF(N(G57)&gt;0,G57,F57)</f>
        <v>288.555</v>
      </c>
      <c r="BX57" s="12" t="n">
        <f aca="false">F57/BW57</f>
        <v>0.896976313007919</v>
      </c>
      <c r="BY57" s="13" t="n">
        <f aca="false">IF(ISNUMBER(K57),1,0)</f>
        <v>1</v>
      </c>
      <c r="BZ57" s="16" t="n">
        <f aca="false">IF(BY57=0,"",N(N57)+N(O57)+N(P57))</f>
        <v>40.3741992440406</v>
      </c>
      <c r="CA57" s="37" t="n">
        <f aca="false">IF(BY57=0,"",(N(Y57)*34.2+N(Z57)*38.6)/1000)</f>
        <v>0.252339987716959</v>
      </c>
      <c r="CB57" s="37" t="n">
        <f aca="false">IF(BY57=0,"",N(O57)*0.0036+N(R57)+N(V57)+(N(AA57)*25.3+N(AB57)*37)/1000)</f>
        <v>0.114674581634472</v>
      </c>
      <c r="CC57" s="37" t="n">
        <f aca="false">IF(BY57=0,"",N(N57)*0.0036+N(Q57)+N(U57)+N(T57)+N(X57)+N(AC57)*38/1000)</f>
        <v>0.139849533587786</v>
      </c>
      <c r="CD57" s="37" t="n">
        <f aca="false">IF(BY57=0,"",N(Q57)+N(R57)+N(S57)+N(T57)+N(U57)+N(V57)+N(W57)+N(X57)+(N(Y57)*34.2+N(Z57)*38.6+N(AA57)*25.3+N(AB57)*37+N(AC57)*38)/1000)</f>
        <v>0.419308505012373</v>
      </c>
      <c r="CE57" s="16" t="n">
        <f aca="false">IF(BY57=0,"",MAX(0,N(L57)-N(K57))+MAX(0,N(M57)-N(L57)))</f>
        <v>43.349</v>
      </c>
      <c r="CF57" s="16" t="n">
        <f aca="false">IF(BY57=0,"",N(Y57)*N(AD57)+N(Z57)*N(AE57)+N(AA57)*N(AF57)+N(AB57)*N(AG57)+N(AC57)*N(AH57)+N(U57)*N(AI57)+N(V57)*N(AJ57)+N(W57)*N(AK57)+N(X57)*N(AL57)+N(Q57)*N(AM57)+N(R57)*N(AN57)+N(S57)*N(AO57)+N(T57)*N(AP57))</f>
        <v>7.67709485391848</v>
      </c>
      <c r="CG57" s="16" t="n">
        <f aca="false">IF(AND(BY57=1,N(K57)&gt;0),K57,0)</f>
        <v>31.995</v>
      </c>
      <c r="CH57" s="16" t="n">
        <f aca="false">IF(CG57&gt;0,CF57*1000/CG57,"")</f>
        <v>239.946705857743</v>
      </c>
      <c r="CI57" s="16" t="n">
        <f aca="false">IF(BY57=0,"",N(AQ57)+p_road*(N(AR57)+N(AS57)+N(AT57)))</f>
        <v>0.373410005366611</v>
      </c>
      <c r="CJ57" s="16" t="n">
        <f aca="false">IF(CG57&gt;0,CI57*1000/CG57,"")</f>
        <v>11.6708862436822</v>
      </c>
      <c r="CK57" s="12" t="n">
        <f aca="false">IF(CH57="",1,MIN(p_idx_max,MAX(p_idx_min,CH57/p_fc_world)))</f>
        <v>1.49028422469433</v>
      </c>
      <c r="CL57" s="12" t="n">
        <f aca="false">IF(CJ57="",1,MIN(p_idx_max,MAX(p_idx_min,CJ57/p_cb_world)))</f>
        <v>0.25</v>
      </c>
      <c r="CM57" s="37" t="n">
        <f aca="false">p_b*(1-p_wb_idx+p_wb_idx*CK57)</f>
        <v>0.198207801884345</v>
      </c>
      <c r="CN57" s="37" t="n">
        <f aca="false">p_c*(1-p_wc_idx+p_wc_idx*CL57)</f>
        <v>0.03225</v>
      </c>
      <c r="CO57" s="28" t="n">
        <f aca="false">IF(N(BR57)&gt;0,(N(BS57)+N(BT57)+N(BU57))/BR57,"")</f>
        <v>0.114674665436087</v>
      </c>
      <c r="CP57" s="16" t="n">
        <f aca="false">N(BS57)+N(BT57)+N(BU57)</f>
        <v>4.97</v>
      </c>
      <c r="CQ57" s="28" t="n">
        <f aca="false">IF(CP57&gt;0,N(BS57)/CP57,"")</f>
        <v>0.0985915492957747</v>
      </c>
      <c r="CR57" s="28" t="n">
        <f aca="false">IF(CP57&gt;0,N(BT57)/CP57,"")</f>
        <v>0.772635814889336</v>
      </c>
      <c r="CS57" s="28" t="n">
        <f aca="false">IF(CP57&gt;0,N(BU57)/CP57,"")</f>
        <v>0.128772635814889</v>
      </c>
      <c r="CT57" s="7" t="n">
        <f aca="false">1000*(p_sh_pv*p_cf_pv/p_capex_pv+(1-p_sh_pv)*p_cf_wind/p_capex_wind)*8760</f>
        <v>2301.28856624319</v>
      </c>
      <c r="CU57" s="13" t="n">
        <f aca="false">IF(AND(ISNUMBER(CO57),ISNUMBER(CQ57),BY57=1),1,0)</f>
        <v>1</v>
      </c>
      <c r="CV57" s="16" t="n">
        <f aca="false">IF(CU57=0,"",CQ57*p_hr_coal*N(AK57)+CR57*p_hr_gas*N(AO57)+CS57*p_hr_oil*N(AH57)/p_gj_l_oil)</f>
        <v>75.8772751476391</v>
      </c>
      <c r="CW57" s="37" t="n">
        <f aca="false">IF(CU57=0,"",CQ57*p_hr_coal*p_ef_coal+CR57*p_hr_gas*p_ef_gas+CS57*p_hr_oil*p_ef_oil)</f>
        <v>0.523007645875252</v>
      </c>
      <c r="CX57" s="16" t="n">
        <f aca="false">IF(CU57=0,"",CQ57*p_hr_coal*N(AW57)+CR57*p_hr_gas*N(AX57)+CS57*p_hr_oil*N(AY57)/p_gj_l_oil)</f>
        <v>4.73472124054653</v>
      </c>
      <c r="CY57" s="37" t="n">
        <f aca="false">IF(CU57=0,"",CO57*CW57)</f>
        <v>0.0599757268112598</v>
      </c>
      <c r="CZ57" s="37" t="n">
        <f aca="false">IF(CU57=0,"",CT57*CO57*CV57/1000/1000-p_om_re)</f>
        <v>0.00502397470010856</v>
      </c>
      <c r="DA57" s="37" t="n">
        <f aca="false">IF(CU57=0,"",CT57*CO57*CX57/1000/1000)</f>
        <v>0.00124949055100222</v>
      </c>
      <c r="DB57" s="37" t="n">
        <f aca="false">IF(CU57=0,"",CT57*CO57*CW57/1000)</f>
        <v>0.138021454362878</v>
      </c>
      <c r="DC57" s="13" t="n">
        <f aca="false">IF(AND(CU57=1,ISNUMBER(AD57),ISNUMBER(AV57)),1,0)</f>
        <v>1</v>
      </c>
      <c r="DD57" s="7" t="n">
        <f aca="false">IF(DC57=0,"",p_ev_km*p_ice_l/100*AD57-p_ev_km*p_ev_kwh*AV57+p_ev_km*p_ev_maint)</f>
        <v>604.007775</v>
      </c>
      <c r="DE57" s="37" t="n">
        <f aca="false">IF(DC57=0,"",DD57/p_ev_prem)</f>
        <v>0.120801555</v>
      </c>
      <c r="DF57" s="37" t="n">
        <f aca="false">IF(DC57=0,"",p_ev_km*p_ice_l/100*N(AZ57)/p_ev_prem)</f>
        <v>0.002575575</v>
      </c>
      <c r="DG57" s="37" t="n">
        <f aca="false">IF(DC57=0,"",1000/p_ev_prem*(p_ev_km*p_ice_l/100*p_gj_l_gso*p_ef_gso-p_ev_km*p_ev_kwh/1000*CY57))</f>
        <v>0.50087660752192</v>
      </c>
      <c r="DH57" s="11" t="str">
        <f aca="false">IFERROR(IF(INDEX(Damodaran!$D:$D,MATCH(A57,Damodaran!$A:$A,0))="","",INDEX(Damodaran!$D:$D,MATCH(A57,Damodaran!$A:$A,0))),"")</f>
        <v/>
      </c>
      <c r="DI57" s="11" t="str">
        <f aca="false">IFERROR(IF(INDEX(Damodaran!$E:$E,MATCH(A57,Damodaran!$A:$A,0))="","",INDEX(Damodaran!$E:$E,MATCH(A57,Damodaran!$A:$A,0))),"")</f>
        <v/>
      </c>
      <c r="DJ57" s="11" t="str">
        <f aca="false">IFERROR(IF(INDEX(Damodaran!$G:$G,MATCH(A57,Damodaran!$A:$A,0))="","",INDEX(Damodaran!$G:$G,MATCH(A57,Damodaran!$A:$A,0))),"")</f>
        <v/>
      </c>
      <c r="DK57" s="11" t="str">
        <f aca="false">IF(ISNUMBER(BG57),(1+BG57/100)*(1+p_infl)-1,"")</f>
        <v/>
      </c>
      <c r="DL57" s="11" t="str">
        <f aca="false">IF(ISNUMBER(BH57),BH57/100,"")</f>
        <v/>
      </c>
      <c r="DM57" s="11" t="str">
        <f aca="false">IF(COUNT(DK57,DL57)=0,"",AVERAGE(DK57,DL57))</f>
        <v/>
      </c>
      <c r="DN57" s="11" t="str">
        <f aca="false">IF(OR(DH57="",DI57=""),"",p_dv*(p_rf+DH57)*(1-IF(DJ57="",p_tax_def,DJ57))+(1-p_dv)*(p_rf+p_beta*p_erp+p_lambda*DI57))</f>
        <v/>
      </c>
      <c r="DO57" s="13" t="n">
        <f aca="false">IF(AND(ISNUMBER(DM57),ISNUMBER(DN57)),1,0)</f>
        <v>0</v>
      </c>
      <c r="DP57" s="11" t="n">
        <f aca="false">IF(DO57=1,DM57,0)</f>
        <v>0</v>
      </c>
      <c r="DQ57" s="11" t="n">
        <f aca="false">IF(DO57=1,DN57,0)</f>
        <v>0</v>
      </c>
      <c r="DR57" s="11" t="str">
        <f aca="false">IF(DN57="","",DN57+p_shift)</f>
        <v/>
      </c>
      <c r="DS57" s="11" t="n">
        <f aca="false">IF(E57="AE",p_r_ae,IF(E57="China",p_r_chn,p_r_emdc))</f>
        <v>0.055</v>
      </c>
      <c r="DT57" s="11" t="n">
        <f aca="false">IF(E57="AE",p_rh_ae,IF(E57="China",p_rh_chn,p_rh_emdc))</f>
        <v>0.07</v>
      </c>
      <c r="DU57" s="11" t="n">
        <f aca="false">IF(AND(p_use_obs=1,ISNUMBER(DM57)),DM57,IF(AND(p_use_dam=1,ISNUMBER(DR57)),DR57,DS57))</f>
        <v>0.055</v>
      </c>
      <c r="DV57" s="6" t="str">
        <f aca="false">IF(AND(p_use_obs=1,ISNUMBER(DM57)),"Observed (IRENA/Steffen)",IF(AND(p_use_dam=1,ISNUMBER(DR57)),"Damodaran (eq. 5)","Group default (IHLEG)"))</f>
        <v>Group default (IHLEG)</v>
      </c>
      <c r="DW57" s="11" t="n">
        <f aca="false">IF(p_basis=1,(1+DU57)/(1+p_infl)-1,DU57)</f>
        <v>0.055</v>
      </c>
      <c r="DX57" s="11" t="n">
        <f aca="false">DW57+(DT57-DS57)</f>
        <v>0.07</v>
      </c>
      <c r="DY57" s="28" t="n">
        <f aca="false">IF(AND(p_use_pefa=1,ISNUMBER(BD57)),p_gap_lic-(BD57-1)/3*(p_gap_lic-p_gap_ae),IF(E57="AE",p_gap_ae,IF(D57="Low income",p_gap_lic,p_gap_em)))*(1-p_reform*p_reform_close)</f>
        <v>0.13</v>
      </c>
      <c r="DZ57" s="6" t="str">
        <f aca="false">IF(AND(p_use_pefa=1,ISNUMBER(BD57)),"PEFA PI-11","Income-group default (IMF 2015)")</f>
        <v>Income-group default (IMF 2015)</v>
      </c>
      <c r="EA57" s="28" t="n">
        <f aca="false">IF(E57="AE",p_ps_ae,IF(E57="China",p_ps_chn,p_ps_emdc))</f>
        <v>0.3</v>
      </c>
      <c r="EB57" s="37" t="n">
        <f aca="false">(1-EA57)+EA57/(1-DY57)</f>
        <v>1.0448275862069</v>
      </c>
      <c r="EC57" s="16" t="n">
        <f aca="false">Results_Country!F57</f>
        <v>9.5235482159588</v>
      </c>
      <c r="ED57" s="16" t="n">
        <f aca="false">IF(CH57="",0,CH57*EC57)</f>
        <v>2285.1440224967</v>
      </c>
      <c r="EE57" s="16" t="n">
        <f aca="false">IF(CJ57="",0,CJ57*EC57)</f>
        <v>111.148247864677</v>
      </c>
      <c r="EF57" s="16" t="n">
        <f aca="false">IF(CH57="",0,EC57)</f>
        <v>9.5235482159588</v>
      </c>
    </row>
    <row r="58" customFormat="false" ht="15" hidden="false" customHeight="false" outlineLevel="0" collapsed="false">
      <c r="A58" s="35" t="s">
        <v>872</v>
      </c>
      <c r="B58" s="35" t="s">
        <v>873</v>
      </c>
      <c r="C58" s="35" t="s">
        <v>766</v>
      </c>
      <c r="D58" s="35" t="s">
        <v>760</v>
      </c>
      <c r="E58" s="35" t="s">
        <v>29</v>
      </c>
      <c r="F58" s="36" t="n">
        <v>256.161</v>
      </c>
      <c r="G58" s="36" t="n">
        <v>444.477</v>
      </c>
      <c r="H58" s="33" t="n">
        <v>2.073</v>
      </c>
      <c r="I58" s="33" t="n">
        <v>1.802</v>
      </c>
      <c r="J58" s="36" t="n">
        <v>10.047817</v>
      </c>
      <c r="K58" s="36" t="n">
        <v>71.996</v>
      </c>
      <c r="L58" s="36" t="n">
        <v>91.748</v>
      </c>
      <c r="M58" s="36" t="n">
        <v>86.234</v>
      </c>
      <c r="N58" s="36" t="n">
        <v>38.3839109223849</v>
      </c>
      <c r="O58" s="36" t="n">
        <v>21.8671182333775</v>
      </c>
      <c r="P58" s="36" t="n">
        <v>0.245281516649508</v>
      </c>
      <c r="Q58" s="31" t="n">
        <v>0.0449764282636356</v>
      </c>
      <c r="R58" s="31" t="n">
        <v>0.0465937989838459</v>
      </c>
      <c r="S58" s="31" t="n">
        <v>0.0887212685672529</v>
      </c>
      <c r="T58" s="31" t="n">
        <v>0.00145591133008361</v>
      </c>
      <c r="U58" s="31" t="n">
        <v>0.0110141116345625</v>
      </c>
      <c r="V58" s="31" t="n">
        <v>0.000207803733105873</v>
      </c>
      <c r="W58" s="31" t="n">
        <v>0.158605525039286</v>
      </c>
      <c r="X58" s="31" t="n">
        <v>4.71900063947655E-005</v>
      </c>
      <c r="Y58" s="36" t="n">
        <v>3.12493179349775</v>
      </c>
      <c r="Z58" s="36" t="n">
        <v>5.60190407056265</v>
      </c>
      <c r="AA58" s="36" t="n">
        <v>1.31816143822816</v>
      </c>
      <c r="AB58" s="36" t="n">
        <v>0.221303212394944</v>
      </c>
      <c r="AC58" s="36" t="n">
        <v>3.05346894588179</v>
      </c>
      <c r="AD58" s="31" t="n">
        <v>0.896405</v>
      </c>
      <c r="AE58" s="31" t="n">
        <v>0.87504</v>
      </c>
      <c r="AF58" s="31" t="n">
        <v>0.533532</v>
      </c>
      <c r="AG58" s="31" t="n">
        <v>0.731053</v>
      </c>
      <c r="AH58" s="31" t="n">
        <v>0.519464165136271</v>
      </c>
      <c r="AI58" s="31" t="n">
        <v>3.468</v>
      </c>
      <c r="AJ58" s="31" t="n">
        <v>6.87704</v>
      </c>
      <c r="AK58" s="31" t="n">
        <v>2.153</v>
      </c>
      <c r="AL58" s="31" t="n">
        <v>2.2440643763442</v>
      </c>
      <c r="AM58" s="31" t="n">
        <v>12.457</v>
      </c>
      <c r="AN58" s="31" t="n">
        <v>24.70204</v>
      </c>
      <c r="AO58" s="31" t="n">
        <v>12.457</v>
      </c>
      <c r="AP58" s="31" t="n">
        <v>15.6215582046501</v>
      </c>
      <c r="AQ58" s="36" t="n">
        <v>3.4498794067263</v>
      </c>
      <c r="AR58" s="36" t="n">
        <v>0.714250614845883</v>
      </c>
      <c r="AS58" s="36" t="n">
        <v>0.198490463197189</v>
      </c>
      <c r="AT58" s="36" t="n">
        <v>0.424693848274342</v>
      </c>
      <c r="AU58" s="31" t="n">
        <v>0.62319520488806</v>
      </c>
      <c r="AV58" s="36" t="n">
        <v>0.199888</v>
      </c>
      <c r="AW58" s="31" t="n">
        <v>1.372466</v>
      </c>
      <c r="AX58" s="31" t="n">
        <v>0.019329</v>
      </c>
      <c r="AY58" s="31" t="n">
        <v>0.307140555455786</v>
      </c>
      <c r="AZ58" s="31" t="n">
        <v>0.050496</v>
      </c>
      <c r="BA58" s="33" t="n">
        <v>155.373</v>
      </c>
      <c r="BB58" s="33" t="n">
        <v>7.03</v>
      </c>
      <c r="BC58" s="33"/>
      <c r="BD58" s="33"/>
      <c r="BE58" s="33"/>
      <c r="BF58" s="33" t="n">
        <v>0</v>
      </c>
      <c r="BG58" s="33"/>
      <c r="BH58" s="33" t="n">
        <v>4.315</v>
      </c>
      <c r="BI58" s="29" t="n">
        <v>2020</v>
      </c>
      <c r="BJ58" s="33" t="n">
        <v>1</v>
      </c>
      <c r="BK58" s="33"/>
      <c r="BL58" s="33"/>
      <c r="BM58" s="33"/>
      <c r="BN58" s="29"/>
      <c r="BO58" s="33"/>
      <c r="BP58" s="33"/>
      <c r="BQ58" s="29" t="n">
        <v>2025</v>
      </c>
      <c r="BR58" s="36" t="n">
        <v>57.92</v>
      </c>
      <c r="BS58" s="36" t="n">
        <v>2.74</v>
      </c>
      <c r="BT58" s="36" t="n">
        <v>23.33</v>
      </c>
      <c r="BU58" s="36" t="n">
        <v>4.18</v>
      </c>
      <c r="BV58" s="16" t="n">
        <f aca="false">F58*(1+N(H58)/100)*(1+N(I58)/100)^5</f>
        <v>285.89426284962</v>
      </c>
      <c r="BW58" s="16" t="n">
        <f aca="false">IF(N(G58)&gt;0,G58,F58)</f>
        <v>444.477</v>
      </c>
      <c r="BX58" s="12" t="n">
        <f aca="false">F58/BW58</f>
        <v>0.576320034557469</v>
      </c>
      <c r="BY58" s="13" t="n">
        <f aca="false">IF(ISNUMBER(K58),1,0)</f>
        <v>1</v>
      </c>
      <c r="BZ58" s="16" t="n">
        <f aca="false">IF(BY58=0,"",N(N58)+N(O58)+N(P58))</f>
        <v>60.4963106724119</v>
      </c>
      <c r="CA58" s="37" t="n">
        <f aca="false">IF(BY58=0,"",(N(Y58)*34.2+N(Z58)*38.6)/1000)</f>
        <v>0.323106164461341</v>
      </c>
      <c r="CB58" s="37" t="n">
        <f aca="false">IF(BY58=0,"",N(O58)*0.0036+N(R58)+N(V58)+(N(AA58)*25.3+N(AB58)*37)/1000)</f>
        <v>0.167060931602896</v>
      </c>
      <c r="CC58" s="37" t="n">
        <f aca="false">IF(BY58=0,"",N(N58)*0.0036+N(Q58)+N(U58)+N(T58)+N(X58)+N(AC58)*38/1000)</f>
        <v>0.31170754049877</v>
      </c>
      <c r="CD58" s="37" t="n">
        <f aca="false">IF(BY58=0,"",N(Q58)+N(R58)+N(S58)+N(T58)+N(U58)+N(V58)+N(W58)+N(X58)+(N(Y58)*34.2+N(Z58)*38.6+N(AA58)*25.3+N(AB58)*37+N(AC58)*38)/1000)</f>
        <v>0.832297725208802</v>
      </c>
      <c r="CE58" s="16" t="n">
        <f aca="false">IF(BY58=0,"",MAX(0,N(L58)-N(K58))+MAX(0,N(M58)-N(L58)))</f>
        <v>19.752</v>
      </c>
      <c r="CF58" s="16" t="n">
        <f aca="false">IF(BY58=0,"",N(Y58)*N(AD58)+N(Z58)*N(AE58)+N(AA58)*N(AF58)+N(AB58)*N(AG58)+N(AC58)*N(AH58)+N(U58)*N(AI58)+N(V58)*N(AJ58)+N(W58)*N(AK58)+N(X58)*N(AL58)+N(Q58)*N(AM58)+N(R58)*N(AN58)+N(S58)*N(AO58)+N(T58)*N(AP58))</f>
        <v>13.3747153106015</v>
      </c>
      <c r="CG58" s="16" t="n">
        <f aca="false">IF(AND(BY58=1,N(K58)&gt;0),K58,0)</f>
        <v>71.996</v>
      </c>
      <c r="CH58" s="16" t="n">
        <f aca="false">IF(CG58&gt;0,CF58*1000/CG58,"")</f>
        <v>185.770255439211</v>
      </c>
      <c r="CI58" s="16" t="n">
        <f aca="false">IF(BY58=0,"",N(AQ58)+p_road*(N(AR58)+N(AS58)+N(AT58)))</f>
        <v>3.4498794067263</v>
      </c>
      <c r="CJ58" s="16" t="n">
        <f aca="false">IF(CG58&gt;0,CI58*1000/CG58,"")</f>
        <v>47.9176538519682</v>
      </c>
      <c r="CK58" s="12" t="n">
        <f aca="false">IF(CH58="",1,MIN(p_idx_max,MAX(p_idx_min,CH58/p_fc_world)))</f>
        <v>1.15379988280659</v>
      </c>
      <c r="CL58" s="12" t="n">
        <f aca="false">IF(CJ58="",1,MIN(p_idx_max,MAX(p_idx_min,CJ58/p_cb_world)))</f>
        <v>0.911141466729639</v>
      </c>
      <c r="CM58" s="37" t="n">
        <f aca="false">p_b*(1-p_wb_idx+p_wb_idx*CK58)</f>
        <v>0.153455384413277</v>
      </c>
      <c r="CN58" s="37" t="n">
        <f aca="false">p_c*(1-p_wc_idx+p_wc_idx*CL58)</f>
        <v>0.117537249208123</v>
      </c>
      <c r="CO58" s="28" t="n">
        <f aca="false">IF(N(BR58)&gt;0,(N(BS58)+N(BT58)+N(BU58))/BR58,"")</f>
        <v>0.522272099447514</v>
      </c>
      <c r="CP58" s="16" t="n">
        <f aca="false">N(BS58)+N(BT58)+N(BU58)</f>
        <v>30.25</v>
      </c>
      <c r="CQ58" s="28" t="n">
        <f aca="false">IF(CP58&gt;0,N(BS58)/CP58,"")</f>
        <v>0.0905785123966942</v>
      </c>
      <c r="CR58" s="28" t="n">
        <f aca="false">IF(CP58&gt;0,N(BT58)/CP58,"")</f>
        <v>0.771239669421488</v>
      </c>
      <c r="CS58" s="28" t="n">
        <f aca="false">IF(CP58&gt;0,N(BU58)/CP58,"")</f>
        <v>0.138181818181818</v>
      </c>
      <c r="CT58" s="7" t="n">
        <f aca="false">1000*(p_sh_pv*p_cf_pv/p_capex_pv+(1-p_sh_pv)*p_cf_wind/p_capex_wind)*8760</f>
        <v>2301.28856624319</v>
      </c>
      <c r="CU58" s="13" t="n">
        <f aca="false">IF(AND(ISNUMBER(CO58),ISNUMBER(CQ58),BY58=1),1,0)</f>
        <v>1</v>
      </c>
      <c r="CV58" s="16" t="n">
        <f aca="false">IF(CU58=0,"",CQ58*p_hr_coal*N(AK58)+CR58*p_hr_gas*N(AO58)+CS58*p_hr_oil*N(AH58)/p_gj_l_oil)</f>
        <v>93.5309340323136</v>
      </c>
      <c r="CW58" s="37" t="n">
        <f aca="false">IF(CU58=0,"",CQ58*p_hr_coal*p_ef_coal+CR58*p_hr_gas*p_ef_gas+CS58*p_hr_oil*p_ef_oil)</f>
        <v>0.522486727272727</v>
      </c>
      <c r="CX58" s="16" t="n">
        <f aca="false">IF(CU58=0,"",CQ58*p_hr_coal*N(AW58)+CR58*p_hr_gas*N(AX58)+CS58*p_hr_oil*N(AY58)/p_gj_l_oil)</f>
        <v>12.8998609700762</v>
      </c>
      <c r="CY58" s="37" t="n">
        <f aca="false">IF(CU58=0,"",CO58*CW58)</f>
        <v>0.272880239986188</v>
      </c>
      <c r="CZ58" s="37" t="n">
        <f aca="false">IF(CU58=0,"",CT58*CO58*CV58/1000/1000-p_om_re)</f>
        <v>0.0974147183982724</v>
      </c>
      <c r="DA58" s="37" t="n">
        <f aca="false">IF(CU58=0,"",CT58*CO58*CX58/1000/1000)</f>
        <v>0.0155043275610503</v>
      </c>
      <c r="DB58" s="37" t="n">
        <f aca="false">IF(CU58=0,"",CT58*CO58*CW58/1000)</f>
        <v>0.627976176233913</v>
      </c>
      <c r="DC58" s="13" t="n">
        <f aca="false">IF(AND(CU58=1,ISNUMBER(AD58),ISNUMBER(AV58)),1,0)</f>
        <v>1</v>
      </c>
      <c r="DD58" s="7" t="n">
        <f aca="false">IF(DC58=0,"",p_ev_km*p_ice_l/100*AD58-p_ev_km*p_ev_kwh*AV58+p_ev_km*p_ev_maint)</f>
        <v>648.758025</v>
      </c>
      <c r="DE58" s="37" t="n">
        <f aca="false">IF(DC58=0,"",DD58/p_ev_prem)</f>
        <v>0.129751605</v>
      </c>
      <c r="DF58" s="37" t="n">
        <f aca="false">IF(DC58=0,"",p_ev_km*p_ice_l/100*N(AZ58)/p_ev_prem)</f>
        <v>0.0113616</v>
      </c>
      <c r="DG58" s="37" t="n">
        <f aca="false">IF(DC58=0,"",1000/p_ev_prem*(p_ev_km*p_ice_l/100*p_gj_l_gso*p_ef_gso-p_ev_km*p_ev_kwh/1000*CY58))</f>
        <v>0.385908170407459</v>
      </c>
      <c r="DH58" s="11" t="str">
        <f aca="false">IFERROR(IF(INDEX(Damodaran!$D:$D,MATCH(A58,Damodaran!$A:$A,0))="","",INDEX(Damodaran!$D:$D,MATCH(A58,Damodaran!$A:$A,0))),"")</f>
        <v/>
      </c>
      <c r="DI58" s="11" t="str">
        <f aca="false">IFERROR(IF(INDEX(Damodaran!$E:$E,MATCH(A58,Damodaran!$A:$A,0))="","",INDEX(Damodaran!$E:$E,MATCH(A58,Damodaran!$A:$A,0))),"")</f>
        <v/>
      </c>
      <c r="DJ58" s="11" t="str">
        <f aca="false">IFERROR(IF(INDEX(Damodaran!$G:$G,MATCH(A58,Damodaran!$A:$A,0))="","",INDEX(Damodaran!$G:$G,MATCH(A58,Damodaran!$A:$A,0))),"")</f>
        <v/>
      </c>
      <c r="DK58" s="11" t="str">
        <f aca="false">IF(ISNUMBER(BG58),(1+BG58/100)*(1+p_infl)-1,"")</f>
        <v/>
      </c>
      <c r="DL58" s="11" t="n">
        <f aca="false">IF(ISNUMBER(BH58),BH58/100,"")</f>
        <v>0.04315</v>
      </c>
      <c r="DM58" s="11" t="n">
        <f aca="false">IF(COUNT(DK58,DL58)=0,"",AVERAGE(DK58,DL58))</f>
        <v>0.04315</v>
      </c>
      <c r="DN58" s="11" t="str">
        <f aca="false">IF(OR(DH58="",DI58=""),"",p_dv*(p_rf+DH58)*(1-IF(DJ58="",p_tax_def,DJ58))+(1-p_dv)*(p_rf+p_beta*p_erp+p_lambda*DI58))</f>
        <v/>
      </c>
      <c r="DO58" s="13" t="n">
        <f aca="false">IF(AND(ISNUMBER(DM58),ISNUMBER(DN58)),1,0)</f>
        <v>0</v>
      </c>
      <c r="DP58" s="11" t="n">
        <f aca="false">IF(DO58=1,DM58,0)</f>
        <v>0</v>
      </c>
      <c r="DQ58" s="11" t="n">
        <f aca="false">IF(DO58=1,DN58,0)</f>
        <v>0</v>
      </c>
      <c r="DR58" s="11" t="str">
        <f aca="false">IF(DN58="","",DN58+p_shift)</f>
        <v/>
      </c>
      <c r="DS58" s="11" t="n">
        <f aca="false">IF(E58="AE",p_r_ae,IF(E58="China",p_r_chn,p_r_emdc))</f>
        <v>0.055</v>
      </c>
      <c r="DT58" s="11" t="n">
        <f aca="false">IF(E58="AE",p_rh_ae,IF(E58="China",p_rh_chn,p_rh_emdc))</f>
        <v>0.07</v>
      </c>
      <c r="DU58" s="11" t="n">
        <f aca="false">IF(AND(p_use_obs=1,ISNUMBER(DM58)),DM58,IF(AND(p_use_dam=1,ISNUMBER(DR58)),DR58,DS58))</f>
        <v>0.04315</v>
      </c>
      <c r="DV58" s="6" t="str">
        <f aca="false">IF(AND(p_use_obs=1,ISNUMBER(DM58)),"Observed (IRENA/Steffen)",IF(AND(p_use_dam=1,ISNUMBER(DR58)),"Damodaran (eq. 5)","Group default (IHLEG)"))</f>
        <v>Observed (IRENA/Steffen)</v>
      </c>
      <c r="DW58" s="11" t="n">
        <f aca="false">IF(p_basis=1,(1+DU58)/(1+p_infl)-1,DU58)</f>
        <v>0.04315</v>
      </c>
      <c r="DX58" s="11" t="n">
        <f aca="false">DW58+(DT58-DS58)</f>
        <v>0.05815</v>
      </c>
      <c r="DY58" s="28" t="n">
        <f aca="false">IF(AND(p_use_pefa=1,ISNUMBER(BD58)),p_gap_lic-(BD58-1)/3*(p_gap_lic-p_gap_ae),IF(E58="AE",p_gap_ae,IF(D58="Low income",p_gap_lic,p_gap_em)))*(1-p_reform*p_reform_close)</f>
        <v>0.13</v>
      </c>
      <c r="DZ58" s="6" t="str">
        <f aca="false">IF(AND(p_use_pefa=1,ISNUMBER(BD58)),"PEFA PI-11","Income-group default (IMF 2015)")</f>
        <v>Income-group default (IMF 2015)</v>
      </c>
      <c r="EA58" s="28" t="n">
        <f aca="false">IF(E58="AE",p_ps_ae,IF(E58="China",p_ps_chn,p_ps_emdc))</f>
        <v>0.3</v>
      </c>
      <c r="EB58" s="37" t="n">
        <f aca="false">(1-EA58)+EA58/(1-DY58)</f>
        <v>1.0448275862069</v>
      </c>
      <c r="EC58" s="16" t="n">
        <f aca="false">Results_Country!F58</f>
        <v>11.3948516648026</v>
      </c>
      <c r="ED58" s="16" t="n">
        <f aca="false">IF(CH58="",0,CH58*EC58)</f>
        <v>2116.82450446231</v>
      </c>
      <c r="EE58" s="16" t="n">
        <f aca="false">IF(CJ58="",0,CJ58*EC58)</f>
        <v>546.014557768537</v>
      </c>
      <c r="EF58" s="16" t="n">
        <f aca="false">IF(CH58="",0,EC58)</f>
        <v>11.3948516648026</v>
      </c>
    </row>
    <row r="59" customFormat="false" ht="15" hidden="false" customHeight="false" outlineLevel="0" collapsed="false">
      <c r="A59" s="35" t="s">
        <v>874</v>
      </c>
      <c r="B59" s="35" t="s">
        <v>875</v>
      </c>
      <c r="C59" s="35" t="s">
        <v>847</v>
      </c>
      <c r="D59" s="35" t="s">
        <v>771</v>
      </c>
      <c r="E59" s="35" t="s">
        <v>31</v>
      </c>
      <c r="F59" s="36" t="n">
        <v>252.109</v>
      </c>
      <c r="G59" s="36" t="n">
        <v>2117.351</v>
      </c>
      <c r="H59" s="33" t="n">
        <v>4.013</v>
      </c>
      <c r="I59" s="33" t="n">
        <v>4.058</v>
      </c>
      <c r="J59" s="36" t="n">
        <v>232.679478</v>
      </c>
      <c r="K59" s="36" t="n">
        <v>126.142</v>
      </c>
      <c r="L59" s="36" t="n">
        <v>422.553</v>
      </c>
      <c r="M59" s="36" t="n">
        <v>468.575</v>
      </c>
      <c r="N59" s="36" t="n">
        <v>19.0286525334227</v>
      </c>
      <c r="O59" s="36" t="n">
        <v>21.1680189792868</v>
      </c>
      <c r="P59" s="36" t="n">
        <v>0</v>
      </c>
      <c r="Q59" s="31" t="n">
        <v>0.284129216398958</v>
      </c>
      <c r="R59" s="31" t="n">
        <v>3.89418112326854E-006</v>
      </c>
      <c r="S59" s="31" t="n">
        <v>0.335832937918279</v>
      </c>
      <c r="T59" s="31" t="n">
        <v>0</v>
      </c>
      <c r="U59" s="31" t="n">
        <v>0.0368267368809622</v>
      </c>
      <c r="V59" s="31" t="n">
        <v>0</v>
      </c>
      <c r="W59" s="31" t="n">
        <v>0</v>
      </c>
      <c r="X59" s="31" t="n">
        <v>0</v>
      </c>
      <c r="Y59" s="36" t="n">
        <v>19.1767059085751</v>
      </c>
      <c r="Z59" s="36" t="n">
        <v>4.45095898089829</v>
      </c>
      <c r="AA59" s="36" t="n">
        <v>1.35817395207096</v>
      </c>
      <c r="AB59" s="36" t="n">
        <v>0.891342573805003</v>
      </c>
      <c r="AC59" s="36" t="n">
        <v>0.522062161026798</v>
      </c>
      <c r="AD59" s="31" t="n">
        <v>0.93095</v>
      </c>
      <c r="AE59" s="31" t="n">
        <v>0.892278</v>
      </c>
      <c r="AF59" s="31" t="n">
        <v>0.551339</v>
      </c>
      <c r="AG59" s="31" t="n">
        <v>0.75372</v>
      </c>
      <c r="AH59" s="31" t="n">
        <v>0.519462891908447</v>
      </c>
      <c r="AI59" s="31" t="n">
        <v>3.373</v>
      </c>
      <c r="AJ59" s="31" t="n">
        <v>5.75985</v>
      </c>
      <c r="AK59" s="31" t="n">
        <v>2.049</v>
      </c>
      <c r="AL59" s="31" t="n">
        <v>3.373</v>
      </c>
      <c r="AM59" s="31" t="n">
        <v>5.007</v>
      </c>
      <c r="AN59" s="31" t="n">
        <v>14.457675</v>
      </c>
      <c r="AO59" s="31" t="n">
        <v>4.62</v>
      </c>
      <c r="AP59" s="31" t="n">
        <v>4.79742312938121</v>
      </c>
      <c r="AQ59" s="36" t="n">
        <v>0.399216888132567</v>
      </c>
      <c r="AR59" s="36" t="n">
        <v>2.42695751393576</v>
      </c>
      <c r="AS59" s="36" t="n">
        <v>5.0435502273766</v>
      </c>
      <c r="AT59" s="36" t="n">
        <v>1.03432920120518</v>
      </c>
      <c r="AU59" s="31" t="n">
        <v>0.28185740920585</v>
      </c>
      <c r="AV59" s="36" t="n">
        <v>0.09245</v>
      </c>
      <c r="AW59" s="31" t="n">
        <v>0.174824</v>
      </c>
      <c r="AX59" s="31" t="n">
        <v>0.030779</v>
      </c>
      <c r="AY59" s="31" t="n">
        <v>0.0778205070983249</v>
      </c>
      <c r="AZ59" s="31" t="n">
        <v>0.007503</v>
      </c>
      <c r="BA59" s="33" t="n">
        <v>39.333</v>
      </c>
      <c r="BB59" s="33" t="n">
        <v>22.966</v>
      </c>
      <c r="BC59" s="33" t="n">
        <v>23.295</v>
      </c>
      <c r="BD59" s="33" t="n">
        <v>1</v>
      </c>
      <c r="BE59" s="33" t="n">
        <v>1</v>
      </c>
      <c r="BF59" s="33" t="n">
        <v>0</v>
      </c>
      <c r="BG59" s="33"/>
      <c r="BH59" s="33"/>
      <c r="BI59" s="29"/>
      <c r="BJ59" s="33"/>
      <c r="BK59" s="33"/>
      <c r="BL59" s="33" t="n">
        <v>4.593</v>
      </c>
      <c r="BM59" s="33" t="n">
        <v>8.627</v>
      </c>
      <c r="BN59" s="29" t="n">
        <v>11.398</v>
      </c>
      <c r="BO59" s="33" t="n">
        <v>0.518</v>
      </c>
      <c r="BP59" s="33" t="n">
        <v>0.23</v>
      </c>
      <c r="BQ59" s="29" t="n">
        <v>2025</v>
      </c>
      <c r="BR59" s="36" t="n">
        <v>41.54</v>
      </c>
      <c r="BS59" s="36" t="n">
        <v>0</v>
      </c>
      <c r="BT59" s="36" t="n">
        <v>28.53</v>
      </c>
      <c r="BU59" s="36" t="n">
        <v>0</v>
      </c>
      <c r="BV59" s="16" t="n">
        <f aca="false">F59*(1+N(H59)/100)*(1+N(I59)/100)^5</f>
        <v>319.928805765808</v>
      </c>
      <c r="BW59" s="16" t="n">
        <f aca="false">IF(N(G59)&gt;0,G59,F59)</f>
        <v>2117.351</v>
      </c>
      <c r="BX59" s="12" t="n">
        <f aca="false">F59/BW59</f>
        <v>0.119068118606693</v>
      </c>
      <c r="BY59" s="13" t="n">
        <f aca="false">IF(ISNUMBER(K59),1,0)</f>
        <v>1</v>
      </c>
      <c r="BZ59" s="16" t="n">
        <f aca="false">IF(BY59=0,"",N(N59)+N(O59)+N(P59))</f>
        <v>40.1966715127095</v>
      </c>
      <c r="CA59" s="37" t="n">
        <f aca="false">IF(BY59=0,"",(N(Y59)*34.2+N(Z59)*38.6)/1000)</f>
        <v>0.827650358735942</v>
      </c>
      <c r="CB59" s="37" t="n">
        <f aca="false">IF(BY59=0,"",N(O59)*0.0036+N(R59)+N(V59)+(N(AA59)*25.3+N(AB59)*37)/1000)</f>
        <v>0.143550238724736</v>
      </c>
      <c r="CC59" s="37" t="n">
        <f aca="false">IF(BY59=0,"",N(N59)*0.0036+N(Q59)+N(U59)+N(T59)+N(X59)+N(AC59)*38/1000)</f>
        <v>0.409297464519261</v>
      </c>
      <c r="CD59" s="37" t="n">
        <f aca="false">IF(BY59=0,"",N(Q59)+N(R59)+N(S59)+N(T59)+N(U59)+N(V59)+N(W59)+N(X59)+(N(Y59)*34.2+N(Z59)*38.6+N(AA59)*25.3+N(AB59)*37+N(AC59)*38)/1000)</f>
        <v>1.57162298245246</v>
      </c>
      <c r="CE59" s="16" t="n">
        <f aca="false">IF(BY59=0,"",MAX(0,N(L59)-N(K59))+MAX(0,N(M59)-N(L59)))</f>
        <v>342.433</v>
      </c>
      <c r="CF59" s="16" t="n">
        <f aca="false">IF(BY59=0,"",N(Y59)*N(AD59)+N(Z59)*N(AE59)+N(AA59)*N(AF59)+N(AB59)*N(AG59)+N(AC59)*N(AH59)+N(U59)*N(AI59)+N(V59)*N(AJ59)+N(W59)*N(AK59)+N(X59)*N(AL59)+N(Q59)*N(AM59)+N(R59)*N(AN59)+N(S59)*N(AO59)+N(T59)*N(AP59))</f>
        <v>26.6143321003546</v>
      </c>
      <c r="CG59" s="16" t="n">
        <f aca="false">IF(AND(BY59=1,N(K59)&gt;0),K59,0)</f>
        <v>126.142</v>
      </c>
      <c r="CH59" s="16" t="n">
        <f aca="false">IF(CG59&gt;0,CF59*1000/CG59,"")</f>
        <v>210.987078850459</v>
      </c>
      <c r="CI59" s="16" t="n">
        <f aca="false">IF(BY59=0,"",N(AQ59)+p_road*(N(AR59)+N(AS59)+N(AT59)))</f>
        <v>0.399216888132567</v>
      </c>
      <c r="CJ59" s="16" t="n">
        <f aca="false">IF(CG59&gt;0,CI59*1000/CG59,"")</f>
        <v>3.16482129768488</v>
      </c>
      <c r="CK59" s="12" t="n">
        <f aca="false">IF(CH59="",1,MIN(p_idx_max,MAX(p_idx_min,CH59/p_fc_world)))</f>
        <v>1.31041897033416</v>
      </c>
      <c r="CL59" s="12" t="n">
        <f aca="false">IF(CJ59="",1,MIN(p_idx_max,MAX(p_idx_min,CJ59/p_cb_world)))</f>
        <v>0.25</v>
      </c>
      <c r="CM59" s="37" t="n">
        <f aca="false">p_b*(1-p_wb_idx+p_wb_idx*CK59)</f>
        <v>0.174285723054444</v>
      </c>
      <c r="CN59" s="37" t="n">
        <f aca="false">p_c*(1-p_wc_idx+p_wc_idx*CL59)</f>
        <v>0.03225</v>
      </c>
      <c r="CO59" s="28" t="n">
        <f aca="false">IF(N(BR59)&gt;0,(N(BS59)+N(BT59)+N(BU59))/BR59,"")</f>
        <v>0.686807896003852</v>
      </c>
      <c r="CP59" s="16" t="n">
        <f aca="false">N(BS59)+N(BT59)+N(BU59)</f>
        <v>28.53</v>
      </c>
      <c r="CQ59" s="28" t="n">
        <f aca="false">IF(CP59&gt;0,N(BS59)/CP59,"")</f>
        <v>0</v>
      </c>
      <c r="CR59" s="28" t="n">
        <f aca="false">IF(CP59&gt;0,N(BT59)/CP59,"")</f>
        <v>1</v>
      </c>
      <c r="CS59" s="28" t="n">
        <f aca="false">IF(CP59&gt;0,N(BU59)/CP59,"")</f>
        <v>0</v>
      </c>
      <c r="CT59" s="7" t="n">
        <f aca="false">1000*(p_sh_pv*p_cf_pv/p_capex_pv+(1-p_sh_pv)*p_cf_wind/p_capex_wind)*8760</f>
        <v>2301.28856624319</v>
      </c>
      <c r="CU59" s="13" t="n">
        <f aca="false">IF(AND(ISNUMBER(CO59),ISNUMBER(CQ59),BY59=1),1,0)</f>
        <v>1</v>
      </c>
      <c r="CV59" s="16" t="n">
        <f aca="false">IF(CU59=0,"",CQ59*p_hr_coal*N(AK59)+CR59*p_hr_gas*N(AO59)+CS59*p_hr_oil*N(AH59)/p_gj_l_oil)</f>
        <v>34.65</v>
      </c>
      <c r="CW59" s="37" t="n">
        <f aca="false">IF(CU59=0,"",CQ59*p_hr_coal*p_ef_coal+CR59*p_hr_gas*p_ef_gas+CS59*p_hr_oil*p_ef_oil)</f>
        <v>0.42075</v>
      </c>
      <c r="CX59" s="16" t="n">
        <f aca="false">IF(CU59=0,"",CQ59*p_hr_coal*N(AW59)+CR59*p_hr_gas*N(AX59)+CS59*p_hr_oil*N(AY59)/p_gj_l_oil)</f>
        <v>0.2308425</v>
      </c>
      <c r="CY59" s="37" t="n">
        <f aca="false">IF(CU59=0,"",CO59*CW59)</f>
        <v>0.288974422243621</v>
      </c>
      <c r="CZ59" s="37" t="n">
        <f aca="false">IF(CU59=0,"",CT59*CO59*CV59/1000/1000-p_om_re)</f>
        <v>0.0397658204343746</v>
      </c>
      <c r="DA59" s="37" t="n">
        <f aca="false">IF(CU59=0,"",CT59*CO59*CX59/1000/1000)</f>
        <v>0.000364856534015068</v>
      </c>
      <c r="DB59" s="37" t="n">
        <f aca="false">IF(CU59=0,"",CT59*CO59*CW59/1000)</f>
        <v>0.665013533845977</v>
      </c>
      <c r="DC59" s="13" t="n">
        <f aca="false">IF(AND(CU59=1,ISNUMBER(AD59),ISNUMBER(AV59)),1,0)</f>
        <v>1</v>
      </c>
      <c r="DD59" s="7" t="n">
        <f aca="false">IF(DC59=0,"",p_ev_km*p_ice_l/100*AD59-p_ev_km*p_ev_kwh*AV59+p_ev_km*p_ev_maint)</f>
        <v>977.70375</v>
      </c>
      <c r="DE59" s="37" t="n">
        <f aca="false">IF(DC59=0,"",DD59/p_ev_prem)</f>
        <v>0.19554075</v>
      </c>
      <c r="DF59" s="37" t="n">
        <f aca="false">IF(DC59=0,"",p_ev_km*p_ice_l/100*N(AZ59)/p_ev_prem)</f>
        <v>0.001688175</v>
      </c>
      <c r="DG59" s="37" t="n">
        <f aca="false">IF(DC59=0,"",1000/p_ev_prem*(p_ev_km*p_ice_l/100*p_gj_l_gso*p_ef_gso-p_ev_km*p_ev_kwh/1000*CY59))</f>
        <v>0.377217311988445</v>
      </c>
      <c r="DH59" s="11" t="str">
        <f aca="false">IFERROR(IF(INDEX(Damodaran!$D:$D,MATCH(A59,Damodaran!$A:$A,0))="","",INDEX(Damodaran!$D:$D,MATCH(A59,Damodaran!$A:$A,0))),"")</f>
        <v/>
      </c>
      <c r="DI59" s="11" t="str">
        <f aca="false">IFERROR(IF(INDEX(Damodaran!$E:$E,MATCH(A59,Damodaran!$A:$A,0))="","",INDEX(Damodaran!$E:$E,MATCH(A59,Damodaran!$A:$A,0))),"")</f>
        <v/>
      </c>
      <c r="DJ59" s="11" t="str">
        <f aca="false">IFERROR(IF(INDEX(Damodaran!$G:$G,MATCH(A59,Damodaran!$A:$A,0))="","",INDEX(Damodaran!$G:$G,MATCH(A59,Damodaran!$A:$A,0))),"")</f>
        <v/>
      </c>
      <c r="DK59" s="11" t="str">
        <f aca="false">IF(ISNUMBER(BG59),(1+BG59/100)*(1+p_infl)-1,"")</f>
        <v/>
      </c>
      <c r="DL59" s="11" t="str">
        <f aca="false">IF(ISNUMBER(BH59),BH59/100,"")</f>
        <v/>
      </c>
      <c r="DM59" s="11" t="str">
        <f aca="false">IF(COUNT(DK59,DL59)=0,"",AVERAGE(DK59,DL59))</f>
        <v/>
      </c>
      <c r="DN59" s="11" t="str">
        <f aca="false">IF(OR(DH59="",DI59=""),"",p_dv*(p_rf+DH59)*(1-IF(DJ59="",p_tax_def,DJ59))+(1-p_dv)*(p_rf+p_beta*p_erp+p_lambda*DI59))</f>
        <v/>
      </c>
      <c r="DO59" s="13" t="n">
        <f aca="false">IF(AND(ISNUMBER(DM59),ISNUMBER(DN59)),1,0)</f>
        <v>0</v>
      </c>
      <c r="DP59" s="11" t="n">
        <f aca="false">IF(DO59=1,DM59,0)</f>
        <v>0</v>
      </c>
      <c r="DQ59" s="11" t="n">
        <f aca="false">IF(DO59=1,DN59,0)</f>
        <v>0</v>
      </c>
      <c r="DR59" s="11" t="str">
        <f aca="false">IF(DN59="","",DN59+p_shift)</f>
        <v/>
      </c>
      <c r="DS59" s="11" t="n">
        <f aca="false">IF(E59="AE",p_r_ae,IF(E59="China",p_r_chn,p_r_emdc))</f>
        <v>0.105</v>
      </c>
      <c r="DT59" s="11" t="n">
        <f aca="false">IF(E59="AE",p_rh_ae,IF(E59="China",p_rh_chn,p_rh_emdc))</f>
        <v>0.15</v>
      </c>
      <c r="DU59" s="11" t="n">
        <f aca="false">IF(AND(p_use_obs=1,ISNUMBER(DM59)),DM59,IF(AND(p_use_dam=1,ISNUMBER(DR59)),DR59,DS59))</f>
        <v>0.105</v>
      </c>
      <c r="DV59" s="6" t="str">
        <f aca="false">IF(AND(p_use_obs=1,ISNUMBER(DM59)),"Observed (IRENA/Steffen)",IF(AND(p_use_dam=1,ISNUMBER(DR59)),"Damodaran (eq. 5)","Group default (IHLEG)"))</f>
        <v>Group default (IHLEG)</v>
      </c>
      <c r="DW59" s="11" t="n">
        <f aca="false">IF(p_basis=1,(1+DU59)/(1+p_infl)-1,DU59)</f>
        <v>0.105</v>
      </c>
      <c r="DX59" s="11" t="n">
        <f aca="false">DW59+(DT59-DS59)</f>
        <v>0.15</v>
      </c>
      <c r="DY59" s="28" t="n">
        <f aca="false">IF(AND(p_use_pefa=1,ISNUMBER(BD59)),p_gap_lic-(BD59-1)/3*(p_gap_lic-p_gap_ae),IF(E59="AE",p_gap_ae,IF(D59="Low income",p_gap_lic,p_gap_em)))*(1-p_reform*p_reform_close)</f>
        <v>0.4</v>
      </c>
      <c r="DZ59" s="6" t="str">
        <f aca="false">IF(AND(p_use_pefa=1,ISNUMBER(BD59)),"PEFA PI-11","Income-group default (IMF 2015)")</f>
        <v>PEFA PI-11</v>
      </c>
      <c r="EA59" s="28" t="n">
        <f aca="false">IF(E59="AE",p_ps_ae,IF(E59="China",p_ps_chn,p_ps_emdc))</f>
        <v>0.4</v>
      </c>
      <c r="EB59" s="37" t="n">
        <f aca="false">(1-EA59)+EA59/(1-DY59)</f>
        <v>1.26666666666667</v>
      </c>
      <c r="EC59" s="16" t="n">
        <f aca="false">Results_Country!F59</f>
        <v>21.5755146174839</v>
      </c>
      <c r="ED59" s="16" t="n">
        <f aca="false">IF(CH59="",0,CH59*EC59)</f>
        <v>4552.15480383832</v>
      </c>
      <c r="EE59" s="16" t="n">
        <f aca="false">IF(CJ59="",0,CJ59*EC59)</f>
        <v>68.2826481699247</v>
      </c>
      <c r="EF59" s="16" t="n">
        <f aca="false">IF(CH59="",0,EC59)</f>
        <v>21.5755146174839</v>
      </c>
    </row>
    <row r="60" customFormat="false" ht="15" hidden="false" customHeight="false" outlineLevel="0" collapsed="false">
      <c r="A60" s="35" t="s">
        <v>876</v>
      </c>
      <c r="B60" s="35" t="s">
        <v>877</v>
      </c>
      <c r="C60" s="35" t="s">
        <v>766</v>
      </c>
      <c r="D60" s="35" t="s">
        <v>760</v>
      </c>
      <c r="E60" s="35" t="s">
        <v>31</v>
      </c>
      <c r="F60" s="36" t="n">
        <v>222.878</v>
      </c>
      <c r="G60" s="36" t="n">
        <v>446.611</v>
      </c>
      <c r="H60" s="33" t="n">
        <v>0.409</v>
      </c>
      <c r="I60" s="33" t="n">
        <v>1.662</v>
      </c>
      <c r="J60" s="36" t="n">
        <v>9.676134</v>
      </c>
      <c r="K60" s="36" t="n">
        <v>49.102</v>
      </c>
      <c r="L60" s="36" t="n">
        <v>65.467</v>
      </c>
      <c r="M60" s="36" t="n">
        <v>58.237</v>
      </c>
      <c r="N60" s="36" t="n">
        <v>28.1328936620474</v>
      </c>
      <c r="O60" s="36" t="n">
        <v>12.5070479841563</v>
      </c>
      <c r="P60" s="36" t="n">
        <v>1.31754351989226</v>
      </c>
      <c r="Q60" s="31" t="n">
        <v>0.102033500789541</v>
      </c>
      <c r="R60" s="31" t="n">
        <v>0.242984414604512</v>
      </c>
      <c r="S60" s="31" t="n">
        <v>0.0686932919693469</v>
      </c>
      <c r="T60" s="31" t="n">
        <v>0.00132039436603885</v>
      </c>
      <c r="U60" s="31" t="n">
        <v>0.0117228698231082</v>
      </c>
      <c r="V60" s="31" t="n">
        <v>0.00204188790653501</v>
      </c>
      <c r="W60" s="31" t="n">
        <v>0.00695905176737965</v>
      </c>
      <c r="X60" s="31" t="n">
        <v>2.63705357842412E-005</v>
      </c>
      <c r="Y60" s="36" t="n">
        <v>1.73091364022735</v>
      </c>
      <c r="Z60" s="36" t="n">
        <v>4.25236463660604</v>
      </c>
      <c r="AA60" s="36" t="n">
        <v>0.413959330595118</v>
      </c>
      <c r="AB60" s="36" t="n">
        <v>0.00120285780987616</v>
      </c>
      <c r="AC60" s="36" t="n">
        <v>0.722961422238833</v>
      </c>
      <c r="AD60" s="31" t="n">
        <v>0.91948</v>
      </c>
      <c r="AE60" s="31" t="n">
        <v>0.840865</v>
      </c>
      <c r="AF60" s="31" t="n">
        <v>0.551507</v>
      </c>
      <c r="AG60" s="31" t="n">
        <v>0.591</v>
      </c>
      <c r="AH60" s="31" t="n">
        <v>0.519462891908447</v>
      </c>
      <c r="AI60" s="31" t="n">
        <v>6.327</v>
      </c>
      <c r="AJ60" s="31" t="n">
        <v>4.14274</v>
      </c>
      <c r="AK60" s="31" t="n">
        <v>2.445</v>
      </c>
      <c r="AL60" s="31" t="n">
        <v>4.80821297176479</v>
      </c>
      <c r="AM60" s="31" t="n">
        <v>17.328</v>
      </c>
      <c r="AN60" s="31" t="n">
        <v>22.00656</v>
      </c>
      <c r="AO60" s="31" t="n">
        <v>17.328</v>
      </c>
      <c r="AP60" s="31" t="n">
        <v>20.0758519860196</v>
      </c>
      <c r="AQ60" s="36" t="n">
        <v>1.27936541785148</v>
      </c>
      <c r="AR60" s="36" t="n">
        <v>0.170160837598137</v>
      </c>
      <c r="AS60" s="36" t="n">
        <v>0.138466734198141</v>
      </c>
      <c r="AT60" s="36" t="n">
        <v>0.378318488606449</v>
      </c>
      <c r="AU60" s="31" t="n">
        <v>0.412284707665977</v>
      </c>
      <c r="AV60" s="36" t="n">
        <v>0.106617</v>
      </c>
      <c r="AW60" s="31" t="n">
        <v>1.108054</v>
      </c>
      <c r="AX60" s="31" t="n">
        <v>0.106909</v>
      </c>
      <c r="AY60" s="31" t="n">
        <v>0.0562091667283645</v>
      </c>
      <c r="AZ60" s="31" t="n">
        <v>0.102547</v>
      </c>
      <c r="BA60" s="33" t="n">
        <v>73.513</v>
      </c>
      <c r="BB60" s="33" t="n">
        <v>9.881</v>
      </c>
      <c r="BC60" s="33"/>
      <c r="BD60" s="33"/>
      <c r="BE60" s="33"/>
      <c r="BF60" s="33" t="n">
        <v>0</v>
      </c>
      <c r="BG60" s="33"/>
      <c r="BH60" s="33" t="n">
        <v>18.43</v>
      </c>
      <c r="BI60" s="29" t="n">
        <v>2020</v>
      </c>
      <c r="BJ60" s="33" t="n">
        <v>1</v>
      </c>
      <c r="BK60" s="33"/>
      <c r="BL60" s="33"/>
      <c r="BM60" s="33"/>
      <c r="BN60" s="29"/>
      <c r="BO60" s="33"/>
      <c r="BP60" s="33"/>
      <c r="BQ60" s="29" t="n">
        <v>2025</v>
      </c>
      <c r="BR60" s="36" t="n">
        <v>40.24</v>
      </c>
      <c r="BS60" s="36" t="n">
        <v>1.38</v>
      </c>
      <c r="BT60" s="36" t="n">
        <v>8.15</v>
      </c>
      <c r="BU60" s="36" t="n">
        <v>0.4</v>
      </c>
      <c r="BV60" s="16" t="n">
        <f aca="false">F60*(1+N(H60)/100)*(1+N(I60)/100)^5</f>
        <v>243.015005273459</v>
      </c>
      <c r="BW60" s="16" t="n">
        <f aca="false">IF(N(G60)&gt;0,G60,F60)</f>
        <v>446.611</v>
      </c>
      <c r="BX60" s="12" t="n">
        <f aca="false">F60/BW60</f>
        <v>0.499042791153823</v>
      </c>
      <c r="BY60" s="13" t="n">
        <f aca="false">IF(ISNUMBER(K60),1,0)</f>
        <v>1</v>
      </c>
      <c r="BZ60" s="16" t="n">
        <f aca="false">IF(BY60=0,"",N(N60)+N(O60)+N(P60))</f>
        <v>41.957485166096</v>
      </c>
      <c r="CA60" s="37" t="n">
        <f aca="false">IF(BY60=0,"",(N(Y60)*34.2+N(Z60)*38.6)/1000)</f>
        <v>0.223338521468769</v>
      </c>
      <c r="CB60" s="37" t="n">
        <f aca="false">IF(BY60=0,"",N(O60)*0.0036+N(R60)+N(V60)+(N(AA60)*25.3+N(AB60)*37)/1000)</f>
        <v>0.300569352057032</v>
      </c>
      <c r="CC60" s="37" t="n">
        <f aca="false">IF(BY60=0,"",N(N60)*0.0036+N(Q60)+N(U60)+N(T60)+N(X60)+N(AC60)*38/1000)</f>
        <v>0.243854086742918</v>
      </c>
      <c r="CD60" s="37" t="n">
        <f aca="false">IF(BY60=0,"",N(Q60)+N(R60)+N(S60)+N(T60)+N(U60)+N(V60)+N(W60)+N(X60)+(N(Y60)*34.2+N(Z60)*38.6+N(AA60)*25.3+N(AB60)*37+N(AC60)*38)/1000)</f>
        <v>0.697110514079112</v>
      </c>
      <c r="CE60" s="16" t="n">
        <f aca="false">IF(BY60=0,"",MAX(0,N(L60)-N(K60))+MAX(0,N(M60)-N(L60)))</f>
        <v>16.365</v>
      </c>
      <c r="CF60" s="16" t="n">
        <f aca="false">IF(BY60=0,"",N(Y60)*N(AD60)+N(Z60)*N(AE60)+N(AA60)*N(AF60)+N(AB60)*N(AG60)+N(AC60)*N(AH60)+N(U60)*N(AI60)+N(V60)*N(AJ60)+N(W60)*N(AK60)+N(X60)*N(AL60)+N(Q60)*N(AM60)+N(R60)*N(AN60)+N(S60)*N(AO60)+N(T60)*N(AP60))</f>
        <v>14.2036533433556</v>
      </c>
      <c r="CG60" s="16" t="n">
        <f aca="false">IF(AND(BY60=1,N(K60)&gt;0),K60,0)</f>
        <v>49.102</v>
      </c>
      <c r="CH60" s="16" t="n">
        <f aca="false">IF(CG60&gt;0,CF60*1000/CG60,"")</f>
        <v>289.26832600211</v>
      </c>
      <c r="CI60" s="16" t="n">
        <f aca="false">IF(BY60=0,"",N(AQ60)+p_road*(N(AR60)+N(AS60)+N(AT60)))</f>
        <v>1.27936541785148</v>
      </c>
      <c r="CJ60" s="16" t="n">
        <f aca="false">IF(CG60&gt;0,CI60*1000/CG60,"")</f>
        <v>26.0552608417473</v>
      </c>
      <c r="CK60" s="12" t="n">
        <f aca="false">IF(CH60="",1,MIN(p_idx_max,MAX(p_idx_min,CH60/p_fc_world)))</f>
        <v>1.79661571682615</v>
      </c>
      <c r="CL60" s="12" t="n">
        <f aca="false">IF(CJ60="",1,MIN(p_idx_max,MAX(p_idx_min,CJ60/p_cb_world)))</f>
        <v>0.495433867707984</v>
      </c>
      <c r="CM60" s="37" t="n">
        <f aca="false">p_b*(1-p_wb_idx+p_wb_idx*CK60)</f>
        <v>0.238949890337877</v>
      </c>
      <c r="CN60" s="37" t="n">
        <f aca="false">p_c*(1-p_wc_idx+p_wc_idx*CL60)</f>
        <v>0.06391096893433</v>
      </c>
      <c r="CO60" s="28" t="n">
        <f aca="false">IF(N(BR60)&gt;0,(N(BS60)+N(BT60)+N(BU60))/BR60,"")</f>
        <v>0.246769383697813</v>
      </c>
      <c r="CP60" s="16" t="n">
        <f aca="false">N(BS60)+N(BT60)+N(BU60)</f>
        <v>9.93</v>
      </c>
      <c r="CQ60" s="28" t="n">
        <f aca="false">IF(CP60&gt;0,N(BS60)/CP60,"")</f>
        <v>0.138972809667674</v>
      </c>
      <c r="CR60" s="28" t="n">
        <f aca="false">IF(CP60&gt;0,N(BT60)/CP60,"")</f>
        <v>0.820745216515609</v>
      </c>
      <c r="CS60" s="28" t="n">
        <f aca="false">IF(CP60&gt;0,N(BU60)/CP60,"")</f>
        <v>0.040281973816717</v>
      </c>
      <c r="CT60" s="7" t="n">
        <f aca="false">1000*(p_sh_pv*p_cf_pv/p_capex_pv+(1-p_sh_pv)*p_cf_wind/p_capex_wind)*8760</f>
        <v>2301.28856624319</v>
      </c>
      <c r="CU60" s="13" t="n">
        <f aca="false">IF(AND(ISNUMBER(CO60),ISNUMBER(CQ60),BY60=1),1,0)</f>
        <v>1</v>
      </c>
      <c r="CV60" s="16" t="n">
        <f aca="false">IF(CU60=0,"",CQ60*p_hr_coal*N(AK60)+CR60*p_hr_gas*N(AO60)+CS60*p_hr_oil*N(AH60)/p_gj_l_oil)</f>
        <v>115.753964659392</v>
      </c>
      <c r="CW60" s="37" t="n">
        <f aca="false">IF(CU60=0,"",CQ60*p_hr_coal*p_ef_coal+CR60*p_hr_gas*p_ef_gas+CS60*p_hr_oil*p_ef_oil)</f>
        <v>0.509533987915408</v>
      </c>
      <c r="CX60" s="16" t="n">
        <f aca="false">IF(CU60=0,"",CQ60*p_hr_coal*N(AW60)+CR60*p_hr_gas*N(AX60)+CS60*p_hr_oil*N(AY60)/p_gj_l_oil)</f>
        <v>2.81389538245472</v>
      </c>
      <c r="CY60" s="37" t="n">
        <f aca="false">IF(CU60=0,"",CO60*CW60)</f>
        <v>0.125737388170974</v>
      </c>
      <c r="CZ60" s="37" t="n">
        <f aca="false">IF(CU60=0,"",CT60*CO60*CV60/1000/1000-p_om_re)</f>
        <v>0.0507352366899604</v>
      </c>
      <c r="DA60" s="37" t="n">
        <f aca="false">IF(CU60=0,"",CT60*CO60*CX60/1000/1000)</f>
        <v>0.00159797618622163</v>
      </c>
      <c r="DB60" s="37" t="n">
        <f aca="false">IF(CU60=0,"",CT60*CO60*CW60/1000)</f>
        <v>0.289358013747145</v>
      </c>
      <c r="DC60" s="13" t="n">
        <f aca="false">IF(AND(CU60=1,ISNUMBER(AD60),ISNUMBER(AV60)),1,0)</f>
        <v>1</v>
      </c>
      <c r="DD60" s="7" t="n">
        <f aca="false">IF(DC60=0,"",p_ev_km*p_ice_l/100*AD60-p_ev_km*p_ev_kwh*AV60+p_ev_km*p_ev_maint)</f>
        <v>926.5491</v>
      </c>
      <c r="DE60" s="37" t="n">
        <f aca="false">IF(DC60=0,"",DD60/p_ev_prem)</f>
        <v>0.18530982</v>
      </c>
      <c r="DF60" s="37" t="n">
        <f aca="false">IF(DC60=0,"",p_ev_km*p_ice_l/100*N(AZ60)/p_ev_prem)</f>
        <v>0.023073075</v>
      </c>
      <c r="DG60" s="37" t="n">
        <f aca="false">IF(DC60=0,"",1000/p_ev_prem*(p_ev_km*p_ice_l/100*p_gj_l_gso*p_ef_gso-p_ev_km*p_ev_kwh/1000*CY60))</f>
        <v>0.465365310387674</v>
      </c>
      <c r="DH60" s="11" t="str">
        <f aca="false">IFERROR(IF(INDEX(Damodaran!$D:$D,MATCH(A60,Damodaran!$A:$A,0))="","",INDEX(Damodaran!$D:$D,MATCH(A60,Damodaran!$A:$A,0))),"")</f>
        <v/>
      </c>
      <c r="DI60" s="11" t="str">
        <f aca="false">IFERROR(IF(INDEX(Damodaran!$E:$E,MATCH(A60,Damodaran!$A:$A,0))="","",INDEX(Damodaran!$E:$E,MATCH(A60,Damodaran!$A:$A,0))),"")</f>
        <v/>
      </c>
      <c r="DJ60" s="11" t="str">
        <f aca="false">IFERROR(IF(INDEX(Damodaran!$G:$G,MATCH(A60,Damodaran!$A:$A,0))="","",INDEX(Damodaran!$G:$G,MATCH(A60,Damodaran!$A:$A,0))),"")</f>
        <v/>
      </c>
      <c r="DK60" s="11" t="str">
        <f aca="false">IF(ISNUMBER(BG60),(1+BG60/100)*(1+p_infl)-1,"")</f>
        <v/>
      </c>
      <c r="DL60" s="11" t="n">
        <f aca="false">IF(ISNUMBER(BH60),BH60/100,"")</f>
        <v>0.1843</v>
      </c>
      <c r="DM60" s="11" t="n">
        <f aca="false">IF(COUNT(DK60,DL60)=0,"",AVERAGE(DK60,DL60))</f>
        <v>0.1843</v>
      </c>
      <c r="DN60" s="11" t="str">
        <f aca="false">IF(OR(DH60="",DI60=""),"",p_dv*(p_rf+DH60)*(1-IF(DJ60="",p_tax_def,DJ60))+(1-p_dv)*(p_rf+p_beta*p_erp+p_lambda*DI60))</f>
        <v/>
      </c>
      <c r="DO60" s="13" t="n">
        <f aca="false">IF(AND(ISNUMBER(DM60),ISNUMBER(DN60)),1,0)</f>
        <v>0</v>
      </c>
      <c r="DP60" s="11" t="n">
        <f aca="false">IF(DO60=1,DM60,0)</f>
        <v>0</v>
      </c>
      <c r="DQ60" s="11" t="n">
        <f aca="false">IF(DO60=1,DN60,0)</f>
        <v>0</v>
      </c>
      <c r="DR60" s="11" t="str">
        <f aca="false">IF(DN60="","",DN60+p_shift)</f>
        <v/>
      </c>
      <c r="DS60" s="11" t="n">
        <f aca="false">IF(E60="AE",p_r_ae,IF(E60="China",p_r_chn,p_r_emdc))</f>
        <v>0.105</v>
      </c>
      <c r="DT60" s="11" t="n">
        <f aca="false">IF(E60="AE",p_rh_ae,IF(E60="China",p_rh_chn,p_rh_emdc))</f>
        <v>0.15</v>
      </c>
      <c r="DU60" s="11" t="n">
        <f aca="false">IF(AND(p_use_obs=1,ISNUMBER(DM60)),DM60,IF(AND(p_use_dam=1,ISNUMBER(DR60)),DR60,DS60))</f>
        <v>0.1843</v>
      </c>
      <c r="DV60" s="6" t="str">
        <f aca="false">IF(AND(p_use_obs=1,ISNUMBER(DM60)),"Observed (IRENA/Steffen)",IF(AND(p_use_dam=1,ISNUMBER(DR60)),"Damodaran (eq. 5)","Group default (IHLEG)"))</f>
        <v>Observed (IRENA/Steffen)</v>
      </c>
      <c r="DW60" s="11" t="n">
        <f aca="false">IF(p_basis=1,(1+DU60)/(1+p_infl)-1,DU60)</f>
        <v>0.1843</v>
      </c>
      <c r="DX60" s="11" t="n">
        <f aca="false">DW60+(DT60-DS60)</f>
        <v>0.2293</v>
      </c>
      <c r="DY60" s="28" t="n">
        <f aca="false">IF(AND(p_use_pefa=1,ISNUMBER(BD60)),p_gap_lic-(BD60-1)/3*(p_gap_lic-p_gap_ae),IF(E60="AE",p_gap_ae,IF(D60="Low income",p_gap_lic,p_gap_em)))*(1-p_reform*p_reform_close)</f>
        <v>0.27</v>
      </c>
      <c r="DZ60" s="6" t="str">
        <f aca="false">IF(AND(p_use_pefa=1,ISNUMBER(BD60)),"PEFA PI-11","Income-group default (IMF 2015)")</f>
        <v>Income-group default (IMF 2015)</v>
      </c>
      <c r="EA60" s="28" t="n">
        <f aca="false">IF(E60="AE",p_ps_ae,IF(E60="China",p_ps_chn,p_ps_emdc))</f>
        <v>0.4</v>
      </c>
      <c r="EB60" s="37" t="n">
        <f aca="false">(1-EA60)+EA60/(1-DY60)</f>
        <v>1.14794520547945</v>
      </c>
      <c r="EC60" s="16" t="n">
        <f aca="false">Results_Country!F60</f>
        <v>11.9802195887768</v>
      </c>
      <c r="ED60" s="16" t="n">
        <f aca="false">IF(CH60="",0,CH60*EC60)</f>
        <v>3465.49806558314</v>
      </c>
      <c r="EE60" s="16" t="n">
        <f aca="false">IF(CJ60="",0,CJ60*EC60)</f>
        <v>312.147746326989</v>
      </c>
      <c r="EF60" s="16" t="n">
        <f aca="false">IF(CH60="",0,EC60)</f>
        <v>11.9802195887768</v>
      </c>
    </row>
    <row r="61" customFormat="false" ht="15" hidden="false" customHeight="false" outlineLevel="0" collapsed="false">
      <c r="A61" s="35" t="s">
        <v>878</v>
      </c>
      <c r="B61" s="35" t="s">
        <v>879</v>
      </c>
      <c r="C61" s="35" t="s">
        <v>799</v>
      </c>
      <c r="D61" s="35" t="s">
        <v>760</v>
      </c>
      <c r="E61" s="35" t="s">
        <v>31</v>
      </c>
      <c r="F61" s="36" t="n">
        <v>219.163</v>
      </c>
      <c r="G61" s="36" t="n">
        <v>360.741</v>
      </c>
      <c r="H61" s="33" t="n">
        <v>2.798</v>
      </c>
      <c r="I61" s="33" t="n">
        <v>-8.646</v>
      </c>
      <c r="J61" s="36" t="n">
        <v>3.048423</v>
      </c>
      <c r="K61" s="36" t="n">
        <v>106.894</v>
      </c>
      <c r="L61" s="36" t="n">
        <v>208.241</v>
      </c>
      <c r="M61" s="36" t="n">
        <v>208.241</v>
      </c>
      <c r="N61" s="36" t="n">
        <v>21.5148060766614</v>
      </c>
      <c r="O61" s="36" t="n">
        <v>22.940652383478</v>
      </c>
      <c r="P61" s="36" t="n">
        <v>4.68451065057028</v>
      </c>
      <c r="Q61" s="31" t="n">
        <v>0.805145197001631</v>
      </c>
      <c r="R61" s="31" t="n">
        <v>0</v>
      </c>
      <c r="S61" s="31" t="n">
        <v>0.438328786587605</v>
      </c>
      <c r="T61" s="31" t="n">
        <v>0</v>
      </c>
      <c r="U61" s="31" t="n">
        <v>0</v>
      </c>
      <c r="V61" s="31" t="n">
        <v>0</v>
      </c>
      <c r="W61" s="31" t="n">
        <v>0</v>
      </c>
      <c r="X61" s="31" t="n">
        <v>0</v>
      </c>
      <c r="Y61" s="36" t="n">
        <v>2.36774378069034</v>
      </c>
      <c r="Z61" s="36" t="n">
        <v>2.36746228661799</v>
      </c>
      <c r="AA61" s="36" t="n">
        <v>0.424085695741194</v>
      </c>
      <c r="AB61" s="36" t="n">
        <v>1.13319516834989E-006</v>
      </c>
      <c r="AC61" s="36" t="n">
        <v>1.01613881538029</v>
      </c>
      <c r="AD61" s="31" t="n">
        <v>0.72</v>
      </c>
      <c r="AE61" s="31" t="n">
        <v>0.734</v>
      </c>
      <c r="AF61" s="31" t="n">
        <v>0.51</v>
      </c>
      <c r="AG61" s="31" t="n">
        <v>0.652</v>
      </c>
      <c r="AH61" s="31" t="n">
        <v>0.543345303403777</v>
      </c>
      <c r="AI61" s="31" t="n">
        <v>7.124</v>
      </c>
      <c r="AJ61" s="31" t="n">
        <v>12.193</v>
      </c>
      <c r="AK61" s="31" t="n">
        <v>5.575</v>
      </c>
      <c r="AL61" s="31" t="n">
        <v>8.29733333333333</v>
      </c>
      <c r="AM61" s="31" t="n">
        <v>2.086</v>
      </c>
      <c r="AN61" s="31" t="n">
        <v>6.057</v>
      </c>
      <c r="AO61" s="31" t="n">
        <v>2.086</v>
      </c>
      <c r="AP61" s="31" t="n">
        <v>2.086</v>
      </c>
      <c r="AQ61" s="36" t="n">
        <v>0.437068088484362</v>
      </c>
      <c r="AR61" s="36" t="n">
        <v>0.908778891396695</v>
      </c>
      <c r="AS61" s="36" t="n">
        <v>0.308818546020595</v>
      </c>
      <c r="AT61" s="36" t="n">
        <v>0.600719849922322</v>
      </c>
      <c r="AU61" s="31" t="n">
        <v>0.07620306675239</v>
      </c>
      <c r="AV61" s="36" t="n">
        <v>0.077</v>
      </c>
      <c r="AW61" s="31" t="n">
        <v>0.772585</v>
      </c>
      <c r="AX61" s="31" t="n">
        <v>-0.002774</v>
      </c>
      <c r="AY61" s="31" t="n">
        <v>0.0643147037086184</v>
      </c>
      <c r="AZ61" s="31" t="n">
        <v>0.016216</v>
      </c>
      <c r="BA61" s="33" t="n">
        <v>41.266</v>
      </c>
      <c r="BB61" s="33" t="n">
        <v>4.925</v>
      </c>
      <c r="BC61" s="33"/>
      <c r="BD61" s="33"/>
      <c r="BE61" s="33"/>
      <c r="BF61" s="33" t="n">
        <v>0</v>
      </c>
      <c r="BG61" s="33"/>
      <c r="BH61" s="33"/>
      <c r="BI61" s="29"/>
      <c r="BJ61" s="33"/>
      <c r="BK61" s="33"/>
      <c r="BL61" s="33"/>
      <c r="BM61" s="33"/>
      <c r="BN61" s="29"/>
      <c r="BO61" s="33"/>
      <c r="BP61" s="33"/>
      <c r="BQ61" s="29" t="n">
        <v>2025</v>
      </c>
      <c r="BR61" s="36" t="n">
        <v>57.177</v>
      </c>
      <c r="BS61" s="36" t="n">
        <v>0</v>
      </c>
      <c r="BT61" s="36" t="n">
        <v>54.897</v>
      </c>
      <c r="BU61" s="36" t="n">
        <v>0</v>
      </c>
      <c r="BV61" s="16" t="n">
        <f aca="false">F61*(1+N(H61)/100)*(1+N(I61)/100)^5</f>
        <v>143.347374139267</v>
      </c>
      <c r="BW61" s="16" t="n">
        <f aca="false">IF(N(G61)&gt;0,G61,F61)</f>
        <v>360.741</v>
      </c>
      <c r="BX61" s="12" t="n">
        <f aca="false">F61/BW61</f>
        <v>0.607535600333758</v>
      </c>
      <c r="BY61" s="13" t="n">
        <f aca="false">IF(ISNUMBER(K61),1,0)</f>
        <v>1</v>
      </c>
      <c r="BZ61" s="16" t="n">
        <f aca="false">IF(BY61=0,"",N(N61)+N(O61)+N(P61))</f>
        <v>49.1399691107097</v>
      </c>
      <c r="CA61" s="37" t="n">
        <f aca="false">IF(BY61=0,"",(N(Y61)*34.2+N(Z61)*38.6)/1000)</f>
        <v>0.172360881563064</v>
      </c>
      <c r="CB61" s="37" t="n">
        <f aca="false">IF(BY61=0,"",N(O61)*0.0036+N(R61)+N(V61)+(N(AA61)*25.3+N(AB61)*37)/1000)</f>
        <v>0.0933157586109942</v>
      </c>
      <c r="CC61" s="37" t="n">
        <f aca="false">IF(BY61=0,"",N(N61)*0.0036+N(Q61)+N(U61)+N(T61)+N(X61)+N(AC61)*38/1000)</f>
        <v>0.921211773862063</v>
      </c>
      <c r="CD61" s="37" t="n">
        <f aca="false">IF(BY61=0,"",N(Q61)+N(R61)+N(S61)+N(T61)+N(U61)+N(V61)+N(W61)+N(X61)+(N(Y61)*34.2+N(Z61)*38.6+N(AA61)*25.3+N(AB61)*37+N(AC61)*38)/1000)</f>
        <v>1.46517755016722</v>
      </c>
      <c r="CE61" s="16" t="n">
        <f aca="false">IF(BY61=0,"",MAX(0,N(L61)-N(K61))+MAX(0,N(M61)-N(L61)))</f>
        <v>101.347</v>
      </c>
      <c r="CF61" s="16" t="n">
        <f aca="false">IF(BY61=0,"",N(Y61)*N(AD61)+N(Z61)*N(AE61)+N(AA61)*N(AF61)+N(AB61)*N(AG61)+N(AC61)*N(AH61)+N(U61)*N(AI61)+N(V61)*N(AJ61)+N(W61)*N(AK61)+N(X61)*N(AL61)+N(Q61)*N(AM61)+N(R61)*N(AN61)+N(S61)*N(AO61)+N(T61)*N(AP61))</f>
        <v>6.80477826685622</v>
      </c>
      <c r="CG61" s="16" t="n">
        <f aca="false">IF(AND(BY61=1,N(K61)&gt;0),K61,0)</f>
        <v>106.894</v>
      </c>
      <c r="CH61" s="16" t="n">
        <f aca="false">IF(CG61&gt;0,CF61*1000/CG61,"")</f>
        <v>63.6591227464237</v>
      </c>
      <c r="CI61" s="16" t="n">
        <f aca="false">IF(BY61=0,"",N(AQ61)+p_road*(N(AR61)+N(AS61)+N(AT61)))</f>
        <v>0.437068088484362</v>
      </c>
      <c r="CJ61" s="16" t="n">
        <f aca="false">IF(CG61&gt;0,CI61*1000/CG61,"")</f>
        <v>4.08879907650908</v>
      </c>
      <c r="CK61" s="12" t="n">
        <f aca="false">IF(CH61="",1,MIN(p_idx_max,MAX(p_idx_min,CH61/p_fc_world)))</f>
        <v>0.39538024099035</v>
      </c>
      <c r="CL61" s="12" t="n">
        <f aca="false">IF(CJ61="",1,MIN(p_idx_max,MAX(p_idx_min,CJ61/p_cb_world)))</f>
        <v>0.25</v>
      </c>
      <c r="CM61" s="37" t="n">
        <f aca="false">p_b*(1-p_wb_idx+p_wb_idx*CK61)</f>
        <v>0.0525855720517166</v>
      </c>
      <c r="CN61" s="37" t="n">
        <f aca="false">p_c*(1-p_wc_idx+p_wc_idx*CL61)</f>
        <v>0.03225</v>
      </c>
      <c r="CO61" s="28" t="n">
        <f aca="false">IF(N(BR61)&gt;0,(N(BS61)+N(BT61)+N(BU61))/BR61,"")</f>
        <v>0.960123826013957</v>
      </c>
      <c r="CP61" s="16" t="n">
        <f aca="false">N(BS61)+N(BT61)+N(BU61)</f>
        <v>54.897</v>
      </c>
      <c r="CQ61" s="28" t="n">
        <f aca="false">IF(CP61&gt;0,N(BS61)/CP61,"")</f>
        <v>0</v>
      </c>
      <c r="CR61" s="28" t="n">
        <f aca="false">IF(CP61&gt;0,N(BT61)/CP61,"")</f>
        <v>1</v>
      </c>
      <c r="CS61" s="28" t="n">
        <f aca="false">IF(CP61&gt;0,N(BU61)/CP61,"")</f>
        <v>0</v>
      </c>
      <c r="CT61" s="7" t="n">
        <f aca="false">1000*(p_sh_pv*p_cf_pv/p_capex_pv+(1-p_sh_pv)*p_cf_wind/p_capex_wind)*8760</f>
        <v>2301.28856624319</v>
      </c>
      <c r="CU61" s="13" t="n">
        <f aca="false">IF(AND(ISNUMBER(CO61),ISNUMBER(CQ61),BY61=1),1,0)</f>
        <v>1</v>
      </c>
      <c r="CV61" s="16" t="n">
        <f aca="false">IF(CU61=0,"",CQ61*p_hr_coal*N(AK61)+CR61*p_hr_gas*N(AO61)+CS61*p_hr_oil*N(AH61)/p_gj_l_oil)</f>
        <v>15.645</v>
      </c>
      <c r="CW61" s="37" t="n">
        <f aca="false">IF(CU61=0,"",CQ61*p_hr_coal*p_ef_coal+CR61*p_hr_gas*p_ef_gas+CS61*p_hr_oil*p_ef_oil)</f>
        <v>0.42075</v>
      </c>
      <c r="CX61" s="16" t="n">
        <f aca="false">IF(CU61=0,"",CQ61*p_hr_coal*N(AW61)+CR61*p_hr_gas*N(AX61)+CS61*p_hr_oil*N(AY61)/p_gj_l_oil)</f>
        <v>-0.020805</v>
      </c>
      <c r="CY61" s="37" t="n">
        <f aca="false">IF(CU61=0,"",CO61*CW61)</f>
        <v>0.403972099795372</v>
      </c>
      <c r="CZ61" s="37" t="n">
        <f aca="false">IF(CU61=0,"",CT61*CO61*CV61/1000/1000-p_om_re)</f>
        <v>0.0195679714237782</v>
      </c>
      <c r="DA61" s="37" t="n">
        <f aca="false">IF(CU61=0,"",CT61*CO61*CX61/1000/1000)</f>
        <v>-4.59691048559736E-005</v>
      </c>
      <c r="DB61" s="37" t="n">
        <f aca="false">IF(CU61=0,"",CT61*CO61*CW61/1000)</f>
        <v>0.929656374340344</v>
      </c>
      <c r="DC61" s="13" t="n">
        <f aca="false">IF(AND(CU61=1,ISNUMBER(AD61),ISNUMBER(AV61)),1,0)</f>
        <v>1</v>
      </c>
      <c r="DD61" s="7" t="n">
        <f aca="false">IF(DC61=0,"",p_ev_km*p_ice_l/100*AD61-p_ev_km*p_ev_kwh*AV61+p_ev_km*p_ev_maint)</f>
        <v>782.1</v>
      </c>
      <c r="DE61" s="37" t="n">
        <f aca="false">IF(DC61=0,"",DD61/p_ev_prem)</f>
        <v>0.15642</v>
      </c>
      <c r="DF61" s="37" t="n">
        <f aca="false">IF(DC61=0,"",p_ev_km*p_ice_l/100*N(AZ61)/p_ev_prem)</f>
        <v>0.0036486</v>
      </c>
      <c r="DG61" s="37" t="n">
        <f aca="false">IF(DC61=0,"",1000/p_ev_prem*(p_ev_km*p_ice_l/100*p_gj_l_gso*p_ef_gso-p_ev_km*p_ev_kwh/1000*CY61))</f>
        <v>0.315118566110499</v>
      </c>
      <c r="DH61" s="11" t="str">
        <f aca="false">IFERROR(IF(INDEX(Damodaran!$D:$D,MATCH(A61,Damodaran!$A:$A,0))="","",INDEX(Damodaran!$D:$D,MATCH(A61,Damodaran!$A:$A,0))),"")</f>
        <v/>
      </c>
      <c r="DI61" s="11" t="str">
        <f aca="false">IFERROR(IF(INDEX(Damodaran!$E:$E,MATCH(A61,Damodaran!$A:$A,0))="","",INDEX(Damodaran!$E:$E,MATCH(A61,Damodaran!$A:$A,0))),"")</f>
        <v/>
      </c>
      <c r="DJ61" s="11" t="str">
        <f aca="false">IFERROR(IF(INDEX(Damodaran!$G:$G,MATCH(A61,Damodaran!$A:$A,0))="","",INDEX(Damodaran!$G:$G,MATCH(A61,Damodaran!$A:$A,0))),"")</f>
        <v/>
      </c>
      <c r="DK61" s="11" t="str">
        <f aca="false">IF(ISNUMBER(BG61),(1+BG61/100)*(1+p_infl)-1,"")</f>
        <v/>
      </c>
      <c r="DL61" s="11" t="str">
        <f aca="false">IF(ISNUMBER(BH61),BH61/100,"")</f>
        <v/>
      </c>
      <c r="DM61" s="11" t="str">
        <f aca="false">IF(COUNT(DK61,DL61)=0,"",AVERAGE(DK61,DL61))</f>
        <v/>
      </c>
      <c r="DN61" s="11" t="str">
        <f aca="false">IF(OR(DH61="",DI61=""),"",p_dv*(p_rf+DH61)*(1-IF(DJ61="",p_tax_def,DJ61))+(1-p_dv)*(p_rf+p_beta*p_erp+p_lambda*DI61))</f>
        <v/>
      </c>
      <c r="DO61" s="13" t="n">
        <f aca="false">IF(AND(ISNUMBER(DM61),ISNUMBER(DN61)),1,0)</f>
        <v>0</v>
      </c>
      <c r="DP61" s="11" t="n">
        <f aca="false">IF(DO61=1,DM61,0)</f>
        <v>0</v>
      </c>
      <c r="DQ61" s="11" t="n">
        <f aca="false">IF(DO61=1,DN61,0)</f>
        <v>0</v>
      </c>
      <c r="DR61" s="11" t="str">
        <f aca="false">IF(DN61="","",DN61+p_shift)</f>
        <v/>
      </c>
      <c r="DS61" s="11" t="n">
        <f aca="false">IF(E61="AE",p_r_ae,IF(E61="China",p_r_chn,p_r_emdc))</f>
        <v>0.105</v>
      </c>
      <c r="DT61" s="11" t="n">
        <f aca="false">IF(E61="AE",p_rh_ae,IF(E61="China",p_rh_chn,p_rh_emdc))</f>
        <v>0.15</v>
      </c>
      <c r="DU61" s="11" t="n">
        <f aca="false">IF(AND(p_use_obs=1,ISNUMBER(DM61)),DM61,IF(AND(p_use_dam=1,ISNUMBER(DR61)),DR61,DS61))</f>
        <v>0.105</v>
      </c>
      <c r="DV61" s="6" t="str">
        <f aca="false">IF(AND(p_use_obs=1,ISNUMBER(DM61)),"Observed (IRENA/Steffen)",IF(AND(p_use_dam=1,ISNUMBER(DR61)),"Damodaran (eq. 5)","Group default (IHLEG)"))</f>
        <v>Group default (IHLEG)</v>
      </c>
      <c r="DW61" s="11" t="n">
        <f aca="false">IF(p_basis=1,(1+DU61)/(1+p_infl)-1,DU61)</f>
        <v>0.105</v>
      </c>
      <c r="DX61" s="11" t="n">
        <f aca="false">DW61+(DT61-DS61)</f>
        <v>0.15</v>
      </c>
      <c r="DY61" s="28" t="n">
        <f aca="false">IF(AND(p_use_pefa=1,ISNUMBER(BD61)),p_gap_lic-(BD61-1)/3*(p_gap_lic-p_gap_ae),IF(E61="AE",p_gap_ae,IF(D61="Low income",p_gap_lic,p_gap_em)))*(1-p_reform*p_reform_close)</f>
        <v>0.27</v>
      </c>
      <c r="DZ61" s="6" t="str">
        <f aca="false">IF(AND(p_use_pefa=1,ISNUMBER(BD61)),"PEFA PI-11","Income-group default (IMF 2015)")</f>
        <v>Income-group default (IMF 2015)</v>
      </c>
      <c r="EA61" s="28" t="n">
        <f aca="false">IF(E61="AE",p_ps_ae,IF(E61="China",p_ps_chn,p_ps_emdc))</f>
        <v>0.4</v>
      </c>
      <c r="EB61" s="37" t="n">
        <f aca="false">(1-EA61)+EA61/(1-DY61)</f>
        <v>1.14794520547945</v>
      </c>
      <c r="EC61" s="16" t="n">
        <f aca="false">Results_Country!F61</f>
        <v>14.030177326609</v>
      </c>
      <c r="ED61" s="16" t="n">
        <f aca="false">IF(CH61="",0,CH61*EC61)</f>
        <v>893.148780588692</v>
      </c>
      <c r="EE61" s="16" t="n">
        <f aca="false">IF(CJ61="",0,CJ61*EC61)</f>
        <v>57.3665760962974</v>
      </c>
      <c r="EF61" s="16" t="n">
        <f aca="false">IF(CH61="",0,EC61)</f>
        <v>14.030177326609</v>
      </c>
    </row>
    <row r="62" customFormat="false" ht="15" hidden="false" customHeight="false" outlineLevel="0" collapsed="false">
      <c r="A62" s="35" t="s">
        <v>880</v>
      </c>
      <c r="B62" s="35" t="s">
        <v>881</v>
      </c>
      <c r="C62" s="35" t="s">
        <v>766</v>
      </c>
      <c r="D62" s="35" t="s">
        <v>763</v>
      </c>
      <c r="E62" s="35" t="s">
        <v>31</v>
      </c>
      <c r="F62" s="36" t="n">
        <v>190.834</v>
      </c>
      <c r="G62" s="36" t="n">
        <v>659.616</v>
      </c>
      <c r="H62" s="33" t="n">
        <v>1.8</v>
      </c>
      <c r="I62" s="33" t="n">
        <v>2</v>
      </c>
      <c r="J62" s="36" t="n">
        <v>37.860222</v>
      </c>
      <c r="K62" s="36" t="n">
        <v>145.09</v>
      </c>
      <c r="L62" s="36" t="n">
        <v>253.561</v>
      </c>
      <c r="M62" s="36" t="n">
        <v>266.91</v>
      </c>
      <c r="N62" s="36" t="n">
        <v>51.4343182460997</v>
      </c>
      <c r="O62" s="36" t="n">
        <v>27.3498368192822</v>
      </c>
      <c r="P62" s="36" t="n">
        <v>3.69721361399086</v>
      </c>
      <c r="Q62" s="31" t="n">
        <v>0.415464500866798</v>
      </c>
      <c r="R62" s="31" t="n">
        <v>0.303481537289764</v>
      </c>
      <c r="S62" s="31" t="n">
        <v>0.0561402685952065</v>
      </c>
      <c r="T62" s="31" t="n">
        <v>0.000802944088952217</v>
      </c>
      <c r="U62" s="31" t="n">
        <v>0.240726230709832</v>
      </c>
      <c r="V62" s="31" t="n">
        <v>0.0225242355506523</v>
      </c>
      <c r="W62" s="31" t="n">
        <v>0.0695275370738686</v>
      </c>
      <c r="X62" s="31" t="n">
        <v>0.000164831909290924</v>
      </c>
      <c r="Y62" s="36" t="n">
        <v>2.41952465891446</v>
      </c>
      <c r="Z62" s="36" t="n">
        <v>6.37798412201686</v>
      </c>
      <c r="AA62" s="36" t="n">
        <v>2.24649854045953</v>
      </c>
      <c r="AB62" s="36" t="n">
        <v>1.11919397480909E-006</v>
      </c>
      <c r="AC62" s="36" t="n">
        <v>0.452564600046504</v>
      </c>
      <c r="AD62" s="31" t="n">
        <v>0.8688</v>
      </c>
      <c r="AE62" s="31" t="n">
        <v>0.801207</v>
      </c>
      <c r="AF62" s="31" t="n">
        <v>0.515245</v>
      </c>
      <c r="AG62" s="31" t="n">
        <v>0.591</v>
      </c>
      <c r="AH62" s="31" t="n">
        <v>0.519462891908447</v>
      </c>
      <c r="AI62" s="31" t="n">
        <v>4.427</v>
      </c>
      <c r="AJ62" s="31" t="n">
        <v>8.3232</v>
      </c>
      <c r="AK62" s="31" t="n">
        <v>2.696</v>
      </c>
      <c r="AL62" s="31" t="n">
        <v>4.329057107754</v>
      </c>
      <c r="AM62" s="31" t="n">
        <v>6.877</v>
      </c>
      <c r="AN62" s="31" t="n">
        <v>14.0388</v>
      </c>
      <c r="AO62" s="31" t="n">
        <v>6.073</v>
      </c>
      <c r="AP62" s="31" t="n">
        <v>9.62293587742599</v>
      </c>
      <c r="AQ62" s="36" t="n">
        <v>7.84662369212834</v>
      </c>
      <c r="AR62" s="36" t="n">
        <v>0.413338288840012</v>
      </c>
      <c r="AS62" s="36" t="n">
        <v>1.01086642748693</v>
      </c>
      <c r="AT62" s="36" t="n">
        <v>0.63504220304855</v>
      </c>
      <c r="AU62" s="31" t="n">
        <v>0.232315722328194</v>
      </c>
      <c r="AV62" s="36" t="n">
        <v>0.168</v>
      </c>
      <c r="AW62" s="31" t="n">
        <v>6.605374</v>
      </c>
      <c r="AX62" s="31" t="n">
        <v>0.074568</v>
      </c>
      <c r="AY62" s="31" t="n">
        <v>0.164506420844962</v>
      </c>
      <c r="AZ62" s="31" t="n">
        <v>0.241405</v>
      </c>
      <c r="BA62" s="33" t="n">
        <v>89.677</v>
      </c>
      <c r="BB62" s="33" t="n">
        <v>7.368</v>
      </c>
      <c r="BC62" s="33" t="n">
        <v>84.964</v>
      </c>
      <c r="BD62" s="33" t="n">
        <v>2.5</v>
      </c>
      <c r="BE62" s="33" t="n">
        <v>2</v>
      </c>
      <c r="BF62" s="33" t="n">
        <v>0</v>
      </c>
      <c r="BG62" s="33"/>
      <c r="BH62" s="33" t="n">
        <v>13.85</v>
      </c>
      <c r="BI62" s="29" t="n">
        <v>2020</v>
      </c>
      <c r="BJ62" s="33" t="n">
        <v>1</v>
      </c>
      <c r="BK62" s="33"/>
      <c r="BL62" s="33" t="n">
        <v>3.31</v>
      </c>
      <c r="BM62" s="33" t="n">
        <v>5.829</v>
      </c>
      <c r="BN62" s="29" t="n">
        <v>29.624</v>
      </c>
      <c r="BO62" s="33" t="n">
        <v>2.246</v>
      </c>
      <c r="BP62" s="33" t="n">
        <v>0.168</v>
      </c>
      <c r="BQ62" s="29" t="n">
        <v>2022</v>
      </c>
      <c r="BR62" s="36" t="n">
        <v>111.51</v>
      </c>
      <c r="BS62" s="36" t="n">
        <v>23.32</v>
      </c>
      <c r="BT62" s="36" t="n">
        <v>7.18</v>
      </c>
      <c r="BU62" s="36" t="n">
        <v>0.53</v>
      </c>
      <c r="BV62" s="16" t="n">
        <f aca="false">F62*(1+N(H62)/100)*(1+N(I62)/100)^5</f>
        <v>214.48868680583</v>
      </c>
      <c r="BW62" s="16" t="n">
        <f aca="false">IF(N(G62)&gt;0,G62,F62)</f>
        <v>659.616</v>
      </c>
      <c r="BX62" s="12" t="n">
        <f aca="false">F62/BW62</f>
        <v>0.289310750497259</v>
      </c>
      <c r="BY62" s="13" t="n">
        <f aca="false">IF(ISNUMBER(K62),1,0)</f>
        <v>1</v>
      </c>
      <c r="BZ62" s="16" t="n">
        <f aca="false">IF(BY62=0,"",N(N62)+N(O62)+N(P62))</f>
        <v>82.4813686793727</v>
      </c>
      <c r="CA62" s="37" t="n">
        <f aca="false">IF(BY62=0,"",(N(Y62)*34.2+N(Z62)*38.6)/1000)</f>
        <v>0.328937930444726</v>
      </c>
      <c r="CB62" s="37" t="n">
        <f aca="false">IF(BY62=0,"",N(O62)*0.0036+N(R62)+N(V62)+(N(AA62)*25.3+N(AB62)*37)/1000)</f>
        <v>0.481301639873635</v>
      </c>
      <c r="CC62" s="37" t="n">
        <f aca="false">IF(BY62=0,"",N(N62)*0.0036+N(Q62)+N(U62)+N(T62)+N(X62)+N(AC62)*38/1000)</f>
        <v>0.859519508062599</v>
      </c>
      <c r="CD62" s="37" t="n">
        <f aca="false">IF(BY62=0,"",N(Q62)+N(R62)+N(S62)+N(T62)+N(U62)+N(V62)+N(W62)+N(X62)+(N(Y62)*34.2+N(Z62)*38.6+N(AA62)*25.3+N(AB62)*37+N(AC62)*38)/1000)</f>
        <v>1.51180392581466</v>
      </c>
      <c r="CE62" s="16" t="n">
        <f aca="false">IF(BY62=0,"",MAX(0,N(L62)-N(K62))+MAX(0,N(M62)-N(L62)))</f>
        <v>121.82</v>
      </c>
      <c r="CF62" s="16" t="n">
        <f aca="false">IF(BY62=0,"",N(Y62)*N(AD62)+N(Z62)*N(AE62)+N(AA62)*N(AF62)+N(AB62)*N(AG62)+N(AC62)*N(AH62)+N(U62)*N(AI62)+N(V62)*N(AJ62)+N(W62)*N(AK62)+N(X62)*N(AL62)+N(Q62)*N(AM62)+N(R62)*N(AN62)+N(S62)*N(AO62)+N(T62)*N(AP62))</f>
        <v>17.5124179221635</v>
      </c>
      <c r="CG62" s="16" t="n">
        <f aca="false">IF(AND(BY62=1,N(K62)&gt;0),K62,0)</f>
        <v>145.09</v>
      </c>
      <c r="CH62" s="16" t="n">
        <f aca="false">IF(CG62&gt;0,CF62*1000/CG62,"")</f>
        <v>120.700378538586</v>
      </c>
      <c r="CI62" s="16" t="n">
        <f aca="false">IF(BY62=0,"",N(AQ62)+p_road*(N(AR62)+N(AS62)+N(AT62)))</f>
        <v>7.84662369212834</v>
      </c>
      <c r="CJ62" s="16" t="n">
        <f aca="false">IF(CG62&gt;0,CI62*1000/CG62,"")</f>
        <v>54.08107858659</v>
      </c>
      <c r="CK62" s="12" t="n">
        <f aca="false">IF(CH62="",1,MIN(p_idx_max,MAX(p_idx_min,CH62/p_fc_world)))</f>
        <v>0.74965759337131</v>
      </c>
      <c r="CL62" s="12" t="n">
        <f aca="false">IF(CJ62="",1,MIN(p_idx_max,MAX(p_idx_min,CJ62/p_cb_world)))</f>
        <v>1.02833735178131</v>
      </c>
      <c r="CM62" s="37" t="n">
        <f aca="false">p_b*(1-p_wb_idx+p_wb_idx*CK62)</f>
        <v>0.0997044599183842</v>
      </c>
      <c r="CN62" s="37" t="n">
        <f aca="false">p_c*(1-p_wc_idx+p_wc_idx*CL62)</f>
        <v>0.132655518379789</v>
      </c>
      <c r="CO62" s="28" t="n">
        <f aca="false">IF(N(BR62)&gt;0,(N(BS62)+N(BT62)+N(BU62))/BR62,"")</f>
        <v>0.278271007084566</v>
      </c>
      <c r="CP62" s="16" t="n">
        <f aca="false">N(BS62)+N(BT62)+N(BU62)</f>
        <v>31.03</v>
      </c>
      <c r="CQ62" s="28" t="n">
        <f aca="false">IF(CP62&gt;0,N(BS62)/CP62,"")</f>
        <v>0.751530776667741</v>
      </c>
      <c r="CR62" s="28" t="n">
        <f aca="false">IF(CP62&gt;0,N(BT62)/CP62,"")</f>
        <v>0.231388978407992</v>
      </c>
      <c r="CS62" s="28" t="n">
        <f aca="false">IF(CP62&gt;0,N(BU62)/CP62,"")</f>
        <v>0.0170802449242668</v>
      </c>
      <c r="CT62" s="7" t="n">
        <f aca="false">1000*(p_sh_pv*p_cf_pv/p_capex_pv+(1-p_sh_pv)*p_cf_wind/p_capex_wind)*8760</f>
        <v>2301.28856624319</v>
      </c>
      <c r="CU62" s="13" t="n">
        <f aca="false">IF(AND(ISNUMBER(CO62),ISNUMBER(CQ62),BY62=1),1,0)</f>
        <v>1</v>
      </c>
      <c r="CV62" s="16" t="n">
        <f aca="false">IF(CU62=0,"",CQ62*p_hr_coal*N(AK62)+CR62*p_hr_gas*N(AO62)+CS62*p_hr_oil*N(AH62)/p_gj_l_oil)</f>
        <v>33.213977651137</v>
      </c>
      <c r="CW62" s="37" t="n">
        <f aca="false">IF(CU62=0,"",CQ62*p_hr_coal*p_ef_coal+CR62*p_hr_gas*p_ef_gas+CS62*p_hr_oil*p_ef_oil)</f>
        <v>0.822186142442797</v>
      </c>
      <c r="CX62" s="16" t="n">
        <f aca="false">IF(CU62=0,"",CQ62*p_hr_coal*N(AW62)+CR62*p_hr_gas*N(AX62)+CS62*p_hr_oil*N(AY62)/p_gj_l_oil)</f>
        <v>50.5351516675006</v>
      </c>
      <c r="CY62" s="37" t="n">
        <f aca="false">IF(CU62=0,"",CO62*CW62)</f>
        <v>0.228790565868532</v>
      </c>
      <c r="CZ62" s="37" t="n">
        <f aca="false">IF(CU62=0,"",CT62*CO62*CV62/1000/1000-p_om_re)</f>
        <v>0.00626962968037676</v>
      </c>
      <c r="DA62" s="37" t="n">
        <f aca="false">IF(CU62=0,"",CT62*CO62*CX62/1000/1000)</f>
        <v>0.0323617957806574</v>
      </c>
      <c r="DB62" s="37" t="n">
        <f aca="false">IF(CU62=0,"",CT62*CO62*CW62/1000)</f>
        <v>0.526513113297563</v>
      </c>
      <c r="DC62" s="13" t="n">
        <f aca="false">IF(AND(CU62=1,ISNUMBER(AD62),ISNUMBER(AV62)),1,0)</f>
        <v>1</v>
      </c>
      <c r="DD62" s="7" t="n">
        <f aca="false">IF(DC62=0,"",p_ev_km*p_ice_l/100*AD62-p_ev_km*p_ev_kwh*AV62+p_ev_km*p_ev_maint)</f>
        <v>703.8</v>
      </c>
      <c r="DE62" s="37" t="n">
        <f aca="false">IF(DC62=0,"",DD62/p_ev_prem)</f>
        <v>0.14076</v>
      </c>
      <c r="DF62" s="37" t="n">
        <f aca="false">IF(DC62=0,"",p_ev_km*p_ice_l/100*N(AZ62)/p_ev_prem)</f>
        <v>0.054316125</v>
      </c>
      <c r="DG62" s="37" t="n">
        <f aca="false">IF(DC62=0,"",1000/p_ev_prem*(p_ev_km*p_ice_l/100*p_gj_l_gso*p_ef_gso-p_ev_km*p_ev_kwh/1000*CY62))</f>
        <v>0.409716594430993</v>
      </c>
      <c r="DH62" s="11" t="str">
        <f aca="false">IFERROR(IF(INDEX(Damodaran!$D:$D,MATCH(A62,Damodaran!$A:$A,0))="","",INDEX(Damodaran!$D:$D,MATCH(A62,Damodaran!$A:$A,0))),"")</f>
        <v/>
      </c>
      <c r="DI62" s="11" t="str">
        <f aca="false">IFERROR(IF(INDEX(Damodaran!$E:$E,MATCH(A62,Damodaran!$A:$A,0))="","",INDEX(Damodaran!$E:$E,MATCH(A62,Damodaran!$A:$A,0))),"")</f>
        <v/>
      </c>
      <c r="DJ62" s="11" t="str">
        <f aca="false">IFERROR(IF(INDEX(Damodaran!$G:$G,MATCH(A62,Damodaran!$A:$A,0))="","",INDEX(Damodaran!$G:$G,MATCH(A62,Damodaran!$A:$A,0))),"")</f>
        <v/>
      </c>
      <c r="DK62" s="11" t="str">
        <f aca="false">IF(ISNUMBER(BG62),(1+BG62/100)*(1+p_infl)-1,"")</f>
        <v/>
      </c>
      <c r="DL62" s="11" t="n">
        <f aca="false">IF(ISNUMBER(BH62),BH62/100,"")</f>
        <v>0.1385</v>
      </c>
      <c r="DM62" s="11" t="n">
        <f aca="false">IF(COUNT(DK62,DL62)=0,"",AVERAGE(DK62,DL62))</f>
        <v>0.1385</v>
      </c>
      <c r="DN62" s="11" t="str">
        <f aca="false">IF(OR(DH62="",DI62=""),"",p_dv*(p_rf+DH62)*(1-IF(DJ62="",p_tax_def,DJ62))+(1-p_dv)*(p_rf+p_beta*p_erp+p_lambda*DI62))</f>
        <v/>
      </c>
      <c r="DO62" s="13" t="n">
        <f aca="false">IF(AND(ISNUMBER(DM62),ISNUMBER(DN62)),1,0)</f>
        <v>0</v>
      </c>
      <c r="DP62" s="11" t="n">
        <f aca="false">IF(DO62=1,DM62,0)</f>
        <v>0</v>
      </c>
      <c r="DQ62" s="11" t="n">
        <f aca="false">IF(DO62=1,DN62,0)</f>
        <v>0</v>
      </c>
      <c r="DR62" s="11" t="str">
        <f aca="false">IF(DN62="","",DN62+p_shift)</f>
        <v/>
      </c>
      <c r="DS62" s="11" t="n">
        <f aca="false">IF(E62="AE",p_r_ae,IF(E62="China",p_r_chn,p_r_emdc))</f>
        <v>0.105</v>
      </c>
      <c r="DT62" s="11" t="n">
        <f aca="false">IF(E62="AE",p_rh_ae,IF(E62="China",p_rh_chn,p_rh_emdc))</f>
        <v>0.15</v>
      </c>
      <c r="DU62" s="11" t="n">
        <f aca="false">IF(AND(p_use_obs=1,ISNUMBER(DM62)),DM62,IF(AND(p_use_dam=1,ISNUMBER(DR62)),DR62,DS62))</f>
        <v>0.1385</v>
      </c>
      <c r="DV62" s="6" t="str">
        <f aca="false">IF(AND(p_use_obs=1,ISNUMBER(DM62)),"Observed (IRENA/Steffen)",IF(AND(p_use_dam=1,ISNUMBER(DR62)),"Damodaran (eq. 5)","Group default (IHLEG)"))</f>
        <v>Observed (IRENA/Steffen)</v>
      </c>
      <c r="DW62" s="11" t="n">
        <f aca="false">IF(p_basis=1,(1+DU62)/(1+p_infl)-1,DU62)</f>
        <v>0.1385</v>
      </c>
      <c r="DX62" s="11" t="n">
        <f aca="false">DW62+(DT62-DS62)</f>
        <v>0.1835</v>
      </c>
      <c r="DY62" s="28" t="n">
        <f aca="false">IF(AND(p_use_pefa=1,ISNUMBER(BD62)),p_gap_lic-(BD62-1)/3*(p_gap_lic-p_gap_ae),IF(E62="AE",p_gap_ae,IF(D62="Low income",p_gap_lic,p_gap_em)))*(1-p_reform*p_reform_close)</f>
        <v>0.265</v>
      </c>
      <c r="DZ62" s="6" t="str">
        <f aca="false">IF(AND(p_use_pefa=1,ISNUMBER(BD62)),"PEFA PI-11","Income-group default (IMF 2015)")</f>
        <v>PEFA PI-11</v>
      </c>
      <c r="EA62" s="28" t="n">
        <f aca="false">IF(E62="AE",p_ps_ae,IF(E62="China",p_ps_chn,p_ps_emdc))</f>
        <v>0.4</v>
      </c>
      <c r="EB62" s="37" t="n">
        <f aca="false">(1-EA62)+EA62/(1-DY62)</f>
        <v>1.14421768707483</v>
      </c>
      <c r="EC62" s="16" t="n">
        <f aca="false">Results_Country!F62</f>
        <v>16.4067276345233</v>
      </c>
      <c r="ED62" s="16" t="n">
        <f aca="false">IF(CH62="",0,CH62*EC62)</f>
        <v>1980.29823606645</v>
      </c>
      <c r="EE62" s="16" t="n">
        <f aca="false">IF(CJ62="",0,CJ62*EC62)</f>
        <v>887.293526551435</v>
      </c>
      <c r="EF62" s="16" t="n">
        <f aca="false">IF(CH62="",0,EC62)</f>
        <v>16.4067276345233</v>
      </c>
    </row>
    <row r="63" customFormat="false" ht="15" hidden="false" customHeight="false" outlineLevel="0" collapsed="false">
      <c r="A63" s="35" t="s">
        <v>882</v>
      </c>
      <c r="B63" s="35" t="s">
        <v>883</v>
      </c>
      <c r="C63" s="35" t="s">
        <v>799</v>
      </c>
      <c r="D63" s="35" t="s">
        <v>760</v>
      </c>
      <c r="E63" s="35" t="s">
        <v>31</v>
      </c>
      <c r="F63" s="36" t="n">
        <v>160.902</v>
      </c>
      <c r="G63" s="36" t="n">
        <v>260.144</v>
      </c>
      <c r="H63" s="33" t="n">
        <v>3.468</v>
      </c>
      <c r="I63" s="33" t="n">
        <v>-0.561</v>
      </c>
      <c r="J63" s="36" t="n">
        <v>4.934508</v>
      </c>
      <c r="K63" s="36" t="n">
        <v>109.514</v>
      </c>
      <c r="L63" s="36" t="n">
        <v>170.715</v>
      </c>
      <c r="M63" s="36" t="n">
        <v>170.712</v>
      </c>
      <c r="N63" s="36" t="n">
        <v>38.9333537033086</v>
      </c>
      <c r="O63" s="36" t="n">
        <v>35.7663970394117</v>
      </c>
      <c r="P63" s="36" t="n">
        <v>0</v>
      </c>
      <c r="Q63" s="31" t="n">
        <v>0.511653395972313</v>
      </c>
      <c r="R63" s="31" t="n">
        <v>0</v>
      </c>
      <c r="S63" s="31" t="n">
        <v>0.664164116766859</v>
      </c>
      <c r="T63" s="31" t="n">
        <v>0</v>
      </c>
      <c r="U63" s="31" t="n">
        <v>0</v>
      </c>
      <c r="V63" s="31" t="n">
        <v>0</v>
      </c>
      <c r="W63" s="31" t="n">
        <v>0</v>
      </c>
      <c r="X63" s="31" t="n">
        <v>0</v>
      </c>
      <c r="Y63" s="36" t="n">
        <v>4.79761274359945</v>
      </c>
      <c r="Z63" s="36" t="n">
        <v>2.60314764511661</v>
      </c>
      <c r="AA63" s="36" t="n">
        <v>0.425960944373858</v>
      </c>
      <c r="AB63" s="36" t="n">
        <v>0.171077466246186</v>
      </c>
      <c r="AC63" s="36" t="n">
        <v>3.93709888845198</v>
      </c>
      <c r="AD63" s="31" t="n">
        <v>0.72</v>
      </c>
      <c r="AE63" s="31" t="n">
        <v>0.734</v>
      </c>
      <c r="AF63" s="31" t="n">
        <v>0.51</v>
      </c>
      <c r="AG63" s="31" t="n">
        <v>0.652</v>
      </c>
      <c r="AH63" s="31" t="n">
        <v>0.543345303403777</v>
      </c>
      <c r="AI63" s="31" t="n">
        <v>7.124</v>
      </c>
      <c r="AJ63" s="31" t="n">
        <v>12.193</v>
      </c>
      <c r="AK63" s="31" t="n">
        <v>5.575</v>
      </c>
      <c r="AL63" s="31" t="n">
        <v>8.29733333333333</v>
      </c>
      <c r="AM63" s="31" t="n">
        <v>7.674</v>
      </c>
      <c r="AN63" s="31" t="n">
        <v>12.937</v>
      </c>
      <c r="AO63" s="31" t="n">
        <v>6.797</v>
      </c>
      <c r="AP63" s="31" t="n">
        <v>7.17862386884542</v>
      </c>
      <c r="AQ63" s="36" t="n">
        <v>1.45383999576879</v>
      </c>
      <c r="AR63" s="36" t="n">
        <v>1.64621813558995</v>
      </c>
      <c r="AS63" s="36" t="n">
        <v>0.466547985864123</v>
      </c>
      <c r="AT63" s="36" t="n">
        <v>0.634040319119015</v>
      </c>
      <c r="AU63" s="31" t="n">
        <v>0.15418818758684</v>
      </c>
      <c r="AV63" s="36" t="n">
        <v>0.104</v>
      </c>
      <c r="AW63" s="31" t="n">
        <v>0.902809</v>
      </c>
      <c r="AX63" s="31" t="n">
        <v>0.094417</v>
      </c>
      <c r="AY63" s="31" t="n">
        <v>0.111498022488493</v>
      </c>
      <c r="AZ63" s="31" t="n">
        <v>0.05496</v>
      </c>
      <c r="BA63" s="33" t="n">
        <v>2.911</v>
      </c>
      <c r="BB63" s="33"/>
      <c r="BC63" s="33" t="n">
        <v>66.764</v>
      </c>
      <c r="BD63" s="33"/>
      <c r="BE63" s="33"/>
      <c r="BF63" s="33" t="n">
        <v>0</v>
      </c>
      <c r="BG63" s="33"/>
      <c r="BH63" s="33"/>
      <c r="BI63" s="29"/>
      <c r="BJ63" s="33"/>
      <c r="BK63" s="33"/>
      <c r="BL63" s="33"/>
      <c r="BM63" s="33"/>
      <c r="BN63" s="29"/>
      <c r="BO63" s="33"/>
      <c r="BP63" s="33"/>
      <c r="BQ63" s="29" t="n">
        <v>2025</v>
      </c>
      <c r="BR63" s="36" t="n">
        <v>89.22</v>
      </c>
      <c r="BS63" s="36" t="n">
        <v>0</v>
      </c>
      <c r="BT63" s="36" t="n">
        <v>55.526</v>
      </c>
      <c r="BU63" s="36" t="n">
        <v>31.624</v>
      </c>
      <c r="BV63" s="16" t="n">
        <f aca="false">F63*(1+N(H63)/100)*(1+N(I63)/100)^5</f>
        <v>161.864361270317</v>
      </c>
      <c r="BW63" s="16" t="n">
        <f aca="false">IF(N(G63)&gt;0,G63,F63)</f>
        <v>260.144</v>
      </c>
      <c r="BX63" s="12" t="n">
        <f aca="false">F63/BW63</f>
        <v>0.618511286056953</v>
      </c>
      <c r="BY63" s="13" t="n">
        <f aca="false">IF(ISNUMBER(K63),1,0)</f>
        <v>1</v>
      </c>
      <c r="BZ63" s="16" t="n">
        <f aca="false">IF(BY63=0,"",N(N63)+N(O63)+N(P63))</f>
        <v>74.6997507427203</v>
      </c>
      <c r="CA63" s="37" t="n">
        <f aca="false">IF(BY63=0,"",(N(Y63)*34.2+N(Z63)*38.6)/1000)</f>
        <v>0.264559854932602</v>
      </c>
      <c r="CB63" s="37" t="n">
        <f aca="false">IF(BY63=0,"",N(O63)*0.0036+N(R63)+N(V63)+(N(AA63)*25.3+N(AB63)*37)/1000)</f>
        <v>0.14586570748565</v>
      </c>
      <c r="CC63" s="37" t="n">
        <f aca="false">IF(BY63=0,"",N(N63)*0.0036+N(Q63)+N(U63)+N(T63)+N(X63)+N(AC63)*38/1000)</f>
        <v>0.8014232270654</v>
      </c>
      <c r="CD63" s="37" t="n">
        <f aca="false">IF(BY63=0,"",N(Q63)+N(R63)+N(S63)+N(T63)+N(U63)+N(V63)+N(W63)+N(X63)+(N(Y63)*34.2+N(Z63)*38.6+N(AA63)*25.3+N(AB63)*37+N(AC63)*38)/1000)</f>
        <v>1.60709380357672</v>
      </c>
      <c r="CE63" s="16" t="n">
        <f aca="false">IF(BY63=0,"",MAX(0,N(L63)-N(K63))+MAX(0,N(M63)-N(L63)))</f>
        <v>61.201</v>
      </c>
      <c r="CF63" s="16" t="n">
        <f aca="false">IF(BY63=0,"",N(Y63)*N(AD63)+N(Z63)*N(AE63)+N(AA63)*N(AF63)+N(AB63)*N(AG63)+N(AC63)*N(AH63)+N(U63)*N(AI63)+N(V63)*N(AJ63)+N(W63)*N(AK63)+N(X63)*N(AL63)+N(Q63)*N(AM63)+N(R63)*N(AN63)+N(S63)*N(AO63)+N(T63)*N(AP63))</f>
        <v>16.2737299889629</v>
      </c>
      <c r="CG63" s="16" t="n">
        <f aca="false">IF(AND(BY63=1,N(K63)&gt;0),K63,0)</f>
        <v>109.514</v>
      </c>
      <c r="CH63" s="16" t="n">
        <f aca="false">IF(CG63&gt;0,CF63*1000/CG63,"")</f>
        <v>148.599539684085</v>
      </c>
      <c r="CI63" s="16" t="n">
        <f aca="false">IF(BY63=0,"",N(AQ63)+p_road*(N(AR63)+N(AS63)+N(AT63)))</f>
        <v>1.45383999576879</v>
      </c>
      <c r="CJ63" s="16" t="n">
        <f aca="false">IF(CG63&gt;0,CI63*1000/CG63,"")</f>
        <v>13.2753802780356</v>
      </c>
      <c r="CK63" s="12" t="n">
        <f aca="false">IF(CH63="",1,MIN(p_idx_max,MAX(p_idx_min,CH63/p_fc_world)))</f>
        <v>0.922936403716767</v>
      </c>
      <c r="CL63" s="12" t="n">
        <f aca="false">IF(CJ63="",1,MIN(p_idx_max,MAX(p_idx_min,CJ63/p_cb_world)))</f>
        <v>0.252427831614845</v>
      </c>
      <c r="CM63" s="37" t="n">
        <f aca="false">p_b*(1-p_wb_idx+p_wb_idx*CK63)</f>
        <v>0.12275054169433</v>
      </c>
      <c r="CN63" s="37" t="n">
        <f aca="false">p_c*(1-p_wc_idx+p_wc_idx*CL63)</f>
        <v>0.032563190278315</v>
      </c>
      <c r="CO63" s="28" t="n">
        <f aca="false">IF(N(BR63)&gt;0,(N(BS63)+N(BT63)+N(BU63))/BR63,"")</f>
        <v>0.97679892400807</v>
      </c>
      <c r="CP63" s="16" t="n">
        <f aca="false">N(BS63)+N(BT63)+N(BU63)</f>
        <v>87.15</v>
      </c>
      <c r="CQ63" s="28" t="n">
        <f aca="false">IF(CP63&gt;0,N(BS63)/CP63,"")</f>
        <v>0</v>
      </c>
      <c r="CR63" s="28" t="n">
        <f aca="false">IF(CP63&gt;0,N(BT63)/CP63,"")</f>
        <v>0.637131382673551</v>
      </c>
      <c r="CS63" s="28" t="n">
        <f aca="false">IF(CP63&gt;0,N(BU63)/CP63,"")</f>
        <v>0.362868617326449</v>
      </c>
      <c r="CT63" s="7" t="n">
        <f aca="false">1000*(p_sh_pv*p_cf_pv/p_capex_pv+(1-p_sh_pv)*p_cf_wind/p_capex_wind)*8760</f>
        <v>2301.28856624319</v>
      </c>
      <c r="CU63" s="13" t="n">
        <f aca="false">IF(AND(ISNUMBER(CO63),ISNUMBER(CQ63),BY63=1),1,0)</f>
        <v>1</v>
      </c>
      <c r="CV63" s="16" t="n">
        <f aca="false">IF(CU63=0,"",CQ63*p_hr_coal*N(AK63)+CR63*p_hr_gas*N(AO63)+CS63*p_hr_oil*N(AH63)/p_gj_l_oil)</f>
        <v>86.1117761809134</v>
      </c>
      <c r="CW63" s="37" t="n">
        <f aca="false">IF(CU63=0,"",CQ63*p_hr_coal*p_ef_coal+CR63*p_hr_gas*p_ef_gas+CS63*p_hr_oil*p_ef_oil)</f>
        <v>0.562976354561102</v>
      </c>
      <c r="CX63" s="16" t="n">
        <f aca="false">IF(CU63=0,"",CQ63*p_hr_coal*N(AW63)+CR63*p_hr_gas*N(AX63)+CS63*p_hr_oil*N(AY63)/p_gj_l_oil)</f>
        <v>11.4568930298122</v>
      </c>
      <c r="CY63" s="37" t="n">
        <f aca="false">IF(CU63=0,"",CO63*CW63)</f>
        <v>0.54991469737727</v>
      </c>
      <c r="CZ63" s="37" t="n">
        <f aca="false">IF(CU63=0,"",CT63*CO63*CV63/1000/1000-p_om_re)</f>
        <v>0.178570334050909</v>
      </c>
      <c r="DA63" s="37" t="n">
        <f aca="false">IF(CU63=0,"",CT63*CO63*CX63/1000/1000)</f>
        <v>0.0257539062521142</v>
      </c>
      <c r="DB63" s="37" t="n">
        <f aca="false">IF(CU63=0,"",CT63*CO63*CW63/1000)</f>
        <v>1.2655124054834</v>
      </c>
      <c r="DC63" s="13" t="n">
        <f aca="false">IF(AND(CU63=1,ISNUMBER(AD63),ISNUMBER(AV63)),1,0)</f>
        <v>1</v>
      </c>
      <c r="DD63" s="7" t="n">
        <f aca="false">IF(DC63=0,"",p_ev_km*p_ice_l/100*AD63-p_ev_km*p_ev_kwh*AV63+p_ev_km*p_ev_maint)</f>
        <v>709.2</v>
      </c>
      <c r="DE63" s="37" t="n">
        <f aca="false">IF(DC63=0,"",DD63/p_ev_prem)</f>
        <v>0.14184</v>
      </c>
      <c r="DF63" s="37" t="n">
        <f aca="false">IF(DC63=0,"",p_ev_km*p_ice_l/100*N(AZ63)/p_ev_prem)</f>
        <v>0.012366</v>
      </c>
      <c r="DG63" s="37" t="n">
        <f aca="false">IF(DC63=0,"",1000/p_ev_prem*(p_ev_km*p_ice_l/100*p_gj_l_gso*p_ef_gso-p_ev_km*p_ev_kwh/1000*CY63))</f>
        <v>0.236309563416274</v>
      </c>
      <c r="DH63" s="11" t="str">
        <f aca="false">IFERROR(IF(INDEX(Damodaran!$D:$D,MATCH(A63,Damodaran!$A:$A,0))="","",INDEX(Damodaran!$D:$D,MATCH(A63,Damodaran!$A:$A,0))),"")</f>
        <v/>
      </c>
      <c r="DI63" s="11" t="str">
        <f aca="false">IFERROR(IF(INDEX(Damodaran!$E:$E,MATCH(A63,Damodaran!$A:$A,0))="","",INDEX(Damodaran!$E:$E,MATCH(A63,Damodaran!$A:$A,0))),"")</f>
        <v/>
      </c>
      <c r="DJ63" s="11" t="str">
        <f aca="false">IFERROR(IF(INDEX(Damodaran!$G:$G,MATCH(A63,Damodaran!$A:$A,0))="","",INDEX(Damodaran!$G:$G,MATCH(A63,Damodaran!$A:$A,0))),"")</f>
        <v/>
      </c>
      <c r="DK63" s="11" t="str">
        <f aca="false">IF(ISNUMBER(BG63),(1+BG63/100)*(1+p_infl)-1,"")</f>
        <v/>
      </c>
      <c r="DL63" s="11" t="str">
        <f aca="false">IF(ISNUMBER(BH63),BH63/100,"")</f>
        <v/>
      </c>
      <c r="DM63" s="11" t="str">
        <f aca="false">IF(COUNT(DK63,DL63)=0,"",AVERAGE(DK63,DL63))</f>
        <v/>
      </c>
      <c r="DN63" s="11" t="str">
        <f aca="false">IF(OR(DH63="",DI63=""),"",p_dv*(p_rf+DH63)*(1-IF(DJ63="",p_tax_def,DJ63))+(1-p_dv)*(p_rf+p_beta*p_erp+p_lambda*DI63))</f>
        <v/>
      </c>
      <c r="DO63" s="13" t="n">
        <f aca="false">IF(AND(ISNUMBER(DM63),ISNUMBER(DN63)),1,0)</f>
        <v>0</v>
      </c>
      <c r="DP63" s="11" t="n">
        <f aca="false">IF(DO63=1,DM63,0)</f>
        <v>0</v>
      </c>
      <c r="DQ63" s="11" t="n">
        <f aca="false">IF(DO63=1,DN63,0)</f>
        <v>0</v>
      </c>
      <c r="DR63" s="11" t="str">
        <f aca="false">IF(DN63="","",DN63+p_shift)</f>
        <v/>
      </c>
      <c r="DS63" s="11" t="n">
        <f aca="false">IF(E63="AE",p_r_ae,IF(E63="China",p_r_chn,p_r_emdc))</f>
        <v>0.105</v>
      </c>
      <c r="DT63" s="11" t="n">
        <f aca="false">IF(E63="AE",p_rh_ae,IF(E63="China",p_rh_chn,p_rh_emdc))</f>
        <v>0.15</v>
      </c>
      <c r="DU63" s="11" t="n">
        <f aca="false">IF(AND(p_use_obs=1,ISNUMBER(DM63)),DM63,IF(AND(p_use_dam=1,ISNUMBER(DR63)),DR63,DS63))</f>
        <v>0.105</v>
      </c>
      <c r="DV63" s="6" t="str">
        <f aca="false">IF(AND(p_use_obs=1,ISNUMBER(DM63)),"Observed (IRENA/Steffen)",IF(AND(p_use_dam=1,ISNUMBER(DR63)),"Damodaran (eq. 5)","Group default (IHLEG)"))</f>
        <v>Group default (IHLEG)</v>
      </c>
      <c r="DW63" s="11" t="n">
        <f aca="false">IF(p_basis=1,(1+DU63)/(1+p_infl)-1,DU63)</f>
        <v>0.105</v>
      </c>
      <c r="DX63" s="11" t="n">
        <f aca="false">DW63+(DT63-DS63)</f>
        <v>0.15</v>
      </c>
      <c r="DY63" s="28" t="n">
        <f aca="false">IF(AND(p_use_pefa=1,ISNUMBER(BD63)),p_gap_lic-(BD63-1)/3*(p_gap_lic-p_gap_ae),IF(E63="AE",p_gap_ae,IF(D63="Low income",p_gap_lic,p_gap_em)))*(1-p_reform*p_reform_close)</f>
        <v>0.27</v>
      </c>
      <c r="DZ63" s="6" t="str">
        <f aca="false">IF(AND(p_use_pefa=1,ISNUMBER(BD63)),"PEFA PI-11","Income-group default (IMF 2015)")</f>
        <v>Income-group default (IMF 2015)</v>
      </c>
      <c r="EA63" s="28" t="n">
        <f aca="false">IF(E63="AE",p_ps_ae,IF(E63="China",p_ps_chn,p_ps_emdc))</f>
        <v>0.4</v>
      </c>
      <c r="EB63" s="37" t="n">
        <f aca="false">(1-EA63)+EA63/(1-DY63)</f>
        <v>1.14794520547945</v>
      </c>
      <c r="EC63" s="16" t="n">
        <f aca="false">Results_Country!F63</f>
        <v>14.0956980914323</v>
      </c>
      <c r="ED63" s="16" t="n">
        <f aca="false">IF(CH63="",0,CH63*EC63)</f>
        <v>2094.61424791267</v>
      </c>
      <c r="EE63" s="16" t="n">
        <f aca="false">IF(CJ63="",0,CJ63*EC63)</f>
        <v>187.125752448144</v>
      </c>
      <c r="EF63" s="16" t="n">
        <f aca="false">IF(CH63="",0,EC63)</f>
        <v>14.0956980914323</v>
      </c>
    </row>
    <row r="64" customFormat="false" ht="15" hidden="false" customHeight="false" outlineLevel="0" collapsed="false">
      <c r="A64" s="35" t="s">
        <v>884</v>
      </c>
      <c r="B64" s="35" t="s">
        <v>885</v>
      </c>
      <c r="C64" s="35" t="s">
        <v>799</v>
      </c>
      <c r="D64" s="35" t="s">
        <v>771</v>
      </c>
      <c r="E64" s="35" t="s">
        <v>31</v>
      </c>
      <c r="F64" s="36" t="n">
        <v>160.606</v>
      </c>
      <c r="G64" s="36" t="n">
        <v>403.355</v>
      </c>
      <c r="H64" s="33" t="n">
        <v>4.9</v>
      </c>
      <c r="I64" s="33" t="n">
        <v>4.872</v>
      </c>
      <c r="J64" s="36" t="n">
        <v>38.081173</v>
      </c>
      <c r="K64" s="36" t="n">
        <v>62.223</v>
      </c>
      <c r="L64" s="36" t="n">
        <v>104.079</v>
      </c>
      <c r="M64" s="36" t="n">
        <v>102.157</v>
      </c>
      <c r="N64" s="36" t="n">
        <v>23.3791005865558</v>
      </c>
      <c r="O64" s="36" t="n">
        <v>12.7032453691177</v>
      </c>
      <c r="P64" s="36" t="n">
        <v>0.32948998275132</v>
      </c>
      <c r="Q64" s="31" t="n">
        <v>0.00303039176728636</v>
      </c>
      <c r="R64" s="31" t="n">
        <v>0.000200256531104517</v>
      </c>
      <c r="S64" s="31" t="n">
        <v>0.138203260191356</v>
      </c>
      <c r="T64" s="31" t="n">
        <v>0</v>
      </c>
      <c r="U64" s="31" t="n">
        <v>8.63685110422406E-005</v>
      </c>
      <c r="V64" s="31" t="n">
        <v>0.000626680610424338</v>
      </c>
      <c r="W64" s="31" t="n">
        <v>0.126895215876482</v>
      </c>
      <c r="X64" s="31" t="n">
        <v>0</v>
      </c>
      <c r="Y64" s="36" t="n">
        <v>0.911567682554239</v>
      </c>
      <c r="Z64" s="36" t="n">
        <v>6.65880585561205</v>
      </c>
      <c r="AA64" s="36" t="n">
        <v>4.99304084205382</v>
      </c>
      <c r="AB64" s="36" t="n">
        <v>0.0176003990568259</v>
      </c>
      <c r="AC64" s="36" t="n">
        <v>1.4924421999839</v>
      </c>
      <c r="AD64" s="31" t="n">
        <v>0.860604</v>
      </c>
      <c r="AE64" s="31" t="n">
        <v>0.823033</v>
      </c>
      <c r="AF64" s="31" t="n">
        <v>0.598519</v>
      </c>
      <c r="AG64" s="31" t="n">
        <v>0.652</v>
      </c>
      <c r="AH64" s="31" t="n">
        <v>0.543457956981735</v>
      </c>
      <c r="AI64" s="31" t="n">
        <v>6.606</v>
      </c>
      <c r="AJ64" s="31" t="n">
        <v>14.6316</v>
      </c>
      <c r="AK64" s="31" t="n">
        <v>6.869</v>
      </c>
      <c r="AL64" s="31" t="n">
        <v>6.90694390581326</v>
      </c>
      <c r="AM64" s="31" t="n">
        <v>5.289</v>
      </c>
      <c r="AN64" s="31" t="n">
        <v>15.6312</v>
      </c>
      <c r="AO64" s="31" t="n">
        <v>3.999</v>
      </c>
      <c r="AP64" s="31" t="n">
        <v>4.0431098564519</v>
      </c>
      <c r="AQ64" s="36" t="n">
        <v>2.48459562394105</v>
      </c>
      <c r="AR64" s="36" t="n">
        <v>0.196838775902601</v>
      </c>
      <c r="AS64" s="36" t="n">
        <v>0.416315578765303</v>
      </c>
      <c r="AT64" s="36" t="n">
        <v>0.555500604688215</v>
      </c>
      <c r="AU64" s="31" t="n">
        <v>0.294926893841558</v>
      </c>
      <c r="AV64" s="36" t="n">
        <v>0.160842</v>
      </c>
      <c r="AW64" s="31" t="n">
        <v>3.252727</v>
      </c>
      <c r="AX64" s="31" t="n">
        <v>0.06365</v>
      </c>
      <c r="AY64" s="31" t="n">
        <v>0.282872309735352</v>
      </c>
      <c r="AZ64" s="31" t="n">
        <v>0.073703</v>
      </c>
      <c r="BA64" s="33" t="n">
        <v>67.735</v>
      </c>
      <c r="BB64" s="33" t="n">
        <v>7.879</v>
      </c>
      <c r="BC64" s="33"/>
      <c r="BD64" s="33" t="n">
        <v>2</v>
      </c>
      <c r="BE64" s="33" t="n">
        <v>2</v>
      </c>
      <c r="BF64" s="33" t="n">
        <v>1</v>
      </c>
      <c r="BG64" s="33" t="n">
        <v>6.7</v>
      </c>
      <c r="BH64" s="33" t="n">
        <v>9.07</v>
      </c>
      <c r="BI64" s="29" t="n">
        <v>2020</v>
      </c>
      <c r="BJ64" s="33" t="n">
        <v>2</v>
      </c>
      <c r="BK64" s="33"/>
      <c r="BL64" s="33" t="n">
        <v>2.786</v>
      </c>
      <c r="BM64" s="33" t="n">
        <v>6.363</v>
      </c>
      <c r="BN64" s="29" t="n">
        <v>16.363</v>
      </c>
      <c r="BO64" s="33" t="n">
        <v>1.046</v>
      </c>
      <c r="BP64" s="33" t="n">
        <v>0.215</v>
      </c>
      <c r="BQ64" s="29" t="n">
        <v>2025</v>
      </c>
      <c r="BR64" s="36" t="n">
        <v>44.15</v>
      </c>
      <c r="BS64" s="36" t="n">
        <v>27.52</v>
      </c>
      <c r="BT64" s="36" t="n">
        <v>4.78</v>
      </c>
      <c r="BU64" s="36" t="n">
        <v>1.57</v>
      </c>
      <c r="BV64" s="16" t="n">
        <f aca="false">F64*(1+N(H64)/100)*(1+N(I64)/100)^5</f>
        <v>213.715000629797</v>
      </c>
      <c r="BW64" s="16" t="n">
        <f aca="false">IF(N(G64)&gt;0,G64,F64)</f>
        <v>403.355</v>
      </c>
      <c r="BX64" s="12" t="n">
        <f aca="false">F64/BW64</f>
        <v>0.398175304632396</v>
      </c>
      <c r="BY64" s="13" t="n">
        <f aca="false">IF(ISNUMBER(K64),1,0)</f>
        <v>1</v>
      </c>
      <c r="BZ64" s="16" t="n">
        <f aca="false">IF(BY64=0,"",N(N64)+N(O64)+N(P64))</f>
        <v>36.4118359384248</v>
      </c>
      <c r="CA64" s="37" t="n">
        <f aca="false">IF(BY64=0,"",(N(Y64)*34.2+N(Z64)*38.6)/1000)</f>
        <v>0.28820552076998</v>
      </c>
      <c r="CB64" s="37" t="n">
        <f aca="false">IF(BY64=0,"",N(O64)*0.0036+N(R64)+N(V64)+(N(AA64)*25.3+N(AB64)*37)/1000)</f>
        <v>0.173533768539417</v>
      </c>
      <c r="CC64" s="37" t="n">
        <f aca="false">IF(BY64=0,"",N(N64)*0.0036+N(Q64)+N(U64)+N(T64)+N(X64)+N(AC64)*38/1000)</f>
        <v>0.143994325989318</v>
      </c>
      <c r="CD64" s="37" t="n">
        <f aca="false">IF(BY64=0,"",N(Q64)+N(R64)+N(S64)+N(T64)+N(U64)+N(V64)+N(W64)+N(X64)+(N(Y64)*34.2+N(Z64)*38.6+N(AA64)*25.3+N(AB64)*37+N(AC64)*38)/1000)</f>
        <v>0.740935645926128</v>
      </c>
      <c r="CE64" s="16" t="n">
        <f aca="false">IF(BY64=0,"",MAX(0,N(L64)-N(K64))+MAX(0,N(M64)-N(L64)))</f>
        <v>41.856</v>
      </c>
      <c r="CF64" s="16" t="n">
        <f aca="false">IF(BY64=0,"",N(Y64)*N(AD64)+N(Z64)*N(AE64)+N(AA64)*N(AF64)+N(AB64)*N(AG64)+N(AC64)*N(AH64)+N(U64)*N(AI64)+N(V64)*N(AJ64)+N(W64)*N(AK64)+N(X64)*N(AL64)+N(Q64)*N(AM64)+N(R64)*N(AN64)+N(S64)*N(AO64)+N(T64)*N(AP64))</f>
        <v>11.5291165721961</v>
      </c>
      <c r="CG64" s="16" t="n">
        <f aca="false">IF(AND(BY64=1,N(K64)&gt;0),K64,0)</f>
        <v>62.223</v>
      </c>
      <c r="CH64" s="16" t="n">
        <f aca="false">IF(CG64&gt;0,CF64*1000/CG64,"")</f>
        <v>185.287057393506</v>
      </c>
      <c r="CI64" s="16" t="n">
        <f aca="false">IF(BY64=0,"",N(AQ64)+p_road*(N(AR64)+N(AS64)+N(AT64)))</f>
        <v>2.48459562394105</v>
      </c>
      <c r="CJ64" s="16" t="n">
        <f aca="false">IF(CG64&gt;0,CI64*1000/CG64,"")</f>
        <v>39.930501967778</v>
      </c>
      <c r="CK64" s="12" t="n">
        <f aca="false">IF(CH64="",1,MIN(p_idx_max,MAX(p_idx_min,CH64/p_fc_world)))</f>
        <v>1.15079878961657</v>
      </c>
      <c r="CL64" s="12" t="n">
        <f aca="false">IF(CJ64="",1,MIN(p_idx_max,MAX(p_idx_min,CJ64/p_cb_world)))</f>
        <v>0.759267894095312</v>
      </c>
      <c r="CM64" s="37" t="n">
        <f aca="false">p_b*(1-p_wb_idx+p_wb_idx*CK64)</f>
        <v>0.153056239019004</v>
      </c>
      <c r="CN64" s="37" t="n">
        <f aca="false">p_c*(1-p_wc_idx+p_wc_idx*CL64)</f>
        <v>0.0979455583382952</v>
      </c>
      <c r="CO64" s="28" t="n">
        <f aca="false">IF(N(BR64)&gt;0,(N(BS64)+N(BT64)+N(BU64))/BR64,"")</f>
        <v>0.767157417893545</v>
      </c>
      <c r="CP64" s="16" t="n">
        <f aca="false">N(BS64)+N(BT64)+N(BU64)</f>
        <v>33.87</v>
      </c>
      <c r="CQ64" s="28" t="n">
        <f aca="false">IF(CP64&gt;0,N(BS64)/CP64,"")</f>
        <v>0.812518452908178</v>
      </c>
      <c r="CR64" s="28" t="n">
        <f aca="false">IF(CP64&gt;0,N(BT64)/CP64,"")</f>
        <v>0.141127841747859</v>
      </c>
      <c r="CS64" s="28" t="n">
        <f aca="false">IF(CP64&gt;0,N(BU64)/CP64,"")</f>
        <v>0.0463537053439622</v>
      </c>
      <c r="CT64" s="7" t="n">
        <f aca="false">1000*(p_sh_pv*p_cf_pv/p_capex_pv+(1-p_sh_pv)*p_cf_wind/p_capex_wind)*8760</f>
        <v>2301.28856624319</v>
      </c>
      <c r="CU64" s="13" t="n">
        <f aca="false">IF(AND(ISNUMBER(CO64),ISNUMBER(CQ64),BY64=1),1,0)</f>
        <v>1</v>
      </c>
      <c r="CV64" s="16" t="n">
        <f aca="false">IF(CU64=0,"",CQ64*p_hr_coal*N(AK64)+CR64*p_hr_gas*N(AO64)+CS64*p_hr_oil*N(AH64)/p_gj_l_oil)</f>
        <v>66.8972223044557</v>
      </c>
      <c r="CW64" s="37" t="n">
        <f aca="false">IF(CU64=0,"",CQ64*p_hr_coal*p_ef_coal+CR64*p_hr_gas*p_ef_gas+CS64*p_hr_oil*p_ef_oil)</f>
        <v>0.865693652199587</v>
      </c>
      <c r="CX64" s="16" t="n">
        <f aca="false">IF(CU64=0,"",CQ64*p_hr_coal*N(AW64)+CR64*p_hr_gas*N(AX64)+CS64*p_hr_oil*N(AY64)/p_gj_l_oil)</f>
        <v>30.0631626333599</v>
      </c>
      <c r="CY64" s="37" t="n">
        <f aca="false">IF(CU64=0,"",CO64*CW64)</f>
        <v>0.664123306908267</v>
      </c>
      <c r="CZ64" s="37" t="n">
        <f aca="false">IF(CU64=0,"",CT64*CO64*CV64/1000/1000-p_om_re)</f>
        <v>0.103103740874893</v>
      </c>
      <c r="DA64" s="37" t="n">
        <f aca="false">IF(CU64=0,"",CT64*CO64*CX64/1000/1000)</f>
        <v>0.0530750283378151</v>
      </c>
      <c r="DB64" s="37" t="n">
        <f aca="false">IF(CU64=0,"",CT64*CO64*CW64/1000)</f>
        <v>1.52833937276361</v>
      </c>
      <c r="DC64" s="13" t="n">
        <f aca="false">IF(AND(CU64=1,ISNUMBER(AD64),ISNUMBER(AV64)),1,0)</f>
        <v>1</v>
      </c>
      <c r="DD64" s="7" t="n">
        <f aca="false">IF(DC64=0,"",p_ev_km*p_ice_l/100*AD64-p_ev_km*p_ev_kwh*AV64+p_ev_km*p_ev_maint)</f>
        <v>713.9061</v>
      </c>
      <c r="DE64" s="37" t="n">
        <f aca="false">IF(DC64=0,"",DD64/p_ev_prem)</f>
        <v>0.14278122</v>
      </c>
      <c r="DF64" s="37" t="n">
        <f aca="false">IF(DC64=0,"",p_ev_km*p_ice_l/100*N(AZ64)/p_ev_prem)</f>
        <v>0.016583175</v>
      </c>
      <c r="DG64" s="37" t="n">
        <f aca="false">IF(DC64=0,"",1000/p_ev_prem*(p_ev_km*p_ice_l/100*p_gj_l_gso*p_ef_gso-p_ev_km*p_ev_kwh/1000*CY64))</f>
        <v>0.174636914269536</v>
      </c>
      <c r="DH64" s="11" t="str">
        <f aca="false">IFERROR(IF(INDEX(Damodaran!$D:$D,MATCH(A64,Damodaran!$A:$A,0))="","",INDEX(Damodaran!$D:$D,MATCH(A64,Damodaran!$A:$A,0))),"")</f>
        <v/>
      </c>
      <c r="DI64" s="11" t="str">
        <f aca="false">IFERROR(IF(INDEX(Damodaran!$E:$E,MATCH(A64,Damodaran!$A:$A,0))="","",INDEX(Damodaran!$E:$E,MATCH(A64,Damodaran!$A:$A,0))),"")</f>
        <v/>
      </c>
      <c r="DJ64" s="11" t="str">
        <f aca="false">IFERROR(IF(INDEX(Damodaran!$G:$G,MATCH(A64,Damodaran!$A:$A,0))="","",INDEX(Damodaran!$G:$G,MATCH(A64,Damodaran!$A:$A,0))),"")</f>
        <v/>
      </c>
      <c r="DK64" s="11" t="n">
        <f aca="false">IF(ISNUMBER(BG64),(1+BG64/100)*(1+p_infl)-1,"")</f>
        <v>0.0883399999999999</v>
      </c>
      <c r="DL64" s="11" t="n">
        <f aca="false">IF(ISNUMBER(BH64),BH64/100,"")</f>
        <v>0.0907</v>
      </c>
      <c r="DM64" s="11" t="n">
        <f aca="false">IF(COUNT(DK64,DL64)=0,"",AVERAGE(DK64,DL64))</f>
        <v>0.0895199999999999</v>
      </c>
      <c r="DN64" s="11" t="str">
        <f aca="false">IF(OR(DH64="",DI64=""),"",p_dv*(p_rf+DH64)*(1-IF(DJ64="",p_tax_def,DJ64))+(1-p_dv)*(p_rf+p_beta*p_erp+p_lambda*DI64))</f>
        <v/>
      </c>
      <c r="DO64" s="13" t="n">
        <f aca="false">IF(AND(ISNUMBER(DM64),ISNUMBER(DN64)),1,0)</f>
        <v>0</v>
      </c>
      <c r="DP64" s="11" t="n">
        <f aca="false">IF(DO64=1,DM64,0)</f>
        <v>0</v>
      </c>
      <c r="DQ64" s="11" t="n">
        <f aca="false">IF(DO64=1,DN64,0)</f>
        <v>0</v>
      </c>
      <c r="DR64" s="11" t="str">
        <f aca="false">IF(DN64="","",DN64+p_shift)</f>
        <v/>
      </c>
      <c r="DS64" s="11" t="n">
        <f aca="false">IF(E64="AE",p_r_ae,IF(E64="China",p_r_chn,p_r_emdc))</f>
        <v>0.105</v>
      </c>
      <c r="DT64" s="11" t="n">
        <f aca="false">IF(E64="AE",p_rh_ae,IF(E64="China",p_rh_chn,p_rh_emdc))</f>
        <v>0.15</v>
      </c>
      <c r="DU64" s="11" t="n">
        <f aca="false">IF(AND(p_use_obs=1,ISNUMBER(DM64)),DM64,IF(AND(p_use_dam=1,ISNUMBER(DR64)),DR64,DS64))</f>
        <v>0.0895199999999999</v>
      </c>
      <c r="DV64" s="6" t="str">
        <f aca="false">IF(AND(p_use_obs=1,ISNUMBER(DM64)),"Observed (IRENA/Steffen)",IF(AND(p_use_dam=1,ISNUMBER(DR64)),"Damodaran (eq. 5)","Group default (IHLEG)"))</f>
        <v>Observed (IRENA/Steffen)</v>
      </c>
      <c r="DW64" s="11" t="n">
        <f aca="false">IF(p_basis=1,(1+DU64)/(1+p_infl)-1,DU64)</f>
        <v>0.0895199999999999</v>
      </c>
      <c r="DX64" s="11" t="n">
        <f aca="false">DW64+(DT64-DS64)</f>
        <v>0.13452</v>
      </c>
      <c r="DY64" s="28" t="n">
        <f aca="false">IF(AND(p_use_pefa=1,ISNUMBER(BD64)),p_gap_lic-(BD64-1)/3*(p_gap_lic-p_gap_ae),IF(E64="AE",p_gap_ae,IF(D64="Low income",p_gap_lic,p_gap_em)))*(1-p_reform*p_reform_close)</f>
        <v>0.31</v>
      </c>
      <c r="DZ64" s="6" t="str">
        <f aca="false">IF(AND(p_use_pefa=1,ISNUMBER(BD64)),"PEFA PI-11","Income-group default (IMF 2015)")</f>
        <v>PEFA PI-11</v>
      </c>
      <c r="EA64" s="28" t="n">
        <f aca="false">IF(E64="AE",p_ps_ae,IF(E64="China",p_ps_chn,p_ps_emdc))</f>
        <v>0.4</v>
      </c>
      <c r="EB64" s="37" t="n">
        <f aca="false">(1-EA64)+EA64/(1-DY64)</f>
        <v>1.17971014492754</v>
      </c>
      <c r="EC64" s="16" t="n">
        <f aca="false">Results_Country!F64</f>
        <v>9.92507708079202</v>
      </c>
      <c r="ED64" s="16" t="n">
        <f aca="false">IF(CH64="",0,CH64*EC64)</f>
        <v>1838.98832670368</v>
      </c>
      <c r="EE64" s="16" t="n">
        <f aca="false">IF(CJ64="",0,CJ64*EC64)</f>
        <v>396.313309904914</v>
      </c>
      <c r="EF64" s="16" t="n">
        <f aca="false">IF(CH64="",0,EC64)</f>
        <v>9.92507708079202</v>
      </c>
    </row>
    <row r="65" customFormat="false" ht="15" hidden="false" customHeight="false" outlineLevel="0" collapsed="false">
      <c r="A65" s="35" t="s">
        <v>886</v>
      </c>
      <c r="B65" s="35" t="s">
        <v>887</v>
      </c>
      <c r="C65" s="35" t="s">
        <v>847</v>
      </c>
      <c r="D65" s="35" t="s">
        <v>888</v>
      </c>
      <c r="E65" s="35" t="s">
        <v>31</v>
      </c>
      <c r="F65" s="36" t="n">
        <v>142.073</v>
      </c>
      <c r="G65" s="36" t="n">
        <v>443.251</v>
      </c>
      <c r="H65" s="33" t="n">
        <v>9.151</v>
      </c>
      <c r="I65" s="33" t="n">
        <v>9.204</v>
      </c>
      <c r="J65" s="36" t="n">
        <v>132.059768</v>
      </c>
      <c r="K65" s="36" t="n">
        <v>26.885</v>
      </c>
      <c r="L65" s="36" t="n">
        <v>203.358</v>
      </c>
      <c r="M65" s="36" t="n">
        <v>234.697</v>
      </c>
      <c r="N65" s="36" t="n">
        <v>7.33976600972193</v>
      </c>
      <c r="O65" s="36" t="n">
        <v>7.06672893430861</v>
      </c>
      <c r="P65" s="36" t="n">
        <v>0.0983257848961778</v>
      </c>
      <c r="Q65" s="31" t="n">
        <v>0</v>
      </c>
      <c r="R65" s="31" t="n">
        <v>0</v>
      </c>
      <c r="S65" s="31" t="n">
        <v>0</v>
      </c>
      <c r="T65" s="31" t="n">
        <v>0</v>
      </c>
      <c r="U65" s="31" t="n">
        <v>0.0290813326213402</v>
      </c>
      <c r="V65" s="31" t="n">
        <v>0</v>
      </c>
      <c r="W65" s="31" t="n">
        <v>0</v>
      </c>
      <c r="X65" s="31" t="n">
        <v>0</v>
      </c>
      <c r="Y65" s="36" t="n">
        <v>1.12530619793645</v>
      </c>
      <c r="Z65" s="36" t="n">
        <v>4.07955221808582</v>
      </c>
      <c r="AA65" s="36" t="n">
        <v>0.0172259376166233</v>
      </c>
      <c r="AB65" s="36" t="n">
        <v>0.0482230455435081</v>
      </c>
      <c r="AC65" s="36" t="n">
        <v>1.02253745509331</v>
      </c>
      <c r="AD65" s="31" t="n">
        <v>0.8326</v>
      </c>
      <c r="AE65" s="31" t="n">
        <v>0.761791</v>
      </c>
      <c r="AF65" s="31" t="n">
        <v>0.58995</v>
      </c>
      <c r="AG65" s="31" t="n">
        <v>0.67965</v>
      </c>
      <c r="AH65" s="31" t="n">
        <v>0.519462891908447</v>
      </c>
      <c r="AI65" s="31" t="n">
        <v>5.599</v>
      </c>
      <c r="AJ65" s="31" t="n">
        <v>10.82725</v>
      </c>
      <c r="AK65" s="31" t="n">
        <v>4.142</v>
      </c>
      <c r="AL65" s="31" t="n">
        <v>5.599</v>
      </c>
      <c r="AM65" s="31" t="n">
        <v>8.185</v>
      </c>
      <c r="AN65" s="31" t="n">
        <v>18.54605</v>
      </c>
      <c r="AO65" s="31" t="n">
        <v>6.861</v>
      </c>
      <c r="AP65" s="31" t="n">
        <v>11.19735</v>
      </c>
      <c r="AQ65" s="36" t="n">
        <v>0.00792886447640179</v>
      </c>
      <c r="AR65" s="36" t="n">
        <v>0.0339307909812891</v>
      </c>
      <c r="AS65" s="36" t="n">
        <v>0.353434724910235</v>
      </c>
      <c r="AT65" s="36" t="n">
        <v>0.375695824298387</v>
      </c>
      <c r="AU65" s="31" t="n">
        <v>0.927150504766619</v>
      </c>
      <c r="AV65" s="36" t="n">
        <v>0.19868</v>
      </c>
      <c r="AW65" s="31" t="n">
        <v>0.027366</v>
      </c>
      <c r="AX65" s="31" t="n">
        <v>0.000297</v>
      </c>
      <c r="AY65" s="31" t="n">
        <v>0.000424613469712044</v>
      </c>
      <c r="AZ65" s="31" t="n">
        <v>0.00047</v>
      </c>
      <c r="BA65" s="33" t="n">
        <v>33.382</v>
      </c>
      <c r="BB65" s="33" t="n">
        <v>7.763</v>
      </c>
      <c r="BC65" s="33" t="n">
        <v>99.054</v>
      </c>
      <c r="BD65" s="33" t="n">
        <v>1.5</v>
      </c>
      <c r="BE65" s="33" t="n">
        <v>1</v>
      </c>
      <c r="BF65" s="33" t="n">
        <v>1</v>
      </c>
      <c r="BG65" s="33" t="n">
        <v>8.4</v>
      </c>
      <c r="BH65" s="33"/>
      <c r="BI65" s="29"/>
      <c r="BJ65" s="33" t="n">
        <v>1</v>
      </c>
      <c r="BK65" s="33"/>
      <c r="BL65" s="33" t="n">
        <v>2.806</v>
      </c>
      <c r="BM65" s="33" t="n">
        <v>3.996</v>
      </c>
      <c r="BN65" s="29" t="n">
        <v>30.647</v>
      </c>
      <c r="BO65" s="33" t="n">
        <v>1.051</v>
      </c>
      <c r="BP65" s="33" t="n">
        <v>0.078</v>
      </c>
      <c r="BQ65" s="29" t="n">
        <v>2025</v>
      </c>
      <c r="BR65" s="36" t="n">
        <v>33.37</v>
      </c>
      <c r="BS65" s="36" t="n">
        <v>0</v>
      </c>
      <c r="BT65" s="36" t="n">
        <v>0</v>
      </c>
      <c r="BU65" s="36" t="n">
        <v>0</v>
      </c>
      <c r="BV65" s="16" t="n">
        <f aca="false">F65*(1+N(H65)/100)*(1+N(I65)/100)^5</f>
        <v>240.841876037292</v>
      </c>
      <c r="BW65" s="16" t="n">
        <f aca="false">IF(N(G65)&gt;0,G65,F65)</f>
        <v>443.251</v>
      </c>
      <c r="BX65" s="12" t="n">
        <f aca="false">F65/BW65</f>
        <v>0.320524939594045</v>
      </c>
      <c r="BY65" s="13" t="n">
        <f aca="false">IF(ISNUMBER(K65),1,0)</f>
        <v>1</v>
      </c>
      <c r="BZ65" s="16" t="n">
        <f aca="false">IF(BY65=0,"",N(N65)+N(O65)+N(P65))</f>
        <v>14.5048207289267</v>
      </c>
      <c r="CA65" s="37" t="n">
        <f aca="false">IF(BY65=0,"",(N(Y65)*34.2+N(Z65)*38.6)/1000)</f>
        <v>0.195956187587539</v>
      </c>
      <c r="CB65" s="37" t="n">
        <f aca="false">IF(BY65=0,"",N(O65)*0.0036+N(R65)+N(V65)+(N(AA65)*25.3+N(AB65)*37)/1000)</f>
        <v>0.0276602930703214</v>
      </c>
      <c r="CC65" s="37" t="n">
        <f aca="false">IF(BY65=0,"",N(N65)*0.0036+N(Q65)+N(U65)+N(T65)+N(X65)+N(AC65)*38/1000)</f>
        <v>0.0943609135498849</v>
      </c>
      <c r="CD65" s="37" t="n">
        <f aca="false">IF(BY65=0,"",N(Q65)+N(R65)+N(S65)+N(T65)+N(U65)+N(V65)+N(W65)+N(X65)+(N(Y65)*34.2+N(Z65)*38.6+N(AA65)*25.3+N(AB65)*37+N(AC65)*38)/1000)</f>
        <v>0.266114012409235</v>
      </c>
      <c r="CE65" s="16" t="n">
        <f aca="false">IF(BY65=0,"",MAX(0,N(L65)-N(K65))+MAX(0,N(M65)-N(L65)))</f>
        <v>207.812</v>
      </c>
      <c r="CF65" s="16" t="n">
        <f aca="false">IF(BY65=0,"",N(Y65)*N(AD65)+N(Z65)*N(AE65)+N(AA65)*N(AF65)+N(AB65)*N(AG65)+N(AC65)*N(AH65)+N(U65)*N(AI65)+N(V65)*N(AJ65)+N(W65)*N(AK65)+N(X65)*N(AL65)+N(Q65)*N(AM65)+N(R65)*N(AN65)+N(S65)*N(AO65)+N(T65)*N(AP65))</f>
        <v>4.78162998382463</v>
      </c>
      <c r="CG65" s="16" t="n">
        <f aca="false">IF(AND(BY65=1,N(K65)&gt;0),K65,0)</f>
        <v>26.885</v>
      </c>
      <c r="CH65" s="16" t="n">
        <f aca="false">IF(CG65&gt;0,CF65*1000/CG65,"")</f>
        <v>177.854937095951</v>
      </c>
      <c r="CI65" s="16" t="n">
        <f aca="false">IF(BY65=0,"",N(AQ65)+p_road*(N(AR65)+N(AS65)+N(AT65)))</f>
        <v>0.00792886447640179</v>
      </c>
      <c r="CJ65" s="16" t="n">
        <f aca="false">IF(CG65&gt;0,CI65*1000/CG65,"")</f>
        <v>0.294917778553163</v>
      </c>
      <c r="CK65" s="12" t="n">
        <f aca="false">IF(CH65="",1,MIN(p_idx_max,MAX(p_idx_min,CH65/p_fc_world)))</f>
        <v>1.10463865753273</v>
      </c>
      <c r="CL65" s="12" t="n">
        <f aca="false">IF(CJ65="",1,MIN(p_idx_max,MAX(p_idx_min,CJ65/p_cb_world)))</f>
        <v>0.25</v>
      </c>
      <c r="CM65" s="37" t="n">
        <f aca="false">p_b*(1-p_wb_idx+p_wb_idx*CK65)</f>
        <v>0.146916941451853</v>
      </c>
      <c r="CN65" s="37" t="n">
        <f aca="false">p_c*(1-p_wc_idx+p_wc_idx*CL65)</f>
        <v>0.03225</v>
      </c>
      <c r="CO65" s="28" t="n">
        <f aca="false">IF(N(BR65)&gt;0,(N(BS65)+N(BT65)+N(BU65))/BR65,"")</f>
        <v>0</v>
      </c>
      <c r="CP65" s="16" t="n">
        <f aca="false">N(BS65)+N(BT65)+N(BU65)</f>
        <v>0</v>
      </c>
      <c r="CQ65" s="28" t="str">
        <f aca="false">IF(CP65&gt;0,N(BS65)/CP65,"")</f>
        <v/>
      </c>
      <c r="CR65" s="28" t="str">
        <f aca="false">IF(CP65&gt;0,N(BT65)/CP65,"")</f>
        <v/>
      </c>
      <c r="CS65" s="28" t="str">
        <f aca="false">IF(CP65&gt;0,N(BU65)/CP65,"")</f>
        <v/>
      </c>
      <c r="CT65" s="7" t="n">
        <f aca="false">1000*(p_sh_pv*p_cf_pv/p_capex_pv+(1-p_sh_pv)*p_cf_wind/p_capex_wind)*8760</f>
        <v>2301.28856624319</v>
      </c>
      <c r="CU65" s="13" t="n">
        <f aca="false">IF(AND(ISNUMBER(CO65),ISNUMBER(CQ65),BY65=1),1,0)</f>
        <v>0</v>
      </c>
      <c r="CV65" s="16" t="str">
        <f aca="false">IF(CU65=0,"",CQ65*p_hr_coal*N(AK65)+CR65*p_hr_gas*N(AO65)+CS65*p_hr_oil*N(AH65)/p_gj_l_oil)</f>
        <v/>
      </c>
      <c r="CW65" s="37" t="str">
        <f aca="false">IF(CU65=0,"",CQ65*p_hr_coal*p_ef_coal+CR65*p_hr_gas*p_ef_gas+CS65*p_hr_oil*p_ef_oil)</f>
        <v/>
      </c>
      <c r="CX65" s="16" t="str">
        <f aca="false">IF(CU65=0,"",CQ65*p_hr_coal*N(AW65)+CR65*p_hr_gas*N(AX65)+CS65*p_hr_oil*N(AY65)/p_gj_l_oil)</f>
        <v/>
      </c>
      <c r="CY65" s="37" t="str">
        <f aca="false">IF(CU65=0,"",CO65*CW65)</f>
        <v/>
      </c>
      <c r="CZ65" s="37" t="str">
        <f aca="false">IF(CU65=0,"",CT65*CO65*CV65/1000/1000-p_om_re)</f>
        <v/>
      </c>
      <c r="DA65" s="37" t="str">
        <f aca="false">IF(CU65=0,"",CT65*CO65*CX65/1000/1000)</f>
        <v/>
      </c>
      <c r="DB65" s="37" t="str">
        <f aca="false">IF(CU65=0,"",CT65*CO65*CW65/1000)</f>
        <v/>
      </c>
      <c r="DC65" s="13" t="n">
        <f aca="false">IF(AND(CU65=1,ISNUMBER(AD65),ISNUMBER(AV65)),1,0)</f>
        <v>0</v>
      </c>
      <c r="DD65" s="7" t="str">
        <f aca="false">IF(DC65=0,"",p_ev_km*p_ice_l/100*AD65-p_ev_km*p_ev_kwh*AV65+p_ev_km*p_ev_maint)</f>
        <v/>
      </c>
      <c r="DE65" s="37" t="str">
        <f aca="false">IF(DC65=0,"",DD65/p_ev_prem)</f>
        <v/>
      </c>
      <c r="DF65" s="37" t="str">
        <f aca="false">IF(DC65=0,"",p_ev_km*p_ice_l/100*N(AZ65)/p_ev_prem)</f>
        <v/>
      </c>
      <c r="DG65" s="37" t="str">
        <f aca="false">IF(DC65=0,"",1000/p_ev_prem*(p_ev_km*p_ice_l/100*p_gj_l_gso*p_ef_gso-p_ev_km*p_ev_kwh/1000*CY65))</f>
        <v/>
      </c>
      <c r="DH65" s="11" t="str">
        <f aca="false">IFERROR(IF(INDEX(Damodaran!$D:$D,MATCH(A65,Damodaran!$A:$A,0))="","",INDEX(Damodaran!$D:$D,MATCH(A65,Damodaran!$A:$A,0))),"")</f>
        <v/>
      </c>
      <c r="DI65" s="11" t="str">
        <f aca="false">IFERROR(IF(INDEX(Damodaran!$E:$E,MATCH(A65,Damodaran!$A:$A,0))="","",INDEX(Damodaran!$E:$E,MATCH(A65,Damodaran!$A:$A,0))),"")</f>
        <v/>
      </c>
      <c r="DJ65" s="11" t="str">
        <f aca="false">IFERROR(IF(INDEX(Damodaran!$G:$G,MATCH(A65,Damodaran!$A:$A,0))="","",INDEX(Damodaran!$G:$G,MATCH(A65,Damodaran!$A:$A,0))),"")</f>
        <v/>
      </c>
      <c r="DK65" s="11" t="n">
        <f aca="false">IF(ISNUMBER(BG65),(1+BG65/100)*(1+p_infl)-1,"")</f>
        <v>0.10568</v>
      </c>
      <c r="DL65" s="11" t="str">
        <f aca="false">IF(ISNUMBER(BH65),BH65/100,"")</f>
        <v/>
      </c>
      <c r="DM65" s="11" t="n">
        <f aca="false">IF(COUNT(DK65,DL65)=0,"",AVERAGE(DK65,DL65))</f>
        <v>0.10568</v>
      </c>
      <c r="DN65" s="11" t="str">
        <f aca="false">IF(OR(DH65="",DI65=""),"",p_dv*(p_rf+DH65)*(1-IF(DJ65="",p_tax_def,DJ65))+(1-p_dv)*(p_rf+p_beta*p_erp+p_lambda*DI65))</f>
        <v/>
      </c>
      <c r="DO65" s="13" t="n">
        <f aca="false">IF(AND(ISNUMBER(DM65),ISNUMBER(DN65)),1,0)</f>
        <v>0</v>
      </c>
      <c r="DP65" s="11" t="n">
        <f aca="false">IF(DO65=1,DM65,0)</f>
        <v>0</v>
      </c>
      <c r="DQ65" s="11" t="n">
        <f aca="false">IF(DO65=1,DN65,0)</f>
        <v>0</v>
      </c>
      <c r="DR65" s="11" t="str">
        <f aca="false">IF(DN65="","",DN65+p_shift)</f>
        <v/>
      </c>
      <c r="DS65" s="11" t="n">
        <f aca="false">IF(E65="AE",p_r_ae,IF(E65="China",p_r_chn,p_r_emdc))</f>
        <v>0.105</v>
      </c>
      <c r="DT65" s="11" t="n">
        <f aca="false">IF(E65="AE",p_rh_ae,IF(E65="China",p_rh_chn,p_rh_emdc))</f>
        <v>0.15</v>
      </c>
      <c r="DU65" s="11" t="n">
        <f aca="false">IF(AND(p_use_obs=1,ISNUMBER(DM65)),DM65,IF(AND(p_use_dam=1,ISNUMBER(DR65)),DR65,DS65))</f>
        <v>0.10568</v>
      </c>
      <c r="DV65" s="6" t="str">
        <f aca="false">IF(AND(p_use_obs=1,ISNUMBER(DM65)),"Observed (IRENA/Steffen)",IF(AND(p_use_dam=1,ISNUMBER(DR65)),"Damodaran (eq. 5)","Group default (IHLEG)"))</f>
        <v>Observed (IRENA/Steffen)</v>
      </c>
      <c r="DW65" s="11" t="n">
        <f aca="false">IF(p_basis=1,(1+DU65)/(1+p_infl)-1,DU65)</f>
        <v>0.10568</v>
      </c>
      <c r="DX65" s="11" t="n">
        <f aca="false">DW65+(DT65-DS65)</f>
        <v>0.15068</v>
      </c>
      <c r="DY65" s="28" t="n">
        <f aca="false">IF(AND(p_use_pefa=1,ISNUMBER(BD65)),p_gap_lic-(BD65-1)/3*(p_gap_lic-p_gap_ae),IF(E65="AE",p_gap_ae,IF(D65="Low income",p_gap_lic,p_gap_em)))*(1-p_reform*p_reform_close)</f>
        <v>0.355</v>
      </c>
      <c r="DZ65" s="6" t="str">
        <f aca="false">IF(AND(p_use_pefa=1,ISNUMBER(BD65)),"PEFA PI-11","Income-group default (IMF 2015)")</f>
        <v>PEFA PI-11</v>
      </c>
      <c r="EA65" s="28" t="n">
        <f aca="false">IF(E65="AE",p_ps_ae,IF(E65="China",p_ps_chn,p_ps_emdc))</f>
        <v>0.4</v>
      </c>
      <c r="EB65" s="37" t="n">
        <f aca="false">(1-EA65)+EA65/(1-DY65)</f>
        <v>1.22015503875969</v>
      </c>
      <c r="EC65" s="16" t="n">
        <f aca="false">Results_Country!F65</f>
        <v>9.67304257236989</v>
      </c>
      <c r="ED65" s="16" t="n">
        <f aca="false">IF(CH65="",0,CH65*EC65)</f>
        <v>1720.3983782353</v>
      </c>
      <c r="EE65" s="16" t="n">
        <f aca="false">IF(CJ65="",0,CJ65*EC65)</f>
        <v>2.8527522272935</v>
      </c>
      <c r="EF65" s="16" t="n">
        <f aca="false">IF(CH65="",0,EC65)</f>
        <v>9.67304257236989</v>
      </c>
    </row>
    <row r="66" customFormat="false" ht="15" hidden="false" customHeight="false" outlineLevel="0" collapsed="false">
      <c r="A66" s="35" t="s">
        <v>889</v>
      </c>
      <c r="B66" s="35" t="s">
        <v>890</v>
      </c>
      <c r="C66" s="35" t="s">
        <v>766</v>
      </c>
      <c r="D66" s="35" t="s">
        <v>760</v>
      </c>
      <c r="E66" s="35" t="s">
        <v>29</v>
      </c>
      <c r="F66" s="36" t="n">
        <v>140.892</v>
      </c>
      <c r="G66" s="36" t="n">
        <v>249.279</v>
      </c>
      <c r="H66" s="33" t="n">
        <v>0.807</v>
      </c>
      <c r="I66" s="33" t="n">
        <v>0.601</v>
      </c>
      <c r="J66" s="36" t="n">
        <v>5.50676</v>
      </c>
      <c r="K66" s="36" t="n">
        <v>38.549</v>
      </c>
      <c r="L66" s="36" t="n">
        <v>44.904</v>
      </c>
      <c r="M66" s="36" t="n">
        <v>37.212</v>
      </c>
      <c r="N66" s="36" t="n">
        <v>21.6463042098483</v>
      </c>
      <c r="O66" s="36" t="n">
        <v>6.75107326983311</v>
      </c>
      <c r="P66" s="36" t="n">
        <v>0.637969815942879</v>
      </c>
      <c r="Q66" s="31" t="n">
        <v>0.0624997772336823</v>
      </c>
      <c r="R66" s="31" t="n">
        <v>0.0987870338927837</v>
      </c>
      <c r="S66" s="31" t="n">
        <v>0.0151289266473079</v>
      </c>
      <c r="T66" s="31" t="n">
        <v>0.000419084713311129</v>
      </c>
      <c r="U66" s="31" t="n">
        <v>0.0525431849538543</v>
      </c>
      <c r="V66" s="31" t="n">
        <v>0.00651423421625564</v>
      </c>
      <c r="W66" s="31" t="n">
        <v>0.00984604219265581</v>
      </c>
      <c r="X66" s="31" t="n">
        <v>0</v>
      </c>
      <c r="Y66" s="36" t="n">
        <v>0.711345496165403</v>
      </c>
      <c r="Z66" s="36" t="n">
        <v>2.33852546132551</v>
      </c>
      <c r="AA66" s="36" t="n">
        <v>0.102631063464985</v>
      </c>
      <c r="AB66" s="36" t="n">
        <v>1.11919397480909E-006</v>
      </c>
      <c r="AC66" s="36" t="n">
        <v>1.32801300151939</v>
      </c>
      <c r="AD66" s="31" t="n">
        <v>0.868504</v>
      </c>
      <c r="AE66" s="31" t="n">
        <v>0.867612</v>
      </c>
      <c r="AF66" s="31" t="n">
        <v>0.528785</v>
      </c>
      <c r="AG66" s="31" t="n">
        <v>0.591</v>
      </c>
      <c r="AH66" s="31" t="n">
        <v>0.519462891908447</v>
      </c>
      <c r="AI66" s="31" t="n">
        <v>10.275</v>
      </c>
      <c r="AJ66" s="31" t="n">
        <v>11.196</v>
      </c>
      <c r="AK66" s="31" t="n">
        <v>14.427</v>
      </c>
      <c r="AL66" s="31" t="n">
        <v>10.9553776758073</v>
      </c>
      <c r="AM66" s="31" t="n">
        <v>21.08</v>
      </c>
      <c r="AN66" s="31" t="n">
        <v>25.7952</v>
      </c>
      <c r="AO66" s="31" t="n">
        <v>21.08</v>
      </c>
      <c r="AP66" s="31" t="n">
        <v>23.7203575332297</v>
      </c>
      <c r="AQ66" s="36" t="n">
        <v>2.08956340728492</v>
      </c>
      <c r="AR66" s="36" t="n">
        <v>0.204084284213963</v>
      </c>
      <c r="AS66" s="36" t="n">
        <v>0.0886158501752781</v>
      </c>
      <c r="AT66" s="36" t="n">
        <v>0.173261248176069</v>
      </c>
      <c r="AU66" s="31" t="n">
        <v>0.501474874991583</v>
      </c>
      <c r="AV66" s="36" t="n">
        <v>0.15264</v>
      </c>
      <c r="AW66" s="31" t="n">
        <v>2.975075</v>
      </c>
      <c r="AX66" s="31" t="n">
        <v>0.058116</v>
      </c>
      <c r="AY66" s="31" t="n">
        <v>0.10049030048346</v>
      </c>
      <c r="AZ66" s="31" t="n">
        <v>0.063502</v>
      </c>
      <c r="BA66" s="33" t="n">
        <v>59.701</v>
      </c>
      <c r="BB66" s="33" t="n">
        <v>1.892</v>
      </c>
      <c r="BC66" s="33"/>
      <c r="BD66" s="33"/>
      <c r="BE66" s="33"/>
      <c r="BF66" s="33" t="n">
        <v>0</v>
      </c>
      <c r="BG66" s="33"/>
      <c r="BH66" s="33" t="n">
        <v>5.5</v>
      </c>
      <c r="BI66" s="29" t="n">
        <v>2019</v>
      </c>
      <c r="BJ66" s="33" t="n">
        <v>1</v>
      </c>
      <c r="BK66" s="33"/>
      <c r="BL66" s="33"/>
      <c r="BM66" s="33"/>
      <c r="BN66" s="29"/>
      <c r="BO66" s="33"/>
      <c r="BP66" s="33"/>
      <c r="BQ66" s="29" t="n">
        <v>2025</v>
      </c>
      <c r="BR66" s="36" t="n">
        <v>29.09</v>
      </c>
      <c r="BS66" s="36" t="n">
        <v>0.31</v>
      </c>
      <c r="BT66" s="36" t="n">
        <v>3.28</v>
      </c>
      <c r="BU66" s="36" t="n">
        <v>0.73</v>
      </c>
      <c r="BV66" s="16" t="n">
        <f aca="false">F66*(1+N(H66)/100)*(1+N(I66)/100)^5</f>
        <v>146.348580106108</v>
      </c>
      <c r="BW66" s="16" t="n">
        <f aca="false">IF(N(G66)&gt;0,G66,F66)</f>
        <v>249.279</v>
      </c>
      <c r="BX66" s="12" t="n">
        <f aca="false">F66/BW66</f>
        <v>0.565198031121755</v>
      </c>
      <c r="BY66" s="13" t="n">
        <f aca="false">IF(ISNUMBER(K66),1,0)</f>
        <v>1</v>
      </c>
      <c r="BZ66" s="16" t="n">
        <f aca="false">IF(BY66=0,"",N(N66)+N(O66)+N(P66))</f>
        <v>29.0353472956243</v>
      </c>
      <c r="CA66" s="37" t="n">
        <f aca="false">IF(BY66=0,"",(N(Y66)*34.2+N(Z66)*38.6)/1000)</f>
        <v>0.114595098776021</v>
      </c>
      <c r="CB66" s="37" t="n">
        <f aca="false">IF(BY66=0,"",N(O66)*0.0036+N(R66)+N(V66)+(N(AA66)*25.3+N(AB66)*37)/1000)</f>
        <v>0.13220173919628</v>
      </c>
      <c r="CC66" s="37" t="n">
        <f aca="false">IF(BY66=0,"",N(N66)*0.0036+N(Q66)+N(U66)+N(T66)+N(X66)+N(AC66)*38/1000)</f>
        <v>0.243853236114038</v>
      </c>
      <c r="CD66" s="37" t="n">
        <f aca="false">IF(BY66=0,"",N(Q66)+N(R66)+N(S66)+N(T66)+N(U66)+N(V66)+N(W66)+N(X66)+(N(Y66)*34.2+N(Z66)*38.6+N(AA66)*25.3+N(AB66)*37+N(AC66)*38)/1000)</f>
        <v>0.41339448399945</v>
      </c>
      <c r="CE66" s="16" t="n">
        <f aca="false">IF(BY66=0,"",MAX(0,N(L66)-N(K66))+MAX(0,N(M66)-N(L66)))</f>
        <v>6.355</v>
      </c>
      <c r="CF66" s="16" t="n">
        <f aca="false">IF(BY66=0,"",N(Y66)*N(AD66)+N(Z66)*N(AE66)+N(AA66)*N(AF66)+N(AB66)*N(AG66)+N(AC66)*N(AH66)+N(U66)*N(AI66)+N(V66)*N(AJ66)+N(W66)*N(AK66)+N(X66)*N(AL66)+N(Q66)*N(AM66)+N(R66)*N(AN66)+N(S66)*N(AO66)+N(T66)*N(AP66))</f>
        <v>8.34031172007079</v>
      </c>
      <c r="CG66" s="16" t="n">
        <f aca="false">IF(AND(BY66=1,N(K66)&gt;0),K66,0)</f>
        <v>38.549</v>
      </c>
      <c r="CH66" s="16" t="n">
        <f aca="false">IF(CG66&gt;0,CF66*1000/CG66,"")</f>
        <v>216.356110925596</v>
      </c>
      <c r="CI66" s="16" t="n">
        <f aca="false">IF(BY66=0,"",N(AQ66)+p_road*(N(AR66)+N(AS66)+N(AT66)))</f>
        <v>2.08956340728492</v>
      </c>
      <c r="CJ66" s="16" t="n">
        <f aca="false">IF(CG66&gt;0,CI66*1000/CG66,"")</f>
        <v>54.2053855426838</v>
      </c>
      <c r="CK66" s="12" t="n">
        <f aca="false">IF(CH66="",1,MIN(p_idx_max,MAX(p_idx_min,CH66/p_fc_world)))</f>
        <v>1.3437654744041</v>
      </c>
      <c r="CL66" s="12" t="n">
        <f aca="false">IF(CJ66="",1,MIN(p_idx_max,MAX(p_idx_min,CJ66/p_cb_world)))</f>
        <v>1.0307010155502</v>
      </c>
      <c r="CM66" s="37" t="n">
        <f aca="false">p_b*(1-p_wb_idx+p_wb_idx*CK66)</f>
        <v>0.178720808095745</v>
      </c>
      <c r="CN66" s="37" t="n">
        <f aca="false">p_c*(1-p_wc_idx+p_wc_idx*CL66)</f>
        <v>0.132960431005976</v>
      </c>
      <c r="CO66" s="28" t="n">
        <f aca="false">IF(N(BR66)&gt;0,(N(BS66)+N(BT66)+N(BU66))/BR66,"")</f>
        <v>0.148504640770024</v>
      </c>
      <c r="CP66" s="16" t="n">
        <f aca="false">N(BS66)+N(BT66)+N(BU66)</f>
        <v>4.32</v>
      </c>
      <c r="CQ66" s="28" t="n">
        <f aca="false">IF(CP66&gt;0,N(BS66)/CP66,"")</f>
        <v>0.0717592592592593</v>
      </c>
      <c r="CR66" s="28" t="n">
        <f aca="false">IF(CP66&gt;0,N(BT66)/CP66,"")</f>
        <v>0.759259259259259</v>
      </c>
      <c r="CS66" s="28" t="n">
        <f aca="false">IF(CP66&gt;0,N(BU66)/CP66,"")</f>
        <v>0.168981481481481</v>
      </c>
      <c r="CT66" s="7" t="n">
        <f aca="false">1000*(p_sh_pv*p_cf_pv/p_capex_pv+(1-p_sh_pv)*p_cf_wind/p_capex_wind)*8760</f>
        <v>2301.28856624319</v>
      </c>
      <c r="CU66" s="13" t="n">
        <f aca="false">IF(AND(ISNUMBER(CO66),ISNUMBER(CQ66),BY66=1),1,0)</f>
        <v>1</v>
      </c>
      <c r="CV66" s="16" t="n">
        <f aca="false">IF(CU66=0,"",CQ66*p_hr_coal*N(AK66)+CR66*p_hr_gas*N(AO66)+CS66*p_hr_oil*N(AH66)/p_gj_l_oil)</f>
        <v>154.269470150153</v>
      </c>
      <c r="CW66" s="37" t="n">
        <f aca="false">IF(CU66=0,"",CQ66*p_hr_coal*p_ef_coal+CR66*p_hr_gas*p_ef_gas+CS66*p_hr_oil*p_ef_oil)</f>
        <v>0.524673842592593</v>
      </c>
      <c r="CX66" s="16" t="n">
        <f aca="false">IF(CU66=0,"",CQ66*p_hr_coal*N(AW66)+CR66*p_hr_gas*N(AX66)+CS66*p_hr_oil*N(AY66)/p_gj_l_oil)</f>
        <v>7.08501401281975</v>
      </c>
      <c r="CY66" s="37" t="n">
        <f aca="false">IF(CU66=0,"",CO66*CW66)</f>
        <v>0.0779165005156411</v>
      </c>
      <c r="CZ66" s="37" t="n">
        <f aca="false">IF(CU66=0,"",CT66*CO66*CV66/1000/1000-p_om_re)</f>
        <v>0.0377219048744032</v>
      </c>
      <c r="DA66" s="37" t="n">
        <f aca="false">IF(CU66=0,"",CT66*CO66*CX66/1000/1000)</f>
        <v>0.00242131793448262</v>
      </c>
      <c r="DB66" s="37" t="n">
        <f aca="false">IF(CU66=0,"",CT66*CO66*CW66/1000)</f>
        <v>0.179308351758327</v>
      </c>
      <c r="DC66" s="13" t="n">
        <f aca="false">IF(AND(CU66=1,ISNUMBER(AD66),ISNUMBER(AV66)),1,0)</f>
        <v>1</v>
      </c>
      <c r="DD66" s="7" t="n">
        <f aca="false">IF(DC66=0,"",p_ev_km*p_ice_l/100*AD66-p_ev_km*p_ev_kwh*AV66+p_ev_km*p_ev_maint)</f>
        <v>744.939</v>
      </c>
      <c r="DE66" s="37" t="n">
        <f aca="false">IF(DC66=0,"",DD66/p_ev_prem)</f>
        <v>0.1489878</v>
      </c>
      <c r="DF66" s="37" t="n">
        <f aca="false">IF(DC66=0,"",p_ev_km*p_ice_l/100*N(AZ66)/p_ev_prem)</f>
        <v>0.01428795</v>
      </c>
      <c r="DG66" s="37" t="n">
        <f aca="false">IF(DC66=0,"",1000/p_ev_prem*(p_ev_km*p_ice_l/100*p_gj_l_gso*p_ef_gso-p_ev_km*p_ev_kwh/1000*CY66))</f>
        <v>0.491188589721554</v>
      </c>
      <c r="DH66" s="11" t="str">
        <f aca="false">IFERROR(IF(INDEX(Damodaran!$D:$D,MATCH(A66,Damodaran!$A:$A,0))="","",INDEX(Damodaran!$D:$D,MATCH(A66,Damodaran!$A:$A,0))),"")</f>
        <v/>
      </c>
      <c r="DI66" s="11" t="str">
        <f aca="false">IFERROR(IF(INDEX(Damodaran!$E:$E,MATCH(A66,Damodaran!$A:$A,0))="","",INDEX(Damodaran!$E:$E,MATCH(A66,Damodaran!$A:$A,0))),"")</f>
        <v/>
      </c>
      <c r="DJ66" s="11" t="str">
        <f aca="false">IFERROR(IF(INDEX(Damodaran!$G:$G,MATCH(A66,Damodaran!$A:$A,0))="","",INDEX(Damodaran!$G:$G,MATCH(A66,Damodaran!$A:$A,0))),"")</f>
        <v/>
      </c>
      <c r="DK66" s="11" t="str">
        <f aca="false">IF(ISNUMBER(BG66),(1+BG66/100)*(1+p_infl)-1,"")</f>
        <v/>
      </c>
      <c r="DL66" s="11" t="n">
        <f aca="false">IF(ISNUMBER(BH66),BH66/100,"")</f>
        <v>0.055</v>
      </c>
      <c r="DM66" s="11" t="n">
        <f aca="false">IF(COUNT(DK66,DL66)=0,"",AVERAGE(DK66,DL66))</f>
        <v>0.055</v>
      </c>
      <c r="DN66" s="11" t="str">
        <f aca="false">IF(OR(DH66="",DI66=""),"",p_dv*(p_rf+DH66)*(1-IF(DJ66="",p_tax_def,DJ66))+(1-p_dv)*(p_rf+p_beta*p_erp+p_lambda*DI66))</f>
        <v/>
      </c>
      <c r="DO66" s="13" t="n">
        <f aca="false">IF(AND(ISNUMBER(DM66),ISNUMBER(DN66)),1,0)</f>
        <v>0</v>
      </c>
      <c r="DP66" s="11" t="n">
        <f aca="false">IF(DO66=1,DM66,0)</f>
        <v>0</v>
      </c>
      <c r="DQ66" s="11" t="n">
        <f aca="false">IF(DO66=1,DN66,0)</f>
        <v>0</v>
      </c>
      <c r="DR66" s="11" t="str">
        <f aca="false">IF(DN66="","",DN66+p_shift)</f>
        <v/>
      </c>
      <c r="DS66" s="11" t="n">
        <f aca="false">IF(E66="AE",p_r_ae,IF(E66="China",p_r_chn,p_r_emdc))</f>
        <v>0.055</v>
      </c>
      <c r="DT66" s="11" t="n">
        <f aca="false">IF(E66="AE",p_rh_ae,IF(E66="China",p_rh_chn,p_rh_emdc))</f>
        <v>0.07</v>
      </c>
      <c r="DU66" s="11" t="n">
        <f aca="false">IF(AND(p_use_obs=1,ISNUMBER(DM66)),DM66,IF(AND(p_use_dam=1,ISNUMBER(DR66)),DR66,DS66))</f>
        <v>0.055</v>
      </c>
      <c r="DV66" s="6" t="str">
        <f aca="false">IF(AND(p_use_obs=1,ISNUMBER(DM66)),"Observed (IRENA/Steffen)",IF(AND(p_use_dam=1,ISNUMBER(DR66)),"Damodaran (eq. 5)","Group default (IHLEG)"))</f>
        <v>Observed (IRENA/Steffen)</v>
      </c>
      <c r="DW66" s="11" t="n">
        <f aca="false">IF(p_basis=1,(1+DU66)/(1+p_infl)-1,DU66)</f>
        <v>0.055</v>
      </c>
      <c r="DX66" s="11" t="n">
        <f aca="false">DW66+(DT66-DS66)</f>
        <v>0.07</v>
      </c>
      <c r="DY66" s="28" t="n">
        <f aca="false">IF(AND(p_use_pefa=1,ISNUMBER(BD66)),p_gap_lic-(BD66-1)/3*(p_gap_lic-p_gap_ae),IF(E66="AE",p_gap_ae,IF(D66="Low income",p_gap_lic,p_gap_em)))*(1-p_reform*p_reform_close)</f>
        <v>0.13</v>
      </c>
      <c r="DZ66" s="6" t="str">
        <f aca="false">IF(AND(p_use_pefa=1,ISNUMBER(BD66)),"PEFA PI-11","Income-group default (IMF 2015)")</f>
        <v>Income-group default (IMF 2015)</v>
      </c>
      <c r="EA66" s="28" t="n">
        <f aca="false">IF(E66="AE",p_ps_ae,IF(E66="China",p_ps_chn,p_ps_emdc))</f>
        <v>0.3</v>
      </c>
      <c r="EB66" s="37" t="n">
        <f aca="false">(1-EA66)+EA66/(1-DY66)</f>
        <v>1.0448275862069</v>
      </c>
      <c r="EC66" s="16" t="n">
        <f aca="false">Results_Country!F66</f>
        <v>5.9954874707932</v>
      </c>
      <c r="ED66" s="16" t="n">
        <f aca="false">IF(CH66="",0,CH66*EC66)</f>
        <v>1297.16035228395</v>
      </c>
      <c r="EE66" s="16" t="n">
        <f aca="false">IF(CJ66="",0,CJ66*EC66)</f>
        <v>324.987709870675</v>
      </c>
      <c r="EF66" s="16" t="n">
        <f aca="false">IF(CH66="",0,EC66)</f>
        <v>5.9954874707932</v>
      </c>
    </row>
    <row r="67" customFormat="false" ht="15" hidden="false" customHeight="false" outlineLevel="0" collapsed="false">
      <c r="A67" s="35" t="s">
        <v>891</v>
      </c>
      <c r="B67" s="35" t="s">
        <v>892</v>
      </c>
      <c r="C67" s="35" t="s">
        <v>784</v>
      </c>
      <c r="D67" s="35" t="s">
        <v>760</v>
      </c>
      <c r="E67" s="35" t="s">
        <v>29</v>
      </c>
      <c r="F67" s="36" t="n">
        <v>125.842</v>
      </c>
      <c r="G67" s="36" t="n">
        <v>160.896</v>
      </c>
      <c r="H67" s="33" t="n">
        <v>-0.8</v>
      </c>
      <c r="I67" s="33" t="n">
        <v>-0.1</v>
      </c>
      <c r="J67" s="36" t="n">
        <v>3.242204</v>
      </c>
      <c r="K67" s="36" t="n">
        <v>13.541</v>
      </c>
      <c r="L67" s="36" t="n">
        <v>16.167</v>
      </c>
      <c r="M67" s="36" t="n">
        <v>13.542</v>
      </c>
      <c r="N67" s="36" t="n">
        <v>0</v>
      </c>
      <c r="O67" s="36" t="n">
        <v>0</v>
      </c>
      <c r="P67" s="36" t="n">
        <v>0</v>
      </c>
      <c r="Q67" s="31" t="n">
        <v>0</v>
      </c>
      <c r="R67" s="31" t="n">
        <v>0</v>
      </c>
      <c r="S67" s="31" t="n">
        <v>0</v>
      </c>
      <c r="T67" s="31" t="n">
        <v>0</v>
      </c>
      <c r="U67" s="31" t="n">
        <v>0</v>
      </c>
      <c r="V67" s="31" t="n">
        <v>0</v>
      </c>
      <c r="W67" s="31" t="n">
        <v>0</v>
      </c>
      <c r="X67" s="31" t="n">
        <v>0</v>
      </c>
      <c r="Y67" s="36" t="n">
        <v>2.23886757218916</v>
      </c>
      <c r="Z67" s="36" t="n">
        <v>1.09325553637442</v>
      </c>
      <c r="AA67" s="36" t="n">
        <v>0.317585094679286</v>
      </c>
      <c r="AB67" s="36" t="n">
        <v>0.00109603180217702</v>
      </c>
      <c r="AC67" s="36" t="n">
        <v>1.03633663366335E-006</v>
      </c>
      <c r="AD67" s="31" t="n">
        <v>0.838018</v>
      </c>
      <c r="AE67" s="31" t="n">
        <v>0.679667</v>
      </c>
      <c r="AF67" s="31" t="n">
        <v>0.585034</v>
      </c>
      <c r="AG67" s="31" t="n">
        <v>0.63027</v>
      </c>
      <c r="AH67" s="31" t="n">
        <v>0.519462891908447</v>
      </c>
      <c r="AI67" s="31" t="n">
        <v>7.124</v>
      </c>
      <c r="AJ67" s="31" t="n">
        <v>13.595195</v>
      </c>
      <c r="AK67" s="31" t="n">
        <v>5.575</v>
      </c>
      <c r="AL67" s="31" t="n">
        <v>8.76473166666667</v>
      </c>
      <c r="AM67" s="31" t="n">
        <v>12.771</v>
      </c>
      <c r="AN67" s="31" t="n">
        <v>23.09388</v>
      </c>
      <c r="AO67" s="31" t="n">
        <v>11.447</v>
      </c>
      <c r="AP67" s="31" t="n">
        <v>15.7706266666667</v>
      </c>
      <c r="AQ67" s="36" t="s">
        <v>844</v>
      </c>
      <c r="AR67" s="36" t="s">
        <v>844</v>
      </c>
      <c r="AS67" s="36" t="s">
        <v>844</v>
      </c>
      <c r="AT67" s="36" t="s">
        <v>844</v>
      </c>
      <c r="AU67" s="31" t="n">
        <v>1</v>
      </c>
      <c r="AV67" s="36" t="n">
        <v>0.105793</v>
      </c>
      <c r="AW67" s="31" t="s">
        <v>844</v>
      </c>
      <c r="AX67" s="31" t="s">
        <v>844</v>
      </c>
      <c r="AY67" s="31" t="s">
        <v>844</v>
      </c>
      <c r="AZ67" s="31" t="s">
        <v>844</v>
      </c>
      <c r="BA67" s="33" t="n">
        <v>16.87</v>
      </c>
      <c r="BB67" s="33" t="n">
        <v>4.194</v>
      </c>
      <c r="BC67" s="33"/>
      <c r="BD67" s="33"/>
      <c r="BE67" s="33"/>
      <c r="BF67" s="33" t="n">
        <v>0</v>
      </c>
      <c r="BG67" s="33"/>
      <c r="BH67" s="33"/>
      <c r="BI67" s="29"/>
      <c r="BJ67" s="33"/>
      <c r="BK67" s="33"/>
      <c r="BL67" s="33"/>
      <c r="BM67" s="33"/>
      <c r="BN67" s="29"/>
      <c r="BO67" s="33"/>
      <c r="BP67" s="33"/>
      <c r="BQ67" s="29" t="n">
        <v>2025</v>
      </c>
      <c r="BR67" s="36" t="n">
        <v>19.58</v>
      </c>
      <c r="BS67" s="36" t="n">
        <v>3.06</v>
      </c>
      <c r="BT67" s="36" t="n">
        <v>5.75</v>
      </c>
      <c r="BU67" s="36" t="n">
        <v>9.57</v>
      </c>
      <c r="BV67" s="16" t="n">
        <f aca="false">F67*(1+N(H67)/100)*(1+N(I67)/100)^5</f>
        <v>124.212334784911</v>
      </c>
      <c r="BW67" s="16" t="n">
        <f aca="false">IF(N(G67)&gt;0,G67,F67)</f>
        <v>160.896</v>
      </c>
      <c r="BX67" s="12" t="n">
        <f aca="false">F67/BW67</f>
        <v>0.782132557677009</v>
      </c>
      <c r="BY67" s="13" t="n">
        <f aca="false">IF(ISNUMBER(K67),1,0)</f>
        <v>1</v>
      </c>
      <c r="BZ67" s="16" t="n">
        <f aca="false">IF(BY67=0,"",N(N67)+N(O67)+N(P67))</f>
        <v>0</v>
      </c>
      <c r="CA67" s="37" t="n">
        <f aca="false">IF(BY67=0,"",(N(Y67)*34.2+N(Z67)*38.6)/1000)</f>
        <v>0.118768934672922</v>
      </c>
      <c r="CB67" s="37" t="n">
        <f aca="false">IF(BY67=0,"",N(O67)*0.0036+N(R67)+N(V67)+(N(AA67)*25.3+N(AB67)*37)/1000)</f>
        <v>0.00807545607206648</v>
      </c>
      <c r="CC67" s="37" t="n">
        <f aca="false">IF(BY67=0,"",N(N67)*0.0036+N(Q67)+N(U67)+N(T67)+N(X67)+N(AC67)*38/1000)</f>
        <v>3.93807920792073E-008</v>
      </c>
      <c r="CD67" s="37" t="n">
        <f aca="false">IF(BY67=0,"",N(Q67)+N(R67)+N(S67)+N(T67)+N(U67)+N(V67)+N(W67)+N(X67)+(N(Y67)*34.2+N(Z67)*38.6+N(AA67)*25.3+N(AB67)*37+N(AC67)*38)/1000)</f>
        <v>0.12684443012578</v>
      </c>
      <c r="CE67" s="16" t="n">
        <f aca="false">IF(BY67=0,"",MAX(0,N(L67)-N(K67))+MAX(0,N(M67)-N(L67)))</f>
        <v>2.626</v>
      </c>
      <c r="CF67" s="16" t="n">
        <f aca="false">IF(BY67=0,"",N(Y67)*N(AD67)+N(Z67)*N(AE67)+N(AA67)*N(AF67)+N(AB67)*N(AG67)+N(AC67)*N(AH67)+N(U67)*N(AI67)+N(V67)*N(AJ67)+N(W67)*N(AK67)+N(X67)*N(AL67)+N(Q67)*N(AM67)+N(R67)*N(AN67)+N(S67)*N(AO67)+N(T67)*N(AP67))</f>
        <v>2.80575044833478</v>
      </c>
      <c r="CG67" s="16" t="n">
        <f aca="false">IF(AND(BY67=1,N(K67)&gt;0),K67,0)</f>
        <v>13.541</v>
      </c>
      <c r="CH67" s="16" t="n">
        <f aca="false">IF(CG67&gt;0,CF67*1000/CG67,"")</f>
        <v>207.204080077896</v>
      </c>
      <c r="CI67" s="16" t="n">
        <f aca="false">IF(BY67=0,"",N(AQ67)+p_road*(N(AR67)+N(AS67)+N(AT67)))</f>
        <v>0</v>
      </c>
      <c r="CJ67" s="16" t="n">
        <f aca="false">IF(CG67&gt;0,CI67*1000/CG67,"")</f>
        <v>0</v>
      </c>
      <c r="CK67" s="12" t="n">
        <f aca="false">IF(CH67="",1,MIN(p_idx_max,MAX(p_idx_min,CH67/p_fc_world)))</f>
        <v>1.28692315540878</v>
      </c>
      <c r="CL67" s="12" t="n">
        <f aca="false">IF(CJ67="",1,MIN(p_idx_max,MAX(p_idx_min,CJ67/p_cb_world)))</f>
        <v>0.25</v>
      </c>
      <c r="CM67" s="37" t="n">
        <f aca="false">p_b*(1-p_wb_idx+p_wb_idx*CK67)</f>
        <v>0.171160779669367</v>
      </c>
      <c r="CN67" s="37" t="n">
        <f aca="false">p_c*(1-p_wc_idx+p_wc_idx*CL67)</f>
        <v>0.03225</v>
      </c>
      <c r="CO67" s="28" t="n">
        <f aca="false">IF(N(BR67)&gt;0,(N(BS67)+N(BT67)+N(BU67))/BR67,"")</f>
        <v>0.938712972420838</v>
      </c>
      <c r="CP67" s="16" t="n">
        <f aca="false">N(BS67)+N(BT67)+N(BU67)</f>
        <v>18.38</v>
      </c>
      <c r="CQ67" s="28" t="n">
        <f aca="false">IF(CP67&gt;0,N(BS67)/CP67,"")</f>
        <v>0.166485310119695</v>
      </c>
      <c r="CR67" s="28" t="n">
        <f aca="false">IF(CP67&gt;0,N(BT67)/CP67,"")</f>
        <v>0.312840043525571</v>
      </c>
      <c r="CS67" s="28" t="n">
        <f aca="false">IF(CP67&gt;0,N(BU67)/CP67,"")</f>
        <v>0.520674646354733</v>
      </c>
      <c r="CT67" s="7" t="n">
        <f aca="false">1000*(p_sh_pv*p_cf_pv/p_capex_pv+(1-p_sh_pv)*p_cf_wind/p_capex_wind)*8760</f>
        <v>2301.28856624319</v>
      </c>
      <c r="CU67" s="13" t="n">
        <f aca="false">IF(AND(ISNUMBER(CO67),ISNUMBER(CQ67),BY67=1),1,0)</f>
        <v>1</v>
      </c>
      <c r="CV67" s="16" t="n">
        <f aca="false">IF(CU67=0,"",CQ67*p_hr_coal*N(AK67)+CR67*p_hr_gas*N(AO67)+CS67*p_hr_oil*N(AH67)/p_gj_l_oil)</f>
        <v>109.713416346361</v>
      </c>
      <c r="CW67" s="37" t="n">
        <f aca="false">IF(CU67=0,"",CQ67*p_hr_coal*p_ef_coal+CR67*p_hr_gas*p_ef_gas+CS67*p_hr_oil*p_ef_oil)</f>
        <v>0.712274836779108</v>
      </c>
      <c r="CX67" s="16" t="n">
        <f aca="false">IF(CU67=0,"",CQ67*p_hr_coal*N(AW67)+CR67*p_hr_gas*N(AX67)+CS67*p_hr_oil*N(AY67)/p_gj_l_oil)</f>
        <v>0</v>
      </c>
      <c r="CY67" s="37" t="n">
        <f aca="false">IF(CU67=0,"",CO67*CW67)</f>
        <v>0.668621629213483</v>
      </c>
      <c r="CZ67" s="37" t="n">
        <f aca="false">IF(CU67=0,"",CT67*CO67*CV67/1000/1000-p_om_re)</f>
        <v>0.222008345171246</v>
      </c>
      <c r="DA67" s="37" t="n">
        <f aca="false">IF(CU67=0,"",CT67*CO67*CX67/1000/1000)</f>
        <v>0</v>
      </c>
      <c r="DB67" s="37" t="n">
        <f aca="false">IF(CU67=0,"",CT67*CO67*CW67/1000)</f>
        <v>1.53869131045189</v>
      </c>
      <c r="DC67" s="13" t="n">
        <f aca="false">IF(AND(CU67=1,ISNUMBER(AD67),ISNUMBER(AV67)),1,0)</f>
        <v>1</v>
      </c>
      <c r="DD67" s="7" t="n">
        <f aca="false">IF(DC67=0,"",p_ev_km*p_ice_l/100*AD67-p_ev_km*p_ev_kwh*AV67+p_ev_km*p_ev_maint)</f>
        <v>837.12915</v>
      </c>
      <c r="DE67" s="37" t="n">
        <f aca="false">IF(DC67=0,"",DD67/p_ev_prem)</f>
        <v>0.16742583</v>
      </c>
      <c r="DF67" s="37" t="n">
        <f aca="false">IF(DC67=0,"",p_ev_km*p_ice_l/100*N(AZ67)/p_ev_prem)</f>
        <v>0</v>
      </c>
      <c r="DG67" s="37" t="n">
        <f aca="false">IF(DC67=0,"",1000/p_ev_prem*(p_ev_km*p_ice_l/100*p_gj_l_gso*p_ef_gso-p_ev_km*p_ev_kwh/1000*CY67))</f>
        <v>0.172207820224719</v>
      </c>
      <c r="DH67" s="11" t="str">
        <f aca="false">IFERROR(IF(INDEX(Damodaran!$D:$D,MATCH(A67,Damodaran!$A:$A,0))="","",INDEX(Damodaran!$D:$D,MATCH(A67,Damodaran!$A:$A,0))),"")</f>
        <v/>
      </c>
      <c r="DI67" s="11" t="str">
        <f aca="false">IFERROR(IF(INDEX(Damodaran!$E:$E,MATCH(A67,Damodaran!$A:$A,0))="","",INDEX(Damodaran!$E:$E,MATCH(A67,Damodaran!$A:$A,0))),"")</f>
        <v/>
      </c>
      <c r="DJ67" s="11" t="str">
        <f aca="false">IFERROR(IF(INDEX(Damodaran!$G:$G,MATCH(A67,Damodaran!$A:$A,0))="","",INDEX(Damodaran!$G:$G,MATCH(A67,Damodaran!$A:$A,0))),"")</f>
        <v/>
      </c>
      <c r="DK67" s="11" t="str">
        <f aca="false">IF(ISNUMBER(BG67),(1+BG67/100)*(1+p_infl)-1,"")</f>
        <v/>
      </c>
      <c r="DL67" s="11" t="str">
        <f aca="false">IF(ISNUMBER(BH67),BH67/100,"")</f>
        <v/>
      </c>
      <c r="DM67" s="11" t="str">
        <f aca="false">IF(COUNT(DK67,DL67)=0,"",AVERAGE(DK67,DL67))</f>
        <v/>
      </c>
      <c r="DN67" s="11" t="str">
        <f aca="false">IF(OR(DH67="",DI67=""),"",p_dv*(p_rf+DH67)*(1-IF(DJ67="",p_tax_def,DJ67))+(1-p_dv)*(p_rf+p_beta*p_erp+p_lambda*DI67))</f>
        <v/>
      </c>
      <c r="DO67" s="13" t="n">
        <f aca="false">IF(AND(ISNUMBER(DM67),ISNUMBER(DN67)),1,0)</f>
        <v>0</v>
      </c>
      <c r="DP67" s="11" t="n">
        <f aca="false">IF(DO67=1,DM67,0)</f>
        <v>0</v>
      </c>
      <c r="DQ67" s="11" t="n">
        <f aca="false">IF(DO67=1,DN67,0)</f>
        <v>0</v>
      </c>
      <c r="DR67" s="11" t="str">
        <f aca="false">IF(DN67="","",DN67+p_shift)</f>
        <v/>
      </c>
      <c r="DS67" s="11" t="n">
        <f aca="false">IF(E67="AE",p_r_ae,IF(E67="China",p_r_chn,p_r_emdc))</f>
        <v>0.055</v>
      </c>
      <c r="DT67" s="11" t="n">
        <f aca="false">IF(E67="AE",p_rh_ae,IF(E67="China",p_rh_chn,p_rh_emdc))</f>
        <v>0.07</v>
      </c>
      <c r="DU67" s="11" t="n">
        <f aca="false">IF(AND(p_use_obs=1,ISNUMBER(DM67)),DM67,IF(AND(p_use_dam=1,ISNUMBER(DR67)),DR67,DS67))</f>
        <v>0.055</v>
      </c>
      <c r="DV67" s="6" t="str">
        <f aca="false">IF(AND(p_use_obs=1,ISNUMBER(DM67)),"Observed (IRENA/Steffen)",IF(AND(p_use_dam=1,ISNUMBER(DR67)),"Damodaran (eq. 5)","Group default (IHLEG)"))</f>
        <v>Group default (IHLEG)</v>
      </c>
      <c r="DW67" s="11" t="n">
        <f aca="false">IF(p_basis=1,(1+DU67)/(1+p_infl)-1,DU67)</f>
        <v>0.055</v>
      </c>
      <c r="DX67" s="11" t="n">
        <f aca="false">DW67+(DT67-DS67)</f>
        <v>0.07</v>
      </c>
      <c r="DY67" s="28" t="n">
        <f aca="false">IF(AND(p_use_pefa=1,ISNUMBER(BD67)),p_gap_lic-(BD67-1)/3*(p_gap_lic-p_gap_ae),IF(E67="AE",p_gap_ae,IF(D67="Low income",p_gap_lic,p_gap_em)))*(1-p_reform*p_reform_close)</f>
        <v>0.13</v>
      </c>
      <c r="DZ67" s="6" t="str">
        <f aca="false">IF(AND(p_use_pefa=1,ISNUMBER(BD67)),"PEFA PI-11","Income-group default (IMF 2015)")</f>
        <v>Income-group default (IMF 2015)</v>
      </c>
      <c r="EA67" s="28" t="n">
        <f aca="false">IF(E67="AE",p_ps_ae,IF(E67="China",p_ps_chn,p_ps_emdc))</f>
        <v>0.3</v>
      </c>
      <c r="EB67" s="37" t="n">
        <f aca="false">(1-EA67)+EA67/(1-DY67)</f>
        <v>1.0448275862069</v>
      </c>
      <c r="EC67" s="16" t="n">
        <f aca="false">Results_Country!F67</f>
        <v>2.84950091537048</v>
      </c>
      <c r="ED67" s="16" t="n">
        <f aca="false">IF(CH67="",0,CH67*EC67)</f>
        <v>590.428215850462</v>
      </c>
      <c r="EE67" s="16" t="n">
        <f aca="false">IF(CJ67="",0,CJ67*EC67)</f>
        <v>0</v>
      </c>
      <c r="EF67" s="16" t="n">
        <f aca="false">IF(CH67="",0,EC67)</f>
        <v>2.84950091537048</v>
      </c>
    </row>
    <row r="68" customFormat="false" ht="15" hidden="false" customHeight="false" outlineLevel="0" collapsed="false">
      <c r="A68" s="35" t="s">
        <v>893</v>
      </c>
      <c r="B68" s="35" t="s">
        <v>894</v>
      </c>
      <c r="C68" s="35" t="s">
        <v>784</v>
      </c>
      <c r="D68" s="35" t="s">
        <v>763</v>
      </c>
      <c r="E68" s="35" t="s">
        <v>31</v>
      </c>
      <c r="F68" s="36" t="n">
        <v>124.613</v>
      </c>
      <c r="G68" s="36" t="n">
        <v>315.191</v>
      </c>
      <c r="H68" s="33" t="n">
        <v>2.117</v>
      </c>
      <c r="I68" s="33" t="n">
        <v>3.72</v>
      </c>
      <c r="J68" s="36" t="n">
        <v>11.427557</v>
      </c>
      <c r="K68" s="36" t="n">
        <v>27.041</v>
      </c>
      <c r="L68" s="36" t="n">
        <v>45.849</v>
      </c>
      <c r="M68" s="36" t="n">
        <v>44.292</v>
      </c>
      <c r="N68" s="36" t="n">
        <v>15.8043209472098</v>
      </c>
      <c r="O68" s="36" t="n">
        <v>7.23445665527822</v>
      </c>
      <c r="P68" s="36" t="n">
        <v>0.075740053429708</v>
      </c>
      <c r="Q68" s="31" t="n">
        <v>0.00238961902601984</v>
      </c>
      <c r="R68" s="31" t="n">
        <v>0.00129187625350032</v>
      </c>
      <c r="S68" s="31" t="n">
        <v>0.0104479402887133</v>
      </c>
      <c r="T68" s="31" t="n">
        <v>0.000665365098162673</v>
      </c>
      <c r="U68" s="31" t="n">
        <v>0.00313981633100245</v>
      </c>
      <c r="V68" s="31" t="n">
        <v>0.000680682164028627</v>
      </c>
      <c r="W68" s="31" t="n">
        <v>0.0925595890792751</v>
      </c>
      <c r="X68" s="31" t="n">
        <v>0</v>
      </c>
      <c r="Y68" s="36" t="n">
        <v>1.76378802928775</v>
      </c>
      <c r="Z68" s="36" t="n">
        <v>1.67591864921501</v>
      </c>
      <c r="AA68" s="36" t="n">
        <v>2.18970007113477</v>
      </c>
      <c r="AB68" s="36" t="n">
        <v>0.0442255177379621</v>
      </c>
      <c r="AC68" s="36" t="n">
        <v>2.67463861251689</v>
      </c>
      <c r="AD68" s="31" t="n">
        <v>0.886962</v>
      </c>
      <c r="AE68" s="31" t="n">
        <v>0.692809</v>
      </c>
      <c r="AF68" s="31" t="n">
        <v>0.575943</v>
      </c>
      <c r="AG68" s="31" t="n">
        <v>0.67024</v>
      </c>
      <c r="AH68" s="31" t="n">
        <v>0.519462891908447</v>
      </c>
      <c r="AI68" s="31" t="n">
        <v>7.124</v>
      </c>
      <c r="AJ68" s="31" t="n">
        <v>14.38774</v>
      </c>
      <c r="AK68" s="31" t="n">
        <v>5.575</v>
      </c>
      <c r="AL68" s="31" t="n">
        <v>5.68770222619968</v>
      </c>
      <c r="AM68" s="31" t="n">
        <v>12.771</v>
      </c>
      <c r="AN68" s="31" t="n">
        <v>24.44016</v>
      </c>
      <c r="AO68" s="31" t="n">
        <v>11.447</v>
      </c>
      <c r="AP68" s="31" t="n">
        <v>12.8589042728948</v>
      </c>
      <c r="AQ68" s="36" t="n">
        <v>2.64261889716504</v>
      </c>
      <c r="AR68" s="36" t="n">
        <v>0.332708675096699</v>
      </c>
      <c r="AS68" s="36" t="n">
        <v>1.08566455883158</v>
      </c>
      <c r="AT68" s="36" t="n">
        <v>0.272930359507889</v>
      </c>
      <c r="AU68" s="31" t="n">
        <v>0.360646796672711</v>
      </c>
      <c r="AV68" s="36" t="n">
        <v>0.257583</v>
      </c>
      <c r="AW68" s="31" t="n">
        <v>1.820806</v>
      </c>
      <c r="AX68" s="31" t="n">
        <v>0.065293</v>
      </c>
      <c r="AY68" s="31" t="n">
        <v>0.442743407655929</v>
      </c>
      <c r="AZ68" s="31" t="n">
        <v>0.104198</v>
      </c>
      <c r="BA68" s="33" t="n">
        <v>58.792</v>
      </c>
      <c r="BB68" s="33" t="n">
        <v>20.656</v>
      </c>
      <c r="BC68" s="33" t="n">
        <v>72.615</v>
      </c>
      <c r="BD68" s="33" t="n">
        <v>2.5</v>
      </c>
      <c r="BE68" s="33" t="n">
        <v>1</v>
      </c>
      <c r="BF68" s="33" t="n">
        <v>0</v>
      </c>
      <c r="BG68" s="33" t="n">
        <v>5.6</v>
      </c>
      <c r="BH68" s="33"/>
      <c r="BI68" s="29"/>
      <c r="BJ68" s="33" t="n">
        <v>1</v>
      </c>
      <c r="BK68" s="33"/>
      <c r="BL68" s="33" t="n">
        <v>1.72</v>
      </c>
      <c r="BM68" s="33" t="n">
        <v>8.624</v>
      </c>
      <c r="BN68" s="29" t="n">
        <v>17.484</v>
      </c>
      <c r="BO68" s="33" t="n">
        <v>0.555</v>
      </c>
      <c r="BP68" s="33" t="n">
        <v>0.417</v>
      </c>
      <c r="BQ68" s="29" t="n">
        <v>2025</v>
      </c>
      <c r="BR68" s="36" t="n">
        <v>22.69</v>
      </c>
      <c r="BS68" s="36" t="n">
        <v>6.59</v>
      </c>
      <c r="BT68" s="36" t="n">
        <v>6.07</v>
      </c>
      <c r="BU68" s="36" t="n">
        <v>4.62</v>
      </c>
      <c r="BV68" s="16" t="n">
        <f aca="false">F68*(1+N(H68)/100)*(1+N(I68)/100)^5</f>
        <v>152.747439761884</v>
      </c>
      <c r="BW68" s="16" t="n">
        <f aca="false">IF(N(G68)&gt;0,G68,F68)</f>
        <v>315.191</v>
      </c>
      <c r="BX68" s="12" t="n">
        <f aca="false">F68/BW68</f>
        <v>0.395357100932451</v>
      </c>
      <c r="BY68" s="13" t="n">
        <f aca="false">IF(ISNUMBER(K68),1,0)</f>
        <v>1</v>
      </c>
      <c r="BZ68" s="16" t="n">
        <f aca="false">IF(BY68=0,"",N(N68)+N(O68)+N(P68))</f>
        <v>23.1145176559177</v>
      </c>
      <c r="CA68" s="37" t="n">
        <f aca="false">IF(BY68=0,"",(N(Y68)*34.2+N(Z68)*38.6)/1000)</f>
        <v>0.12501201046134</v>
      </c>
      <c r="CB68" s="37" t="n">
        <f aca="false">IF(BY68=0,"",N(O68)*0.0036+N(R68)+N(V68)+(N(AA68)*25.3+N(AB68)*37)/1000)</f>
        <v>0.0850523583325448</v>
      </c>
      <c r="CC68" s="37" t="n">
        <f aca="false">IF(BY68=0,"",N(N68)*0.0036+N(Q68)+N(U68)+N(T68)+N(X68)+N(AC68)*38/1000)</f>
        <v>0.164726623140782</v>
      </c>
      <c r="CD68" s="37" t="n">
        <f aca="false">IF(BY68=0,"",N(Q68)+N(R68)+N(S68)+N(T68)+N(U68)+N(V68)+N(W68)+N(X68)+(N(Y68)*34.2+N(Z68)*38.6+N(AA68)*25.3+N(AB68)*37+N(AC68)*38)/1000)</f>
        <v>0.394858921933699</v>
      </c>
      <c r="CE68" s="16" t="n">
        <f aca="false">IF(BY68=0,"",MAX(0,N(L68)-N(K68))+MAX(0,N(M68)-N(L68)))</f>
        <v>18.808</v>
      </c>
      <c r="CF68" s="16" t="n">
        <f aca="false">IF(BY68=0,"",N(Y68)*N(AD68)+N(Z68)*N(AE68)+N(AA68)*N(AF68)+N(AB68)*N(AG68)+N(AC68)*N(AH68)+N(U68)*N(AI68)+N(V68)*N(AJ68)+N(W68)*N(AK68)+N(X68)*N(AL68)+N(Q68)*N(AM68)+N(R68)*N(AN68)+N(S68)*N(AO68)+N(T68)*N(AP68))</f>
        <v>6.14409029318685</v>
      </c>
      <c r="CG68" s="16" t="n">
        <f aca="false">IF(AND(BY68=1,N(K68)&gt;0),K68,0)</f>
        <v>27.041</v>
      </c>
      <c r="CH68" s="16" t="n">
        <f aca="false">IF(CG68&gt;0,CF68*1000/CG68,"")</f>
        <v>227.213871276464</v>
      </c>
      <c r="CI68" s="16" t="n">
        <f aca="false">IF(BY68=0,"",N(AQ68)+p_road*(N(AR68)+N(AS68)+N(AT68)))</f>
        <v>2.64261889716504</v>
      </c>
      <c r="CJ68" s="16" t="n">
        <f aca="false">IF(CG68&gt;0,CI68*1000/CG68,"")</f>
        <v>97.7263746594076</v>
      </c>
      <c r="CK68" s="12" t="n">
        <f aca="false">IF(CH68="",1,MIN(p_idx_max,MAX(p_idx_min,CH68/p_fc_world)))</f>
        <v>1.41120190329179</v>
      </c>
      <c r="CL68" s="12" t="n">
        <f aca="false">IF(CJ68="",1,MIN(p_idx_max,MAX(p_idx_min,CJ68/p_cb_world)))</f>
        <v>1.85824106957368</v>
      </c>
      <c r="CM68" s="37" t="n">
        <f aca="false">p_b*(1-p_wb_idx+p_wb_idx*CK68)</f>
        <v>0.187689853137808</v>
      </c>
      <c r="CN68" s="37" t="n">
        <f aca="false">p_c*(1-p_wc_idx+p_wc_idx*CL68)</f>
        <v>0.239713097975005</v>
      </c>
      <c r="CO68" s="28" t="n">
        <f aca="false">IF(N(BR68)&gt;0,(N(BS68)+N(BT68)+N(BU68))/BR68,"")</f>
        <v>0.76156897311591</v>
      </c>
      <c r="CP68" s="16" t="n">
        <f aca="false">N(BS68)+N(BT68)+N(BU68)</f>
        <v>17.28</v>
      </c>
      <c r="CQ68" s="28" t="n">
        <f aca="false">IF(CP68&gt;0,N(BS68)/CP68,"")</f>
        <v>0.381365740740741</v>
      </c>
      <c r="CR68" s="28" t="n">
        <f aca="false">IF(CP68&gt;0,N(BT68)/CP68,"")</f>
        <v>0.351273148148148</v>
      </c>
      <c r="CS68" s="28" t="n">
        <f aca="false">IF(CP68&gt;0,N(BU68)/CP68,"")</f>
        <v>0.267361111111111</v>
      </c>
      <c r="CT68" s="7" t="n">
        <f aca="false">1000*(p_sh_pv*p_cf_pv/p_capex_pv+(1-p_sh_pv)*p_cf_wind/p_capex_wind)*8760</f>
        <v>2301.28856624319</v>
      </c>
      <c r="CU68" s="13" t="n">
        <f aca="false">IF(AND(ISNUMBER(CO68),ISNUMBER(CQ68),BY68=1),1,0)</f>
        <v>1</v>
      </c>
      <c r="CV68" s="16" t="n">
        <f aca="false">IF(CU68=0,"",CQ68*p_hr_coal*N(AK68)+CR68*p_hr_gas*N(AO68)+CS68*p_hr_oil*N(AH68)/p_gj_l_oil)</f>
        <v>89.1981922877668</v>
      </c>
      <c r="CW68" s="37" t="n">
        <f aca="false">IF(CU68=0,"",CQ68*p_hr_coal*p_ef_coal+CR68*p_hr_gas*p_ef_gas+CS68*p_hr_oil*p_ef_oil)</f>
        <v>0.725854542824074</v>
      </c>
      <c r="CX68" s="16" t="n">
        <f aca="false">IF(CU68=0,"",CQ68*p_hr_coal*N(AW68)+CR68*p_hr_gas*N(AX68)+CS68*p_hr_oil*N(AY68)/p_gj_l_oil)</f>
        <v>39.3156856641511</v>
      </c>
      <c r="CY68" s="37" t="n">
        <f aca="false">IF(CU68=0,"",CO68*CW68)</f>
        <v>0.552788298810048</v>
      </c>
      <c r="CZ68" s="37" t="n">
        <f aca="false">IF(CU68=0,"",CT68*CO68*CV68/1000/1000-p_om_re)</f>
        <v>0.14132785716683</v>
      </c>
      <c r="DA68" s="37" t="n">
        <f aca="false">IF(CU68=0,"",CT68*CO68*CX68/1000/1000)</f>
        <v>0.0689042763679902</v>
      </c>
      <c r="DB68" s="37" t="n">
        <f aca="false">IF(CU68=0,"",CT68*CO68*CW68/1000)</f>
        <v>1.27212539160459</v>
      </c>
      <c r="DC68" s="13" t="n">
        <f aca="false">IF(AND(CU68=1,ISNUMBER(AD68),ISNUMBER(AV68)),1,0)</f>
        <v>1</v>
      </c>
      <c r="DD68" s="7" t="n">
        <f aca="false">IF(DC68=0,"",p_ev_km*p_ice_l/100*AD68-p_ev_km*p_ev_kwh*AV68+p_ev_km*p_ev_maint)</f>
        <v>482.35815</v>
      </c>
      <c r="DE68" s="37" t="n">
        <f aca="false">IF(DC68=0,"",DD68/p_ev_prem)</f>
        <v>0.09647163</v>
      </c>
      <c r="DF68" s="37" t="n">
        <f aca="false">IF(DC68=0,"",p_ev_km*p_ice_l/100*N(AZ68)/p_ev_prem)</f>
        <v>0.02344455</v>
      </c>
      <c r="DG68" s="37" t="n">
        <f aca="false">IF(DC68=0,"",1000/p_ev_prem*(p_ev_km*p_ice_l/100*p_gj_l_gso*p_ef_gso-p_ev_km*p_ev_kwh/1000*CY68))</f>
        <v>0.234757818642574</v>
      </c>
      <c r="DH68" s="11" t="str">
        <f aca="false">IFERROR(IF(INDEX(Damodaran!$D:$D,MATCH(A68,Damodaran!$A:$A,0))="","",INDEX(Damodaran!$D:$D,MATCH(A68,Damodaran!$A:$A,0))),"")</f>
        <v/>
      </c>
      <c r="DI68" s="11" t="str">
        <f aca="false">IFERROR(IF(INDEX(Damodaran!$E:$E,MATCH(A68,Damodaran!$A:$A,0))="","",INDEX(Damodaran!$E:$E,MATCH(A68,Damodaran!$A:$A,0))),"")</f>
        <v/>
      </c>
      <c r="DJ68" s="11" t="str">
        <f aca="false">IFERROR(IF(INDEX(Damodaran!$G:$G,MATCH(A68,Damodaran!$A:$A,0))="","",INDEX(Damodaran!$G:$G,MATCH(A68,Damodaran!$A:$A,0))),"")</f>
        <v/>
      </c>
      <c r="DK68" s="11" t="n">
        <f aca="false">IF(ISNUMBER(BG68),(1+BG68/100)*(1+p_infl)-1,"")</f>
        <v>0.0771200000000001</v>
      </c>
      <c r="DL68" s="11" t="str">
        <f aca="false">IF(ISNUMBER(BH68),BH68/100,"")</f>
        <v/>
      </c>
      <c r="DM68" s="11" t="n">
        <f aca="false">IF(COUNT(DK68,DL68)=0,"",AVERAGE(DK68,DL68))</f>
        <v>0.0771200000000001</v>
      </c>
      <c r="DN68" s="11" t="str">
        <f aca="false">IF(OR(DH68="",DI68=""),"",p_dv*(p_rf+DH68)*(1-IF(DJ68="",p_tax_def,DJ68))+(1-p_dv)*(p_rf+p_beta*p_erp+p_lambda*DI68))</f>
        <v/>
      </c>
      <c r="DO68" s="13" t="n">
        <f aca="false">IF(AND(ISNUMBER(DM68),ISNUMBER(DN68)),1,0)</f>
        <v>0</v>
      </c>
      <c r="DP68" s="11" t="n">
        <f aca="false">IF(DO68=1,DM68,0)</f>
        <v>0</v>
      </c>
      <c r="DQ68" s="11" t="n">
        <f aca="false">IF(DO68=1,DN68,0)</f>
        <v>0</v>
      </c>
      <c r="DR68" s="11" t="str">
        <f aca="false">IF(DN68="","",DN68+p_shift)</f>
        <v/>
      </c>
      <c r="DS68" s="11" t="n">
        <f aca="false">IF(E68="AE",p_r_ae,IF(E68="China",p_r_chn,p_r_emdc))</f>
        <v>0.105</v>
      </c>
      <c r="DT68" s="11" t="n">
        <f aca="false">IF(E68="AE",p_rh_ae,IF(E68="China",p_rh_chn,p_rh_emdc))</f>
        <v>0.15</v>
      </c>
      <c r="DU68" s="11" t="n">
        <f aca="false">IF(AND(p_use_obs=1,ISNUMBER(DM68)),DM68,IF(AND(p_use_dam=1,ISNUMBER(DR68)),DR68,DS68))</f>
        <v>0.0771200000000001</v>
      </c>
      <c r="DV68" s="6" t="str">
        <f aca="false">IF(AND(p_use_obs=1,ISNUMBER(DM68)),"Observed (IRENA/Steffen)",IF(AND(p_use_dam=1,ISNUMBER(DR68)),"Damodaran (eq. 5)","Group default (IHLEG)"))</f>
        <v>Observed (IRENA/Steffen)</v>
      </c>
      <c r="DW68" s="11" t="n">
        <f aca="false">IF(p_basis=1,(1+DU68)/(1+p_infl)-1,DU68)</f>
        <v>0.0771200000000001</v>
      </c>
      <c r="DX68" s="11" t="n">
        <f aca="false">DW68+(DT68-DS68)</f>
        <v>0.12212</v>
      </c>
      <c r="DY68" s="28" t="n">
        <f aca="false">IF(AND(p_use_pefa=1,ISNUMBER(BD68)),p_gap_lic-(BD68-1)/3*(p_gap_lic-p_gap_ae),IF(E68="AE",p_gap_ae,IF(D68="Low income",p_gap_lic,p_gap_em)))*(1-p_reform*p_reform_close)</f>
        <v>0.265</v>
      </c>
      <c r="DZ68" s="6" t="str">
        <f aca="false">IF(AND(p_use_pefa=1,ISNUMBER(BD68)),"PEFA PI-11","Income-group default (IMF 2015)")</f>
        <v>PEFA PI-11</v>
      </c>
      <c r="EA68" s="28" t="n">
        <f aca="false">IF(E68="AE",p_ps_ae,IF(E68="China",p_ps_chn,p_ps_emdc))</f>
        <v>0.4</v>
      </c>
      <c r="EB68" s="37" t="n">
        <f aca="false">(1-EA68)+EA68/(1-DY68)</f>
        <v>1.14421768707483</v>
      </c>
      <c r="EC68" s="16" t="n">
        <f aca="false">Results_Country!F68</f>
        <v>6.71174590757814</v>
      </c>
      <c r="ED68" s="16" t="n">
        <f aca="false">IF(CH68="",0,CH68*EC68)</f>
        <v>1525.00177068479</v>
      </c>
      <c r="EE68" s="16" t="n">
        <f aca="false">IF(CJ68="",0,CJ68*EC68)</f>
        <v>655.914595182727</v>
      </c>
      <c r="EF68" s="16" t="n">
        <f aca="false">IF(CH68="",0,EC68)</f>
        <v>6.71174590757814</v>
      </c>
    </row>
    <row r="69" customFormat="false" ht="15" hidden="false" customHeight="false" outlineLevel="0" collapsed="false">
      <c r="A69" s="35" t="s">
        <v>895</v>
      </c>
      <c r="B69" s="35" t="s">
        <v>896</v>
      </c>
      <c r="C69" s="35" t="s">
        <v>784</v>
      </c>
      <c r="D69" s="35" t="s">
        <v>763</v>
      </c>
      <c r="E69" s="35" t="s">
        <v>31</v>
      </c>
      <c r="F69" s="36" t="n">
        <v>123.802</v>
      </c>
      <c r="G69" s="36" t="n">
        <v>287.417</v>
      </c>
      <c r="H69" s="33" t="n">
        <v>3.726</v>
      </c>
      <c r="I69" s="33" t="n">
        <v>2.51</v>
      </c>
      <c r="J69" s="36" t="n">
        <v>18.135478</v>
      </c>
      <c r="K69" s="36" t="n">
        <v>45.44</v>
      </c>
      <c r="L69" s="36" t="n">
        <v>76.876</v>
      </c>
      <c r="M69" s="36" t="n">
        <v>101.698</v>
      </c>
      <c r="N69" s="36" t="n">
        <v>21.5439315831207</v>
      </c>
      <c r="O69" s="36" t="n">
        <v>9.24256826357916</v>
      </c>
      <c r="P69" s="36" t="n">
        <v>0.741655897534636</v>
      </c>
      <c r="Q69" s="31" t="n">
        <v>0.00164479588542013</v>
      </c>
      <c r="R69" s="31" t="n">
        <v>2.19960130064319E-005</v>
      </c>
      <c r="S69" s="31" t="n">
        <v>0.0192858346504812</v>
      </c>
      <c r="T69" s="31" t="n">
        <v>0</v>
      </c>
      <c r="U69" s="31" t="n">
        <v>0</v>
      </c>
      <c r="V69" s="31" t="n">
        <v>0</v>
      </c>
      <c r="W69" s="31" t="n">
        <v>0</v>
      </c>
      <c r="X69" s="31" t="n">
        <v>0</v>
      </c>
      <c r="Y69" s="36" t="n">
        <v>4.63694187839952</v>
      </c>
      <c r="Z69" s="36" t="n">
        <v>4.85907676499748</v>
      </c>
      <c r="AA69" s="36" t="n">
        <v>2.5132204308334</v>
      </c>
      <c r="AB69" s="36" t="n">
        <v>0.127006558214397</v>
      </c>
      <c r="AC69" s="36" t="n">
        <v>2.31102530011983</v>
      </c>
      <c r="AD69" s="31" t="n">
        <v>0.700688</v>
      </c>
      <c r="AE69" s="31" t="n">
        <v>0.88728</v>
      </c>
      <c r="AF69" s="31" t="n">
        <v>0.766574</v>
      </c>
      <c r="AG69" s="31" t="n">
        <v>0.568</v>
      </c>
      <c r="AH69" s="31" t="n">
        <v>0.689507926087079</v>
      </c>
      <c r="AI69" s="31" t="n">
        <v>7.124</v>
      </c>
      <c r="AJ69" s="31" t="n">
        <v>13.65616</v>
      </c>
      <c r="AK69" s="31" t="n">
        <v>5.575</v>
      </c>
      <c r="AL69" s="31" t="n">
        <v>8.78505333333333</v>
      </c>
      <c r="AM69" s="31" t="n">
        <v>11.447</v>
      </c>
      <c r="AN69" s="31" t="n">
        <v>17.26816</v>
      </c>
      <c r="AO69" s="31" t="n">
        <v>10.785</v>
      </c>
      <c r="AP69" s="31" t="n">
        <v>10.8437734690425</v>
      </c>
      <c r="AQ69" s="36" t="n">
        <v>1.74351104436174</v>
      </c>
      <c r="AR69" s="36" t="n">
        <v>1.12325702907963</v>
      </c>
      <c r="AS69" s="36" t="n">
        <v>1.52196816951936</v>
      </c>
      <c r="AT69" s="36" t="n">
        <v>1.00907798047424</v>
      </c>
      <c r="AU69" s="31" t="n">
        <v>0.819517728680809</v>
      </c>
      <c r="AV69" s="36" t="n">
        <v>0.12544</v>
      </c>
      <c r="AW69" s="31" t="n">
        <v>1.105364</v>
      </c>
      <c r="AX69" s="31" t="n">
        <v>0.022272</v>
      </c>
      <c r="AY69" s="31" t="n">
        <v>0.148296151071954</v>
      </c>
      <c r="AZ69" s="31" t="n">
        <v>0.077206</v>
      </c>
      <c r="BA69" s="33" t="n">
        <v>54.134</v>
      </c>
      <c r="BB69" s="33" t="n">
        <v>2.993</v>
      </c>
      <c r="BC69" s="33" t="n">
        <v>67.671</v>
      </c>
      <c r="BD69" s="33"/>
      <c r="BE69" s="33"/>
      <c r="BF69" s="33" t="n">
        <v>1</v>
      </c>
      <c r="BG69" s="33" t="n">
        <v>12.2</v>
      </c>
      <c r="BH69" s="33"/>
      <c r="BI69" s="29"/>
      <c r="BJ69" s="33" t="n">
        <v>1</v>
      </c>
      <c r="BK69" s="33"/>
      <c r="BL69" s="33" t="n">
        <v>-0.36</v>
      </c>
      <c r="BM69" s="33" t="n">
        <v>6.101</v>
      </c>
      <c r="BN69" s="29" t="n">
        <v>15.097</v>
      </c>
      <c r="BO69" s="33" t="n">
        <v>0.908</v>
      </c>
      <c r="BP69" s="33" t="n">
        <v>0.181</v>
      </c>
      <c r="BQ69" s="29" t="n">
        <v>2025</v>
      </c>
      <c r="BR69" s="36" t="n">
        <v>36.6</v>
      </c>
      <c r="BS69" s="36" t="n">
        <v>0</v>
      </c>
      <c r="BT69" s="36" t="n">
        <v>0.98</v>
      </c>
      <c r="BU69" s="36" t="n">
        <v>6.56</v>
      </c>
      <c r="BV69" s="16" t="n">
        <f aca="false">F69*(1+N(H69)/100)*(1+N(I69)/100)^5</f>
        <v>145.360516932873</v>
      </c>
      <c r="BW69" s="16" t="n">
        <f aca="false">IF(N(G69)&gt;0,G69,F69)</f>
        <v>287.417</v>
      </c>
      <c r="BX69" s="12" t="n">
        <f aca="false">F69/BW69</f>
        <v>0.430740004940557</v>
      </c>
      <c r="BY69" s="13" t="n">
        <f aca="false">IF(ISNUMBER(K69),1,0)</f>
        <v>1</v>
      </c>
      <c r="BZ69" s="16" t="n">
        <f aca="false">IF(BY69=0,"",N(N69)+N(O69)+N(P69))</f>
        <v>31.5281557442345</v>
      </c>
      <c r="CA69" s="37" t="n">
        <f aca="false">IF(BY69=0,"",(N(Y69)*34.2+N(Z69)*38.6)/1000)</f>
        <v>0.346143775370166</v>
      </c>
      <c r="CB69" s="37" t="n">
        <f aca="false">IF(BY69=0,"",N(O69)*0.0036+N(R69)+N(V69)+(N(AA69)*25.3+N(AB69)*37)/1000)</f>
        <v>0.101578961315909</v>
      </c>
      <c r="CC69" s="37" t="n">
        <f aca="false">IF(BY69=0,"",N(N69)*0.0036+N(Q69)+N(U69)+N(T69)+N(X69)+N(AC69)*38/1000)</f>
        <v>0.167021910989208</v>
      </c>
      <c r="CD69" s="37" t="n">
        <f aca="false">IF(BY69=0,"",N(Q69)+N(R69)+N(S69)+N(T69)+N(U69)+N(V69)+N(W69)+N(X69)+(N(Y69)*34.2+N(Z69)*38.6+N(AA69)*25.3+N(AB69)*37+N(AC69)*38)/1000)</f>
        <v>0.523199082877645</v>
      </c>
      <c r="CE69" s="16" t="n">
        <f aca="false">IF(BY69=0,"",MAX(0,N(L69)-N(K69))+MAX(0,N(M69)-N(L69)))</f>
        <v>56.258</v>
      </c>
      <c r="CF69" s="16" t="n">
        <f aca="false">IF(BY69=0,"",N(Y69)*N(AD69)+N(Z69)*N(AE69)+N(AA69)*N(AF69)+N(AB69)*N(AG69)+N(AC69)*N(AH69)+N(U69)*N(AI69)+N(V69)*N(AJ69)+N(W69)*N(AK69)+N(X69)*N(AL69)+N(Q69)*N(AM69)+N(R69)*N(AN69)+N(S69)*N(AO69)+N(T69)*N(AP69))</f>
        <v>11.3797961242486</v>
      </c>
      <c r="CG69" s="16" t="n">
        <f aca="false">IF(AND(BY69=1,N(K69)&gt;0),K69,0)</f>
        <v>45.44</v>
      </c>
      <c r="CH69" s="16" t="n">
        <f aca="false">IF(CG69&gt;0,CF69*1000/CG69,"")</f>
        <v>250.435654142795</v>
      </c>
      <c r="CI69" s="16" t="n">
        <f aca="false">IF(BY69=0,"",N(AQ69)+p_road*(N(AR69)+N(AS69)+N(AT69)))</f>
        <v>1.74351104436174</v>
      </c>
      <c r="CJ69" s="16" t="n">
        <f aca="false">IF(CG69&gt;0,CI69*1000/CG69,"")</f>
        <v>38.3695212227496</v>
      </c>
      <c r="CK69" s="12" t="n">
        <f aca="false">IF(CH69="",1,MIN(p_idx_max,MAX(p_idx_min,CH69/p_fc_world)))</f>
        <v>1.55542999990708</v>
      </c>
      <c r="CL69" s="12" t="n">
        <f aca="false">IF(CJ69="",1,MIN(p_idx_max,MAX(p_idx_min,CJ69/p_cb_world)))</f>
        <v>0.729586259640592</v>
      </c>
      <c r="CM69" s="37" t="n">
        <f aca="false">p_b*(1-p_wb_idx+p_wb_idx*CK69)</f>
        <v>0.206872189987641</v>
      </c>
      <c r="CN69" s="37" t="n">
        <f aca="false">p_c*(1-p_wc_idx+p_wc_idx*CL69)</f>
        <v>0.0941166274936364</v>
      </c>
      <c r="CO69" s="28" t="n">
        <f aca="false">IF(N(BR69)&gt;0,(N(BS69)+N(BT69)+N(BU69))/BR69,"")</f>
        <v>0.206010928961749</v>
      </c>
      <c r="CP69" s="16" t="n">
        <f aca="false">N(BS69)+N(BT69)+N(BU69)</f>
        <v>7.54</v>
      </c>
      <c r="CQ69" s="28" t="n">
        <f aca="false">IF(CP69&gt;0,N(BS69)/CP69,"")</f>
        <v>0</v>
      </c>
      <c r="CR69" s="28" t="n">
        <f aca="false">IF(CP69&gt;0,N(BT69)/CP69,"")</f>
        <v>0.129973474801061</v>
      </c>
      <c r="CS69" s="28" t="n">
        <f aca="false">IF(CP69&gt;0,N(BU69)/CP69,"")</f>
        <v>0.870026525198939</v>
      </c>
      <c r="CT69" s="7" t="n">
        <f aca="false">1000*(p_sh_pv*p_cf_pv/p_capex_pv+(1-p_sh_pv)*p_cf_wind/p_capex_wind)*8760</f>
        <v>2301.28856624319</v>
      </c>
      <c r="CU69" s="13" t="n">
        <f aca="false">IF(AND(ISNUMBER(CO69),ISNUMBER(CQ69),BY69=1),1,0)</f>
        <v>1</v>
      </c>
      <c r="CV69" s="16" t="n">
        <f aca="false">IF(CU69=0,"",CQ69*p_hr_coal*N(AK69)+CR69*p_hr_gas*N(AO69)+CS69*p_hr_oil*N(AH69)/p_gj_l_oil)</f>
        <v>173.695792728515</v>
      </c>
      <c r="CW69" s="37" t="n">
        <f aca="false">IF(CU69=0,"",CQ69*p_hr_coal*p_ef_coal+CR69*p_hr_gas*p_ef_gas+CS69*p_hr_oil*p_ef_oil)</f>
        <v>0.761756896551724</v>
      </c>
      <c r="CX69" s="16" t="n">
        <f aca="false">IF(CU69=0,"",CQ69*p_hr_coal*N(AW69)+CR69*p_hr_gas*N(AX69)+CS69*p_hr_oil*N(AY69)/p_gj_l_oil)</f>
        <v>35.1182559164807</v>
      </c>
      <c r="CY69" s="37" t="n">
        <f aca="false">IF(CU69=0,"",CO69*CW69)</f>
        <v>0.156930245901639</v>
      </c>
      <c r="CZ69" s="37" t="n">
        <f aca="false">IF(CU69=0,"",CT69*CO69*CV69/1000/1000-p_om_re)</f>
        <v>0.0673475417828559</v>
      </c>
      <c r="DA69" s="37" t="n">
        <f aca="false">IF(CU69=0,"",CT69*CO69*CX69/1000/1000)</f>
        <v>0.0166492348547753</v>
      </c>
      <c r="DB69" s="37" t="n">
        <f aca="false">IF(CU69=0,"",CT69*CO69*CW69/1000)</f>
        <v>0.361141780591175</v>
      </c>
      <c r="DC69" s="13" t="n">
        <f aca="false">IF(AND(CU69=1,ISNUMBER(AD69),ISNUMBER(AV69)),1,0)</f>
        <v>1</v>
      </c>
      <c r="DD69" s="7" t="n">
        <f aca="false">IF(DC69=0,"",p_ev_km*p_ice_l/100*AD69-p_ev_km*p_ev_kwh*AV69+p_ev_km*p_ev_maint)</f>
        <v>629.586</v>
      </c>
      <c r="DE69" s="37" t="n">
        <f aca="false">IF(DC69=0,"",DD69/p_ev_prem)</f>
        <v>0.1259172</v>
      </c>
      <c r="DF69" s="37" t="n">
        <f aca="false">IF(DC69=0,"",p_ev_km*p_ice_l/100*N(AZ69)/p_ev_prem)</f>
        <v>0.01737135</v>
      </c>
      <c r="DG69" s="37" t="n">
        <f aca="false">IF(DC69=0,"",1000/p_ev_prem*(p_ev_km*p_ice_l/100*p_gj_l_gso*p_ef_gso-p_ev_km*p_ev_kwh/1000*CY69))</f>
        <v>0.448521167213115</v>
      </c>
      <c r="DH69" s="11" t="str">
        <f aca="false">IFERROR(IF(INDEX(Damodaran!$D:$D,MATCH(A69,Damodaran!$A:$A,0))="","",INDEX(Damodaran!$D:$D,MATCH(A69,Damodaran!$A:$A,0))),"")</f>
        <v/>
      </c>
      <c r="DI69" s="11" t="str">
        <f aca="false">IFERROR(IF(INDEX(Damodaran!$E:$E,MATCH(A69,Damodaran!$A:$A,0))="","",INDEX(Damodaran!$E:$E,MATCH(A69,Damodaran!$A:$A,0))),"")</f>
        <v/>
      </c>
      <c r="DJ69" s="11" t="str">
        <f aca="false">IFERROR(IF(INDEX(Damodaran!$G:$G,MATCH(A69,Damodaran!$A:$A,0))="","",INDEX(Damodaran!$G:$G,MATCH(A69,Damodaran!$A:$A,0))),"")</f>
        <v/>
      </c>
      <c r="DK69" s="11" t="n">
        <f aca="false">IF(ISNUMBER(BG69),(1+BG69/100)*(1+p_infl)-1,"")</f>
        <v>0.14444</v>
      </c>
      <c r="DL69" s="11" t="str">
        <f aca="false">IF(ISNUMBER(BH69),BH69/100,"")</f>
        <v/>
      </c>
      <c r="DM69" s="11" t="n">
        <f aca="false">IF(COUNT(DK69,DL69)=0,"",AVERAGE(DK69,DL69))</f>
        <v>0.14444</v>
      </c>
      <c r="DN69" s="11" t="str">
        <f aca="false">IF(OR(DH69="",DI69=""),"",p_dv*(p_rf+DH69)*(1-IF(DJ69="",p_tax_def,DJ69))+(1-p_dv)*(p_rf+p_beta*p_erp+p_lambda*DI69))</f>
        <v/>
      </c>
      <c r="DO69" s="13" t="n">
        <f aca="false">IF(AND(ISNUMBER(DM69),ISNUMBER(DN69)),1,0)</f>
        <v>0</v>
      </c>
      <c r="DP69" s="11" t="n">
        <f aca="false">IF(DO69=1,DM69,0)</f>
        <v>0</v>
      </c>
      <c r="DQ69" s="11" t="n">
        <f aca="false">IF(DO69=1,DN69,0)</f>
        <v>0</v>
      </c>
      <c r="DR69" s="11" t="str">
        <f aca="false">IF(DN69="","",DN69+p_shift)</f>
        <v/>
      </c>
      <c r="DS69" s="11" t="n">
        <f aca="false">IF(E69="AE",p_r_ae,IF(E69="China",p_r_chn,p_r_emdc))</f>
        <v>0.105</v>
      </c>
      <c r="DT69" s="11" t="n">
        <f aca="false">IF(E69="AE",p_rh_ae,IF(E69="China",p_rh_chn,p_rh_emdc))</f>
        <v>0.15</v>
      </c>
      <c r="DU69" s="11" t="n">
        <f aca="false">IF(AND(p_use_obs=1,ISNUMBER(DM69)),DM69,IF(AND(p_use_dam=1,ISNUMBER(DR69)),DR69,DS69))</f>
        <v>0.14444</v>
      </c>
      <c r="DV69" s="6" t="str">
        <f aca="false">IF(AND(p_use_obs=1,ISNUMBER(DM69)),"Observed (IRENA/Steffen)",IF(AND(p_use_dam=1,ISNUMBER(DR69)),"Damodaran (eq. 5)","Group default (IHLEG)"))</f>
        <v>Observed (IRENA/Steffen)</v>
      </c>
      <c r="DW69" s="11" t="n">
        <f aca="false">IF(p_basis=1,(1+DU69)/(1+p_infl)-1,DU69)</f>
        <v>0.14444</v>
      </c>
      <c r="DX69" s="11" t="n">
        <f aca="false">DW69+(DT69-DS69)</f>
        <v>0.18944</v>
      </c>
      <c r="DY69" s="28" t="n">
        <f aca="false">IF(AND(p_use_pefa=1,ISNUMBER(BD69)),p_gap_lic-(BD69-1)/3*(p_gap_lic-p_gap_ae),IF(E69="AE",p_gap_ae,IF(D69="Low income",p_gap_lic,p_gap_em)))*(1-p_reform*p_reform_close)</f>
        <v>0.27</v>
      </c>
      <c r="DZ69" s="6" t="str">
        <f aca="false">IF(AND(p_use_pefa=1,ISNUMBER(BD69)),"PEFA PI-11","Income-group default (IMF 2015)")</f>
        <v>Income-group default (IMF 2015)</v>
      </c>
      <c r="EA69" s="28" t="n">
        <f aca="false">IF(E69="AE",p_ps_ae,IF(E69="China",p_ps_chn,p_ps_emdc))</f>
        <v>0.4</v>
      </c>
      <c r="EB69" s="37" t="n">
        <f aca="false">(1-EA69)+EA69/(1-DY69)</f>
        <v>1.14794520547945</v>
      </c>
      <c r="EC69" s="16" t="n">
        <f aca="false">Results_Country!F69</f>
        <v>8.54188145461048</v>
      </c>
      <c r="ED69" s="16" t="n">
        <f aca="false">IF(CH69="",0,CH69*EC69)</f>
        <v>2139.19166969559</v>
      </c>
      <c r="EE69" s="16" t="n">
        <f aca="false">IF(CJ69="",0,CJ69*EC69)</f>
        <v>327.747901754888</v>
      </c>
      <c r="EF69" s="16" t="n">
        <f aca="false">IF(CH69="",0,EC69)</f>
        <v>8.54188145461048</v>
      </c>
    </row>
    <row r="70" customFormat="false" ht="15" hidden="false" customHeight="false" outlineLevel="0" collapsed="false">
      <c r="A70" s="35" t="s">
        <v>897</v>
      </c>
      <c r="B70" s="35" t="s">
        <v>898</v>
      </c>
      <c r="C70" s="35" t="s">
        <v>766</v>
      </c>
      <c r="D70" s="35" t="s">
        <v>771</v>
      </c>
      <c r="E70" s="35" t="s">
        <v>31</v>
      </c>
      <c r="F70" s="36" t="n">
        <v>121.352</v>
      </c>
      <c r="G70" s="36" t="n">
        <v>455.193</v>
      </c>
      <c r="H70" s="33" t="n">
        <v>7.7</v>
      </c>
      <c r="I70" s="33" t="n">
        <v>6.474</v>
      </c>
      <c r="J70" s="36" t="n">
        <v>36.361859</v>
      </c>
      <c r="K70" s="36" t="n">
        <v>146.738</v>
      </c>
      <c r="L70" s="36" t="n">
        <v>243.852</v>
      </c>
      <c r="M70" s="36" t="n">
        <v>240.486</v>
      </c>
      <c r="N70" s="36" t="n">
        <v>49.4093128544179</v>
      </c>
      <c r="O70" s="36" t="n">
        <v>19.9227541299724</v>
      </c>
      <c r="P70" s="36" t="n">
        <v>2.78073402115937</v>
      </c>
      <c r="Q70" s="31" t="n">
        <v>0.374902503787364</v>
      </c>
      <c r="R70" s="31" t="n">
        <v>0.56236971973929</v>
      </c>
      <c r="S70" s="31" t="n">
        <v>0.451715815432209</v>
      </c>
      <c r="T70" s="31" t="n">
        <v>0.147318855986682</v>
      </c>
      <c r="U70" s="31" t="n">
        <v>0.0295870735497426</v>
      </c>
      <c r="V70" s="31" t="n">
        <v>0.0169938113140782</v>
      </c>
      <c r="W70" s="31" t="n">
        <v>0.362147516094897</v>
      </c>
      <c r="X70" s="31" t="n">
        <v>0.000846824564761603</v>
      </c>
      <c r="Y70" s="36" t="n">
        <v>1.87383925857818</v>
      </c>
      <c r="Z70" s="36" t="n">
        <v>1.34322087465144</v>
      </c>
      <c r="AA70" s="36" t="n">
        <v>1.52071422832732</v>
      </c>
      <c r="AB70" s="36" t="n">
        <v>0.0241149408003874</v>
      </c>
      <c r="AC70" s="36" t="n">
        <v>0.447050704800793</v>
      </c>
      <c r="AD70" s="31" t="n">
        <v>0.849488</v>
      </c>
      <c r="AE70" s="31" t="n">
        <v>0.83488</v>
      </c>
      <c r="AF70" s="31" t="n">
        <v>0.562683</v>
      </c>
      <c r="AG70" s="31" t="n">
        <v>0.595122</v>
      </c>
      <c r="AH70" s="31" t="n">
        <v>0.519524217239817</v>
      </c>
      <c r="AI70" s="31" t="n">
        <v>4.569</v>
      </c>
      <c r="AJ70" s="31" t="n">
        <v>8.5764</v>
      </c>
      <c r="AK70" s="31" t="n">
        <v>2.783</v>
      </c>
      <c r="AL70" s="31" t="n">
        <v>3.15315891108116</v>
      </c>
      <c r="AM70" s="31" t="n">
        <v>15.077</v>
      </c>
      <c r="AN70" s="31" t="n">
        <v>13.0404</v>
      </c>
      <c r="AO70" s="31" t="n">
        <v>15.773</v>
      </c>
      <c r="AP70" s="31" t="n">
        <v>14.4787745722972</v>
      </c>
      <c r="AQ70" s="36" t="n">
        <v>8.72111081713636</v>
      </c>
      <c r="AR70" s="36" t="n">
        <v>0.155040399176363</v>
      </c>
      <c r="AS70" s="36" t="n">
        <v>0.769758504766786</v>
      </c>
      <c r="AT70" s="36" t="n">
        <v>0.226021340282626</v>
      </c>
      <c r="AU70" s="31" t="n">
        <v>0.201118437731152</v>
      </c>
      <c r="AV70" s="36" t="n">
        <v>0.0864</v>
      </c>
      <c r="AW70" s="31" t="n">
        <v>4.686832</v>
      </c>
      <c r="AX70" s="31" t="n">
        <v>0.031679</v>
      </c>
      <c r="AY70" s="31" t="n">
        <v>0.815050059279233</v>
      </c>
      <c r="AZ70" s="31" t="n">
        <v>0.20461</v>
      </c>
      <c r="BA70" s="33" t="n">
        <v>30.936</v>
      </c>
      <c r="BB70" s="33" t="n">
        <v>2.565</v>
      </c>
      <c r="BC70" s="33"/>
      <c r="BD70" s="33" t="n">
        <v>3</v>
      </c>
      <c r="BE70" s="33" t="n">
        <v>4</v>
      </c>
      <c r="BF70" s="33" t="n">
        <v>0</v>
      </c>
      <c r="BG70" s="33"/>
      <c r="BH70" s="33"/>
      <c r="BI70" s="29"/>
      <c r="BJ70" s="33"/>
      <c r="BK70" s="33"/>
      <c r="BL70" s="33" t="n">
        <v>3.879</v>
      </c>
      <c r="BM70" s="33" t="n">
        <v>7.747</v>
      </c>
      <c r="BN70" s="29" t="n">
        <v>13.895</v>
      </c>
      <c r="BO70" s="33" t="n">
        <v>1.642</v>
      </c>
      <c r="BP70" s="33" t="n">
        <v>1.174</v>
      </c>
      <c r="BQ70" s="29" t="n">
        <v>2025</v>
      </c>
      <c r="BR70" s="36" t="n">
        <v>86.7</v>
      </c>
      <c r="BS70" s="36" t="n">
        <v>5.7</v>
      </c>
      <c r="BT70" s="36" t="n">
        <v>62.7</v>
      </c>
      <c r="BU70" s="36" t="n">
        <v>1.5</v>
      </c>
      <c r="BV70" s="16" t="n">
        <f aca="false">F70*(1+N(H70)/100)*(1+N(I70)/100)^5</f>
        <v>178.846518765824</v>
      </c>
      <c r="BW70" s="16" t="n">
        <f aca="false">IF(N(G70)&gt;0,G70,F70)</f>
        <v>455.193</v>
      </c>
      <c r="BX70" s="12" t="n">
        <f aca="false">F70/BW70</f>
        <v>0.266594609319563</v>
      </c>
      <c r="BY70" s="13" t="n">
        <f aca="false">IF(ISNUMBER(K70),1,0)</f>
        <v>1</v>
      </c>
      <c r="BZ70" s="16" t="n">
        <f aca="false">IF(BY70=0,"",N(N70)+N(O70)+N(P70))</f>
        <v>72.1128010055497</v>
      </c>
      <c r="CA70" s="37" t="n">
        <f aca="false">IF(BY70=0,"",(N(Y70)*34.2+N(Z70)*38.6)/1000)</f>
        <v>0.115933628404919</v>
      </c>
      <c r="CB70" s="37" t="n">
        <f aca="false">IF(BY70=0,"",N(O70)*0.0036+N(R70)+N(V70)+(N(AA70)*25.3+N(AB70)*37)/1000)</f>
        <v>0.690451768707564</v>
      </c>
      <c r="CC70" s="37" t="n">
        <f aca="false">IF(BY70=0,"",N(N70)*0.0036+N(Q70)+N(U70)+N(T70)+N(X70)+N(AC70)*38/1000)</f>
        <v>0.747516710946885</v>
      </c>
      <c r="CD70" s="37" t="n">
        <f aca="false">IF(BY70=0,"",N(Q70)+N(R70)+N(S70)+N(T70)+N(U70)+N(V70)+N(W70)+N(X70)+(N(Y70)*34.2+N(Z70)*38.6+N(AA70)*25.3+N(AB70)*37+N(AC70)*38)/1000)</f>
        <v>2.11816999844267</v>
      </c>
      <c r="CE70" s="16" t="n">
        <f aca="false">IF(BY70=0,"",MAX(0,N(L70)-N(K70))+MAX(0,N(M70)-N(L70)))</f>
        <v>97.114</v>
      </c>
      <c r="CF70" s="16" t="n">
        <f aca="false">IF(BY70=0,"",N(Y70)*N(AD70)+N(Z70)*N(AE70)+N(AA70)*N(AF70)+N(AB70)*N(AG70)+N(AC70)*N(AH70)+N(U70)*N(AI70)+N(V70)*N(AJ70)+N(W70)*N(AK70)+N(X70)*N(AL70)+N(Q70)*N(AM70)+N(R70)*N(AN70)+N(S70)*N(AO70)+N(T70)*N(AP70))</f>
        <v>27.350814229235</v>
      </c>
      <c r="CG70" s="16" t="n">
        <f aca="false">IF(AND(BY70=1,N(K70)&gt;0),K70,0)</f>
        <v>146.738</v>
      </c>
      <c r="CH70" s="16" t="n">
        <f aca="false">IF(CG70&gt;0,CF70*1000/CG70,"")</f>
        <v>186.392169916688</v>
      </c>
      <c r="CI70" s="16" t="n">
        <f aca="false">IF(BY70=0,"",N(AQ70)+p_road*(N(AR70)+N(AS70)+N(AT70)))</f>
        <v>8.72111081713636</v>
      </c>
      <c r="CJ70" s="16" t="n">
        <f aca="false">IF(CG70&gt;0,CI70*1000/CG70,"")</f>
        <v>59.4332130541262</v>
      </c>
      <c r="CK70" s="12" t="n">
        <f aca="false">IF(CH70="",1,MIN(p_idx_max,MAX(p_idx_min,CH70/p_fc_world)))</f>
        <v>1.15766252943714</v>
      </c>
      <c r="CL70" s="12" t="n">
        <f aca="false">IF(CJ70="",1,MIN(p_idx_max,MAX(p_idx_min,CJ70/p_cb_world)))</f>
        <v>1.13010676778716</v>
      </c>
      <c r="CM70" s="37" t="n">
        <f aca="false">p_b*(1-p_wb_idx+p_wb_idx*CK70)</f>
        <v>0.15396911641514</v>
      </c>
      <c r="CN70" s="37" t="n">
        <f aca="false">p_c*(1-p_wc_idx+p_wc_idx*CL70)</f>
        <v>0.145783773044543</v>
      </c>
      <c r="CO70" s="28" t="n">
        <f aca="false">IF(N(BR70)&gt;0,(N(BS70)+N(BT70)+N(BU70))/BR70,"")</f>
        <v>0.806228373702422</v>
      </c>
      <c r="CP70" s="16" t="n">
        <f aca="false">N(BS70)+N(BT70)+N(BU70)</f>
        <v>69.9</v>
      </c>
      <c r="CQ70" s="28" t="n">
        <f aca="false">IF(CP70&gt;0,N(BS70)/CP70,"")</f>
        <v>0.0815450643776824</v>
      </c>
      <c r="CR70" s="28" t="n">
        <f aca="false">IF(CP70&gt;0,N(BT70)/CP70,"")</f>
        <v>0.896995708154506</v>
      </c>
      <c r="CS70" s="28" t="n">
        <f aca="false">IF(CP70&gt;0,N(BU70)/CP70,"")</f>
        <v>0.0214592274678112</v>
      </c>
      <c r="CT70" s="7" t="n">
        <f aca="false">1000*(p_sh_pv*p_cf_pv/p_capex_pv+(1-p_sh_pv)*p_cf_wind/p_capex_wind)*8760</f>
        <v>2301.28856624319</v>
      </c>
      <c r="CU70" s="13" t="n">
        <f aca="false">IF(AND(ISNUMBER(CO70),ISNUMBER(CQ70),BY70=1),1,0)</f>
        <v>1</v>
      </c>
      <c r="CV70" s="16" t="n">
        <f aca="false">IF(CU70=0,"",CQ70*p_hr_coal*N(AK70)+CR70*p_hr_gas*N(AO70)+CS70*p_hr_oil*N(AH70)/p_gj_l_oil)</f>
        <v>111.414396017822</v>
      </c>
      <c r="CW70" s="37" t="n">
        <f aca="false">IF(CU70=0,"",CQ70*p_hr_coal*p_ef_coal+CR70*p_hr_gas*p_ef_gas+CS70*p_hr_oil*p_ef_oil)</f>
        <v>0.471992489270386</v>
      </c>
      <c r="CX70" s="16" t="n">
        <f aca="false">IF(CU70=0,"",CQ70*p_hr_coal*N(AW70)+CR70*p_hr_gas*N(AX70)+CS70*p_hr_oil*N(AY70)/p_gj_l_oil)</f>
        <v>8.79273585521801</v>
      </c>
      <c r="CY70" s="37" t="n">
        <f aca="false">IF(CU70=0,"",CO70*CW70)</f>
        <v>0.380533737024221</v>
      </c>
      <c r="CZ70" s="37" t="n">
        <f aca="false">IF(CU70=0,"",CT70*CO70*CV70/1000/1000-p_om_re)</f>
        <v>0.1917142748487</v>
      </c>
      <c r="DA70" s="37" t="n">
        <f aca="false">IF(CU70=0,"",CT70*CO70*CX70/1000/1000)</f>
        <v>0.0163137267822805</v>
      </c>
      <c r="DB70" s="37" t="n">
        <f aca="false">IF(CU70=0,"",CT70*CO70*CW70/1000)</f>
        <v>0.875717938083635</v>
      </c>
      <c r="DC70" s="13" t="n">
        <f aca="false">IF(AND(CU70=1,ISNUMBER(AD70),ISNUMBER(AV70)),1,0)</f>
        <v>1</v>
      </c>
      <c r="DD70" s="7" t="n">
        <f aca="false">IF(DC70=0,"",p_ev_km*p_ice_l/100*AD70-p_ev_km*p_ev_kwh*AV70+p_ev_km*p_ev_maint)</f>
        <v>902.394</v>
      </c>
      <c r="DE70" s="37" t="n">
        <f aca="false">IF(DC70=0,"",DD70/p_ev_prem)</f>
        <v>0.1804788</v>
      </c>
      <c r="DF70" s="37" t="n">
        <f aca="false">IF(DC70=0,"",p_ev_km*p_ice_l/100*N(AZ70)/p_ev_prem)</f>
        <v>0.04603725</v>
      </c>
      <c r="DG70" s="37" t="n">
        <f aca="false">IF(DC70=0,"",1000/p_ev_prem*(p_ev_km*p_ice_l/100*p_gj_l_gso*p_ef_gso-p_ev_km*p_ev_kwh/1000*CY70))</f>
        <v>0.32777528200692</v>
      </c>
      <c r="DH70" s="11" t="str">
        <f aca="false">IFERROR(IF(INDEX(Damodaran!$D:$D,MATCH(A70,Damodaran!$A:$A,0))="","",INDEX(Damodaran!$D:$D,MATCH(A70,Damodaran!$A:$A,0))),"")</f>
        <v/>
      </c>
      <c r="DI70" s="11" t="str">
        <f aca="false">IFERROR(IF(INDEX(Damodaran!$E:$E,MATCH(A70,Damodaran!$A:$A,0))="","",INDEX(Damodaran!$E:$E,MATCH(A70,Damodaran!$A:$A,0))),"")</f>
        <v/>
      </c>
      <c r="DJ70" s="11" t="str">
        <f aca="false">IFERROR(IF(INDEX(Damodaran!$G:$G,MATCH(A70,Damodaran!$A:$A,0))="","",INDEX(Damodaran!$G:$G,MATCH(A70,Damodaran!$A:$A,0))),"")</f>
        <v/>
      </c>
      <c r="DK70" s="11" t="str">
        <f aca="false">IF(ISNUMBER(BG70),(1+BG70/100)*(1+p_infl)-1,"")</f>
        <v/>
      </c>
      <c r="DL70" s="11" t="str">
        <f aca="false">IF(ISNUMBER(BH70),BH70/100,"")</f>
        <v/>
      </c>
      <c r="DM70" s="11" t="str">
        <f aca="false">IF(COUNT(DK70,DL70)=0,"",AVERAGE(DK70,DL70))</f>
        <v/>
      </c>
      <c r="DN70" s="11" t="str">
        <f aca="false">IF(OR(DH70="",DI70=""),"",p_dv*(p_rf+DH70)*(1-IF(DJ70="",p_tax_def,DJ70))+(1-p_dv)*(p_rf+p_beta*p_erp+p_lambda*DI70))</f>
        <v/>
      </c>
      <c r="DO70" s="13" t="n">
        <f aca="false">IF(AND(ISNUMBER(DM70),ISNUMBER(DN70)),1,0)</f>
        <v>0</v>
      </c>
      <c r="DP70" s="11" t="n">
        <f aca="false">IF(DO70=1,DM70,0)</f>
        <v>0</v>
      </c>
      <c r="DQ70" s="11" t="n">
        <f aca="false">IF(DO70=1,DN70,0)</f>
        <v>0</v>
      </c>
      <c r="DR70" s="11" t="str">
        <f aca="false">IF(DN70="","",DN70+p_shift)</f>
        <v/>
      </c>
      <c r="DS70" s="11" t="n">
        <f aca="false">IF(E70="AE",p_r_ae,IF(E70="China",p_r_chn,p_r_emdc))</f>
        <v>0.105</v>
      </c>
      <c r="DT70" s="11" t="n">
        <f aca="false">IF(E70="AE",p_rh_ae,IF(E70="China",p_rh_chn,p_rh_emdc))</f>
        <v>0.15</v>
      </c>
      <c r="DU70" s="11" t="n">
        <f aca="false">IF(AND(p_use_obs=1,ISNUMBER(DM70)),DM70,IF(AND(p_use_dam=1,ISNUMBER(DR70)),DR70,DS70))</f>
        <v>0.105</v>
      </c>
      <c r="DV70" s="6" t="str">
        <f aca="false">IF(AND(p_use_obs=1,ISNUMBER(DM70)),"Observed (IRENA/Steffen)",IF(AND(p_use_dam=1,ISNUMBER(DR70)),"Damodaran (eq. 5)","Group default (IHLEG)"))</f>
        <v>Group default (IHLEG)</v>
      </c>
      <c r="DW70" s="11" t="n">
        <f aca="false">IF(p_basis=1,(1+DU70)/(1+p_infl)-1,DU70)</f>
        <v>0.105</v>
      </c>
      <c r="DX70" s="11" t="n">
        <f aca="false">DW70+(DT70-DS70)</f>
        <v>0.15</v>
      </c>
      <c r="DY70" s="28" t="n">
        <f aca="false">IF(AND(p_use_pefa=1,ISNUMBER(BD70)),p_gap_lic-(BD70-1)/3*(p_gap_lic-p_gap_ae),IF(E70="AE",p_gap_ae,IF(D70="Low income",p_gap_lic,p_gap_em)))*(1-p_reform*p_reform_close)</f>
        <v>0.22</v>
      </c>
      <c r="DZ70" s="6" t="str">
        <f aca="false">IF(AND(p_use_pefa=1,ISNUMBER(BD70)),"PEFA PI-11","Income-group default (IMF 2015)")</f>
        <v>PEFA PI-11</v>
      </c>
      <c r="EA70" s="28" t="n">
        <f aca="false">IF(E70="AE",p_ps_ae,IF(E70="China",p_ps_chn,p_ps_emdc))</f>
        <v>0.4</v>
      </c>
      <c r="EB70" s="37" t="n">
        <f aca="false">(1-EA70)+EA70/(1-DY70)</f>
        <v>1.11282051282051</v>
      </c>
      <c r="EC70" s="16" t="n">
        <f aca="false">Results_Country!F70</f>
        <v>12.8801935832232</v>
      </c>
      <c r="ED70" s="16" t="n">
        <f aca="false">IF(CH70="",0,CH70*EC70)</f>
        <v>2400.76723092397</v>
      </c>
      <c r="EE70" s="16" t="n">
        <f aca="false">IF(CJ70="",0,CJ70*EC70)</f>
        <v>765.51128941009</v>
      </c>
      <c r="EF70" s="16" t="n">
        <f aca="false">IF(CH70="",0,EC70)</f>
        <v>12.8801935832232</v>
      </c>
    </row>
    <row r="71" customFormat="false" ht="15" hidden="false" customHeight="false" outlineLevel="0" collapsed="false">
      <c r="A71" s="35" t="s">
        <v>899</v>
      </c>
      <c r="B71" s="35" t="s">
        <v>900</v>
      </c>
      <c r="C71" s="35" t="s">
        <v>784</v>
      </c>
      <c r="D71" s="35" t="s">
        <v>771</v>
      </c>
      <c r="E71" s="35" t="s">
        <v>31</v>
      </c>
      <c r="F71" s="36" t="n">
        <v>120.566</v>
      </c>
      <c r="G71" s="36" t="n">
        <v>227.633</v>
      </c>
      <c r="H71" s="33" t="n">
        <v>1.533</v>
      </c>
      <c r="I71" s="33" t="n">
        <v>4.043</v>
      </c>
      <c r="J71" s="36" t="n">
        <v>28.405543</v>
      </c>
      <c r="K71" s="36" t="n">
        <v>113.681</v>
      </c>
      <c r="L71" s="36" t="n">
        <v>186.021</v>
      </c>
      <c r="M71" s="36" t="n">
        <v>227.448</v>
      </c>
      <c r="N71" s="36" t="n">
        <v>50.7760844104058</v>
      </c>
      <c r="O71" s="36" t="n">
        <v>22.2395126634513</v>
      </c>
      <c r="P71" s="36" t="n">
        <v>0.141409604125957</v>
      </c>
      <c r="Q71" s="31" t="n">
        <v>0.31747120887052</v>
      </c>
      <c r="R71" s="31" t="n">
        <v>0.0280654326912921</v>
      </c>
      <c r="S71" s="31" t="n">
        <v>0.439141067338473</v>
      </c>
      <c r="T71" s="31" t="n">
        <v>0.00063087849069653</v>
      </c>
      <c r="U71" s="31" t="n">
        <v>0.00238270059105335</v>
      </c>
      <c r="V71" s="31" t="n">
        <v>0</v>
      </c>
      <c r="W71" s="31" t="n">
        <v>0</v>
      </c>
      <c r="X71" s="31" t="n">
        <v>0</v>
      </c>
      <c r="Y71" s="36" t="n">
        <v>3.85370003802785</v>
      </c>
      <c r="Z71" s="36" t="n">
        <v>1.63728602713828</v>
      </c>
      <c r="AA71" s="36" t="n">
        <v>1.14138092553872</v>
      </c>
      <c r="AB71" s="36" t="n">
        <v>0.078378430697196</v>
      </c>
      <c r="AC71" s="36" t="n">
        <v>1.25862019894666</v>
      </c>
      <c r="AD71" s="31" t="n">
        <v>0.876912</v>
      </c>
      <c r="AE71" s="31" t="n">
        <v>0.663006</v>
      </c>
      <c r="AF71" s="31" t="n">
        <v>0.594081</v>
      </c>
      <c r="AG71" s="31" t="n">
        <v>0.570035</v>
      </c>
      <c r="AH71" s="31" t="n">
        <v>0.519462891908447</v>
      </c>
      <c r="AI71" s="31" t="n">
        <v>3.373</v>
      </c>
      <c r="AJ71" s="31" t="n">
        <v>6.21528</v>
      </c>
      <c r="AK71" s="31" t="n">
        <v>2.049</v>
      </c>
      <c r="AL71" s="31" t="n">
        <v>3.373</v>
      </c>
      <c r="AM71" s="31" t="n">
        <v>8.065</v>
      </c>
      <c r="AN71" s="31" t="n">
        <v>13.96176</v>
      </c>
      <c r="AO71" s="31" t="n">
        <v>7.403</v>
      </c>
      <c r="AP71" s="31" t="n">
        <v>7.90542331739377</v>
      </c>
      <c r="AQ71" s="36" t="n">
        <v>0.437203991388912</v>
      </c>
      <c r="AR71" s="36" t="n">
        <v>0.267644651973265</v>
      </c>
      <c r="AS71" s="36" t="n">
        <v>0.591433372277225</v>
      </c>
      <c r="AT71" s="36" t="n">
        <v>0.213174808220622</v>
      </c>
      <c r="AU71" s="31" t="n">
        <v>0.679725901121625</v>
      </c>
      <c r="AV71" s="36" t="n">
        <v>0.13572</v>
      </c>
      <c r="AW71" s="31" t="n">
        <v>0.793051</v>
      </c>
      <c r="AX71" s="31" t="n">
        <v>0.024452</v>
      </c>
      <c r="AY71" s="31" t="n">
        <v>0.0490168952279727</v>
      </c>
      <c r="AZ71" s="31" t="n">
        <v>0.025489</v>
      </c>
      <c r="BA71" s="33" t="n">
        <v>169.133</v>
      </c>
      <c r="BB71" s="33" t="n">
        <v>4.788</v>
      </c>
      <c r="BC71" s="33"/>
      <c r="BD71" s="33"/>
      <c r="BE71" s="33"/>
      <c r="BF71" s="33" t="n">
        <v>0</v>
      </c>
      <c r="BG71" s="33"/>
      <c r="BH71" s="33"/>
      <c r="BI71" s="29"/>
      <c r="BJ71" s="33"/>
      <c r="BK71" s="33"/>
      <c r="BL71" s="33"/>
      <c r="BM71" s="33"/>
      <c r="BN71" s="29"/>
      <c r="BO71" s="33" t="n">
        <v>0.021</v>
      </c>
      <c r="BP71" s="33"/>
      <c r="BQ71" s="29" t="n">
        <v>2024</v>
      </c>
      <c r="BR71" s="36" t="n">
        <v>80.13</v>
      </c>
      <c r="BS71" s="36" t="n">
        <v>0</v>
      </c>
      <c r="BT71" s="36" t="n">
        <v>3.6</v>
      </c>
      <c r="BU71" s="36" t="n">
        <v>3.5</v>
      </c>
      <c r="BV71" s="16" t="n">
        <f aca="false">F71*(1+N(H71)/100)*(1+N(I71)/100)^5</f>
        <v>149.243835738638</v>
      </c>
      <c r="BW71" s="16" t="n">
        <f aca="false">IF(N(G71)&gt;0,G71,F71)</f>
        <v>227.633</v>
      </c>
      <c r="BX71" s="12" t="n">
        <f aca="false">F71/BW71</f>
        <v>0.529650797555715</v>
      </c>
      <c r="BY71" s="13" t="n">
        <f aca="false">IF(ISNUMBER(K71),1,0)</f>
        <v>1</v>
      </c>
      <c r="BZ71" s="16" t="n">
        <f aca="false">IF(BY71=0,"",N(N71)+N(O71)+N(P71))</f>
        <v>73.1570066779831</v>
      </c>
      <c r="CA71" s="37" t="n">
        <f aca="false">IF(BY71=0,"",(N(Y71)*34.2+N(Z71)*38.6)/1000)</f>
        <v>0.19499578194809</v>
      </c>
      <c r="CB71" s="37" t="n">
        <f aca="false">IF(BY71=0,"",N(O71)*0.0036+N(R71)+N(V71)+(N(AA71)*25.3+N(AB71)*37)/1000)</f>
        <v>0.139904617631643</v>
      </c>
      <c r="CC71" s="37" t="n">
        <f aca="false">IF(BY71=0,"",N(N71)*0.0036+N(Q71)+N(U71)+N(T71)+N(X71)+N(AC71)*38/1000)</f>
        <v>0.551106259389703</v>
      </c>
      <c r="CD71" s="37" t="n">
        <f aca="false">IF(BY71=0,"",N(Q71)+N(R71)+N(S71)+N(T71)+N(U71)+N(V71)+N(W71)+N(X71)+(N(Y71)*34.2+N(Z71)*38.6+N(AA71)*25.3+N(AB71)*37+N(AC71)*38)/1000)</f>
        <v>1.06229157684202</v>
      </c>
      <c r="CE71" s="16" t="n">
        <f aca="false">IF(BY71=0,"",MAX(0,N(L71)-N(K71))+MAX(0,N(M71)-N(L71)))</f>
        <v>113.767</v>
      </c>
      <c r="CF71" s="16" t="n">
        <f aca="false">IF(BY71=0,"",N(Y71)*N(AD71)+N(Z71)*N(AE71)+N(AA71)*N(AF71)+N(AB71)*N(AG71)+N(AC71)*N(AH71)+N(U71)*N(AI71)+N(V71)*N(AJ71)+N(W71)*N(AK71)+N(X71)*N(AL71)+N(Q71)*N(AM71)+N(R71)*N(AN71)+N(S71)*N(AO71)+N(T71)*N(AP71))</f>
        <v>12.0576775933864</v>
      </c>
      <c r="CG71" s="16" t="n">
        <f aca="false">IF(AND(BY71=1,N(K71)&gt;0),K71,0)</f>
        <v>113.681</v>
      </c>
      <c r="CH71" s="16" t="n">
        <f aca="false">IF(CG71&gt;0,CF71*1000/CG71,"")</f>
        <v>106.065900136227</v>
      </c>
      <c r="CI71" s="16" t="n">
        <f aca="false">IF(BY71=0,"",N(AQ71)+p_road*(N(AR71)+N(AS71)+N(AT71)))</f>
        <v>0.437203991388912</v>
      </c>
      <c r="CJ71" s="16" t="n">
        <f aca="false">IF(CG71&gt;0,CI71*1000/CG71,"")</f>
        <v>3.84588446080622</v>
      </c>
      <c r="CK71" s="12" t="n">
        <f aca="false">IF(CH71="",1,MIN(p_idx_max,MAX(p_idx_min,CH71/p_fc_world)))</f>
        <v>0.658764358468572</v>
      </c>
      <c r="CL71" s="12" t="n">
        <f aca="false">IF(CJ71="",1,MIN(p_idx_max,MAX(p_idx_min,CJ71/p_cb_world)))</f>
        <v>0.25</v>
      </c>
      <c r="CM71" s="37" t="n">
        <f aca="false">p_b*(1-p_wb_idx+p_wb_idx*CK71)</f>
        <v>0.08761565967632</v>
      </c>
      <c r="CN71" s="37" t="n">
        <f aca="false">p_c*(1-p_wc_idx+p_wc_idx*CL71)</f>
        <v>0.03225</v>
      </c>
      <c r="CO71" s="28" t="n">
        <f aca="false">IF(N(BR71)&gt;0,(N(BS71)+N(BT71)+N(BU71))/BR71,"")</f>
        <v>0.088606015225259</v>
      </c>
      <c r="CP71" s="16" t="n">
        <f aca="false">N(BS71)+N(BT71)+N(BU71)</f>
        <v>7.1</v>
      </c>
      <c r="CQ71" s="28" t="n">
        <f aca="false">IF(CP71&gt;0,N(BS71)/CP71,"")</f>
        <v>0</v>
      </c>
      <c r="CR71" s="28" t="n">
        <f aca="false">IF(CP71&gt;0,N(BT71)/CP71,"")</f>
        <v>0.507042253521127</v>
      </c>
      <c r="CS71" s="28" t="n">
        <f aca="false">IF(CP71&gt;0,N(BU71)/CP71,"")</f>
        <v>0.492957746478873</v>
      </c>
      <c r="CT71" s="7" t="n">
        <f aca="false">1000*(p_sh_pv*p_cf_pv/p_capex_pv+(1-p_sh_pv)*p_cf_wind/p_capex_wind)*8760</f>
        <v>2301.28856624319</v>
      </c>
      <c r="CU71" s="13" t="n">
        <f aca="false">IF(AND(ISNUMBER(CO71),ISNUMBER(CQ71),BY71=1),1,0)</f>
        <v>1</v>
      </c>
      <c r="CV71" s="16" t="n">
        <f aca="false">IF(CU71=0,"",CQ71*p_hr_coal*N(AK71)+CR71*p_hr_gas*N(AO71)+CS71*p_hr_oil*N(AH71)/p_gj_l_oil)</f>
        <v>97.8094865271671</v>
      </c>
      <c r="CW71" s="37" t="n">
        <f aca="false">IF(CU71=0,"",CQ71*p_hr_coal*p_ef_coal+CR71*p_hr_gas*p_ef_gas+CS71*p_hr_oil*p_ef_oil)</f>
        <v>0.613964788732394</v>
      </c>
      <c r="CX71" s="16" t="n">
        <f aca="false">IF(CU71=0,"",CQ71*p_hr_coal*N(AW71)+CR71*p_hr_gas*N(AX71)+CS71*p_hr_oil*N(AY71)/p_gj_l_oil)</f>
        <v>6.66589350517403</v>
      </c>
      <c r="CY71" s="37" t="n">
        <f aca="false">IF(CU71=0,"",CO71*CW71)</f>
        <v>0.0544009734181954</v>
      </c>
      <c r="CZ71" s="37" t="n">
        <f aca="false">IF(CU71=0,"",CT71*CO71*CV71/1000/1000-p_om_re)</f>
        <v>0.00494413773127568</v>
      </c>
      <c r="DA71" s="37" t="n">
        <f aca="false">IF(CU71=0,"",CT71*CO71*CX71/1000/1000)</f>
        <v>0.00135922907776722</v>
      </c>
      <c r="DB71" s="37" t="n">
        <f aca="false">IF(CU71=0,"",CT71*CO71*CW71/1000)</f>
        <v>0.125192338119793</v>
      </c>
      <c r="DC71" s="13" t="n">
        <f aca="false">IF(AND(CU71=1,ISNUMBER(AD71),ISNUMBER(AV71)),1,0)</f>
        <v>1</v>
      </c>
      <c r="DD71" s="7" t="n">
        <f aca="false">IF(DC71=0,"",p_ev_km*p_ice_l/100*AD71-p_ev_km*p_ev_kwh*AV71+p_ev_km*p_ev_maint)</f>
        <v>800.082</v>
      </c>
      <c r="DE71" s="37" t="n">
        <f aca="false">IF(DC71=0,"",DD71/p_ev_prem)</f>
        <v>0.1600164</v>
      </c>
      <c r="DF71" s="37" t="n">
        <f aca="false">IF(DC71=0,"",p_ev_km*p_ice_l/100*N(AZ71)/p_ev_prem)</f>
        <v>0.005735025</v>
      </c>
      <c r="DG71" s="37" t="n">
        <f aca="false">IF(DC71=0,"",1000/p_ev_prem*(p_ev_km*p_ice_l/100*p_gj_l_gso*p_ef_gso-p_ev_km*p_ev_kwh/1000*CY71))</f>
        <v>0.503886974354175</v>
      </c>
      <c r="DH71" s="11" t="str">
        <f aca="false">IFERROR(IF(INDEX(Damodaran!$D:$D,MATCH(A71,Damodaran!$A:$A,0))="","",INDEX(Damodaran!$D:$D,MATCH(A71,Damodaran!$A:$A,0))),"")</f>
        <v/>
      </c>
      <c r="DI71" s="11" t="str">
        <f aca="false">IFERROR(IF(INDEX(Damodaran!$E:$E,MATCH(A71,Damodaran!$A:$A,0))="","",INDEX(Damodaran!$E:$E,MATCH(A71,Damodaran!$A:$A,0))),"")</f>
        <v/>
      </c>
      <c r="DJ71" s="11" t="str">
        <f aca="false">IFERROR(IF(INDEX(Damodaran!$G:$G,MATCH(A71,Damodaran!$A:$A,0))="","",INDEX(Damodaran!$G:$G,MATCH(A71,Damodaran!$A:$A,0))),"")</f>
        <v/>
      </c>
      <c r="DK71" s="11" t="str">
        <f aca="false">IF(ISNUMBER(BG71),(1+BG71/100)*(1+p_infl)-1,"")</f>
        <v/>
      </c>
      <c r="DL71" s="11" t="str">
        <f aca="false">IF(ISNUMBER(BH71),BH71/100,"")</f>
        <v/>
      </c>
      <c r="DM71" s="11" t="str">
        <f aca="false">IF(COUNT(DK71,DL71)=0,"",AVERAGE(DK71,DL71))</f>
        <v/>
      </c>
      <c r="DN71" s="11" t="str">
        <f aca="false">IF(OR(DH71="",DI71=""),"",p_dv*(p_rf+DH71)*(1-IF(DJ71="",p_tax_def,DJ71))+(1-p_dv)*(p_rf+p_beta*p_erp+p_lambda*DI71))</f>
        <v/>
      </c>
      <c r="DO71" s="13" t="n">
        <f aca="false">IF(AND(ISNUMBER(DM71),ISNUMBER(DN71)),1,0)</f>
        <v>0</v>
      </c>
      <c r="DP71" s="11" t="n">
        <f aca="false">IF(DO71=1,DM71,0)</f>
        <v>0</v>
      </c>
      <c r="DQ71" s="11" t="n">
        <f aca="false">IF(DO71=1,DN71,0)</f>
        <v>0</v>
      </c>
      <c r="DR71" s="11" t="str">
        <f aca="false">IF(DN71="","",DN71+p_shift)</f>
        <v/>
      </c>
      <c r="DS71" s="11" t="n">
        <f aca="false">IF(E71="AE",p_r_ae,IF(E71="China",p_r_chn,p_r_emdc))</f>
        <v>0.105</v>
      </c>
      <c r="DT71" s="11" t="n">
        <f aca="false">IF(E71="AE",p_rh_ae,IF(E71="China",p_rh_chn,p_rh_emdc))</f>
        <v>0.15</v>
      </c>
      <c r="DU71" s="11" t="n">
        <f aca="false">IF(AND(p_use_obs=1,ISNUMBER(DM71)),DM71,IF(AND(p_use_dam=1,ISNUMBER(DR71)),DR71,DS71))</f>
        <v>0.105</v>
      </c>
      <c r="DV71" s="6" t="str">
        <f aca="false">IF(AND(p_use_obs=1,ISNUMBER(DM71)),"Observed (IRENA/Steffen)",IF(AND(p_use_dam=1,ISNUMBER(DR71)),"Damodaran (eq. 5)","Group default (IHLEG)"))</f>
        <v>Group default (IHLEG)</v>
      </c>
      <c r="DW71" s="11" t="n">
        <f aca="false">IF(p_basis=1,(1+DU71)/(1+p_infl)-1,DU71)</f>
        <v>0.105</v>
      </c>
      <c r="DX71" s="11" t="n">
        <f aca="false">DW71+(DT71-DS71)</f>
        <v>0.15</v>
      </c>
      <c r="DY71" s="28" t="n">
        <f aca="false">IF(AND(p_use_pefa=1,ISNUMBER(BD71)),p_gap_lic-(BD71-1)/3*(p_gap_lic-p_gap_ae),IF(E71="AE",p_gap_ae,IF(D71="Low income",p_gap_lic,p_gap_em)))*(1-p_reform*p_reform_close)</f>
        <v>0.27</v>
      </c>
      <c r="DZ71" s="6" t="str">
        <f aca="false">IF(AND(p_use_pefa=1,ISNUMBER(BD71)),"PEFA PI-11","Income-group default (IMF 2015)")</f>
        <v>Income-group default (IMF 2015)</v>
      </c>
      <c r="EA71" s="28" t="n">
        <f aca="false">IF(E71="AE",p_ps_ae,IF(E71="China",p_ps_chn,p_ps_emdc))</f>
        <v>0.4</v>
      </c>
      <c r="EB71" s="37" t="n">
        <f aca="false">(1-EA71)+EA71/(1-DY71)</f>
        <v>1.14794520547945</v>
      </c>
      <c r="EC71" s="16" t="n">
        <f aca="false">Results_Country!F71</f>
        <v>12.6460491743307</v>
      </c>
      <c r="ED71" s="16" t="n">
        <f aca="false">IF(CH71="",0,CH71*EC71)</f>
        <v>1341.31458884237</v>
      </c>
      <c r="EE71" s="16" t="n">
        <f aca="false">IF(CJ71="",0,CJ71*EC71)</f>
        <v>48.6352440101496</v>
      </c>
      <c r="EF71" s="16" t="n">
        <f aca="false">IF(CH71="",0,EC71)</f>
        <v>12.6460491743307</v>
      </c>
    </row>
    <row r="72" customFormat="false" ht="15" hidden="false" customHeight="false" outlineLevel="0" collapsed="false">
      <c r="A72" s="35" t="s">
        <v>901</v>
      </c>
      <c r="B72" s="35" t="s">
        <v>902</v>
      </c>
      <c r="C72" s="35" t="s">
        <v>847</v>
      </c>
      <c r="D72" s="35" t="s">
        <v>771</v>
      </c>
      <c r="E72" s="35" t="s">
        <v>31</v>
      </c>
      <c r="F72" s="36" t="n">
        <v>119.574</v>
      </c>
      <c r="G72" s="36" t="n">
        <v>379.894</v>
      </c>
      <c r="H72" s="33" t="n">
        <v>3.13</v>
      </c>
      <c r="I72" s="33" t="n">
        <v>2.294</v>
      </c>
      <c r="J72" s="36" t="n">
        <v>37.885849</v>
      </c>
      <c r="K72" s="36" t="n">
        <v>19.873</v>
      </c>
      <c r="L72" s="36" t="n">
        <v>70.933</v>
      </c>
      <c r="M72" s="36" t="n">
        <v>113.459</v>
      </c>
      <c r="N72" s="36" t="n">
        <v>5.0031816896926</v>
      </c>
      <c r="O72" s="36" t="n">
        <v>9.81580295303893</v>
      </c>
      <c r="P72" s="36" t="n">
        <v>0</v>
      </c>
      <c r="Q72" s="31" t="n">
        <v>0.0258874094117745</v>
      </c>
      <c r="R72" s="31" t="n">
        <v>0</v>
      </c>
      <c r="S72" s="31" t="n">
        <v>0.0376942768605852</v>
      </c>
      <c r="T72" s="31" t="n">
        <v>0</v>
      </c>
      <c r="U72" s="31" t="n">
        <v>0</v>
      </c>
      <c r="V72" s="31" t="n">
        <v>0</v>
      </c>
      <c r="W72" s="31" t="n">
        <v>0</v>
      </c>
      <c r="X72" s="31" t="n">
        <v>0</v>
      </c>
      <c r="Y72" s="36" t="n">
        <v>1.28738678866332</v>
      </c>
      <c r="Z72" s="36" t="n">
        <v>2.05074049311571</v>
      </c>
      <c r="AA72" s="36" t="n">
        <v>3.36837788244039</v>
      </c>
      <c r="AB72" s="36" t="n">
        <v>0.0364918625335803</v>
      </c>
      <c r="AC72" s="36" t="n">
        <v>0.18277307838078</v>
      </c>
      <c r="AD72" s="31" t="n">
        <v>0.817293</v>
      </c>
      <c r="AE72" s="31" t="n">
        <v>0.779063</v>
      </c>
      <c r="AF72" s="31" t="n">
        <v>0.5807</v>
      </c>
      <c r="AG72" s="31" t="n">
        <v>0.591</v>
      </c>
      <c r="AH72" s="31" t="n">
        <v>0.519462891908447</v>
      </c>
      <c r="AI72" s="31" t="n">
        <v>7.124</v>
      </c>
      <c r="AJ72" s="31" t="n">
        <v>13.90002</v>
      </c>
      <c r="AK72" s="31" t="n">
        <v>5.575</v>
      </c>
      <c r="AL72" s="31" t="n">
        <v>8.86634</v>
      </c>
      <c r="AM72" s="31" t="n">
        <v>6.696</v>
      </c>
      <c r="AN72" s="31" t="n">
        <v>12.16038</v>
      </c>
      <c r="AO72" s="31" t="n">
        <v>6.034</v>
      </c>
      <c r="AP72" s="31" t="n">
        <v>6.3035346102836</v>
      </c>
      <c r="AQ72" s="36" t="n">
        <v>0.268286499629026</v>
      </c>
      <c r="AR72" s="36" t="n">
        <v>0.0721511528414215</v>
      </c>
      <c r="AS72" s="36" t="n">
        <v>0.790232253655759</v>
      </c>
      <c r="AT72" s="36" t="n">
        <v>0.315310697531516</v>
      </c>
      <c r="AU72" s="31" t="n">
        <v>0.728496843792448</v>
      </c>
      <c r="AV72" s="36" t="n">
        <v>0.14136</v>
      </c>
      <c r="AW72" s="31" t="n">
        <v>0.199568</v>
      </c>
      <c r="AX72" s="31" t="n">
        <v>0.011921</v>
      </c>
      <c r="AY72" s="31" t="n">
        <v>0.0219494838576551</v>
      </c>
      <c r="AZ72" s="31" t="n">
        <v>0.022542</v>
      </c>
      <c r="BA72" s="33" t="n">
        <v>57.107</v>
      </c>
      <c r="BB72" s="33" t="n">
        <v>25.816</v>
      </c>
      <c r="BC72" s="33" t="n">
        <v>113.01</v>
      </c>
      <c r="BD72" s="33"/>
      <c r="BE72" s="33"/>
      <c r="BF72" s="33" t="n">
        <v>0</v>
      </c>
      <c r="BG72" s="33"/>
      <c r="BH72" s="33"/>
      <c r="BI72" s="29"/>
      <c r="BJ72" s="33"/>
      <c r="BK72" s="33"/>
      <c r="BL72" s="33" t="n">
        <v>-1.088</v>
      </c>
      <c r="BM72" s="33" t="n">
        <v>4.681</v>
      </c>
      <c r="BN72" s="29" t="n">
        <v>11.087</v>
      </c>
      <c r="BO72" s="33" t="n">
        <v>0.333</v>
      </c>
      <c r="BP72" s="33" t="n">
        <v>0.438</v>
      </c>
      <c r="BQ72" s="29" t="n">
        <v>2024</v>
      </c>
      <c r="BR72" s="36" t="n">
        <v>15.59</v>
      </c>
      <c r="BS72" s="36" t="n">
        <v>0</v>
      </c>
      <c r="BT72" s="36" t="n">
        <v>1.4</v>
      </c>
      <c r="BU72" s="36" t="n">
        <v>2.7</v>
      </c>
      <c r="BV72" s="16" t="n">
        <f aca="false">F72*(1+N(H72)/100)*(1+N(I72)/100)^5</f>
        <v>138.125092234716</v>
      </c>
      <c r="BW72" s="16" t="n">
        <f aca="false">IF(N(G72)&gt;0,G72,F72)</f>
        <v>379.894</v>
      </c>
      <c r="BX72" s="12" t="n">
        <f aca="false">F72/BW72</f>
        <v>0.314756221472305</v>
      </c>
      <c r="BY72" s="13" t="n">
        <f aca="false">IF(ISNUMBER(K72),1,0)</f>
        <v>1</v>
      </c>
      <c r="BZ72" s="16" t="n">
        <f aca="false">IF(BY72=0,"",N(N72)+N(O72)+N(P72))</f>
        <v>14.8189846427315</v>
      </c>
      <c r="CA72" s="37" t="n">
        <f aca="false">IF(BY72=0,"",(N(Y72)*34.2+N(Z72)*38.6)/1000)</f>
        <v>0.123187211206552</v>
      </c>
      <c r="CB72" s="37" t="n">
        <f aca="false">IF(BY72=0,"",N(O72)*0.0036+N(R72)+N(V72)+(N(AA72)*25.3+N(AB72)*37)/1000)</f>
        <v>0.121907049970425</v>
      </c>
      <c r="CC72" s="37" t="n">
        <f aca="false">IF(BY72=0,"",N(N72)*0.0036+N(Q72)+N(U72)+N(T72)+N(X72)+N(AC72)*38/1000)</f>
        <v>0.0508442404731375</v>
      </c>
      <c r="CD72" s="37" t="n">
        <f aca="false">IF(BY72=0,"",N(Q72)+N(R72)+N(S72)+N(T72)+N(U72)+N(V72)+N(W72)+N(X72)+(N(Y72)*34.2+N(Z72)*38.6+N(AA72)*25.3+N(AB72)*37+N(AC72)*38)/1000)</f>
        <v>0.280284433796866</v>
      </c>
      <c r="CE72" s="16" t="n">
        <f aca="false">IF(BY72=0,"",MAX(0,N(L72)-N(K72))+MAX(0,N(M72)-N(L72)))</f>
        <v>93.586</v>
      </c>
      <c r="CF72" s="16" t="n">
        <f aca="false">IF(BY72=0,"",N(Y72)*N(AD72)+N(Z72)*N(AE72)+N(AA72)*N(AF72)+N(AB72)*N(AG72)+N(AC72)*N(AH72)+N(U72)*N(AI72)+N(V72)*N(AJ72)+N(W72)*N(AK72)+N(X72)*N(AL72)+N(Q72)*N(AM72)+N(R72)*N(AN72)+N(S72)*N(AO72)+N(T72)*N(AP72))</f>
        <v>5.1231451704024</v>
      </c>
      <c r="CG72" s="16" t="n">
        <f aca="false">IF(AND(BY72=1,N(K72)&gt;0),K72,0)</f>
        <v>19.873</v>
      </c>
      <c r="CH72" s="16" t="n">
        <f aca="false">IF(CG72&gt;0,CF72*1000/CG72,"")</f>
        <v>257.79425202045</v>
      </c>
      <c r="CI72" s="16" t="n">
        <f aca="false">IF(BY72=0,"",N(AQ72)+p_road*(N(AR72)+N(AS72)+N(AT72)))</f>
        <v>0.268286499629026</v>
      </c>
      <c r="CJ72" s="16" t="n">
        <f aca="false">IF(CG72&gt;0,CI72*1000/CG72,"")</f>
        <v>13.5000503008618</v>
      </c>
      <c r="CK72" s="12" t="n">
        <f aca="false">IF(CH72="",1,MIN(p_idx_max,MAX(p_idx_min,CH72/p_fc_world)))</f>
        <v>1.60113349182932</v>
      </c>
      <c r="CL72" s="12" t="n">
        <f aca="false">IF(CJ72="",1,MIN(p_idx_max,MAX(p_idx_min,CJ72/p_cb_world)))</f>
        <v>0.25669987245308</v>
      </c>
      <c r="CM72" s="37" t="n">
        <f aca="false">p_b*(1-p_wb_idx+p_wb_idx*CK72)</f>
        <v>0.212950754413299</v>
      </c>
      <c r="CN72" s="37" t="n">
        <f aca="false">p_c*(1-p_wc_idx+p_wc_idx*CL72)</f>
        <v>0.0331142835464474</v>
      </c>
      <c r="CO72" s="28" t="n">
        <f aca="false">IF(N(BR72)&gt;0,(N(BS72)+N(BT72)+N(BU72))/BR72,"")</f>
        <v>0.262989095574086</v>
      </c>
      <c r="CP72" s="16" t="n">
        <f aca="false">N(BS72)+N(BT72)+N(BU72)</f>
        <v>4.1</v>
      </c>
      <c r="CQ72" s="28" t="n">
        <f aca="false">IF(CP72&gt;0,N(BS72)/CP72,"")</f>
        <v>0</v>
      </c>
      <c r="CR72" s="28" t="n">
        <f aca="false">IF(CP72&gt;0,N(BT72)/CP72,"")</f>
        <v>0.341463414634146</v>
      </c>
      <c r="CS72" s="28" t="n">
        <f aca="false">IF(CP72&gt;0,N(BU72)/CP72,"")</f>
        <v>0.658536585365854</v>
      </c>
      <c r="CT72" s="7" t="n">
        <f aca="false">1000*(p_sh_pv*p_cf_pv/p_capex_pv+(1-p_sh_pv)*p_cf_wind/p_capex_wind)*8760</f>
        <v>2301.28856624319</v>
      </c>
      <c r="CU72" s="13" t="n">
        <f aca="false">IF(AND(ISNUMBER(CO72),ISNUMBER(CQ72),BY72=1),1,0)</f>
        <v>1</v>
      </c>
      <c r="CV72" s="16" t="n">
        <f aca="false">IF(CU72=0,"",CQ72*p_hr_coal*N(AK72)+CR72*p_hr_gas*N(AO72)+CS72*p_hr_oil*N(AH72)/p_gj_l_oil)</f>
        <v>108.507223465212</v>
      </c>
      <c r="CW72" s="37" t="n">
        <f aca="false">IF(CU72=0,"",CQ72*p_hr_coal*p_ef_coal+CR72*p_hr_gas*p_ef_gas+CS72*p_hr_oil*p_ef_oil)</f>
        <v>0.678863414634146</v>
      </c>
      <c r="CX72" s="16" t="n">
        <f aca="false">IF(CU72=0,"",CQ72*p_hr_coal*N(AW72)+CR72*p_hr_gas*N(AX72)+CS72*p_hr_oil*N(AY72)/p_gj_l_oil)</f>
        <v>3.96246334300848</v>
      </c>
      <c r="CY72" s="37" t="n">
        <f aca="false">IF(CU72=0,"",CO72*CW72)</f>
        <v>0.17853367543297</v>
      </c>
      <c r="CZ72" s="37" t="n">
        <f aca="false">IF(CU72=0,"",CT72*CO72*CV72/1000/1000-p_om_re)</f>
        <v>0.0506700688988249</v>
      </c>
      <c r="DA72" s="37" t="n">
        <f aca="false">IF(CU72=0,"",CT72*CO72*CX72/1000/1000)</f>
        <v>0.00239813749199712</v>
      </c>
      <c r="DB72" s="37" t="n">
        <f aca="false">IF(CU72=0,"",CT72*CO72*CW72/1000)</f>
        <v>0.410857505963267</v>
      </c>
      <c r="DC72" s="13" t="n">
        <f aca="false">IF(AND(CU72=1,ISNUMBER(AD72),ISNUMBER(AV72)),1,0)</f>
        <v>1</v>
      </c>
      <c r="DD72" s="7" t="n">
        <f aca="false">IF(DC72=0,"",p_ev_km*p_ice_l/100*AD72-p_ev_km*p_ev_kwh*AV72+p_ev_km*p_ev_maint)</f>
        <v>717.782625</v>
      </c>
      <c r="DE72" s="37" t="n">
        <f aca="false">IF(DC72=0,"",DD72/p_ev_prem)</f>
        <v>0.143556525</v>
      </c>
      <c r="DF72" s="37" t="n">
        <f aca="false">IF(DC72=0,"",p_ev_km*p_ice_l/100*N(AZ72)/p_ev_prem)</f>
        <v>0.00507195</v>
      </c>
      <c r="DG72" s="37" t="n">
        <f aca="false">IF(DC72=0,"",1000/p_ev_prem*(p_ev_km*p_ice_l/100*p_gj_l_gso*p_ef_gso-p_ev_km*p_ev_kwh/1000*CY72))</f>
        <v>0.436855315266196</v>
      </c>
      <c r="DH72" s="11" t="str">
        <f aca="false">IFERROR(IF(INDEX(Damodaran!$D:$D,MATCH(A72,Damodaran!$A:$A,0))="","",INDEX(Damodaran!$D:$D,MATCH(A72,Damodaran!$A:$A,0))),"")</f>
        <v/>
      </c>
      <c r="DI72" s="11" t="str">
        <f aca="false">IFERROR(IF(INDEX(Damodaran!$E:$E,MATCH(A72,Damodaran!$A:$A,0))="","",INDEX(Damodaran!$E:$E,MATCH(A72,Damodaran!$A:$A,0))),"")</f>
        <v/>
      </c>
      <c r="DJ72" s="11" t="str">
        <f aca="false">IFERROR(IF(INDEX(Damodaran!$G:$G,MATCH(A72,Damodaran!$A:$A,0))="","",INDEX(Damodaran!$G:$G,MATCH(A72,Damodaran!$A:$A,0))),"")</f>
        <v/>
      </c>
      <c r="DK72" s="11" t="str">
        <f aca="false">IF(ISNUMBER(BG72),(1+BG72/100)*(1+p_infl)-1,"")</f>
        <v/>
      </c>
      <c r="DL72" s="11" t="str">
        <f aca="false">IF(ISNUMBER(BH72),BH72/100,"")</f>
        <v/>
      </c>
      <c r="DM72" s="11" t="str">
        <f aca="false">IF(COUNT(DK72,DL72)=0,"",AVERAGE(DK72,DL72))</f>
        <v/>
      </c>
      <c r="DN72" s="11" t="str">
        <f aca="false">IF(OR(DH72="",DI72=""),"",p_dv*(p_rf+DH72)*(1-IF(DJ72="",p_tax_def,DJ72))+(1-p_dv)*(p_rf+p_beta*p_erp+p_lambda*DI72))</f>
        <v/>
      </c>
      <c r="DO72" s="13" t="n">
        <f aca="false">IF(AND(ISNUMBER(DM72),ISNUMBER(DN72)),1,0)</f>
        <v>0</v>
      </c>
      <c r="DP72" s="11" t="n">
        <f aca="false">IF(DO72=1,DM72,0)</f>
        <v>0</v>
      </c>
      <c r="DQ72" s="11" t="n">
        <f aca="false">IF(DO72=1,DN72,0)</f>
        <v>0</v>
      </c>
      <c r="DR72" s="11" t="str">
        <f aca="false">IF(DN72="","",DN72+p_shift)</f>
        <v/>
      </c>
      <c r="DS72" s="11" t="n">
        <f aca="false">IF(E72="AE",p_r_ae,IF(E72="China",p_r_chn,p_r_emdc))</f>
        <v>0.105</v>
      </c>
      <c r="DT72" s="11" t="n">
        <f aca="false">IF(E72="AE",p_rh_ae,IF(E72="China",p_rh_chn,p_rh_emdc))</f>
        <v>0.15</v>
      </c>
      <c r="DU72" s="11" t="n">
        <f aca="false">IF(AND(p_use_obs=1,ISNUMBER(DM72)),DM72,IF(AND(p_use_dam=1,ISNUMBER(DR72)),DR72,DS72))</f>
        <v>0.105</v>
      </c>
      <c r="DV72" s="6" t="str">
        <f aca="false">IF(AND(p_use_obs=1,ISNUMBER(DM72)),"Observed (IRENA/Steffen)",IF(AND(p_use_dam=1,ISNUMBER(DR72)),"Damodaran (eq. 5)","Group default (IHLEG)"))</f>
        <v>Group default (IHLEG)</v>
      </c>
      <c r="DW72" s="11" t="n">
        <f aca="false">IF(p_basis=1,(1+DU72)/(1+p_infl)-1,DU72)</f>
        <v>0.105</v>
      </c>
      <c r="DX72" s="11" t="n">
        <f aca="false">DW72+(DT72-DS72)</f>
        <v>0.15</v>
      </c>
      <c r="DY72" s="28" t="n">
        <f aca="false">IF(AND(p_use_pefa=1,ISNUMBER(BD72)),p_gap_lic-(BD72-1)/3*(p_gap_lic-p_gap_ae),IF(E72="AE",p_gap_ae,IF(D72="Low income",p_gap_lic,p_gap_em)))*(1-p_reform*p_reform_close)</f>
        <v>0.27</v>
      </c>
      <c r="DZ72" s="6" t="str">
        <f aca="false">IF(AND(p_use_pefa=1,ISNUMBER(BD72)),"PEFA PI-11","Income-group default (IMF 2015)")</f>
        <v>Income-group default (IMF 2015)</v>
      </c>
      <c r="EA72" s="28" t="n">
        <f aca="false">IF(E72="AE",p_ps_ae,IF(E72="China",p_ps_chn,p_ps_emdc))</f>
        <v>0.4</v>
      </c>
      <c r="EB72" s="37" t="n">
        <f aca="false">(1-EA72)+EA72/(1-DY72)</f>
        <v>1.14794520547945</v>
      </c>
      <c r="EC72" s="16" t="n">
        <f aca="false">Results_Country!F72</f>
        <v>7.32598825276106</v>
      </c>
      <c r="ED72" s="16" t="n">
        <f aca="false">IF(CH72="",0,CH72*EC72)</f>
        <v>1888.59766193114</v>
      </c>
      <c r="EE72" s="16" t="n">
        <f aca="false">IF(CJ72="",0,CJ72*EC72)</f>
        <v>98.9012099157967</v>
      </c>
      <c r="EF72" s="16" t="n">
        <f aca="false">IF(CH72="",0,EC72)</f>
        <v>7.32598825276106</v>
      </c>
    </row>
    <row r="73" customFormat="false" ht="15" hidden="false" customHeight="false" outlineLevel="0" collapsed="false">
      <c r="A73" s="35" t="s">
        <v>903</v>
      </c>
      <c r="B73" s="35" t="s">
        <v>904</v>
      </c>
      <c r="C73" s="35" t="s">
        <v>847</v>
      </c>
      <c r="D73" s="35" t="s">
        <v>771</v>
      </c>
      <c r="E73" s="35" t="s">
        <v>31</v>
      </c>
      <c r="F73" s="36" t="n">
        <v>119.307</v>
      </c>
      <c r="G73" s="36" t="n">
        <v>375.492</v>
      </c>
      <c r="H73" s="33" t="n">
        <v>4.88</v>
      </c>
      <c r="I73" s="33" t="n">
        <v>4.474</v>
      </c>
      <c r="J73" s="36" t="n">
        <v>56.432944</v>
      </c>
      <c r="K73" s="36" t="n">
        <v>22.398</v>
      </c>
      <c r="L73" s="36" t="n">
        <v>119.389</v>
      </c>
      <c r="M73" s="36" t="n">
        <v>111.817</v>
      </c>
      <c r="N73" s="36" t="n">
        <v>9.19608027896649</v>
      </c>
      <c r="O73" s="36" t="n">
        <v>5.04915151363353</v>
      </c>
      <c r="P73" s="36" t="n">
        <v>0</v>
      </c>
      <c r="Q73" s="31" t="n">
        <v>0</v>
      </c>
      <c r="R73" s="31" t="n">
        <v>0</v>
      </c>
      <c r="S73" s="31" t="n">
        <v>0</v>
      </c>
      <c r="T73" s="31" t="n">
        <v>0</v>
      </c>
      <c r="U73" s="31" t="n">
        <v>0.0270017532762972</v>
      </c>
      <c r="V73" s="31" t="n">
        <v>0</v>
      </c>
      <c r="W73" s="31" t="n">
        <v>0</v>
      </c>
      <c r="X73" s="31" t="n">
        <v>0</v>
      </c>
      <c r="Y73" s="36" t="n">
        <v>2.01707619018514</v>
      </c>
      <c r="Z73" s="36" t="n">
        <v>2.70200639873662</v>
      </c>
      <c r="AA73" s="36" t="n">
        <v>0.635267089852885</v>
      </c>
      <c r="AB73" s="36" t="n">
        <v>0.148003532189863</v>
      </c>
      <c r="AC73" s="36" t="n">
        <v>0.869189468592833</v>
      </c>
      <c r="AD73" s="31" t="n">
        <v>0.746579</v>
      </c>
      <c r="AE73" s="31" t="n">
        <v>0.79089</v>
      </c>
      <c r="AF73" s="31" t="n">
        <v>0.581838</v>
      </c>
      <c r="AG73" s="31" t="n">
        <v>0.739939</v>
      </c>
      <c r="AH73" s="31" t="n">
        <v>0.519462891908447</v>
      </c>
      <c r="AI73" s="31" t="n">
        <v>7.124</v>
      </c>
      <c r="AJ73" s="31" t="n">
        <v>14.14388</v>
      </c>
      <c r="AK73" s="31" t="n">
        <v>5.575</v>
      </c>
      <c r="AL73" s="31" t="n">
        <v>7.124</v>
      </c>
      <c r="AM73" s="31" t="n">
        <v>10.154</v>
      </c>
      <c r="AN73" s="31" t="n">
        <v>20.99136</v>
      </c>
      <c r="AO73" s="31" t="n">
        <v>8.831</v>
      </c>
      <c r="AP73" s="31" t="n">
        <v>13.3254533333333</v>
      </c>
      <c r="AQ73" s="36" t="n">
        <v>0.0497575016070259</v>
      </c>
      <c r="AR73" s="36" t="n">
        <v>0.00551073028065276</v>
      </c>
      <c r="AS73" s="36" t="n">
        <v>0.0279491000862149</v>
      </c>
      <c r="AT73" s="36" t="n">
        <v>0.0908512753730777</v>
      </c>
      <c r="AU73" s="31" t="n">
        <v>0.876924737645693</v>
      </c>
      <c r="AV73" s="36" t="n">
        <v>0.150104</v>
      </c>
      <c r="AW73" s="31" t="n">
        <v>0.073078</v>
      </c>
      <c r="AX73" s="31" t="n">
        <v>0.000171</v>
      </c>
      <c r="AY73" s="31" t="n">
        <v>0.0960911924827247</v>
      </c>
      <c r="AZ73" s="31" t="n">
        <v>0.009747</v>
      </c>
      <c r="BA73" s="33" t="n">
        <v>67.338</v>
      </c>
      <c r="BB73" s="33" t="n">
        <v>29.979</v>
      </c>
      <c r="BC73" s="33" t="n">
        <v>63.298</v>
      </c>
      <c r="BD73" s="33" t="n">
        <v>2.5</v>
      </c>
      <c r="BE73" s="33" t="n">
        <v>2</v>
      </c>
      <c r="BF73" s="33" t="n">
        <v>1</v>
      </c>
      <c r="BG73" s="33" t="n">
        <v>8.4</v>
      </c>
      <c r="BH73" s="33" t="n">
        <v>8.75</v>
      </c>
      <c r="BI73" s="29" t="n">
        <v>2022</v>
      </c>
      <c r="BJ73" s="33" t="n">
        <v>3</v>
      </c>
      <c r="BK73" s="33" t="n">
        <v>1</v>
      </c>
      <c r="BL73" s="33" t="n">
        <v>6.256</v>
      </c>
      <c r="BM73" s="33" t="n">
        <v>9.47</v>
      </c>
      <c r="BN73" s="29" t="n">
        <v>18.211</v>
      </c>
      <c r="BO73" s="33" t="n">
        <v>1.415</v>
      </c>
      <c r="BP73" s="33" t="n">
        <v>0.195</v>
      </c>
      <c r="BQ73" s="29" t="n">
        <v>2025</v>
      </c>
      <c r="BR73" s="36" t="n">
        <v>14.04</v>
      </c>
      <c r="BS73" s="36" t="n">
        <v>0</v>
      </c>
      <c r="BT73" s="36" t="n">
        <v>0</v>
      </c>
      <c r="BU73" s="36" t="n">
        <v>1.39</v>
      </c>
      <c r="BV73" s="16" t="n">
        <f aca="false">F73*(1+N(H73)/100)*(1+N(I73)/100)^5</f>
        <v>155.739837947915</v>
      </c>
      <c r="BW73" s="16" t="n">
        <f aca="false">IF(N(G73)&gt;0,G73,F73)</f>
        <v>375.492</v>
      </c>
      <c r="BX73" s="12" t="n">
        <f aca="false">F73/BW73</f>
        <v>0.317735131507462</v>
      </c>
      <c r="BY73" s="13" t="n">
        <f aca="false">IF(ISNUMBER(K73),1,0)</f>
        <v>1</v>
      </c>
      <c r="BZ73" s="16" t="n">
        <f aca="false">IF(BY73=0,"",N(N73)+N(O73)+N(P73))</f>
        <v>14.2452317926</v>
      </c>
      <c r="CA73" s="37" t="n">
        <f aca="false">IF(BY73=0,"",(N(Y73)*34.2+N(Z73)*38.6)/1000)</f>
        <v>0.173281452695566</v>
      </c>
      <c r="CB73" s="37" t="n">
        <f aca="false">IF(BY73=0,"",N(O73)*0.0036+N(R73)+N(V73)+(N(AA73)*25.3+N(AB73)*37)/1000)</f>
        <v>0.0397253335133836</v>
      </c>
      <c r="CC73" s="37" t="n">
        <f aca="false">IF(BY73=0,"",N(N73)*0.0036+N(Q73)+N(U73)+N(T73)+N(X73)+N(AC73)*38/1000)</f>
        <v>0.0931368420871042</v>
      </c>
      <c r="CD73" s="37" t="n">
        <f aca="false">IF(BY73=0,"",N(Q73)+N(R73)+N(S73)+N(T73)+N(U73)+N(V73)+N(W73)+N(X73)+(N(Y73)*34.2+N(Z73)*38.6+N(AA73)*25.3+N(AB73)*37+N(AC73)*38)/1000)</f>
        <v>0.254860793842693</v>
      </c>
      <c r="CE73" s="16" t="n">
        <f aca="false">IF(BY73=0,"",MAX(0,N(L73)-N(K73))+MAX(0,N(M73)-N(L73)))</f>
        <v>96.991</v>
      </c>
      <c r="CF73" s="16" t="n">
        <f aca="false">IF(BY73=0,"",N(Y73)*N(AD73)+N(Z73)*N(AE73)+N(AA73)*N(AF73)+N(AB73)*N(AG73)+N(AC73)*N(AH73)+N(U73)*N(AI73)+N(V73)*N(AJ73)+N(W73)*N(AK73)+N(X73)*N(AL73)+N(Q73)*N(AM73)+N(R73)*N(AN73)+N(S73)*N(AO73)+N(T73)*N(AP73))</f>
        <v>4.76590484963184</v>
      </c>
      <c r="CG73" s="16" t="n">
        <f aca="false">IF(AND(BY73=1,N(K73)&gt;0),K73,0)</f>
        <v>22.398</v>
      </c>
      <c r="CH73" s="16" t="n">
        <f aca="false">IF(CG73&gt;0,CF73*1000/CG73,"")</f>
        <v>212.78260780569</v>
      </c>
      <c r="CI73" s="16" t="n">
        <f aca="false">IF(BY73=0,"",N(AQ73)+p_road*(N(AR73)+N(AS73)+N(AT73)))</f>
        <v>0.0497575016070259</v>
      </c>
      <c r="CJ73" s="16" t="n">
        <f aca="false">IF(CG73&gt;0,CI73*1000/CG73,"")</f>
        <v>2.22151538561594</v>
      </c>
      <c r="CK73" s="12" t="n">
        <f aca="false">IF(CH73="",1,MIN(p_idx_max,MAX(p_idx_min,CH73/p_fc_world)))</f>
        <v>1.3215708153549</v>
      </c>
      <c r="CL73" s="12" t="n">
        <f aca="false">IF(CJ73="",1,MIN(p_idx_max,MAX(p_idx_min,CJ73/p_cb_world)))</f>
        <v>0.25</v>
      </c>
      <c r="CM73" s="37" t="n">
        <f aca="false">p_b*(1-p_wb_idx+p_wb_idx*CK73)</f>
        <v>0.175768918442202</v>
      </c>
      <c r="CN73" s="37" t="n">
        <f aca="false">p_c*(1-p_wc_idx+p_wc_idx*CL73)</f>
        <v>0.03225</v>
      </c>
      <c r="CO73" s="28" t="n">
        <f aca="false">IF(N(BR73)&gt;0,(N(BS73)+N(BT73)+N(BU73))/BR73,"")</f>
        <v>0.099002849002849</v>
      </c>
      <c r="CP73" s="16" t="n">
        <f aca="false">N(BS73)+N(BT73)+N(BU73)</f>
        <v>1.39</v>
      </c>
      <c r="CQ73" s="28" t="n">
        <f aca="false">IF(CP73&gt;0,N(BS73)/CP73,"")</f>
        <v>0</v>
      </c>
      <c r="CR73" s="28" t="n">
        <f aca="false">IF(CP73&gt;0,N(BT73)/CP73,"")</f>
        <v>0</v>
      </c>
      <c r="CS73" s="28" t="n">
        <f aca="false">IF(CP73&gt;0,N(BU73)/CP73,"")</f>
        <v>1</v>
      </c>
      <c r="CT73" s="7" t="n">
        <f aca="false">1000*(p_sh_pv*p_cf_pv/p_capex_pv+(1-p_sh_pv)*p_cf_wind/p_capex_wind)*8760</f>
        <v>2301.28856624319</v>
      </c>
      <c r="CU73" s="13" t="n">
        <f aca="false">IF(AND(ISNUMBER(CO73),ISNUMBER(CQ73),BY73=1),1,0)</f>
        <v>1</v>
      </c>
      <c r="CV73" s="16" t="n">
        <f aca="false">IF(CU73=0,"",CQ73*p_hr_coal*N(AK73)+CR73*p_hr_gas*N(AO73)+CS73*p_hr_oil*N(AH73)/p_gj_l_oil)</f>
        <v>141.304672669396</v>
      </c>
      <c r="CW73" s="37" t="n">
        <f aca="false">IF(CU73=0,"",CQ73*p_hr_coal*p_ef_coal+CR73*p_hr_gas*p_ef_gas+CS73*p_hr_oil*p_ef_oil)</f>
        <v>0.8127</v>
      </c>
      <c r="CX73" s="16" t="n">
        <f aca="false">IF(CU73=0,"",CQ73*p_hr_coal*N(AW73)+CR73*p_hr_gas*N(AX73)+CS73*p_hr_oil*N(AY73)/p_gj_l_oil)</f>
        <v>26.1387958826065</v>
      </c>
      <c r="CY73" s="37" t="n">
        <f aca="false">IF(CU73=0,"",CO73*CW73)</f>
        <v>0.0804596153846154</v>
      </c>
      <c r="CZ73" s="37" t="n">
        <f aca="false">IF(CU73=0,"",CT73*CO73*CV73/1000/1000-p_om_re)</f>
        <v>0.0171940263763132</v>
      </c>
      <c r="DA73" s="37" t="n">
        <f aca="false">IF(CU73=0,"",CT73*CO73*CX73/1000/1000)</f>
        <v>0.00595530967371863</v>
      </c>
      <c r="DB73" s="37" t="n">
        <f aca="false">IF(CU73=0,"",CT73*CO73*CW73/1000)</f>
        <v>0.18516079292894</v>
      </c>
      <c r="DC73" s="13" t="n">
        <f aca="false">IF(AND(CU73=1,ISNUMBER(AD73),ISNUMBER(AV73)),1,0)</f>
        <v>1</v>
      </c>
      <c r="DD73" s="7" t="n">
        <f aca="false">IF(DC73=0,"",p_ev_km*p_ice_l/100*AD73-p_ev_km*p_ev_kwh*AV73+p_ev_km*p_ev_maint)</f>
        <v>614.620575</v>
      </c>
      <c r="DE73" s="37" t="n">
        <f aca="false">IF(DC73=0,"",DD73/p_ev_prem)</f>
        <v>0.122924115</v>
      </c>
      <c r="DF73" s="37" t="n">
        <f aca="false">IF(DC73=0,"",p_ev_km*p_ice_l/100*N(AZ73)/p_ev_prem)</f>
        <v>0.002193075</v>
      </c>
      <c r="DG73" s="37" t="n">
        <f aca="false">IF(DC73=0,"",1000/p_ev_prem*(p_ev_km*p_ice_l/100*p_gj_l_gso*p_ef_gso-p_ev_km*p_ev_kwh/1000*CY73))</f>
        <v>0.489815307692308</v>
      </c>
      <c r="DH73" s="11" t="str">
        <f aca="false">IFERROR(IF(INDEX(Damodaran!$D:$D,MATCH(A73,Damodaran!$A:$A,0))="","",INDEX(Damodaran!$D:$D,MATCH(A73,Damodaran!$A:$A,0))),"")</f>
        <v/>
      </c>
      <c r="DI73" s="11" t="str">
        <f aca="false">IFERROR(IF(INDEX(Damodaran!$E:$E,MATCH(A73,Damodaran!$A:$A,0))="","",INDEX(Damodaran!$E:$E,MATCH(A73,Damodaran!$A:$A,0))),"")</f>
        <v/>
      </c>
      <c r="DJ73" s="11" t="str">
        <f aca="false">IFERROR(IF(INDEX(Damodaran!$G:$G,MATCH(A73,Damodaran!$A:$A,0))="","",INDEX(Damodaran!$G:$G,MATCH(A73,Damodaran!$A:$A,0))),"")</f>
        <v/>
      </c>
      <c r="DK73" s="11" t="n">
        <f aca="false">IF(ISNUMBER(BG73),(1+BG73/100)*(1+p_infl)-1,"")</f>
        <v>0.10568</v>
      </c>
      <c r="DL73" s="11" t="n">
        <f aca="false">IF(ISNUMBER(BH73),BH73/100,"")</f>
        <v>0.0875</v>
      </c>
      <c r="DM73" s="11" t="n">
        <f aca="false">IF(COUNT(DK73,DL73)=0,"",AVERAGE(DK73,DL73))</f>
        <v>0.09659</v>
      </c>
      <c r="DN73" s="11" t="str">
        <f aca="false">IF(OR(DH73="",DI73=""),"",p_dv*(p_rf+DH73)*(1-IF(DJ73="",p_tax_def,DJ73))+(1-p_dv)*(p_rf+p_beta*p_erp+p_lambda*DI73))</f>
        <v/>
      </c>
      <c r="DO73" s="13" t="n">
        <f aca="false">IF(AND(ISNUMBER(DM73),ISNUMBER(DN73)),1,0)</f>
        <v>0</v>
      </c>
      <c r="DP73" s="11" t="n">
        <f aca="false">IF(DO73=1,DM73,0)</f>
        <v>0</v>
      </c>
      <c r="DQ73" s="11" t="n">
        <f aca="false">IF(DO73=1,DN73,0)</f>
        <v>0</v>
      </c>
      <c r="DR73" s="11" t="str">
        <f aca="false">IF(DN73="","",DN73+p_shift)</f>
        <v/>
      </c>
      <c r="DS73" s="11" t="n">
        <f aca="false">IF(E73="AE",p_r_ae,IF(E73="China",p_r_chn,p_r_emdc))</f>
        <v>0.105</v>
      </c>
      <c r="DT73" s="11" t="n">
        <f aca="false">IF(E73="AE",p_rh_ae,IF(E73="China",p_rh_chn,p_rh_emdc))</f>
        <v>0.15</v>
      </c>
      <c r="DU73" s="11" t="n">
        <f aca="false">IF(AND(p_use_obs=1,ISNUMBER(DM73)),DM73,IF(AND(p_use_dam=1,ISNUMBER(DR73)),DR73,DS73))</f>
        <v>0.09659</v>
      </c>
      <c r="DV73" s="6" t="str">
        <f aca="false">IF(AND(p_use_obs=1,ISNUMBER(DM73)),"Observed (IRENA/Steffen)",IF(AND(p_use_dam=1,ISNUMBER(DR73)),"Damodaran (eq. 5)","Group default (IHLEG)"))</f>
        <v>Observed (IRENA/Steffen)</v>
      </c>
      <c r="DW73" s="11" t="n">
        <f aca="false">IF(p_basis=1,(1+DU73)/(1+p_infl)-1,DU73)</f>
        <v>0.09659</v>
      </c>
      <c r="DX73" s="11" t="n">
        <f aca="false">DW73+(DT73-DS73)</f>
        <v>0.14159</v>
      </c>
      <c r="DY73" s="28" t="n">
        <f aca="false">IF(AND(p_use_pefa=1,ISNUMBER(BD73)),p_gap_lic-(BD73-1)/3*(p_gap_lic-p_gap_ae),IF(E73="AE",p_gap_ae,IF(D73="Low income",p_gap_lic,p_gap_em)))*(1-p_reform*p_reform_close)</f>
        <v>0.265</v>
      </c>
      <c r="DZ73" s="6" t="str">
        <f aca="false">IF(AND(p_use_pefa=1,ISNUMBER(BD73)),"PEFA PI-11","Income-group default (IMF 2015)")</f>
        <v>PEFA PI-11</v>
      </c>
      <c r="EA73" s="28" t="n">
        <f aca="false">IF(E73="AE",p_ps_ae,IF(E73="China",p_ps_chn,p_ps_emdc))</f>
        <v>0.4</v>
      </c>
      <c r="EB73" s="37" t="n">
        <f aca="false">(1-EA73)+EA73/(1-DY73)</f>
        <v>1.14421768707483</v>
      </c>
      <c r="EC73" s="16" t="n">
        <f aca="false">Results_Country!F73</f>
        <v>7.24678565058438</v>
      </c>
      <c r="ED73" s="16" t="n">
        <f aca="false">IF(CH73="",0,CH73*EC73)</f>
        <v>1541.9899489402</v>
      </c>
      <c r="EE73" s="16" t="n">
        <f aca="false">IF(CJ73="",0,CJ73*EC73)</f>
        <v>16.098845819034</v>
      </c>
      <c r="EF73" s="16" t="n">
        <f aca="false">IF(CH73="",0,EC73)</f>
        <v>7.24678565058438</v>
      </c>
    </row>
    <row r="74" customFormat="false" ht="15" hidden="false" customHeight="false" outlineLevel="0" collapsed="false">
      <c r="A74" s="35" t="s">
        <v>905</v>
      </c>
      <c r="B74" s="35" t="s">
        <v>906</v>
      </c>
      <c r="C74" s="35" t="s">
        <v>766</v>
      </c>
      <c r="D74" s="35" t="s">
        <v>760</v>
      </c>
      <c r="E74" s="35" t="s">
        <v>31</v>
      </c>
      <c r="F74" s="36" t="n">
        <v>113.364</v>
      </c>
      <c r="G74" s="36" t="n">
        <v>252.921</v>
      </c>
      <c r="H74" s="33" t="n">
        <v>3.096</v>
      </c>
      <c r="I74" s="33" t="n">
        <v>2.773</v>
      </c>
      <c r="J74" s="36" t="n">
        <v>6.757688</v>
      </c>
      <c r="K74" s="36" t="n">
        <v>47.89</v>
      </c>
      <c r="L74" s="36" t="n">
        <v>59.772</v>
      </c>
      <c r="M74" s="36" t="n">
        <v>50.266</v>
      </c>
      <c r="N74" s="36" t="n">
        <v>22.4695141194762</v>
      </c>
      <c r="O74" s="36" t="n">
        <v>14.4913431664639</v>
      </c>
      <c r="P74" s="36" t="n">
        <v>0.535914421455398</v>
      </c>
      <c r="Q74" s="31" t="n">
        <v>0.0671526087661582</v>
      </c>
      <c r="R74" s="31" t="n">
        <v>0.0226537834291819</v>
      </c>
      <c r="S74" s="31" t="n">
        <v>0.0938007860994583</v>
      </c>
      <c r="T74" s="31" t="n">
        <v>0.00525834270338268</v>
      </c>
      <c r="U74" s="31" t="n">
        <v>0.0137719910879291</v>
      </c>
      <c r="V74" s="31" t="n">
        <v>0.00745698056303182</v>
      </c>
      <c r="W74" s="31" t="n">
        <v>0.159203634567418</v>
      </c>
      <c r="X74" s="31" t="n">
        <v>0</v>
      </c>
      <c r="Y74" s="36" t="n">
        <v>0.713446713601271</v>
      </c>
      <c r="Z74" s="36" t="n">
        <v>3.21241519988956</v>
      </c>
      <c r="AA74" s="36" t="n">
        <v>0.812127901984259</v>
      </c>
      <c r="AB74" s="36" t="n">
        <v>0.00660216930473045</v>
      </c>
      <c r="AC74" s="36" t="n">
        <v>0.966005802010758</v>
      </c>
      <c r="AD74" s="31" t="n">
        <v>0.868783</v>
      </c>
      <c r="AE74" s="31" t="n">
        <v>0.807908</v>
      </c>
      <c r="AF74" s="31" t="n">
        <v>0.517678</v>
      </c>
      <c r="AG74" s="31" t="n">
        <v>0.591</v>
      </c>
      <c r="AH74" s="31" t="n">
        <v>0.519462891908447</v>
      </c>
      <c r="AI74" s="31" t="n">
        <v>6.545</v>
      </c>
      <c r="AJ74" s="31" t="n">
        <v>6.7128</v>
      </c>
      <c r="AK74" s="31" t="n">
        <v>6.181</v>
      </c>
      <c r="AL74" s="31" t="n">
        <v>6.23076166563021</v>
      </c>
      <c r="AM74" s="31" t="n">
        <v>12.466</v>
      </c>
      <c r="AN74" s="31" t="n">
        <v>19.4856</v>
      </c>
      <c r="AO74" s="31" t="n">
        <v>12.466</v>
      </c>
      <c r="AP74" s="31" t="n">
        <v>13.3320908556863</v>
      </c>
      <c r="AQ74" s="36" t="n">
        <v>3.23402194744371</v>
      </c>
      <c r="AR74" s="36" t="n">
        <v>0.269540678917314</v>
      </c>
      <c r="AS74" s="36" t="n">
        <v>0.313330811082123</v>
      </c>
      <c r="AT74" s="36" t="n">
        <v>0.564791020426998</v>
      </c>
      <c r="AU74" s="31" t="n">
        <v>0.351935120790977</v>
      </c>
      <c r="AV74" s="36" t="n">
        <v>0.10998</v>
      </c>
      <c r="AW74" s="31" t="n">
        <v>3.687729</v>
      </c>
      <c r="AX74" s="31" t="n">
        <v>0.000445</v>
      </c>
      <c r="AY74" s="31" t="n">
        <v>0.615460412325085</v>
      </c>
      <c r="AZ74" s="31" t="n">
        <v>0.073488</v>
      </c>
      <c r="BA74" s="33" t="n">
        <v>23.84</v>
      </c>
      <c r="BB74" s="33" t="n">
        <v>0.739</v>
      </c>
      <c r="BC74" s="33" t="n">
        <v>59.428</v>
      </c>
      <c r="BD74" s="33"/>
      <c r="BE74" s="33"/>
      <c r="BF74" s="33" t="n">
        <v>0</v>
      </c>
      <c r="BG74" s="33"/>
      <c r="BH74" s="33" t="n">
        <v>9.11</v>
      </c>
      <c r="BI74" s="29" t="n">
        <v>2020</v>
      </c>
      <c r="BJ74" s="33" t="n">
        <v>1</v>
      </c>
      <c r="BK74" s="33"/>
      <c r="BL74" s="33"/>
      <c r="BM74" s="33"/>
      <c r="BN74" s="29"/>
      <c r="BO74" s="33"/>
      <c r="BP74" s="33" t="n">
        <v>0.383</v>
      </c>
      <c r="BQ74" s="29" t="n">
        <v>2025</v>
      </c>
      <c r="BR74" s="36" t="n">
        <v>37.98</v>
      </c>
      <c r="BS74" s="36" t="n">
        <v>8.55</v>
      </c>
      <c r="BT74" s="36" t="n">
        <v>1.85</v>
      </c>
      <c r="BU74" s="36" t="n">
        <v>0.26</v>
      </c>
      <c r="BV74" s="16" t="n">
        <f aca="false">F74*(1+N(H74)/100)*(1+N(I74)/100)^5</f>
        <v>134.002267396678</v>
      </c>
      <c r="BW74" s="16" t="n">
        <f aca="false">IF(N(G74)&gt;0,G74,F74)</f>
        <v>252.921</v>
      </c>
      <c r="BX74" s="12" t="n">
        <f aca="false">F74/BW74</f>
        <v>0.448219009097702</v>
      </c>
      <c r="BY74" s="13" t="n">
        <f aca="false">IF(ISNUMBER(K74),1,0)</f>
        <v>1</v>
      </c>
      <c r="BZ74" s="16" t="n">
        <f aca="false">IF(BY74=0,"",N(N74)+N(O74)+N(P74))</f>
        <v>37.4967717073956</v>
      </c>
      <c r="CA74" s="37" t="n">
        <f aca="false">IF(BY74=0,"",(N(Y74)*34.2+N(Z74)*38.6)/1000)</f>
        <v>0.148399104320901</v>
      </c>
      <c r="CB74" s="37" t="n">
        <f aca="false">IF(BY74=0,"",N(O74)*0.0036+N(R74)+N(V74)+(N(AA74)*25.3+N(AB74)*37)/1000)</f>
        <v>0.103070715575961</v>
      </c>
      <c r="CC74" s="37" t="n">
        <f aca="false">IF(BY74=0,"",N(N74)*0.0036+N(Q74)+N(U74)+N(T74)+N(X74)+N(AC74)*38/1000)</f>
        <v>0.203781413863993</v>
      </c>
      <c r="CD74" s="37" t="n">
        <f aca="false">IF(BY74=0,"",N(Q74)+N(R74)+N(S74)+N(T74)+N(U74)+N(V74)+N(W74)+N(X74)+(N(Y74)*34.2+N(Z74)*38.6+N(AA74)*25.3+N(AB74)*37+N(AC74)*38)/1000)</f>
        <v>0.575196568198346</v>
      </c>
      <c r="CE74" s="16" t="n">
        <f aca="false">IF(BY74=0,"",MAX(0,N(L74)-N(K74))+MAX(0,N(M74)-N(L74)))</f>
        <v>11.882</v>
      </c>
      <c r="CF74" s="16" t="n">
        <f aca="false">IF(BY74=0,"",N(Y74)*N(AD74)+N(Z74)*N(AE74)+N(AA74)*N(AF74)+N(AB74)*N(AG74)+N(AC74)*N(AH74)+N(U74)*N(AI74)+N(V74)*N(AJ74)+N(W74)*N(AK74)+N(X74)*N(AL74)+N(Q74)*N(AM74)+N(R74)*N(AN74)+N(S74)*N(AO74)+N(T74)*N(AP74))</f>
        <v>7.78349796461988</v>
      </c>
      <c r="CG74" s="16" t="n">
        <f aca="false">IF(AND(BY74=1,N(K74)&gt;0),K74,0)</f>
        <v>47.89</v>
      </c>
      <c r="CH74" s="16" t="n">
        <f aca="false">IF(CG74&gt;0,CF74*1000/CG74,"")</f>
        <v>162.52866912967</v>
      </c>
      <c r="CI74" s="16" t="n">
        <f aca="false">IF(BY74=0,"",N(AQ74)+p_road*(N(AR74)+N(AS74)+N(AT74)))</f>
        <v>3.23402194744371</v>
      </c>
      <c r="CJ74" s="16" t="n">
        <f aca="false">IF(CG74&gt;0,CI74*1000/CG74,"")</f>
        <v>67.5302139787787</v>
      </c>
      <c r="CK74" s="12" t="n">
        <f aca="false">IF(CH74="",1,MIN(p_idx_max,MAX(p_idx_min,CH74/p_fc_world)))</f>
        <v>1.00944878904948</v>
      </c>
      <c r="CL74" s="12" t="n">
        <f aca="false">IF(CJ74="",1,MIN(p_idx_max,MAX(p_idx_min,CJ74/p_cb_world)))</f>
        <v>1.28406909076295</v>
      </c>
      <c r="CM74" s="37" t="n">
        <f aca="false">p_b*(1-p_wb_idx+p_wb_idx*CK74)</f>
        <v>0.134256688943581</v>
      </c>
      <c r="CN74" s="37" t="n">
        <f aca="false">p_c*(1-p_wc_idx+p_wc_idx*CL74)</f>
        <v>0.165644912708421</v>
      </c>
      <c r="CO74" s="28" t="n">
        <f aca="false">IF(N(BR74)&gt;0,(N(BS74)+N(BT74)+N(BU74))/BR74,"")</f>
        <v>0.280674038967878</v>
      </c>
      <c r="CP74" s="16" t="n">
        <f aca="false">N(BS74)+N(BT74)+N(BU74)</f>
        <v>10.66</v>
      </c>
      <c r="CQ74" s="28" t="n">
        <f aca="false">IF(CP74&gt;0,N(BS74)/CP74,"")</f>
        <v>0.802063789868668</v>
      </c>
      <c r="CR74" s="28" t="n">
        <f aca="false">IF(CP74&gt;0,N(BT74)/CP74,"")</f>
        <v>0.173545966228893</v>
      </c>
      <c r="CS74" s="28" t="n">
        <f aca="false">IF(CP74&gt;0,N(BU74)/CP74,"")</f>
        <v>0.024390243902439</v>
      </c>
      <c r="CT74" s="7" t="n">
        <f aca="false">1000*(p_sh_pv*p_cf_pv/p_capex_pv+(1-p_sh_pv)*p_cf_wind/p_capex_wind)*8760</f>
        <v>2301.28856624319</v>
      </c>
      <c r="CU74" s="13" t="n">
        <f aca="false">IF(AND(ISNUMBER(CO74),ISNUMBER(CQ74),BY74=1),1,0)</f>
        <v>1</v>
      </c>
      <c r="CV74" s="16" t="n">
        <f aca="false">IF(CU74=0,"",CQ74*p_hr_coal*N(AK74)+CR74*p_hr_gas*N(AO74)+CS74*p_hr_oil*N(AH74)/p_gj_l_oil)</f>
        <v>69.2476983953136</v>
      </c>
      <c r="CW74" s="37" t="n">
        <f aca="false">IF(CU74=0,"",CQ74*p_hr_coal*p_ef_coal+CR74*p_hr_gas*p_ef_gas+CS74*p_hr_oil*p_ef_oil)</f>
        <v>0.851593761726079</v>
      </c>
      <c r="CX74" s="16" t="n">
        <f aca="false">IF(CU74=0,"",CQ74*p_hr_coal*N(AW74)+CR74*p_hr_gas*N(AX74)+CS74*p_hr_oil*N(AY74)/p_gj_l_oil)</f>
        <v>33.6618837434564</v>
      </c>
      <c r="CY74" s="37" t="n">
        <f aca="false">IF(CU74=0,"",CO74*CW74)</f>
        <v>0.239020260663507</v>
      </c>
      <c r="CZ74" s="37" t="n">
        <f aca="false">IF(CU74=0,"",CT74*CO74*CV74/1000/1000-p_om_re)</f>
        <v>0.02972791636874</v>
      </c>
      <c r="DA74" s="37" t="n">
        <f aca="false">IF(CU74=0,"",CT74*CO74*CX74/1000/1000)</f>
        <v>0.0217426131955523</v>
      </c>
      <c r="DB74" s="37" t="n">
        <f aca="false">IF(CU74=0,"",CT74*CO74*CW74/1000)</f>
        <v>0.550054592965397</v>
      </c>
      <c r="DC74" s="13" t="n">
        <f aca="false">IF(AND(CU74=1,ISNUMBER(AD74),ISNUMBER(AV74)),1,0)</f>
        <v>1</v>
      </c>
      <c r="DD74" s="7" t="n">
        <f aca="false">IF(DC74=0,"",p_ev_km*p_ice_l/100*AD74-p_ev_km*p_ev_kwh*AV74+p_ev_km*p_ev_maint)</f>
        <v>860.434875</v>
      </c>
      <c r="DE74" s="37" t="n">
        <f aca="false">IF(DC74=0,"",DD74/p_ev_prem)</f>
        <v>0.172086975</v>
      </c>
      <c r="DF74" s="37" t="n">
        <f aca="false">IF(DC74=0,"",p_ev_km*p_ice_l/100*N(AZ74)/p_ev_prem)</f>
        <v>0.0165348</v>
      </c>
      <c r="DG74" s="37" t="n">
        <f aca="false">IF(DC74=0,"",1000/p_ev_prem*(p_ev_km*p_ice_l/100*p_gj_l_gso*p_ef_gso-p_ev_km*p_ev_kwh/1000*CY74))</f>
        <v>0.404192559241706</v>
      </c>
      <c r="DH74" s="11" t="str">
        <f aca="false">IFERROR(IF(INDEX(Damodaran!$D:$D,MATCH(A74,Damodaran!$A:$A,0))="","",INDEX(Damodaran!$D:$D,MATCH(A74,Damodaran!$A:$A,0))),"")</f>
        <v/>
      </c>
      <c r="DI74" s="11" t="str">
        <f aca="false">IFERROR(IF(INDEX(Damodaran!$E:$E,MATCH(A74,Damodaran!$A:$A,0))="","",INDEX(Damodaran!$E:$E,MATCH(A74,Damodaran!$A:$A,0))),"")</f>
        <v/>
      </c>
      <c r="DJ74" s="11" t="str">
        <f aca="false">IFERROR(IF(INDEX(Damodaran!$G:$G,MATCH(A74,Damodaran!$A:$A,0))="","",INDEX(Damodaran!$G:$G,MATCH(A74,Damodaran!$A:$A,0))),"")</f>
        <v/>
      </c>
      <c r="DK74" s="11" t="str">
        <f aca="false">IF(ISNUMBER(BG74),(1+BG74/100)*(1+p_infl)-1,"")</f>
        <v/>
      </c>
      <c r="DL74" s="11" t="n">
        <f aca="false">IF(ISNUMBER(BH74),BH74/100,"")</f>
        <v>0.0911</v>
      </c>
      <c r="DM74" s="11" t="n">
        <f aca="false">IF(COUNT(DK74,DL74)=0,"",AVERAGE(DK74,DL74))</f>
        <v>0.0911</v>
      </c>
      <c r="DN74" s="11" t="str">
        <f aca="false">IF(OR(DH74="",DI74=""),"",p_dv*(p_rf+DH74)*(1-IF(DJ74="",p_tax_def,DJ74))+(1-p_dv)*(p_rf+p_beta*p_erp+p_lambda*DI74))</f>
        <v/>
      </c>
      <c r="DO74" s="13" t="n">
        <f aca="false">IF(AND(ISNUMBER(DM74),ISNUMBER(DN74)),1,0)</f>
        <v>0</v>
      </c>
      <c r="DP74" s="11" t="n">
        <f aca="false">IF(DO74=1,DM74,0)</f>
        <v>0</v>
      </c>
      <c r="DQ74" s="11" t="n">
        <f aca="false">IF(DO74=1,DN74,0)</f>
        <v>0</v>
      </c>
      <c r="DR74" s="11" t="str">
        <f aca="false">IF(DN74="","",DN74+p_shift)</f>
        <v/>
      </c>
      <c r="DS74" s="11" t="n">
        <f aca="false">IF(E74="AE",p_r_ae,IF(E74="China",p_r_chn,p_r_emdc))</f>
        <v>0.105</v>
      </c>
      <c r="DT74" s="11" t="n">
        <f aca="false">IF(E74="AE",p_rh_ae,IF(E74="China",p_rh_chn,p_rh_emdc))</f>
        <v>0.15</v>
      </c>
      <c r="DU74" s="11" t="n">
        <f aca="false">IF(AND(p_use_obs=1,ISNUMBER(DM74)),DM74,IF(AND(p_use_dam=1,ISNUMBER(DR74)),DR74,DS74))</f>
        <v>0.0911</v>
      </c>
      <c r="DV74" s="6" t="str">
        <f aca="false">IF(AND(p_use_obs=1,ISNUMBER(DM74)),"Observed (IRENA/Steffen)",IF(AND(p_use_dam=1,ISNUMBER(DR74)),"Damodaran (eq. 5)","Group default (IHLEG)"))</f>
        <v>Observed (IRENA/Steffen)</v>
      </c>
      <c r="DW74" s="11" t="n">
        <f aca="false">IF(p_basis=1,(1+DU74)/(1+p_infl)-1,DU74)</f>
        <v>0.0911</v>
      </c>
      <c r="DX74" s="11" t="n">
        <f aca="false">DW74+(DT74-DS74)</f>
        <v>0.1361</v>
      </c>
      <c r="DY74" s="28" t="n">
        <f aca="false">IF(AND(p_use_pefa=1,ISNUMBER(BD74)),p_gap_lic-(BD74-1)/3*(p_gap_lic-p_gap_ae),IF(E74="AE",p_gap_ae,IF(D74="Low income",p_gap_lic,p_gap_em)))*(1-p_reform*p_reform_close)</f>
        <v>0.27</v>
      </c>
      <c r="DZ74" s="6" t="str">
        <f aca="false">IF(AND(p_use_pefa=1,ISNUMBER(BD74)),"PEFA PI-11","Income-group default (IMF 2015)")</f>
        <v>Income-group default (IMF 2015)</v>
      </c>
      <c r="EA74" s="28" t="n">
        <f aca="false">IF(E74="AE",p_ps_ae,IF(E74="China",p_ps_chn,p_ps_emdc))</f>
        <v>0.4</v>
      </c>
      <c r="EB74" s="37" t="n">
        <f aca="false">(1-EA74)+EA74/(1-DY74)</f>
        <v>1.14794520547945</v>
      </c>
      <c r="EC74" s="16" t="n">
        <f aca="false">Results_Country!F74</f>
        <v>7.30228531399956</v>
      </c>
      <c r="ED74" s="16" t="n">
        <f aca="false">IF(CH74="",0,CH74*EC74)</f>
        <v>1186.83071368948</v>
      </c>
      <c r="EE74" s="16" t="n">
        <f aca="false">IF(CJ74="",0,CJ74*EC74)</f>
        <v>493.124889788483</v>
      </c>
      <c r="EF74" s="16" t="n">
        <f aca="false">IF(CH74="",0,EC74)</f>
        <v>7.30228531399956</v>
      </c>
    </row>
    <row r="75" customFormat="false" ht="15" hidden="false" customHeight="false" outlineLevel="0" collapsed="false">
      <c r="A75" s="35" t="s">
        <v>907</v>
      </c>
      <c r="B75" s="35" t="s">
        <v>908</v>
      </c>
      <c r="C75" s="35" t="s">
        <v>784</v>
      </c>
      <c r="D75" s="35" t="s">
        <v>763</v>
      </c>
      <c r="E75" s="35" t="s">
        <v>31</v>
      </c>
      <c r="F75" s="36" t="n">
        <v>113.19</v>
      </c>
      <c r="G75" s="36" t="n">
        <v>264.859</v>
      </c>
      <c r="H75" s="33" t="n">
        <v>4.118</v>
      </c>
      <c r="I75" s="33" t="n">
        <v>3.94</v>
      </c>
      <c r="J75" s="36" t="n">
        <v>18.406359</v>
      </c>
      <c r="K75" s="36" t="n">
        <v>24.298</v>
      </c>
      <c r="L75" s="36" t="n">
        <v>49.89</v>
      </c>
      <c r="M75" s="36" t="n">
        <v>53.762</v>
      </c>
      <c r="N75" s="36" t="n">
        <v>11.66322518716</v>
      </c>
      <c r="O75" s="36" t="n">
        <v>6.58404166921382</v>
      </c>
      <c r="P75" s="36" t="n">
        <v>0</v>
      </c>
      <c r="Q75" s="31" t="n">
        <v>0</v>
      </c>
      <c r="R75" s="31" t="n">
        <v>0</v>
      </c>
      <c r="S75" s="31" t="n">
        <v>0</v>
      </c>
      <c r="T75" s="31" t="n">
        <v>0</v>
      </c>
      <c r="U75" s="31" t="n">
        <v>0</v>
      </c>
      <c r="V75" s="31" t="n">
        <v>0</v>
      </c>
      <c r="W75" s="31" t="n">
        <v>0.0662767743106571</v>
      </c>
      <c r="X75" s="31" t="n">
        <v>0</v>
      </c>
      <c r="Y75" s="36" t="n">
        <v>2.68160501751508</v>
      </c>
      <c r="Z75" s="36" t="n">
        <v>2.03168724164666</v>
      </c>
      <c r="AA75" s="36" t="n">
        <v>1.04143094777338</v>
      </c>
      <c r="AB75" s="36" t="n">
        <v>0.00298852543909324</v>
      </c>
      <c r="AC75" s="36" t="n">
        <v>0.620509065052303</v>
      </c>
      <c r="AD75" s="31" t="n">
        <v>0.844906</v>
      </c>
      <c r="AE75" s="31" t="n">
        <v>0.66159</v>
      </c>
      <c r="AF75" s="31" t="n">
        <v>0.583341</v>
      </c>
      <c r="AG75" s="31" t="n">
        <v>0.568</v>
      </c>
      <c r="AH75" s="31" t="n">
        <v>0.519462891908447</v>
      </c>
      <c r="AI75" s="31" t="n">
        <v>6.355</v>
      </c>
      <c r="AJ75" s="31" t="n">
        <v>12.08704</v>
      </c>
      <c r="AK75" s="31" t="n">
        <v>4.852</v>
      </c>
      <c r="AL75" s="31" t="n">
        <v>4.852</v>
      </c>
      <c r="AM75" s="31" t="n">
        <v>6.853</v>
      </c>
      <c r="AN75" s="31" t="n">
        <v>12.12176</v>
      </c>
      <c r="AO75" s="31" t="n">
        <v>6.191</v>
      </c>
      <c r="AP75" s="31" t="n">
        <v>8.38858666666667</v>
      </c>
      <c r="AQ75" s="36" t="n">
        <v>0.40459898219037</v>
      </c>
      <c r="AR75" s="36" t="n">
        <v>0.384827769772384</v>
      </c>
      <c r="AS75" s="36" t="n">
        <v>0.369904316854093</v>
      </c>
      <c r="AT75" s="36" t="n">
        <v>0.349311892884435</v>
      </c>
      <c r="AU75" s="31" t="n">
        <v>0.722478843894098</v>
      </c>
      <c r="AV75" s="36" t="n">
        <v>0.21203</v>
      </c>
      <c r="AW75" s="31" t="n">
        <v>2.38233</v>
      </c>
      <c r="AX75" s="31" t="n">
        <v>0.003475</v>
      </c>
      <c r="AY75" s="31" t="n">
        <v>0.127133902343883</v>
      </c>
      <c r="AZ75" s="31" t="n">
        <v>0.017153</v>
      </c>
      <c r="BA75" s="33" t="n">
        <v>26.322</v>
      </c>
      <c r="BB75" s="33" t="n">
        <v>12.966</v>
      </c>
      <c r="BC75" s="33" t="n">
        <v>60.358</v>
      </c>
      <c r="BD75" s="33" t="n">
        <v>2.5</v>
      </c>
      <c r="BE75" s="33" t="n">
        <v>2</v>
      </c>
      <c r="BF75" s="33" t="n">
        <v>0</v>
      </c>
      <c r="BG75" s="33"/>
      <c r="BH75" s="33" t="n">
        <v>8.5</v>
      </c>
      <c r="BI75" s="29" t="n">
        <v>2014</v>
      </c>
      <c r="BJ75" s="33" t="n">
        <v>1</v>
      </c>
      <c r="BK75" s="33"/>
      <c r="BL75" s="33" t="n">
        <v>1.814</v>
      </c>
      <c r="BM75" s="33" t="n">
        <v>6.669</v>
      </c>
      <c r="BN75" s="29" t="n">
        <v>11.938</v>
      </c>
      <c r="BO75" s="33" t="n">
        <v>0.288</v>
      </c>
      <c r="BP75" s="33" t="n">
        <v>0.013</v>
      </c>
      <c r="BQ75" s="29" t="n">
        <v>2024</v>
      </c>
      <c r="BR75" s="36" t="n">
        <v>15.79</v>
      </c>
      <c r="BS75" s="36" t="n">
        <v>2.5</v>
      </c>
      <c r="BT75" s="36" t="n">
        <v>0</v>
      </c>
      <c r="BU75" s="36" t="n">
        <v>2.5</v>
      </c>
      <c r="BV75" s="16" t="n">
        <f aca="false">F75*(1+N(H75)/100)*(1+N(I75)/100)^5</f>
        <v>142.970830359677</v>
      </c>
      <c r="BW75" s="16" t="n">
        <f aca="false">IF(N(G75)&gt;0,G75,F75)</f>
        <v>264.859</v>
      </c>
      <c r="BX75" s="12" t="n">
        <f aca="false">F75/BW75</f>
        <v>0.427359462959537</v>
      </c>
      <c r="BY75" s="13" t="n">
        <f aca="false">IF(ISNUMBER(K75),1,0)</f>
        <v>1</v>
      </c>
      <c r="BZ75" s="16" t="n">
        <f aca="false">IF(BY75=0,"",N(N75)+N(O75)+N(P75))</f>
        <v>18.2472668563738</v>
      </c>
      <c r="CA75" s="37" t="n">
        <f aca="false">IF(BY75=0,"",(N(Y75)*34.2+N(Z75)*38.6)/1000)</f>
        <v>0.170134019126577</v>
      </c>
      <c r="CB75" s="37" t="n">
        <f aca="false">IF(BY75=0,"",N(O75)*0.0036+N(R75)+N(V75)+(N(AA75)*25.3+N(AB75)*37)/1000)</f>
        <v>0.0501613284290826</v>
      </c>
      <c r="CC75" s="37" t="n">
        <f aca="false">IF(BY75=0,"",N(N75)*0.0036+N(Q75)+N(U75)+N(T75)+N(X75)+N(AC75)*38/1000)</f>
        <v>0.0655669551457633</v>
      </c>
      <c r="CD75" s="37" t="n">
        <f aca="false">IF(BY75=0,"",N(Q75)+N(R75)+N(S75)+N(T75)+N(U75)+N(V75)+N(W75)+N(X75)+(N(Y75)*34.2+N(Z75)*38.6+N(AA75)*25.3+N(AB75)*37+N(AC75)*38)/1000)</f>
        <v>0.286448916329135</v>
      </c>
      <c r="CE75" s="16" t="n">
        <f aca="false">IF(BY75=0,"",MAX(0,N(L75)-N(K75))+MAX(0,N(M75)-N(L75)))</f>
        <v>29.464</v>
      </c>
      <c r="CF75" s="16" t="n">
        <f aca="false">IF(BY75=0,"",N(Y75)*N(AD75)+N(Z75)*N(AE75)+N(AA75)*N(AF75)+N(AB75)*N(AG75)+N(AC75)*N(AH75)+N(U75)*N(AI75)+N(V75)*N(AJ75)+N(W75)*N(AK75)+N(X75)*N(AL75)+N(Q75)*N(AM75)+N(R75)*N(AN75)+N(S75)*N(AO75)+N(T75)*N(AP75))</f>
        <v>4.86296132642687</v>
      </c>
      <c r="CG75" s="16" t="n">
        <f aca="false">IF(AND(BY75=1,N(K75)&gt;0),K75,0)</f>
        <v>24.298</v>
      </c>
      <c r="CH75" s="16" t="n">
        <f aca="false">IF(CG75&gt;0,CF75*1000/CG75,"")</f>
        <v>200.138337576215</v>
      </c>
      <c r="CI75" s="16" t="n">
        <f aca="false">IF(BY75=0,"",N(AQ75)+p_road*(N(AR75)+N(AS75)+N(AT75)))</f>
        <v>0.40459898219037</v>
      </c>
      <c r="CJ75" s="16" t="n">
        <f aca="false">IF(CG75&gt;0,CI75*1000/CG75,"")</f>
        <v>16.6515343728031</v>
      </c>
      <c r="CK75" s="12" t="n">
        <f aca="false">IF(CH75="",1,MIN(p_idx_max,MAX(p_idx_min,CH75/p_fc_world)))</f>
        <v>1.24303855800051</v>
      </c>
      <c r="CL75" s="12" t="n">
        <f aca="false">IF(CJ75="",1,MIN(p_idx_max,MAX(p_idx_min,CJ75/p_cb_world)))</f>
        <v>0.316624505419346</v>
      </c>
      <c r="CM75" s="37" t="n">
        <f aca="false">p_b*(1-p_wb_idx+p_wb_idx*CK75)</f>
        <v>0.165324128214068</v>
      </c>
      <c r="CN75" s="37" t="n">
        <f aca="false">p_c*(1-p_wc_idx+p_wc_idx*CL75)</f>
        <v>0.0408445611990956</v>
      </c>
      <c r="CO75" s="28" t="n">
        <f aca="false">IF(N(BR75)&gt;0,(N(BS75)+N(BT75)+N(BU75))/BR75,"")</f>
        <v>0.316656111462951</v>
      </c>
      <c r="CP75" s="16" t="n">
        <f aca="false">N(BS75)+N(BT75)+N(BU75)</f>
        <v>5</v>
      </c>
      <c r="CQ75" s="28" t="n">
        <f aca="false">IF(CP75&gt;0,N(BS75)/CP75,"")</f>
        <v>0.5</v>
      </c>
      <c r="CR75" s="28" t="n">
        <f aca="false">IF(CP75&gt;0,N(BT75)/CP75,"")</f>
        <v>0</v>
      </c>
      <c r="CS75" s="28" t="n">
        <f aca="false">IF(CP75&gt;0,N(BU75)/CP75,"")</f>
        <v>0.5</v>
      </c>
      <c r="CT75" s="7" t="n">
        <f aca="false">1000*(p_sh_pv*p_cf_pv/p_capex_pv+(1-p_sh_pv)*p_cf_wind/p_capex_wind)*8760</f>
        <v>2301.28856624319</v>
      </c>
      <c r="CU75" s="13" t="n">
        <f aca="false">IF(AND(ISNUMBER(CO75),ISNUMBER(CQ75),BY75=1),1,0)</f>
        <v>1</v>
      </c>
      <c r="CV75" s="16" t="n">
        <f aca="false">IF(CU75=0,"",CQ75*p_hr_coal*N(AK75)+CR75*p_hr_gas*N(AO75)+CS75*p_hr_oil*N(AH75)/p_gj_l_oil)</f>
        <v>94.9123363346981</v>
      </c>
      <c r="CW75" s="37" t="n">
        <f aca="false">IF(CU75=0,"",CQ75*p_hr_coal*p_ef_coal+CR75*p_hr_gas*p_ef_gas+CS75*p_hr_oil*p_ef_oil)</f>
        <v>0.87935</v>
      </c>
      <c r="CX75" s="16" t="n">
        <f aca="false">IF(CU75=0,"",CQ75*p_hr_coal*N(AW75)+CR75*p_hr_gas*N(AX75)+CS75*p_hr_oil*N(AY75)/p_gj_l_oil)</f>
        <v>29.2031781685333</v>
      </c>
      <c r="CY75" s="37" t="n">
        <f aca="false">IF(CU75=0,"",CO75*CW75)</f>
        <v>0.278451551614946</v>
      </c>
      <c r="CZ75" s="37" t="n">
        <f aca="false">IF(CU75=0,"",CT75*CO75*CV75/1000/1000-p_om_re)</f>
        <v>0.0541642414194012</v>
      </c>
      <c r="DA75" s="37" t="n">
        <f aca="false">IF(CU75=0,"",CT75*CO75*CX75/1000/1000)</f>
        <v>0.0212808549769501</v>
      </c>
      <c r="DB75" s="37" t="n">
        <f aca="false">IF(CU75=0,"",CT75*CO75*CW75/1000)</f>
        <v>0.640797371984152</v>
      </c>
      <c r="DC75" s="13" t="n">
        <f aca="false">IF(AND(CU75=1,ISNUMBER(AD75),ISNUMBER(AV75)),1,0)</f>
        <v>1</v>
      </c>
      <c r="DD75" s="7" t="n">
        <f aca="false">IF(DC75=0,"",p_ev_km*p_ice_l/100*AD75-p_ev_km*p_ev_kwh*AV75+p_ev_km*p_ev_maint)</f>
        <v>558.03825</v>
      </c>
      <c r="DE75" s="37" t="n">
        <f aca="false">IF(DC75=0,"",DD75/p_ev_prem)</f>
        <v>0.11160765</v>
      </c>
      <c r="DF75" s="37" t="n">
        <f aca="false">IF(DC75=0,"",p_ev_km*p_ice_l/100*N(AZ75)/p_ev_prem)</f>
        <v>0.003859425</v>
      </c>
      <c r="DG75" s="37" t="n">
        <f aca="false">IF(DC75=0,"",1000/p_ev_prem*(p_ev_km*p_ice_l/100*p_gj_l_gso*p_ef_gso-p_ev_km*p_ev_kwh/1000*CY75))</f>
        <v>0.382899662127929</v>
      </c>
      <c r="DH75" s="11" t="str">
        <f aca="false">IFERROR(IF(INDEX(Damodaran!$D:$D,MATCH(A75,Damodaran!$A:$A,0))="","",INDEX(Damodaran!$D:$D,MATCH(A75,Damodaran!$A:$A,0))),"")</f>
        <v/>
      </c>
      <c r="DI75" s="11" t="str">
        <f aca="false">IFERROR(IF(INDEX(Damodaran!$E:$E,MATCH(A75,Damodaran!$A:$A,0))="","",INDEX(Damodaran!$E:$E,MATCH(A75,Damodaran!$A:$A,0))),"")</f>
        <v/>
      </c>
      <c r="DJ75" s="11" t="str">
        <f aca="false">IFERROR(IF(INDEX(Damodaran!$G:$G,MATCH(A75,Damodaran!$A:$A,0))="","",INDEX(Damodaran!$G:$G,MATCH(A75,Damodaran!$A:$A,0))),"")</f>
        <v/>
      </c>
      <c r="DK75" s="11" t="str">
        <f aca="false">IF(ISNUMBER(BG75),(1+BG75/100)*(1+p_infl)-1,"")</f>
        <v/>
      </c>
      <c r="DL75" s="11" t="n">
        <f aca="false">IF(ISNUMBER(BH75),BH75/100,"")</f>
        <v>0.085</v>
      </c>
      <c r="DM75" s="11" t="n">
        <f aca="false">IF(COUNT(DK75,DL75)=0,"",AVERAGE(DK75,DL75))</f>
        <v>0.085</v>
      </c>
      <c r="DN75" s="11" t="str">
        <f aca="false">IF(OR(DH75="",DI75=""),"",p_dv*(p_rf+DH75)*(1-IF(DJ75="",p_tax_def,DJ75))+(1-p_dv)*(p_rf+p_beta*p_erp+p_lambda*DI75))</f>
        <v/>
      </c>
      <c r="DO75" s="13" t="n">
        <f aca="false">IF(AND(ISNUMBER(DM75),ISNUMBER(DN75)),1,0)</f>
        <v>0</v>
      </c>
      <c r="DP75" s="11" t="n">
        <f aca="false">IF(DO75=1,DM75,0)</f>
        <v>0</v>
      </c>
      <c r="DQ75" s="11" t="n">
        <f aca="false">IF(DO75=1,DN75,0)</f>
        <v>0</v>
      </c>
      <c r="DR75" s="11" t="str">
        <f aca="false">IF(DN75="","",DN75+p_shift)</f>
        <v/>
      </c>
      <c r="DS75" s="11" t="n">
        <f aca="false">IF(E75="AE",p_r_ae,IF(E75="China",p_r_chn,p_r_emdc))</f>
        <v>0.105</v>
      </c>
      <c r="DT75" s="11" t="n">
        <f aca="false">IF(E75="AE",p_rh_ae,IF(E75="China",p_rh_chn,p_rh_emdc))</f>
        <v>0.15</v>
      </c>
      <c r="DU75" s="11" t="n">
        <f aca="false">IF(AND(p_use_obs=1,ISNUMBER(DM75)),DM75,IF(AND(p_use_dam=1,ISNUMBER(DR75)),DR75,DS75))</f>
        <v>0.085</v>
      </c>
      <c r="DV75" s="6" t="str">
        <f aca="false">IF(AND(p_use_obs=1,ISNUMBER(DM75)),"Observed (IRENA/Steffen)",IF(AND(p_use_dam=1,ISNUMBER(DR75)),"Damodaran (eq. 5)","Group default (IHLEG)"))</f>
        <v>Observed (IRENA/Steffen)</v>
      </c>
      <c r="DW75" s="11" t="n">
        <f aca="false">IF(p_basis=1,(1+DU75)/(1+p_infl)-1,DU75)</f>
        <v>0.085</v>
      </c>
      <c r="DX75" s="11" t="n">
        <f aca="false">DW75+(DT75-DS75)</f>
        <v>0.13</v>
      </c>
      <c r="DY75" s="28" t="n">
        <f aca="false">IF(AND(p_use_pefa=1,ISNUMBER(BD75)),p_gap_lic-(BD75-1)/3*(p_gap_lic-p_gap_ae),IF(E75="AE",p_gap_ae,IF(D75="Low income",p_gap_lic,p_gap_em)))*(1-p_reform*p_reform_close)</f>
        <v>0.265</v>
      </c>
      <c r="DZ75" s="6" t="str">
        <f aca="false">IF(AND(p_use_pefa=1,ISNUMBER(BD75)),"PEFA PI-11","Income-group default (IMF 2015)")</f>
        <v>PEFA PI-11</v>
      </c>
      <c r="EA75" s="28" t="n">
        <f aca="false">IF(E75="AE",p_ps_ae,IF(E75="China",p_ps_chn,p_ps_emdc))</f>
        <v>0.4</v>
      </c>
      <c r="EB75" s="37" t="n">
        <f aca="false">(1-EA75)+EA75/(1-DY75)</f>
        <v>1.14421768707483</v>
      </c>
      <c r="EC75" s="16" t="n">
        <f aca="false">Results_Country!F75</f>
        <v>6.06286936692205</v>
      </c>
      <c r="ED75" s="16" t="n">
        <f aca="false">IF(CH75="",0,CH75*EC75)</f>
        <v>1213.41259603754</v>
      </c>
      <c r="EE75" s="16" t="n">
        <f aca="false">IF(CJ75="",0,CJ75*EC75)</f>
        <v>100.956077661118</v>
      </c>
      <c r="EF75" s="16" t="n">
        <f aca="false">IF(CH75="",0,EC75)</f>
        <v>6.06286936692205</v>
      </c>
    </row>
    <row r="76" customFormat="false" ht="15" hidden="false" customHeight="false" outlineLevel="0" collapsed="false">
      <c r="A76" s="35" t="s">
        <v>909</v>
      </c>
      <c r="B76" s="35" t="s">
        <v>910</v>
      </c>
      <c r="C76" s="35" t="s">
        <v>799</v>
      </c>
      <c r="D76" s="35" t="s">
        <v>760</v>
      </c>
      <c r="E76" s="35" t="s">
        <v>31</v>
      </c>
      <c r="F76" s="36" t="n">
        <v>107.137</v>
      </c>
      <c r="G76" s="36" t="n">
        <v>220.772</v>
      </c>
      <c r="H76" s="33" t="n">
        <v>2.396</v>
      </c>
      <c r="I76" s="33" t="n">
        <v>3.452</v>
      </c>
      <c r="J76" s="36" t="n">
        <v>5.281538</v>
      </c>
      <c r="K76" s="36" t="n">
        <v>96.531</v>
      </c>
      <c r="L76" s="36" t="n">
        <v>145.34</v>
      </c>
      <c r="M76" s="36" t="n">
        <v>145.358</v>
      </c>
      <c r="N76" s="36" t="n">
        <v>24.0632957429115</v>
      </c>
      <c r="O76" s="36" t="n">
        <v>19.8679670469279</v>
      </c>
      <c r="P76" s="36" t="n">
        <v>0</v>
      </c>
      <c r="Q76" s="31" t="n">
        <v>0.432512014901345</v>
      </c>
      <c r="R76" s="31" t="n">
        <v>0.324138276466004</v>
      </c>
      <c r="S76" s="31" t="n">
        <v>0.301566470015873</v>
      </c>
      <c r="T76" s="31" t="n">
        <v>0.00242242330554113</v>
      </c>
      <c r="U76" s="31" t="n">
        <v>0</v>
      </c>
      <c r="V76" s="31" t="n">
        <v>0</v>
      </c>
      <c r="W76" s="31" t="n">
        <v>0</v>
      </c>
      <c r="X76" s="31" t="n">
        <v>0</v>
      </c>
      <c r="Y76" s="36" t="n">
        <v>3.46300686773007</v>
      </c>
      <c r="Z76" s="36" t="n">
        <v>2.30390116667866</v>
      </c>
      <c r="AA76" s="36" t="n">
        <v>0.481032653996809</v>
      </c>
      <c r="AB76" s="36" t="n">
        <v>0.0229096646739185</v>
      </c>
      <c r="AC76" s="36" t="n">
        <v>0.186430049015929</v>
      </c>
      <c r="AD76" s="31" t="n">
        <v>0.756</v>
      </c>
      <c r="AE76" s="31" t="n">
        <v>0.742695</v>
      </c>
      <c r="AF76" s="31" t="n">
        <v>0.5355</v>
      </c>
      <c r="AG76" s="31" t="n">
        <v>0.6683</v>
      </c>
      <c r="AH76" s="31" t="n">
        <v>0.543345303403777</v>
      </c>
      <c r="AI76" s="31" t="n">
        <v>7.124</v>
      </c>
      <c r="AJ76" s="31" t="n">
        <v>12.80265</v>
      </c>
      <c r="AK76" s="31" t="n">
        <v>5.575</v>
      </c>
      <c r="AL76" s="31" t="n">
        <v>8.50055</v>
      </c>
      <c r="AM76" s="31" t="n">
        <v>7.212</v>
      </c>
      <c r="AN76" s="31" t="n">
        <v>12.01935</v>
      </c>
      <c r="AO76" s="31" t="n">
        <v>6.506</v>
      </c>
      <c r="AP76" s="31" t="n">
        <v>8.4833276378075</v>
      </c>
      <c r="AQ76" s="36" t="n">
        <v>0.573956349685014</v>
      </c>
      <c r="AR76" s="36" t="n">
        <v>0.753814671584383</v>
      </c>
      <c r="AS76" s="36" t="n">
        <v>0.400871040252159</v>
      </c>
      <c r="AT76" s="36" t="n">
        <v>0.285926620851341</v>
      </c>
      <c r="AU76" s="31" t="n">
        <v>0.137192361530312</v>
      </c>
      <c r="AV76" s="36" t="n">
        <v>0.091061</v>
      </c>
      <c r="AW76" s="31" t="n">
        <v>0.900573</v>
      </c>
      <c r="AX76" s="31" t="n">
        <v>0.066231</v>
      </c>
      <c r="AY76" s="31" t="n">
        <v>0.239841496983787</v>
      </c>
      <c r="AZ76" s="31" t="n">
        <v>0.022606</v>
      </c>
      <c r="BA76" s="33" t="n">
        <v>35.451</v>
      </c>
      <c r="BB76" s="33" t="n">
        <v>0.995</v>
      </c>
      <c r="BC76" s="33" t="n">
        <v>13.805</v>
      </c>
      <c r="BD76" s="33"/>
      <c r="BE76" s="33"/>
      <c r="BF76" s="33" t="n">
        <v>0</v>
      </c>
      <c r="BG76" s="33"/>
      <c r="BH76" s="33"/>
      <c r="BI76" s="29"/>
      <c r="BJ76" s="33"/>
      <c r="BK76" s="33"/>
      <c r="BL76" s="33"/>
      <c r="BM76" s="33"/>
      <c r="BN76" s="29"/>
      <c r="BO76" s="33"/>
      <c r="BP76" s="33"/>
      <c r="BQ76" s="29" t="n">
        <v>2025</v>
      </c>
      <c r="BR76" s="36" t="n">
        <v>52.84</v>
      </c>
      <c r="BS76" s="36" t="n">
        <v>0</v>
      </c>
      <c r="BT76" s="36" t="n">
        <v>48.54</v>
      </c>
      <c r="BU76" s="36" t="n">
        <v>1.9</v>
      </c>
      <c r="BV76" s="16" t="n">
        <f aca="false">F76*(1+N(H76)/100)*(1+N(I76)/100)^5</f>
        <v>129.992090696291</v>
      </c>
      <c r="BW76" s="16" t="n">
        <f aca="false">IF(N(G76)&gt;0,G76,F76)</f>
        <v>220.772</v>
      </c>
      <c r="BX76" s="12" t="n">
        <f aca="false">F76/BW76</f>
        <v>0.48528345985904</v>
      </c>
      <c r="BY76" s="13" t="n">
        <f aca="false">IF(ISNUMBER(K76),1,0)</f>
        <v>1</v>
      </c>
      <c r="BZ76" s="16" t="n">
        <f aca="false">IF(BY76=0,"",N(N76)+N(O76)+N(P76))</f>
        <v>43.9312627898394</v>
      </c>
      <c r="CA76" s="37" t="n">
        <f aca="false">IF(BY76=0,"",(N(Y76)*34.2+N(Z76)*38.6)/1000)</f>
        <v>0.207365419910165</v>
      </c>
      <c r="CB76" s="37" t="n">
        <f aca="false">IF(BY76=0,"",N(O76)*0.0036+N(R76)+N(V76)+(N(AA76)*25.3+N(AB76)*37)/1000)</f>
        <v>0.408680741573998</v>
      </c>
      <c r="CC76" s="37" t="n">
        <f aca="false">IF(BY76=0,"",N(N76)*0.0036+N(Q76)+N(U76)+N(T76)+N(X76)+N(AC76)*38/1000)</f>
        <v>0.528646644743972</v>
      </c>
      <c r="CD76" s="37" t="n">
        <f aca="false">IF(BY76=0,"",N(Q76)+N(R76)+N(S76)+N(T76)+N(U76)+N(V76)+N(W76)+N(X76)+(N(Y76)*34.2+N(Z76)*38.6+N(AA76)*25.3+N(AB76)*37+N(AC76)*38)/1000)</f>
        <v>1.28810673020059</v>
      </c>
      <c r="CE76" s="16" t="n">
        <f aca="false">IF(BY76=0,"",MAX(0,N(L76)-N(K76))+MAX(0,N(M76)-N(L76)))</f>
        <v>48.827</v>
      </c>
      <c r="CF76" s="16" t="n">
        <f aca="false">IF(BY76=0,"",N(Y76)*N(AD76)+N(Z76)*N(AE76)+N(AA76)*N(AF76)+N(AB76)*N(AG76)+N(AC76)*N(AH76)+N(U76)*N(AI76)+N(V76)*N(AJ76)+N(W76)*N(AK76)+N(X76)*N(AL76)+N(Q76)*N(AM76)+N(R76)*N(AN76)+N(S76)*N(AO76)+N(T76)*N(AP76))</f>
        <v>13.7010781848651</v>
      </c>
      <c r="CG76" s="16" t="n">
        <f aca="false">IF(AND(BY76=1,N(K76)&gt;0),K76,0)</f>
        <v>96.531</v>
      </c>
      <c r="CH76" s="16" t="n">
        <f aca="false">IF(CG76&gt;0,CF76*1000/CG76,"")</f>
        <v>141.934489281838</v>
      </c>
      <c r="CI76" s="16" t="n">
        <f aca="false">IF(BY76=0,"",N(AQ76)+p_road*(N(AR76)+N(AS76)+N(AT76)))</f>
        <v>0.573956349685014</v>
      </c>
      <c r="CJ76" s="16" t="n">
        <f aca="false">IF(CG76&gt;0,CI76*1000/CG76,"")</f>
        <v>5.94582413613258</v>
      </c>
      <c r="CK76" s="12" t="n">
        <f aca="false">IF(CH76="",1,MIN(p_idx_max,MAX(p_idx_min,CH76/p_fc_world)))</f>
        <v>0.881540463581839</v>
      </c>
      <c r="CL76" s="12" t="n">
        <f aca="false">IF(CJ76="",1,MIN(p_idx_max,MAX(p_idx_min,CJ76/p_cb_world)))</f>
        <v>0.25</v>
      </c>
      <c r="CM76" s="37" t="n">
        <f aca="false">p_b*(1-p_wb_idx+p_wb_idx*CK76)</f>
        <v>0.117244881656385</v>
      </c>
      <c r="CN76" s="37" t="n">
        <f aca="false">p_c*(1-p_wc_idx+p_wc_idx*CL76)</f>
        <v>0.03225</v>
      </c>
      <c r="CO76" s="28" t="n">
        <f aca="false">IF(N(BR76)&gt;0,(N(BS76)+N(BT76)+N(BU76))/BR76,"")</f>
        <v>0.954579863739591</v>
      </c>
      <c r="CP76" s="16" t="n">
        <f aca="false">N(BS76)+N(BT76)+N(BU76)</f>
        <v>50.44</v>
      </c>
      <c r="CQ76" s="28" t="n">
        <f aca="false">IF(CP76&gt;0,N(BS76)/CP76,"")</f>
        <v>0</v>
      </c>
      <c r="CR76" s="28" t="n">
        <f aca="false">IF(CP76&gt;0,N(BT76)/CP76,"")</f>
        <v>0.96233148295004</v>
      </c>
      <c r="CS76" s="28" t="n">
        <f aca="false">IF(CP76&gt;0,N(BU76)/CP76,"")</f>
        <v>0.0376685170499604</v>
      </c>
      <c r="CT76" s="7" t="n">
        <f aca="false">1000*(p_sh_pv*p_cf_pv/p_capex_pv+(1-p_sh_pv)*p_cf_wind/p_capex_wind)*8760</f>
        <v>2301.28856624319</v>
      </c>
      <c r="CU76" s="13" t="n">
        <f aca="false">IF(AND(ISNUMBER(CO76),ISNUMBER(CQ76),BY76=1),1,0)</f>
        <v>1</v>
      </c>
      <c r="CV76" s="16" t="n">
        <f aca="false">IF(CU76=0,"",CQ76*p_hr_coal*N(AK76)+CR76*p_hr_gas*N(AO76)+CS76*p_hr_oil*N(AH76)/p_gj_l_oil)</f>
        <v>52.5244161137972</v>
      </c>
      <c r="CW76" s="37" t="n">
        <f aca="false">IF(CU76=0,"",CQ76*p_hr_coal*p_ef_coal+CR76*p_hr_gas*p_ef_gas+CS76*p_hr_oil*p_ef_oil)</f>
        <v>0.435514175257732</v>
      </c>
      <c r="CX76" s="16" t="n">
        <f aca="false">IF(CU76=0,"",CQ76*p_hr_coal*N(AW76)+CR76*p_hr_gas*N(AX76)+CS76*p_hr_oil*N(AY76)/p_gj_l_oil)</f>
        <v>2.93558536333968</v>
      </c>
      <c r="CY76" s="37" t="n">
        <f aca="false">IF(CU76=0,"",CO76*CW76)</f>
        <v>0.415733062074186</v>
      </c>
      <c r="CZ76" s="37" t="n">
        <f aca="false">IF(CU76=0,"",CT76*CO76*CV76/1000/1000-p_om_re)</f>
        <v>0.100383732047589</v>
      </c>
      <c r="DA76" s="37" t="n">
        <f aca="false">IF(CU76=0,"",CT76*CO76*CX76/1000/1000)</f>
        <v>0.00644878744073152</v>
      </c>
      <c r="DB76" s="37" t="n">
        <f aca="false">IF(CU76=0,"",CT76*CO76*CW76/1000)</f>
        <v>0.956721742360597</v>
      </c>
      <c r="DC76" s="13" t="n">
        <f aca="false">IF(AND(CU76=1,ISNUMBER(AD76),ISNUMBER(AV76)),1,0)</f>
        <v>1</v>
      </c>
      <c r="DD76" s="7" t="n">
        <f aca="false">IF(DC76=0,"",p_ev_km*p_ice_l/100*AD76-p_ev_km*p_ev_kwh*AV76+p_ev_km*p_ev_maint)</f>
        <v>784.6353</v>
      </c>
      <c r="DE76" s="37" t="n">
        <f aca="false">IF(DC76=0,"",DD76/p_ev_prem)</f>
        <v>0.15692706</v>
      </c>
      <c r="DF76" s="37" t="n">
        <f aca="false">IF(DC76=0,"",p_ev_km*p_ice_l/100*N(AZ76)/p_ev_prem)</f>
        <v>0.00508635</v>
      </c>
      <c r="DG76" s="37" t="n">
        <f aca="false">IF(DC76=0,"",1000/p_ev_prem*(p_ev_km*p_ice_l/100*p_gj_l_gso*p_ef_gso-p_ev_km*p_ev_kwh/1000*CY76))</f>
        <v>0.308767646479939</v>
      </c>
      <c r="DH76" s="11" t="str">
        <f aca="false">IFERROR(IF(INDEX(Damodaran!$D:$D,MATCH(A76,Damodaran!$A:$A,0))="","",INDEX(Damodaran!$D:$D,MATCH(A76,Damodaran!$A:$A,0))),"")</f>
        <v/>
      </c>
      <c r="DI76" s="11" t="str">
        <f aca="false">IFERROR(IF(INDEX(Damodaran!$E:$E,MATCH(A76,Damodaran!$A:$A,0))="","",INDEX(Damodaran!$E:$E,MATCH(A76,Damodaran!$A:$A,0))),"")</f>
        <v/>
      </c>
      <c r="DJ76" s="11" t="str">
        <f aca="false">IFERROR(IF(INDEX(Damodaran!$G:$G,MATCH(A76,Damodaran!$A:$A,0))="","",INDEX(Damodaran!$G:$G,MATCH(A76,Damodaran!$A:$A,0))),"")</f>
        <v/>
      </c>
      <c r="DK76" s="11" t="str">
        <f aca="false">IF(ISNUMBER(BG76),(1+BG76/100)*(1+p_infl)-1,"")</f>
        <v/>
      </c>
      <c r="DL76" s="11" t="str">
        <f aca="false">IF(ISNUMBER(BH76),BH76/100,"")</f>
        <v/>
      </c>
      <c r="DM76" s="11" t="str">
        <f aca="false">IF(COUNT(DK76,DL76)=0,"",AVERAGE(DK76,DL76))</f>
        <v/>
      </c>
      <c r="DN76" s="11" t="str">
        <f aca="false">IF(OR(DH76="",DI76=""),"",p_dv*(p_rf+DH76)*(1-IF(DJ76="",p_tax_def,DJ76))+(1-p_dv)*(p_rf+p_beta*p_erp+p_lambda*DI76))</f>
        <v/>
      </c>
      <c r="DO76" s="13" t="n">
        <f aca="false">IF(AND(ISNUMBER(DM76),ISNUMBER(DN76)),1,0)</f>
        <v>0</v>
      </c>
      <c r="DP76" s="11" t="n">
        <f aca="false">IF(DO76=1,DM76,0)</f>
        <v>0</v>
      </c>
      <c r="DQ76" s="11" t="n">
        <f aca="false">IF(DO76=1,DN76,0)</f>
        <v>0</v>
      </c>
      <c r="DR76" s="11" t="str">
        <f aca="false">IF(DN76="","",DN76+p_shift)</f>
        <v/>
      </c>
      <c r="DS76" s="11" t="n">
        <f aca="false">IF(E76="AE",p_r_ae,IF(E76="China",p_r_chn,p_r_emdc))</f>
        <v>0.105</v>
      </c>
      <c r="DT76" s="11" t="n">
        <f aca="false">IF(E76="AE",p_rh_ae,IF(E76="China",p_rh_chn,p_rh_emdc))</f>
        <v>0.15</v>
      </c>
      <c r="DU76" s="11" t="n">
        <f aca="false">IF(AND(p_use_obs=1,ISNUMBER(DM76)),DM76,IF(AND(p_use_dam=1,ISNUMBER(DR76)),DR76,DS76))</f>
        <v>0.105</v>
      </c>
      <c r="DV76" s="6" t="str">
        <f aca="false">IF(AND(p_use_obs=1,ISNUMBER(DM76)),"Observed (IRENA/Steffen)",IF(AND(p_use_dam=1,ISNUMBER(DR76)),"Damodaran (eq. 5)","Group default (IHLEG)"))</f>
        <v>Group default (IHLEG)</v>
      </c>
      <c r="DW76" s="11" t="n">
        <f aca="false">IF(p_basis=1,(1+DU76)/(1+p_infl)-1,DU76)</f>
        <v>0.105</v>
      </c>
      <c r="DX76" s="11" t="n">
        <f aca="false">DW76+(DT76-DS76)</f>
        <v>0.15</v>
      </c>
      <c r="DY76" s="28" t="n">
        <f aca="false">IF(AND(p_use_pefa=1,ISNUMBER(BD76)),p_gap_lic-(BD76-1)/3*(p_gap_lic-p_gap_ae),IF(E76="AE",p_gap_ae,IF(D76="Low income",p_gap_lic,p_gap_em)))*(1-p_reform*p_reform_close)</f>
        <v>0.27</v>
      </c>
      <c r="DZ76" s="6" t="str">
        <f aca="false">IF(AND(p_use_pefa=1,ISNUMBER(BD76)),"PEFA PI-11","Income-group default (IMF 2015)")</f>
        <v>Income-group default (IMF 2015)</v>
      </c>
      <c r="EA76" s="28" t="n">
        <f aca="false">IF(E76="AE",p_ps_ae,IF(E76="China",p_ps_chn,p_ps_emdc))</f>
        <v>0.4</v>
      </c>
      <c r="EB76" s="37" t="n">
        <f aca="false">(1-EA76)+EA76/(1-DY76)</f>
        <v>1.14794520547945</v>
      </c>
      <c r="EC76" s="16" t="n">
        <f aca="false">Results_Country!F76</f>
        <v>10.0609425054958</v>
      </c>
      <c r="ED76" s="16" t="n">
        <f aca="false">IF(CH76="",0,CH76*EC76)</f>
        <v>1427.99473621149</v>
      </c>
      <c r="EE76" s="16" t="n">
        <f aca="false">IF(CJ76="",0,CJ76*EC76)</f>
        <v>59.8205947814192</v>
      </c>
      <c r="EF76" s="16" t="n">
        <f aca="false">IF(CH76="",0,EC76)</f>
        <v>10.0609425054958</v>
      </c>
    </row>
    <row r="77" customFormat="false" ht="15" hidden="false" customHeight="false" outlineLevel="0" collapsed="false">
      <c r="A77" s="35" t="s">
        <v>911</v>
      </c>
      <c r="B77" s="35" t="s">
        <v>912</v>
      </c>
      <c r="C77" s="35" t="s">
        <v>770</v>
      </c>
      <c r="D77" s="35" t="s">
        <v>763</v>
      </c>
      <c r="E77" s="35" t="s">
        <v>31</v>
      </c>
      <c r="F77" s="36" t="n">
        <v>98.964</v>
      </c>
      <c r="G77" s="36" t="n">
        <v>343.101</v>
      </c>
      <c r="H77" s="33"/>
      <c r="I77" s="33"/>
      <c r="J77" s="36" t="n">
        <v>23.103565</v>
      </c>
      <c r="K77" s="36" t="n">
        <v>18.369</v>
      </c>
      <c r="L77" s="36" t="n">
        <v>38.496</v>
      </c>
      <c r="M77" s="36" t="n">
        <v>40.187</v>
      </c>
      <c r="N77" s="36" t="n">
        <v>7.48051314741973</v>
      </c>
      <c r="O77" s="36" t="n">
        <v>5.23527539895716</v>
      </c>
      <c r="P77" s="36" t="n">
        <v>0</v>
      </c>
      <c r="Q77" s="31" t="n">
        <v>0</v>
      </c>
      <c r="R77" s="31" t="n">
        <v>0</v>
      </c>
      <c r="S77" s="31" t="n">
        <v>0</v>
      </c>
      <c r="T77" s="31" t="n">
        <v>0</v>
      </c>
      <c r="U77" s="31" t="n">
        <v>0.00231317826688761</v>
      </c>
      <c r="V77" s="31" t="n">
        <v>0</v>
      </c>
      <c r="W77" s="31" t="n">
        <v>0.0628460337919903</v>
      </c>
      <c r="X77" s="31" t="n">
        <v>0</v>
      </c>
      <c r="Y77" s="36" t="n">
        <v>1.62020547591334</v>
      </c>
      <c r="Z77" s="36" t="n">
        <v>2.01503981771223</v>
      </c>
      <c r="AA77" s="36" t="n">
        <v>0.795858508872865</v>
      </c>
      <c r="AB77" s="36" t="n">
        <v>0.143210539433041</v>
      </c>
      <c r="AC77" s="36" t="n">
        <v>0.2274910327122</v>
      </c>
      <c r="AD77" s="31" t="n">
        <v>0.7776</v>
      </c>
      <c r="AE77" s="31" t="n">
        <v>0.740787</v>
      </c>
      <c r="AF77" s="31" t="n">
        <v>0.538302</v>
      </c>
      <c r="AG77" s="31" t="n">
        <v>0.652</v>
      </c>
      <c r="AH77" s="31" t="n">
        <v>0.543345303403777</v>
      </c>
      <c r="AI77" s="31" t="n">
        <v>6.996</v>
      </c>
      <c r="AJ77" s="31" t="n">
        <v>12.14244</v>
      </c>
      <c r="AK77" s="31" t="n">
        <v>4.738</v>
      </c>
      <c r="AL77" s="31" t="n">
        <v>4.81815990926828</v>
      </c>
      <c r="AM77" s="31" t="n">
        <v>6.861</v>
      </c>
      <c r="AN77" s="31" t="n">
        <v>15.98616</v>
      </c>
      <c r="AO77" s="31" t="n">
        <v>5.537</v>
      </c>
      <c r="AP77" s="31" t="n">
        <v>9.46138666666667</v>
      </c>
      <c r="AQ77" s="36" t="n">
        <v>1.14825103576153</v>
      </c>
      <c r="AR77" s="36" t="n">
        <v>0.0564695315622319</v>
      </c>
      <c r="AS77" s="36" t="n">
        <v>0.580648900519438</v>
      </c>
      <c r="AT77" s="36" t="n">
        <v>0.278263645088043</v>
      </c>
      <c r="AU77" s="31" t="n">
        <v>0.591552928317102</v>
      </c>
      <c r="AV77" s="36" t="n">
        <v>0.14904</v>
      </c>
      <c r="AW77" s="31" t="n">
        <v>2.721099</v>
      </c>
      <c r="AX77" s="31" t="n">
        <v>0.04621</v>
      </c>
      <c r="AY77" s="31" t="n">
        <v>0.602479044369896</v>
      </c>
      <c r="AZ77" s="31" t="n">
        <v>0.187469</v>
      </c>
      <c r="BA77" s="33" t="n">
        <v>100.84</v>
      </c>
      <c r="BB77" s="33" t="n">
        <v>55.555</v>
      </c>
      <c r="BC77" s="33"/>
      <c r="BD77" s="33"/>
      <c r="BE77" s="33"/>
      <c r="BF77" s="33" t="n">
        <v>0</v>
      </c>
      <c r="BG77" s="33" t="n">
        <v>10.3</v>
      </c>
      <c r="BH77" s="33"/>
      <c r="BI77" s="29"/>
      <c r="BJ77" s="33" t="n">
        <v>1</v>
      </c>
      <c r="BK77" s="33"/>
      <c r="BL77" s="33" t="n">
        <v>0.955</v>
      </c>
      <c r="BM77" s="33" t="n">
        <v>3.532</v>
      </c>
      <c r="BN77" s="29" t="n">
        <v>25.458</v>
      </c>
      <c r="BO77" s="33" t="n">
        <v>0.103</v>
      </c>
      <c r="BP77" s="33" t="n">
        <v>0.157</v>
      </c>
      <c r="BQ77" s="29" t="n">
        <v>2025</v>
      </c>
      <c r="BR77" s="36" t="n">
        <v>17.171</v>
      </c>
      <c r="BS77" s="36" t="n">
        <v>5.145</v>
      </c>
      <c r="BT77" s="36"/>
      <c r="BU77" s="36" t="n">
        <v>2.362</v>
      </c>
      <c r="BV77" s="16" t="n">
        <f aca="false">F77*(1+N(H77)/100)*(1+N(I77)/100)^5</f>
        <v>98.964</v>
      </c>
      <c r="BW77" s="16" t="n">
        <f aca="false">IF(N(G77)&gt;0,G77,F77)</f>
        <v>343.101</v>
      </c>
      <c r="BX77" s="12" t="n">
        <f aca="false">F77/BW77</f>
        <v>0.288439847158708</v>
      </c>
      <c r="BY77" s="13" t="n">
        <f aca="false">IF(ISNUMBER(K77),1,0)</f>
        <v>1</v>
      </c>
      <c r="BZ77" s="16" t="n">
        <f aca="false">IF(BY77=0,"",N(N77)+N(O77)+N(P77))</f>
        <v>12.7157885463769</v>
      </c>
      <c r="CA77" s="37" t="n">
        <f aca="false">IF(BY77=0,"",(N(Y77)*34.2+N(Z77)*38.6)/1000)</f>
        <v>0.133191564239928</v>
      </c>
      <c r="CB77" s="37" t="n">
        <f aca="false">IF(BY77=0,"",N(O77)*0.0036+N(R77)+N(V77)+(N(AA77)*25.3+N(AB77)*37)/1000)</f>
        <v>0.0442810016697518</v>
      </c>
      <c r="CC77" s="37" t="n">
        <f aca="false">IF(BY77=0,"",N(N77)*0.0036+N(Q77)+N(U77)+N(T77)+N(X77)+N(AC77)*38/1000)</f>
        <v>0.0378876848406622</v>
      </c>
      <c r="CD77" s="37" t="n">
        <f aca="false">IF(BY77=0,"",N(Q77)+N(R77)+N(S77)+N(T77)+N(U77)+N(V77)+N(W77)+N(X77)+(N(Y77)*34.2+N(Z77)*38.6+N(AA77)*25.3+N(AB77)*37+N(AC77)*38)/1000)</f>
        <v>0.232429445775376</v>
      </c>
      <c r="CE77" s="16" t="n">
        <f aca="false">IF(BY77=0,"",MAX(0,N(L77)-N(K77))+MAX(0,N(M77)-N(L77)))</f>
        <v>21.818</v>
      </c>
      <c r="CF77" s="16" t="n">
        <f aca="false">IF(BY77=0,"",N(Y77)*N(AD77)+N(Z77)*N(AE77)+N(AA77)*N(AF77)+N(AB77)*N(AG77)+N(AC77)*N(AH77)+N(U77)*N(AI77)+N(V77)*N(AJ77)+N(W77)*N(AK77)+N(X77)*N(AL77)+N(Q77)*N(AM77)+N(R77)*N(AN77)+N(S77)*N(AO77)+N(T77)*N(AP77))</f>
        <v>3.71192626571967</v>
      </c>
      <c r="CG77" s="16" t="n">
        <f aca="false">IF(AND(BY77=1,N(K77)&gt;0),K77,0)</f>
        <v>18.369</v>
      </c>
      <c r="CH77" s="16" t="n">
        <f aca="false">IF(CG77&gt;0,CF77*1000/CG77,"")</f>
        <v>202.075576553959</v>
      </c>
      <c r="CI77" s="16" t="n">
        <f aca="false">IF(BY77=0,"",N(AQ77)+p_road*(N(AR77)+N(AS77)+N(AT77)))</f>
        <v>1.14825103576153</v>
      </c>
      <c r="CJ77" s="16" t="n">
        <f aca="false">IF(CG77&gt;0,CI77*1000/CG77,"")</f>
        <v>62.5102638010522</v>
      </c>
      <c r="CK77" s="12" t="n">
        <f aca="false">IF(CH77="",1,MIN(p_idx_max,MAX(p_idx_min,CH77/p_fc_world)))</f>
        <v>1.2550705493449</v>
      </c>
      <c r="CL77" s="12" t="n">
        <f aca="false">IF(CJ77="",1,MIN(p_idx_max,MAX(p_idx_min,CJ77/p_cb_world)))</f>
        <v>1.18861607083895</v>
      </c>
      <c r="CM77" s="37" t="n">
        <f aca="false">p_b*(1-p_wb_idx+p_wb_idx*CK77)</f>
        <v>0.166924383062871</v>
      </c>
      <c r="CN77" s="37" t="n">
        <f aca="false">p_c*(1-p_wc_idx+p_wc_idx*CL77)</f>
        <v>0.153331473138225</v>
      </c>
      <c r="CO77" s="28" t="n">
        <f aca="false">IF(N(BR77)&gt;0,(N(BS77)+N(BT77)+N(BU77))/BR77,"")</f>
        <v>0.437190612078504</v>
      </c>
      <c r="CP77" s="16" t="n">
        <f aca="false">N(BS77)+N(BT77)+N(BU77)</f>
        <v>7.507</v>
      </c>
      <c r="CQ77" s="28" t="n">
        <f aca="false">IF(CP77&gt;0,N(BS77)/CP77,"")</f>
        <v>0.685360330358332</v>
      </c>
      <c r="CR77" s="28" t="n">
        <f aca="false">IF(CP77&gt;0,N(BT77)/CP77,"")</f>
        <v>0</v>
      </c>
      <c r="CS77" s="28" t="n">
        <f aca="false">IF(CP77&gt;0,N(BU77)/CP77,"")</f>
        <v>0.314639669641668</v>
      </c>
      <c r="CT77" s="7" t="n">
        <f aca="false">1000*(p_sh_pv*p_cf_pv/p_capex_pv+(1-p_sh_pv)*p_cf_wind/p_capex_wind)*8760</f>
        <v>2301.28856624319</v>
      </c>
      <c r="CU77" s="13" t="n">
        <f aca="false">IF(AND(ISNUMBER(CO77),ISNUMBER(CQ77),BY77=1),1,0)</f>
        <v>1</v>
      </c>
      <c r="CV77" s="16" t="n">
        <f aca="false">IF(CU77=0,"",CQ77*p_hr_coal*N(AK77)+CR77*p_hr_gas*N(AO77)+CS77*p_hr_oil*N(AH77)/p_gj_l_oil)</f>
        <v>78.976488022982</v>
      </c>
      <c r="CW77" s="37" t="n">
        <f aca="false">IF(CU77=0,"",CQ77*p_hr_coal*p_ef_coal+CR77*p_hr_gas*p_ef_gas+CS77*p_hr_oil*p_ef_oil)</f>
        <v>0.904058532036766</v>
      </c>
      <c r="CX77" s="16" t="n">
        <f aca="false">IF(CU77=0,"",CQ77*p_hr_coal*N(AW77)+CR77*p_hr_gas*N(AX77)+CS77*p_hr_oil*N(AY77)/p_gj_l_oil)</f>
        <v>70.2146175156997</v>
      </c>
      <c r="CY77" s="37" t="n">
        <f aca="false">IF(CU77=0,"",CO77*CW77)</f>
        <v>0.395245902975948</v>
      </c>
      <c r="CZ77" s="37" t="n">
        <f aca="false">IF(CU77=0,"",CT77*CO77*CV77/1000/1000-p_om_re)</f>
        <v>0.0644583833493802</v>
      </c>
      <c r="DA77" s="37" t="n">
        <f aca="false">IF(CU77=0,"",CT77*CO77*CX77/1000/1000)</f>
        <v>0.070643050038754</v>
      </c>
      <c r="DB77" s="37" t="n">
        <f aca="false">IF(CU77=0,"",CT77*CO77*CW77/1000)</f>
        <v>0.909574877373015</v>
      </c>
      <c r="DC77" s="13" t="n">
        <f aca="false">IF(AND(CU77=1,ISNUMBER(AD77),ISNUMBER(AV77)),1,0)</f>
        <v>1</v>
      </c>
      <c r="DD77" s="7" t="n">
        <f aca="false">IF(DC77=0,"",p_ev_km*p_ice_l/100*AD77-p_ev_km*p_ev_kwh*AV77+p_ev_km*p_ev_maint)</f>
        <v>652.392</v>
      </c>
      <c r="DE77" s="37" t="n">
        <f aca="false">IF(DC77=0,"",DD77/p_ev_prem)</f>
        <v>0.1304784</v>
      </c>
      <c r="DF77" s="37" t="n">
        <f aca="false">IF(DC77=0,"",p_ev_km*p_ice_l/100*N(AZ77)/p_ev_prem)</f>
        <v>0.042180525</v>
      </c>
      <c r="DG77" s="37" t="n">
        <f aca="false">IF(DC77=0,"",1000/p_ev_prem*(p_ev_km*p_ice_l/100*p_gj_l_gso*p_ef_gso-p_ev_km*p_ev_kwh/1000*CY77))</f>
        <v>0.319830712392988</v>
      </c>
      <c r="DH77" s="11" t="str">
        <f aca="false">IFERROR(IF(INDEX(Damodaran!$D:$D,MATCH(A77,Damodaran!$A:$A,0))="","",INDEX(Damodaran!$D:$D,MATCH(A77,Damodaran!$A:$A,0))),"")</f>
        <v/>
      </c>
      <c r="DI77" s="11" t="str">
        <f aca="false">IFERROR(IF(INDEX(Damodaran!$E:$E,MATCH(A77,Damodaran!$A:$A,0))="","",INDEX(Damodaran!$E:$E,MATCH(A77,Damodaran!$A:$A,0))),"")</f>
        <v/>
      </c>
      <c r="DJ77" s="11" t="str">
        <f aca="false">IFERROR(IF(INDEX(Damodaran!$G:$G,MATCH(A77,Damodaran!$A:$A,0))="","",INDEX(Damodaran!$G:$G,MATCH(A77,Damodaran!$A:$A,0))),"")</f>
        <v/>
      </c>
      <c r="DK77" s="11" t="n">
        <f aca="false">IF(ISNUMBER(BG77),(1+BG77/100)*(1+p_infl)-1,"")</f>
        <v>0.12506</v>
      </c>
      <c r="DL77" s="11" t="str">
        <f aca="false">IF(ISNUMBER(BH77),BH77/100,"")</f>
        <v/>
      </c>
      <c r="DM77" s="11" t="n">
        <f aca="false">IF(COUNT(DK77,DL77)=0,"",AVERAGE(DK77,DL77))</f>
        <v>0.12506</v>
      </c>
      <c r="DN77" s="11" t="str">
        <f aca="false">IF(OR(DH77="",DI77=""),"",p_dv*(p_rf+DH77)*(1-IF(DJ77="",p_tax_def,DJ77))+(1-p_dv)*(p_rf+p_beta*p_erp+p_lambda*DI77))</f>
        <v/>
      </c>
      <c r="DO77" s="13" t="n">
        <f aca="false">IF(AND(ISNUMBER(DM77),ISNUMBER(DN77)),1,0)</f>
        <v>0</v>
      </c>
      <c r="DP77" s="11" t="n">
        <f aca="false">IF(DO77=1,DM77,0)</f>
        <v>0</v>
      </c>
      <c r="DQ77" s="11" t="n">
        <f aca="false">IF(DO77=1,DN77,0)</f>
        <v>0</v>
      </c>
      <c r="DR77" s="11" t="str">
        <f aca="false">IF(DN77="","",DN77+p_shift)</f>
        <v/>
      </c>
      <c r="DS77" s="11" t="n">
        <f aca="false">IF(E77="AE",p_r_ae,IF(E77="China",p_r_chn,p_r_emdc))</f>
        <v>0.105</v>
      </c>
      <c r="DT77" s="11" t="n">
        <f aca="false">IF(E77="AE",p_rh_ae,IF(E77="China",p_rh_chn,p_rh_emdc))</f>
        <v>0.15</v>
      </c>
      <c r="DU77" s="11" t="n">
        <f aca="false">IF(AND(p_use_obs=1,ISNUMBER(DM77)),DM77,IF(AND(p_use_dam=1,ISNUMBER(DR77)),DR77,DS77))</f>
        <v>0.12506</v>
      </c>
      <c r="DV77" s="6" t="str">
        <f aca="false">IF(AND(p_use_obs=1,ISNUMBER(DM77)),"Observed (IRENA/Steffen)",IF(AND(p_use_dam=1,ISNUMBER(DR77)),"Damodaran (eq. 5)","Group default (IHLEG)"))</f>
        <v>Observed (IRENA/Steffen)</v>
      </c>
      <c r="DW77" s="11" t="n">
        <f aca="false">IF(p_basis=1,(1+DU77)/(1+p_infl)-1,DU77)</f>
        <v>0.12506</v>
      </c>
      <c r="DX77" s="11" t="n">
        <f aca="false">DW77+(DT77-DS77)</f>
        <v>0.17006</v>
      </c>
      <c r="DY77" s="28" t="n">
        <f aca="false">IF(AND(p_use_pefa=1,ISNUMBER(BD77)),p_gap_lic-(BD77-1)/3*(p_gap_lic-p_gap_ae),IF(E77="AE",p_gap_ae,IF(D77="Low income",p_gap_lic,p_gap_em)))*(1-p_reform*p_reform_close)</f>
        <v>0.27</v>
      </c>
      <c r="DZ77" s="6" t="str">
        <f aca="false">IF(AND(p_use_pefa=1,ISNUMBER(BD77)),"PEFA PI-11","Income-group default (IMF 2015)")</f>
        <v>Income-group default (IMF 2015)</v>
      </c>
      <c r="EA77" s="28" t="n">
        <f aca="false">IF(E77="AE",p_ps_ae,IF(E77="China",p_ps_chn,p_ps_emdc))</f>
        <v>0.4</v>
      </c>
      <c r="EB77" s="37" t="n">
        <f aca="false">(1-EA77)+EA77/(1-DY77)</f>
        <v>1.14794520547945</v>
      </c>
      <c r="EC77" s="16" t="n">
        <f aca="false">Results_Country!F77</f>
        <v>5.33256419148439</v>
      </c>
      <c r="ED77" s="16" t="n">
        <f aca="false">IF(CH77="",0,CH77*EC77)</f>
        <v>1077.5809835052</v>
      </c>
      <c r="EE77" s="16" t="n">
        <f aca="false">IF(CJ77="",0,CJ77*EC77)</f>
        <v>333.339994345734</v>
      </c>
      <c r="EF77" s="16" t="n">
        <f aca="false">IF(CH77="",0,EC77)</f>
        <v>5.33256419148439</v>
      </c>
    </row>
    <row r="78" customFormat="false" ht="15" hidden="false" customHeight="false" outlineLevel="0" collapsed="false">
      <c r="A78" s="35" t="s">
        <v>913</v>
      </c>
      <c r="B78" s="35" t="s">
        <v>914</v>
      </c>
      <c r="C78" s="35" t="s">
        <v>784</v>
      </c>
      <c r="D78" s="35" t="s">
        <v>760</v>
      </c>
      <c r="E78" s="35" t="s">
        <v>31</v>
      </c>
      <c r="F78" s="36" t="n">
        <v>96.73</v>
      </c>
      <c r="G78" s="36" t="n">
        <v>161.489</v>
      </c>
      <c r="H78" s="33" t="n">
        <v>4.56</v>
      </c>
      <c r="I78" s="33" t="n">
        <v>3.56</v>
      </c>
      <c r="J78" s="36" t="n">
        <v>5.12991</v>
      </c>
      <c r="K78" s="36" t="n">
        <v>7.87</v>
      </c>
      <c r="L78" s="36" t="n">
        <v>16.028</v>
      </c>
      <c r="M78" s="36" t="n">
        <v>8.705</v>
      </c>
      <c r="N78" s="36" t="n">
        <v>6.65093713786193</v>
      </c>
      <c r="O78" s="36" t="n">
        <v>4.36628578788654</v>
      </c>
      <c r="P78" s="36" t="n">
        <v>0</v>
      </c>
      <c r="Q78" s="31" t="n">
        <v>0</v>
      </c>
      <c r="R78" s="31" t="n">
        <v>0</v>
      </c>
      <c r="S78" s="31" t="n">
        <v>0</v>
      </c>
      <c r="T78" s="31" t="n">
        <v>0</v>
      </c>
      <c r="U78" s="31" t="n">
        <v>0.000583552603278725</v>
      </c>
      <c r="V78" s="31" t="n">
        <v>0</v>
      </c>
      <c r="W78" s="31" t="n">
        <v>0</v>
      </c>
      <c r="X78" s="31" t="n">
        <v>0</v>
      </c>
      <c r="Y78" s="36" t="n">
        <v>1.16374082336876</v>
      </c>
      <c r="Z78" s="36" t="n">
        <v>1.06976025406452</v>
      </c>
      <c r="AA78" s="36" t="n">
        <v>0.395398629301827</v>
      </c>
      <c r="AB78" s="36" t="n">
        <v>0.0106273475852179</v>
      </c>
      <c r="AC78" s="36" t="n">
        <v>0.189467376962762</v>
      </c>
      <c r="AD78" s="31" t="n">
        <v>0.853534</v>
      </c>
      <c r="AE78" s="31" t="n">
        <v>0.686373</v>
      </c>
      <c r="AF78" s="31" t="n">
        <v>0.562255</v>
      </c>
      <c r="AG78" s="31" t="n">
        <v>0.582768</v>
      </c>
      <c r="AH78" s="31" t="n">
        <v>0.519462891908447</v>
      </c>
      <c r="AI78" s="31" t="n">
        <v>7.124</v>
      </c>
      <c r="AJ78" s="31" t="n">
        <v>13.77809</v>
      </c>
      <c r="AK78" s="31" t="n">
        <v>5.575</v>
      </c>
      <c r="AL78" s="31" t="n">
        <v>7.124</v>
      </c>
      <c r="AM78" s="31" t="n">
        <v>5.164</v>
      </c>
      <c r="AN78" s="31" t="n">
        <v>14.80978</v>
      </c>
      <c r="AO78" s="31" t="n">
        <v>3.841</v>
      </c>
      <c r="AP78" s="31" t="n">
        <v>7.93826</v>
      </c>
      <c r="AQ78" s="36" t="n">
        <v>0.291728427678387</v>
      </c>
      <c r="AR78" s="36" t="n">
        <v>0.316765786419271</v>
      </c>
      <c r="AS78" s="36" t="n">
        <v>0.249427211195559</v>
      </c>
      <c r="AT78" s="36" t="n">
        <v>0.109045849090591</v>
      </c>
      <c r="AU78" s="31" t="n">
        <v>1</v>
      </c>
      <c r="AV78" s="36" t="n">
        <v>0.19775</v>
      </c>
      <c r="AW78" s="31" t="n">
        <v>0.713548</v>
      </c>
      <c r="AX78" s="31" t="n">
        <v>0.00443</v>
      </c>
      <c r="AY78" s="31" t="n">
        <v>0.50896319161864</v>
      </c>
      <c r="AZ78" s="31" t="n">
        <v>0.03699</v>
      </c>
      <c r="BA78" s="33" t="n">
        <v>58.91</v>
      </c>
      <c r="BB78" s="33" t="n">
        <v>32.096</v>
      </c>
      <c r="BC78" s="33" t="n">
        <v>100</v>
      </c>
      <c r="BD78" s="33" t="n">
        <v>2.5</v>
      </c>
      <c r="BE78" s="33" t="n">
        <v>2</v>
      </c>
      <c r="BF78" s="33" t="n">
        <v>0</v>
      </c>
      <c r="BG78" s="33"/>
      <c r="BH78" s="33" t="n">
        <v>6.79</v>
      </c>
      <c r="BI78" s="29" t="n">
        <v>2020</v>
      </c>
      <c r="BJ78" s="33" t="n">
        <v>1</v>
      </c>
      <c r="BK78" s="33"/>
      <c r="BL78" s="33"/>
      <c r="BM78" s="33"/>
      <c r="BN78" s="29"/>
      <c r="BO78" s="33" t="n">
        <v>0.265</v>
      </c>
      <c r="BP78" s="33"/>
      <c r="BQ78" s="29" t="n">
        <v>2025</v>
      </c>
      <c r="BR78" s="36" t="n">
        <v>11.66</v>
      </c>
      <c r="BS78" s="36" t="n">
        <v>0</v>
      </c>
      <c r="BT78" s="36" t="n">
        <v>0</v>
      </c>
      <c r="BU78" s="36" t="n">
        <v>-1.15</v>
      </c>
      <c r="BV78" s="16" t="n">
        <f aca="false">F78*(1+N(H78)/100)*(1+N(I78)/100)^5</f>
        <v>120.472236030665</v>
      </c>
      <c r="BW78" s="16" t="n">
        <f aca="false">IF(N(G78)&gt;0,G78,F78)</f>
        <v>161.489</v>
      </c>
      <c r="BX78" s="12" t="n">
        <f aca="false">F78/BW78</f>
        <v>0.598988166376657</v>
      </c>
      <c r="BY78" s="13" t="n">
        <f aca="false">IF(ISNUMBER(K78),1,0)</f>
        <v>1</v>
      </c>
      <c r="BZ78" s="16" t="n">
        <f aca="false">IF(BY78=0,"",N(N78)+N(O78)+N(P78))</f>
        <v>11.0172229257485</v>
      </c>
      <c r="CA78" s="37" t="n">
        <f aca="false">IF(BY78=0,"",(N(Y78)*34.2+N(Z78)*38.6)/1000)</f>
        <v>0.081092681966102</v>
      </c>
      <c r="CB78" s="37" t="n">
        <f aca="false">IF(BY78=0,"",N(O78)*0.0036+N(R78)+N(V78)+(N(AA78)*25.3+N(AB78)*37)/1000)</f>
        <v>0.0261154260183808</v>
      </c>
      <c r="CC78" s="37" t="n">
        <f aca="false">IF(BY78=0,"",N(N78)*0.0036+N(Q78)+N(U78)+N(T78)+N(X78)+N(AC78)*38/1000)</f>
        <v>0.0317266866241666</v>
      </c>
      <c r="CD78" s="37" t="n">
        <f aca="false">IF(BY78=0,"",N(Q78)+N(R78)+N(S78)+N(T78)+N(U78)+N(V78)+N(W78)+N(X78)+(N(Y78)*34.2+N(Z78)*38.6+N(AA78)*25.3+N(AB78)*37+N(AC78)*38)/1000)</f>
        <v>0.0992727920759549</v>
      </c>
      <c r="CE78" s="16" t="n">
        <f aca="false">IF(BY78=0,"",MAX(0,N(L78)-N(K78))+MAX(0,N(M78)-N(L78)))</f>
        <v>8.158</v>
      </c>
      <c r="CF78" s="16" t="n">
        <f aca="false">IF(BY78=0,"",N(Y78)*N(AD78)+N(Z78)*N(AE78)+N(AA78)*N(AF78)+N(AB78)*N(AG78)+N(AC78)*N(AH78)+N(U78)*N(AI78)+N(V78)*N(AJ78)+N(W78)*N(AK78)+N(X78)*N(AL78)+N(Q78)*N(AM78)+N(R78)*N(AN78)+N(S78)*N(AO78)+N(T78)*N(AP78))</f>
        <v>2.05863354951704</v>
      </c>
      <c r="CG78" s="16" t="n">
        <f aca="false">IF(AND(BY78=1,N(K78)&gt;0),K78,0)</f>
        <v>7.87</v>
      </c>
      <c r="CH78" s="16" t="n">
        <f aca="false">IF(CG78&gt;0,CF78*1000/CG78,"")</f>
        <v>261.579866520589</v>
      </c>
      <c r="CI78" s="16" t="n">
        <f aca="false">IF(BY78=0,"",N(AQ78)+p_road*(N(AR78)+N(AS78)+N(AT78)))</f>
        <v>0.291728427678387</v>
      </c>
      <c r="CJ78" s="16" t="n">
        <f aca="false">IF(CG78&gt;0,CI78*1000/CG78,"")</f>
        <v>37.0684152069107</v>
      </c>
      <c r="CK78" s="12" t="n">
        <f aca="false">IF(CH78="",1,MIN(p_idx_max,MAX(p_idx_min,CH78/p_fc_world)))</f>
        <v>1.6246455527687</v>
      </c>
      <c r="CL78" s="12" t="n">
        <f aca="false">IF(CJ78="",1,MIN(p_idx_max,MAX(p_idx_min,CJ78/p_cb_world)))</f>
        <v>0.704846074169397</v>
      </c>
      <c r="CM78" s="37" t="n">
        <f aca="false">p_b*(1-p_wb_idx+p_wb_idx*CK78)</f>
        <v>0.216077858518238</v>
      </c>
      <c r="CN78" s="37" t="n">
        <f aca="false">p_c*(1-p_wc_idx+p_wc_idx*CL78)</f>
        <v>0.0909251435678522</v>
      </c>
      <c r="CO78" s="28" t="n">
        <f aca="false">IF(N(BR78)&gt;0,(N(BS78)+N(BT78)+N(BU78))/BR78,"")</f>
        <v>-0.0986277873070326</v>
      </c>
      <c r="CP78" s="16" t="n">
        <f aca="false">N(BS78)+N(BT78)+N(BU78)</f>
        <v>-1.15</v>
      </c>
      <c r="CQ78" s="28" t="str">
        <f aca="false">IF(CP78&gt;0,N(BS78)/CP78,"")</f>
        <v/>
      </c>
      <c r="CR78" s="28" t="str">
        <f aca="false">IF(CP78&gt;0,N(BT78)/CP78,"")</f>
        <v/>
      </c>
      <c r="CS78" s="28" t="str">
        <f aca="false">IF(CP78&gt;0,N(BU78)/CP78,"")</f>
        <v/>
      </c>
      <c r="CT78" s="7" t="n">
        <f aca="false">1000*(p_sh_pv*p_cf_pv/p_capex_pv+(1-p_sh_pv)*p_cf_wind/p_capex_wind)*8760</f>
        <v>2301.28856624319</v>
      </c>
      <c r="CU78" s="13" t="n">
        <f aca="false">IF(AND(ISNUMBER(CO78),ISNUMBER(CQ78),BY78=1),1,0)</f>
        <v>0</v>
      </c>
      <c r="CV78" s="16" t="str">
        <f aca="false">IF(CU78=0,"",CQ78*p_hr_coal*N(AK78)+CR78*p_hr_gas*N(AO78)+CS78*p_hr_oil*N(AH78)/p_gj_l_oil)</f>
        <v/>
      </c>
      <c r="CW78" s="37" t="str">
        <f aca="false">IF(CU78=0,"",CQ78*p_hr_coal*p_ef_coal+CR78*p_hr_gas*p_ef_gas+CS78*p_hr_oil*p_ef_oil)</f>
        <v/>
      </c>
      <c r="CX78" s="16" t="str">
        <f aca="false">IF(CU78=0,"",CQ78*p_hr_coal*N(AW78)+CR78*p_hr_gas*N(AX78)+CS78*p_hr_oil*N(AY78)/p_gj_l_oil)</f>
        <v/>
      </c>
      <c r="CY78" s="37" t="str">
        <f aca="false">IF(CU78=0,"",CO78*CW78)</f>
        <v/>
      </c>
      <c r="CZ78" s="37" t="str">
        <f aca="false">IF(CU78=0,"",CT78*CO78*CV78/1000/1000-p_om_re)</f>
        <v/>
      </c>
      <c r="DA78" s="37" t="str">
        <f aca="false">IF(CU78=0,"",CT78*CO78*CX78/1000/1000)</f>
        <v/>
      </c>
      <c r="DB78" s="37" t="str">
        <f aca="false">IF(CU78=0,"",CT78*CO78*CW78/1000)</f>
        <v/>
      </c>
      <c r="DC78" s="13" t="n">
        <f aca="false">IF(AND(CU78=1,ISNUMBER(AD78),ISNUMBER(AV78)),1,0)</f>
        <v>0</v>
      </c>
      <c r="DD78" s="7" t="str">
        <f aca="false">IF(DC78=0,"",p_ev_km*p_ice_l/100*AD78-p_ev_km*p_ev_kwh*AV78+p_ev_km*p_ev_maint)</f>
        <v/>
      </c>
      <c r="DE78" s="37" t="str">
        <f aca="false">IF(DC78=0,"",DD78/p_ev_prem)</f>
        <v/>
      </c>
      <c r="DF78" s="37" t="str">
        <f aca="false">IF(DC78=0,"",p_ev_km*p_ice_l/100*N(AZ78)/p_ev_prem)</f>
        <v/>
      </c>
      <c r="DG78" s="37" t="str">
        <f aca="false">IF(DC78=0,"",1000/p_ev_prem*(p_ev_km*p_ice_l/100*p_gj_l_gso*p_ef_gso-p_ev_km*p_ev_kwh/1000*CY78))</f>
        <v/>
      </c>
      <c r="DH78" s="11" t="str">
        <f aca="false">IFERROR(IF(INDEX(Damodaran!$D:$D,MATCH(A78,Damodaran!$A:$A,0))="","",INDEX(Damodaran!$D:$D,MATCH(A78,Damodaran!$A:$A,0))),"")</f>
        <v/>
      </c>
      <c r="DI78" s="11" t="str">
        <f aca="false">IFERROR(IF(INDEX(Damodaran!$E:$E,MATCH(A78,Damodaran!$A:$A,0))="","",INDEX(Damodaran!$E:$E,MATCH(A78,Damodaran!$A:$A,0))),"")</f>
        <v/>
      </c>
      <c r="DJ78" s="11" t="str">
        <f aca="false">IFERROR(IF(INDEX(Damodaran!$G:$G,MATCH(A78,Damodaran!$A:$A,0))="","",INDEX(Damodaran!$G:$G,MATCH(A78,Damodaran!$A:$A,0))),"")</f>
        <v/>
      </c>
      <c r="DK78" s="11" t="str">
        <f aca="false">IF(ISNUMBER(BG78),(1+BG78/100)*(1+p_infl)-1,"")</f>
        <v/>
      </c>
      <c r="DL78" s="11" t="n">
        <f aca="false">IF(ISNUMBER(BH78),BH78/100,"")</f>
        <v>0.0679</v>
      </c>
      <c r="DM78" s="11" t="n">
        <f aca="false">IF(COUNT(DK78,DL78)=0,"",AVERAGE(DK78,DL78))</f>
        <v>0.0679</v>
      </c>
      <c r="DN78" s="11" t="str">
        <f aca="false">IF(OR(DH78="",DI78=""),"",p_dv*(p_rf+DH78)*(1-IF(DJ78="",p_tax_def,DJ78))+(1-p_dv)*(p_rf+p_beta*p_erp+p_lambda*DI78))</f>
        <v/>
      </c>
      <c r="DO78" s="13" t="n">
        <f aca="false">IF(AND(ISNUMBER(DM78),ISNUMBER(DN78)),1,0)</f>
        <v>0</v>
      </c>
      <c r="DP78" s="11" t="n">
        <f aca="false">IF(DO78=1,DM78,0)</f>
        <v>0</v>
      </c>
      <c r="DQ78" s="11" t="n">
        <f aca="false">IF(DO78=1,DN78,0)</f>
        <v>0</v>
      </c>
      <c r="DR78" s="11" t="str">
        <f aca="false">IF(DN78="","",DN78+p_shift)</f>
        <v/>
      </c>
      <c r="DS78" s="11" t="n">
        <f aca="false">IF(E78="AE",p_r_ae,IF(E78="China",p_r_chn,p_r_emdc))</f>
        <v>0.105</v>
      </c>
      <c r="DT78" s="11" t="n">
        <f aca="false">IF(E78="AE",p_rh_ae,IF(E78="China",p_rh_chn,p_rh_emdc))</f>
        <v>0.15</v>
      </c>
      <c r="DU78" s="11" t="n">
        <f aca="false">IF(AND(p_use_obs=1,ISNUMBER(DM78)),DM78,IF(AND(p_use_dam=1,ISNUMBER(DR78)),DR78,DS78))</f>
        <v>0.0679</v>
      </c>
      <c r="DV78" s="6" t="str">
        <f aca="false">IF(AND(p_use_obs=1,ISNUMBER(DM78)),"Observed (IRENA/Steffen)",IF(AND(p_use_dam=1,ISNUMBER(DR78)),"Damodaran (eq. 5)","Group default (IHLEG)"))</f>
        <v>Observed (IRENA/Steffen)</v>
      </c>
      <c r="DW78" s="11" t="n">
        <f aca="false">IF(p_basis=1,(1+DU78)/(1+p_infl)-1,DU78)</f>
        <v>0.0679</v>
      </c>
      <c r="DX78" s="11" t="n">
        <f aca="false">DW78+(DT78-DS78)</f>
        <v>0.1129</v>
      </c>
      <c r="DY78" s="28" t="n">
        <f aca="false">IF(AND(p_use_pefa=1,ISNUMBER(BD78)),p_gap_lic-(BD78-1)/3*(p_gap_lic-p_gap_ae),IF(E78="AE",p_gap_ae,IF(D78="Low income",p_gap_lic,p_gap_em)))*(1-p_reform*p_reform_close)</f>
        <v>0.265</v>
      </c>
      <c r="DZ78" s="6" t="str">
        <f aca="false">IF(AND(p_use_pefa=1,ISNUMBER(BD78)),"PEFA PI-11","Income-group default (IMF 2015)")</f>
        <v>PEFA PI-11</v>
      </c>
      <c r="EA78" s="28" t="n">
        <f aca="false">IF(E78="AE",p_ps_ae,IF(E78="China",p_ps_chn,p_ps_emdc))</f>
        <v>0.4</v>
      </c>
      <c r="EB78" s="37" t="n">
        <f aca="false">(1-EA78)+EA78/(1-DY78)</f>
        <v>1.14421768707483</v>
      </c>
      <c r="EC78" s="16" t="n">
        <f aca="false">Results_Country!F78</f>
        <v>4.03627704560656</v>
      </c>
      <c r="ED78" s="16" t="n">
        <f aca="false">IF(CH78="",0,CH78*EC78)</f>
        <v>1055.80881082988</v>
      </c>
      <c r="EE78" s="16" t="n">
        <f aca="false">IF(CJ78="",0,CJ78*EC78)</f>
        <v>149.618393416666</v>
      </c>
      <c r="EF78" s="16" t="n">
        <f aca="false">IF(CH78="",0,EC78)</f>
        <v>4.03627704560656</v>
      </c>
    </row>
    <row r="79" customFormat="false" ht="15" hidden="false" customHeight="false" outlineLevel="0" collapsed="false">
      <c r="A79" s="35" t="s">
        <v>915</v>
      </c>
      <c r="B79" s="35" t="s">
        <v>916</v>
      </c>
      <c r="C79" s="35" t="s">
        <v>766</v>
      </c>
      <c r="D79" s="35" t="s">
        <v>760</v>
      </c>
      <c r="E79" s="35" t="s">
        <v>29</v>
      </c>
      <c r="F79" s="36" t="n">
        <v>93.252</v>
      </c>
      <c r="G79" s="36" t="n">
        <v>100.798</v>
      </c>
      <c r="H79" s="33" t="n">
        <v>0.638</v>
      </c>
      <c r="I79" s="33" t="n">
        <v>1.592</v>
      </c>
      <c r="J79" s="36" t="n">
        <v>0.673036</v>
      </c>
      <c r="K79" s="36" t="n">
        <v>7.855</v>
      </c>
      <c r="L79" s="36" t="n">
        <v>8.861</v>
      </c>
      <c r="M79" s="36" t="n">
        <v>8.247</v>
      </c>
      <c r="N79" s="36" t="n">
        <v>4.83715704997283</v>
      </c>
      <c r="O79" s="36" t="n">
        <v>0.858194100501103</v>
      </c>
      <c r="P79" s="36" t="n">
        <v>0.147941991197191</v>
      </c>
      <c r="Q79" s="31" t="n">
        <v>0.0121850220695104</v>
      </c>
      <c r="R79" s="31" t="n">
        <v>0.0154832452927776</v>
      </c>
      <c r="S79" s="31" t="n">
        <v>0.00218357691271031</v>
      </c>
      <c r="T79" s="31" t="n">
        <v>0</v>
      </c>
      <c r="U79" s="31" t="n">
        <v>0.0016192441977792</v>
      </c>
      <c r="V79" s="31" t="n">
        <v>1.34688000162529E-005</v>
      </c>
      <c r="W79" s="31" t="n">
        <v>0</v>
      </c>
      <c r="X79" s="31" t="n">
        <v>0</v>
      </c>
      <c r="Y79" s="36" t="n">
        <v>0.339092273282997</v>
      </c>
      <c r="Z79" s="36" t="n">
        <v>1.56083570816317</v>
      </c>
      <c r="AA79" s="36" t="n">
        <v>0.0154131865228669</v>
      </c>
      <c r="AB79" s="36" t="n">
        <v>0.000871412394082445</v>
      </c>
      <c r="AC79" s="36" t="n">
        <v>0.00106075788732803</v>
      </c>
      <c r="AD79" s="31" t="n">
        <v>0.84708</v>
      </c>
      <c r="AE79" s="31" t="n">
        <v>0.835587</v>
      </c>
      <c r="AF79" s="31" t="n">
        <v>0.514817</v>
      </c>
      <c r="AG79" s="31" t="n">
        <v>0.69147</v>
      </c>
      <c r="AH79" s="31" t="n">
        <v>0.519462891908447</v>
      </c>
      <c r="AI79" s="31" t="n">
        <v>7.109</v>
      </c>
      <c r="AJ79" s="31" t="n">
        <v>31.25538</v>
      </c>
      <c r="AK79" s="31" t="n">
        <v>20.108</v>
      </c>
      <c r="AL79" s="31" t="n">
        <v>7.30819162998982</v>
      </c>
      <c r="AM79" s="31" t="n">
        <v>20.004</v>
      </c>
      <c r="AN79" s="31" t="n">
        <v>29.59866</v>
      </c>
      <c r="AO79" s="31" t="n">
        <v>20.004</v>
      </c>
      <c r="AP79" s="31" t="n">
        <v>24.9804588382642</v>
      </c>
      <c r="AQ79" s="36" t="n">
        <v>0.0107221761118698</v>
      </c>
      <c r="AR79" s="36" t="n">
        <v>0.401622119551187</v>
      </c>
      <c r="AS79" s="36" t="n">
        <v>0.0162196743052667</v>
      </c>
      <c r="AT79" s="36" t="n">
        <v>0.0647607386419065</v>
      </c>
      <c r="AU79" s="31" t="n">
        <v>0.884654404855537</v>
      </c>
      <c r="AV79" s="36" t="n">
        <v>0.357751</v>
      </c>
      <c r="AW79" s="31" t="n">
        <v>0.211374</v>
      </c>
      <c r="AX79" s="31" t="n">
        <v>0.048576</v>
      </c>
      <c r="AY79" s="31" t="n">
        <v>0.212780372438865</v>
      </c>
      <c r="AZ79" s="31" t="n">
        <v>0.006525</v>
      </c>
      <c r="BA79" s="33" t="n">
        <v>26.281</v>
      </c>
      <c r="BB79" s="33"/>
      <c r="BC79" s="33"/>
      <c r="BD79" s="33"/>
      <c r="BE79" s="33"/>
      <c r="BF79" s="33" t="n">
        <v>0</v>
      </c>
      <c r="BG79" s="33"/>
      <c r="BH79" s="33"/>
      <c r="BI79" s="29"/>
      <c r="BJ79" s="33"/>
      <c r="BK79" s="33"/>
      <c r="BL79" s="33"/>
      <c r="BM79" s="33"/>
      <c r="BN79" s="29"/>
      <c r="BO79" s="33"/>
      <c r="BP79" s="33"/>
      <c r="BQ79" s="29" t="n">
        <v>2025</v>
      </c>
      <c r="BR79" s="36" t="n">
        <v>1.54</v>
      </c>
      <c r="BS79" s="36" t="n">
        <v>0</v>
      </c>
      <c r="BT79" s="36" t="n">
        <v>0.06</v>
      </c>
      <c r="BU79" s="36" t="n">
        <v>0.07</v>
      </c>
      <c r="BV79" s="16" t="n">
        <f aca="false">F79*(1+N(H79)/100)*(1+N(I79)/100)^5</f>
        <v>101.558833348836</v>
      </c>
      <c r="BW79" s="16" t="n">
        <f aca="false">IF(N(G79)&gt;0,G79,F79)</f>
        <v>100.798</v>
      </c>
      <c r="BX79" s="12" t="n">
        <f aca="false">F79/BW79</f>
        <v>0.925137403519911</v>
      </c>
      <c r="BY79" s="13" t="n">
        <f aca="false">IF(ISNUMBER(K79),1,0)</f>
        <v>1</v>
      </c>
      <c r="BZ79" s="16" t="n">
        <f aca="false">IF(BY79=0,"",N(N79)+N(O79)+N(P79))</f>
        <v>5.84329314167112</v>
      </c>
      <c r="CA79" s="37" t="n">
        <f aca="false">IF(BY79=0,"",(N(Y79)*34.2+N(Z79)*38.6)/1000)</f>
        <v>0.0718452140813769</v>
      </c>
      <c r="CB79" s="37" t="n">
        <f aca="false">IF(BY79=0,"",N(O79)*0.0036+N(R79)+N(V79)+(N(AA79)*25.3+N(AB79)*37)/1000)</f>
        <v>0.0190084087322074</v>
      </c>
      <c r="CC79" s="37" t="n">
        <f aca="false">IF(BY79=0,"",N(N79)*0.0036+N(Q79)+N(U79)+N(T79)+N(X79)+N(AC79)*38/1000)</f>
        <v>0.0312583404469103</v>
      </c>
      <c r="CD79" s="37" t="n">
        <f aca="false">IF(BY79=0,"",N(Q79)+N(R79)+N(S79)+N(T79)+N(U79)+N(V79)+N(W79)+N(X79)+(N(Y79)*34.2+N(Z79)*38.6+N(AA79)*25.3+N(AB79)*37+N(AC79)*38)/1000)</f>
        <v>0.103792276031499</v>
      </c>
      <c r="CE79" s="16" t="n">
        <f aca="false">IF(BY79=0,"",MAX(0,N(L79)-N(K79))+MAX(0,N(M79)-N(L79)))</f>
        <v>1.006</v>
      </c>
      <c r="CF79" s="16" t="n">
        <f aca="false">IF(BY79=0,"",N(Y79)*N(AD79)+N(Z79)*N(AE79)+N(AA79)*N(AF79)+N(AB79)*N(AG79)+N(AC79)*N(AH79)+N(U79)*N(AI79)+N(V79)*N(AJ79)+N(W79)*N(AK79)+N(X79)*N(AL79)+N(Q79)*N(AM79)+N(R79)*N(AN79)+N(S79)*N(AO79)+N(T79)*N(AP79))</f>
        <v>2.35818580668608</v>
      </c>
      <c r="CG79" s="16" t="n">
        <f aca="false">IF(AND(BY79=1,N(K79)&gt;0),K79,0)</f>
        <v>7.855</v>
      </c>
      <c r="CH79" s="16" t="n">
        <f aca="false">IF(CG79&gt;0,CF79*1000/CG79,"")</f>
        <v>300.214615746159</v>
      </c>
      <c r="CI79" s="16" t="n">
        <f aca="false">IF(BY79=0,"",N(AQ79)+p_road*(N(AR79)+N(AS79)+N(AT79)))</f>
        <v>0.0107221761118698</v>
      </c>
      <c r="CJ79" s="16" t="n">
        <f aca="false">IF(CG79&gt;0,CI79*1000/CG79,"")</f>
        <v>1.36501287229406</v>
      </c>
      <c r="CK79" s="12" t="n">
        <f aca="false">IF(CH79="",1,MIN(p_idx_max,MAX(p_idx_min,CH79/p_fc_world)))</f>
        <v>1.86460199263758</v>
      </c>
      <c r="CL79" s="12" t="n">
        <f aca="false">IF(CJ79="",1,MIN(p_idx_max,MAX(p_idx_min,CJ79/p_cb_world)))</f>
        <v>0.25</v>
      </c>
      <c r="CM79" s="37" t="n">
        <f aca="false">p_b*(1-p_wb_idx+p_wb_idx*CK79)</f>
        <v>0.247992065020798</v>
      </c>
      <c r="CN79" s="37" t="n">
        <f aca="false">p_c*(1-p_wc_idx+p_wc_idx*CL79)</f>
        <v>0.03225</v>
      </c>
      <c r="CO79" s="28" t="n">
        <f aca="false">IF(N(BR79)&gt;0,(N(BS79)+N(BT79)+N(BU79))/BR79,"")</f>
        <v>0.0844155844155844</v>
      </c>
      <c r="CP79" s="16" t="n">
        <f aca="false">N(BS79)+N(BT79)+N(BU79)</f>
        <v>0.13</v>
      </c>
      <c r="CQ79" s="28" t="n">
        <f aca="false">IF(CP79&gt;0,N(BS79)/CP79,"")</f>
        <v>0</v>
      </c>
      <c r="CR79" s="28" t="n">
        <f aca="false">IF(CP79&gt;0,N(BT79)/CP79,"")</f>
        <v>0.461538461538462</v>
      </c>
      <c r="CS79" s="28" t="n">
        <f aca="false">IF(CP79&gt;0,N(BU79)/CP79,"")</f>
        <v>0.538461538461539</v>
      </c>
      <c r="CT79" s="7" t="n">
        <f aca="false">1000*(p_sh_pv*p_cf_pv/p_capex_pv+(1-p_sh_pv)*p_cf_wind/p_capex_wind)*8760</f>
        <v>2301.28856624319</v>
      </c>
      <c r="CU79" s="13" t="n">
        <f aca="false">IF(AND(ISNUMBER(CO79),ISNUMBER(CQ79),BY79=1),1,0)</f>
        <v>1</v>
      </c>
      <c r="CV79" s="16" t="n">
        <f aca="false">IF(CU79=0,"",CQ79*p_hr_coal*N(AK79)+CR79*p_hr_gas*N(AO79)+CS79*p_hr_oil*N(AH79)/p_gj_l_oil)</f>
        <v>145.331746821983</v>
      </c>
      <c r="CW79" s="37" t="n">
        <f aca="false">IF(CU79=0,"",CQ79*p_hr_coal*p_ef_coal+CR79*p_hr_gas*p_ef_gas+CS79*p_hr_oil*p_ef_oil)</f>
        <v>0.6318</v>
      </c>
      <c r="CX79" s="16" t="n">
        <f aca="false">IF(CU79=0,"",CQ79*p_hr_coal*N(AW79)+CR79*p_hr_gas*N(AX79)+CS79*p_hr_oil*N(AY79)/p_gj_l_oil)</f>
        <v>31.3346629857644</v>
      </c>
      <c r="CY79" s="37" t="n">
        <f aca="false">IF(CU79=0,"",CO79*CW79)</f>
        <v>0.0533337662337662</v>
      </c>
      <c r="CZ79" s="37" t="n">
        <f aca="false">IF(CU79=0,"",CT79*CO79*CV79/1000/1000-p_om_re)</f>
        <v>0.0132328164581593</v>
      </c>
      <c r="DA79" s="37" t="n">
        <f aca="false">IF(CU79=0,"",CT79*CO79*CX79/1000/1000)</f>
        <v>0.00608721637357729</v>
      </c>
      <c r="DB79" s="37" t="n">
        <f aca="false">IF(CU79=0,"",CT79*CO79*CW79/1000)</f>
        <v>0.122736386428454</v>
      </c>
      <c r="DC79" s="13" t="n">
        <f aca="false">IF(AND(CU79=1,ISNUMBER(AD79),ISNUMBER(AV79)),1,0)</f>
        <v>1</v>
      </c>
      <c r="DD79" s="7" t="n">
        <f aca="false">IF(DC79=0,"",p_ev_km*p_ice_l/100*AD79-p_ev_km*p_ev_kwh*AV79+p_ev_km*p_ev_maint)</f>
        <v>167.0373</v>
      </c>
      <c r="DE79" s="37" t="n">
        <f aca="false">IF(DC79=0,"",DD79/p_ev_prem)</f>
        <v>0.03340746</v>
      </c>
      <c r="DF79" s="37" t="n">
        <f aca="false">IF(DC79=0,"",p_ev_km*p_ice_l/100*N(AZ79)/p_ev_prem)</f>
        <v>0.001468125</v>
      </c>
      <c r="DG79" s="37" t="n">
        <f aca="false">IF(DC79=0,"",1000/p_ev_prem*(p_ev_km*p_ice_l/100*p_gj_l_gso*p_ef_gso-p_ev_km*p_ev_kwh/1000*CY79))</f>
        <v>0.504463266233766</v>
      </c>
      <c r="DH79" s="11" t="str">
        <f aca="false">IFERROR(IF(INDEX(Damodaran!$D:$D,MATCH(A79,Damodaran!$A:$A,0))="","",INDEX(Damodaran!$D:$D,MATCH(A79,Damodaran!$A:$A,0))),"")</f>
        <v/>
      </c>
      <c r="DI79" s="11" t="str">
        <f aca="false">IFERROR(IF(INDEX(Damodaran!$E:$E,MATCH(A79,Damodaran!$A:$A,0))="","",INDEX(Damodaran!$E:$E,MATCH(A79,Damodaran!$A:$A,0))),"")</f>
        <v/>
      </c>
      <c r="DJ79" s="11" t="str">
        <f aca="false">IFERROR(IF(INDEX(Damodaran!$G:$G,MATCH(A79,Damodaran!$A:$A,0))="","",INDEX(Damodaran!$G:$G,MATCH(A79,Damodaran!$A:$A,0))),"")</f>
        <v/>
      </c>
      <c r="DK79" s="11" t="str">
        <f aca="false">IF(ISNUMBER(BG79),(1+BG79/100)*(1+p_infl)-1,"")</f>
        <v/>
      </c>
      <c r="DL79" s="11" t="str">
        <f aca="false">IF(ISNUMBER(BH79),BH79/100,"")</f>
        <v/>
      </c>
      <c r="DM79" s="11" t="str">
        <f aca="false">IF(COUNT(DK79,DL79)=0,"",AVERAGE(DK79,DL79))</f>
        <v/>
      </c>
      <c r="DN79" s="11" t="str">
        <f aca="false">IF(OR(DH79="",DI79=""),"",p_dv*(p_rf+DH79)*(1-IF(DJ79="",p_tax_def,DJ79))+(1-p_dv)*(p_rf+p_beta*p_erp+p_lambda*DI79))</f>
        <v/>
      </c>
      <c r="DO79" s="13" t="n">
        <f aca="false">IF(AND(ISNUMBER(DM79),ISNUMBER(DN79)),1,0)</f>
        <v>0</v>
      </c>
      <c r="DP79" s="11" t="n">
        <f aca="false">IF(DO79=1,DM79,0)</f>
        <v>0</v>
      </c>
      <c r="DQ79" s="11" t="n">
        <f aca="false">IF(DO79=1,DN79,0)</f>
        <v>0</v>
      </c>
      <c r="DR79" s="11" t="str">
        <f aca="false">IF(DN79="","",DN79+p_shift)</f>
        <v/>
      </c>
      <c r="DS79" s="11" t="n">
        <f aca="false">IF(E79="AE",p_r_ae,IF(E79="China",p_r_chn,p_r_emdc))</f>
        <v>0.055</v>
      </c>
      <c r="DT79" s="11" t="n">
        <f aca="false">IF(E79="AE",p_rh_ae,IF(E79="China",p_rh_chn,p_rh_emdc))</f>
        <v>0.07</v>
      </c>
      <c r="DU79" s="11" t="n">
        <f aca="false">IF(AND(p_use_obs=1,ISNUMBER(DM79)),DM79,IF(AND(p_use_dam=1,ISNUMBER(DR79)),DR79,DS79))</f>
        <v>0.055</v>
      </c>
      <c r="DV79" s="6" t="str">
        <f aca="false">IF(AND(p_use_obs=1,ISNUMBER(DM79)),"Observed (IRENA/Steffen)",IF(AND(p_use_dam=1,ISNUMBER(DR79)),"Damodaran (eq. 5)","Group default (IHLEG)"))</f>
        <v>Group default (IHLEG)</v>
      </c>
      <c r="DW79" s="11" t="n">
        <f aca="false">IF(p_basis=1,(1+DU79)/(1+p_infl)-1,DU79)</f>
        <v>0.055</v>
      </c>
      <c r="DX79" s="11" t="n">
        <f aca="false">DW79+(DT79-DS79)</f>
        <v>0.07</v>
      </c>
      <c r="DY79" s="28" t="n">
        <f aca="false">IF(AND(p_use_pefa=1,ISNUMBER(BD79)),p_gap_lic-(BD79-1)/3*(p_gap_lic-p_gap_ae),IF(E79="AE",p_gap_ae,IF(D79="Low income",p_gap_lic,p_gap_em)))*(1-p_reform*p_reform_close)</f>
        <v>0.13</v>
      </c>
      <c r="DZ79" s="6" t="str">
        <f aca="false">IF(AND(p_use_pefa=1,ISNUMBER(BD79)),"PEFA PI-11","Income-group default (IMF 2015)")</f>
        <v>Income-group default (IMF 2015)</v>
      </c>
      <c r="EA79" s="28" t="n">
        <f aca="false">IF(E79="AE",p_ps_ae,IF(E79="China",p_ps_chn,p_ps_emdc))</f>
        <v>0.3</v>
      </c>
      <c r="EB79" s="37" t="n">
        <f aca="false">(1-EA79)+EA79/(1-DY79)</f>
        <v>1.0448275862069</v>
      </c>
      <c r="EC79" s="16" t="n">
        <f aca="false">Results_Country!F79</f>
        <v>2.47540997757888</v>
      </c>
      <c r="ED79" s="16" t="n">
        <f aca="false">IF(CH79="",0,CH79*EC79)</f>
        <v>743.154255233052</v>
      </c>
      <c r="EE79" s="16" t="n">
        <f aca="false">IF(CJ79="",0,CJ79*EC79)</f>
        <v>3.37896648360032</v>
      </c>
      <c r="EF79" s="16" t="n">
        <f aca="false">IF(CH79="",0,EC79)</f>
        <v>2.47540997757888</v>
      </c>
    </row>
    <row r="80" customFormat="false" ht="15" hidden="false" customHeight="false" outlineLevel="0" collapsed="false">
      <c r="A80" s="35" t="s">
        <v>917</v>
      </c>
      <c r="B80" s="35" t="s">
        <v>918</v>
      </c>
      <c r="C80" s="35" t="s">
        <v>766</v>
      </c>
      <c r="D80" s="35" t="s">
        <v>760</v>
      </c>
      <c r="E80" s="35" t="s">
        <v>29</v>
      </c>
      <c r="F80" s="36" t="n">
        <v>92.955</v>
      </c>
      <c r="G80" s="36" t="n">
        <v>188.412</v>
      </c>
      <c r="H80" s="33" t="n">
        <v>3.154</v>
      </c>
      <c r="I80" s="33" t="n">
        <v>2.638</v>
      </c>
      <c r="J80" s="36" t="n">
        <v>3.875325</v>
      </c>
      <c r="K80" s="36" t="n">
        <v>18.755</v>
      </c>
      <c r="L80" s="36" t="n">
        <v>26.337</v>
      </c>
      <c r="M80" s="36" t="n">
        <v>20.588</v>
      </c>
      <c r="N80" s="36" t="n">
        <v>11.9425985856196</v>
      </c>
      <c r="O80" s="36" t="n">
        <v>8.08078108879349</v>
      </c>
      <c r="P80" s="36" t="n">
        <v>0.304607924932489</v>
      </c>
      <c r="Q80" s="31" t="n">
        <v>0.0290440614065774</v>
      </c>
      <c r="R80" s="31" t="n">
        <v>0.0463325563348279</v>
      </c>
      <c r="S80" s="31" t="n">
        <v>0.0268659808834515</v>
      </c>
      <c r="T80" s="31" t="n">
        <v>0.000193835654713834</v>
      </c>
      <c r="U80" s="31" t="n">
        <v>0.00573443136280632</v>
      </c>
      <c r="V80" s="31" t="n">
        <v>0.000162663767418525</v>
      </c>
      <c r="W80" s="31" t="n">
        <v>0.00373422484635206</v>
      </c>
      <c r="X80" s="31" t="n">
        <v>0</v>
      </c>
      <c r="Y80" s="36" t="n">
        <v>0.565758979754877</v>
      </c>
      <c r="Z80" s="36" t="n">
        <v>2.27814893660037</v>
      </c>
      <c r="AA80" s="36" t="n">
        <v>0.274842996450264</v>
      </c>
      <c r="AB80" s="36" t="n">
        <v>0.0117963023353223</v>
      </c>
      <c r="AC80" s="36" t="n">
        <v>0.317131392401207</v>
      </c>
      <c r="AD80" s="31" t="n">
        <v>0.900296</v>
      </c>
      <c r="AE80" s="31" t="n">
        <v>0.836114</v>
      </c>
      <c r="AF80" s="31" t="n">
        <v>0.556207</v>
      </c>
      <c r="AG80" s="31" t="n">
        <v>0.591</v>
      </c>
      <c r="AH80" s="31" t="n">
        <v>0.519462891908447</v>
      </c>
      <c r="AI80" s="31" t="n">
        <v>10.112</v>
      </c>
      <c r="AJ80" s="31" t="n">
        <v>11.3375</v>
      </c>
      <c r="AK80" s="31" t="n">
        <v>6.577</v>
      </c>
      <c r="AL80" s="31" t="n">
        <v>8.76211852824934</v>
      </c>
      <c r="AM80" s="31" t="n">
        <v>15.604</v>
      </c>
      <c r="AN80" s="31" t="n">
        <v>22.80375</v>
      </c>
      <c r="AO80" s="31" t="n">
        <v>15.604</v>
      </c>
      <c r="AP80" s="31" t="n">
        <v>18.8666598595723</v>
      </c>
      <c r="AQ80" s="36" t="n">
        <v>0.456153376957094</v>
      </c>
      <c r="AR80" s="36" t="n">
        <v>0.193983013763465</v>
      </c>
      <c r="AS80" s="36" t="n">
        <v>0.109817865299358</v>
      </c>
      <c r="AT80" s="36" t="n">
        <v>0.183584796564998</v>
      </c>
      <c r="AU80" s="31" t="n">
        <v>0.818009289229892</v>
      </c>
      <c r="AV80" s="36" t="n">
        <v>0.154675</v>
      </c>
      <c r="AW80" s="31" t="n">
        <v>0.622981</v>
      </c>
      <c r="AX80" s="31" t="n">
        <v>0.079241</v>
      </c>
      <c r="AY80" s="31" t="n">
        <v>0.119974367303619</v>
      </c>
      <c r="AZ80" s="31" t="n">
        <v>0.036148</v>
      </c>
      <c r="BA80" s="33" t="n">
        <v>57.369</v>
      </c>
      <c r="BB80" s="33" t="n">
        <v>2.286</v>
      </c>
      <c r="BC80" s="33" t="n">
        <v>99.991</v>
      </c>
      <c r="BD80" s="33"/>
      <c r="BE80" s="33"/>
      <c r="BF80" s="33" t="n">
        <v>1</v>
      </c>
      <c r="BG80" s="33" t="n">
        <v>5.3</v>
      </c>
      <c r="BH80" s="33" t="n">
        <v>5.87</v>
      </c>
      <c r="BI80" s="29" t="n">
        <v>2020</v>
      </c>
      <c r="BJ80" s="33" t="n">
        <v>2</v>
      </c>
      <c r="BK80" s="33"/>
      <c r="BL80" s="33"/>
      <c r="BM80" s="33"/>
      <c r="BN80" s="29"/>
      <c r="BO80" s="33"/>
      <c r="BP80" s="33"/>
      <c r="BQ80" s="29" t="n">
        <v>2025</v>
      </c>
      <c r="BR80" s="36" t="n">
        <v>14.68</v>
      </c>
      <c r="BS80" s="36" t="n">
        <v>0.73</v>
      </c>
      <c r="BT80" s="36" t="n">
        <v>2.76</v>
      </c>
      <c r="BU80" s="36" t="n">
        <v>-0.02</v>
      </c>
      <c r="BV80" s="16" t="n">
        <f aca="false">F80*(1+N(H80)/100)*(1+N(I80)/100)^5</f>
        <v>109.219386442786</v>
      </c>
      <c r="BW80" s="16" t="n">
        <f aca="false">IF(N(G80)&gt;0,G80,F80)</f>
        <v>188.412</v>
      </c>
      <c r="BX80" s="12" t="n">
        <f aca="false">F80/BW80</f>
        <v>0.493360295522578</v>
      </c>
      <c r="BY80" s="13" t="n">
        <f aca="false">IF(ISNUMBER(K80),1,0)</f>
        <v>1</v>
      </c>
      <c r="BZ80" s="16" t="n">
        <f aca="false">IF(BY80=0,"",N(N80)+N(O80)+N(P80))</f>
        <v>20.3279875993455</v>
      </c>
      <c r="CA80" s="37" t="n">
        <f aca="false">IF(BY80=0,"",(N(Y80)*34.2+N(Z80)*38.6)/1000)</f>
        <v>0.107285506060391</v>
      </c>
      <c r="CB80" s="37" t="n">
        <f aca="false">IF(BY80=0,"",N(O80)*0.0036+N(R80)+N(V80)+(N(AA80)*25.3+N(AB80)*37)/1000)</f>
        <v>0.0829760230185016</v>
      </c>
      <c r="CC80" s="37" t="n">
        <f aca="false">IF(BY80=0,"",N(N80)*0.0036+N(Q80)+N(U80)+N(T80)+N(X80)+N(AC80)*38/1000)</f>
        <v>0.0900166762435738</v>
      </c>
      <c r="CD80" s="37" t="n">
        <f aca="false">IF(BY80=0,"",N(Q80)+N(R80)+N(S80)+N(T80)+N(U80)+N(V80)+N(W80)+N(X80)+(N(Y80)*34.2+N(Z80)*38.6+N(AA80)*25.3+N(AB80)*37+N(AC80)*38)/1000)</f>
        <v>0.238794244224383</v>
      </c>
      <c r="CE80" s="16" t="n">
        <f aca="false">IF(BY80=0,"",MAX(0,N(L80)-N(K80))+MAX(0,N(M80)-N(L80)))</f>
        <v>7.582</v>
      </c>
      <c r="CF80" s="16" t="n">
        <f aca="false">IF(BY80=0,"",N(Y80)*N(AD80)+N(Z80)*N(AE80)+N(AA80)*N(AF80)+N(AB80)*N(AG80)+N(AC80)*N(AH80)+N(U80)*N(AI80)+N(V80)*N(AJ80)+N(W80)*N(AK80)+N(X80)*N(AL80)+N(Q80)*N(AM80)+N(R80)*N(AN80)+N(S80)*N(AO80)+N(T80)*N(AP80))</f>
        <v>4.7557460998309</v>
      </c>
      <c r="CG80" s="16" t="n">
        <f aca="false">IF(AND(BY80=1,N(K80)&gt;0),K80,0)</f>
        <v>18.755</v>
      </c>
      <c r="CH80" s="16" t="n">
        <f aca="false">IF(CG80&gt;0,CF80*1000/CG80,"")</f>
        <v>253.572172744916</v>
      </c>
      <c r="CI80" s="16" t="n">
        <f aca="false">IF(BY80=0,"",N(AQ80)+p_road*(N(AR80)+N(AS80)+N(AT80)))</f>
        <v>0.456153376957094</v>
      </c>
      <c r="CJ80" s="16" t="n">
        <f aca="false">IF(CG80&gt;0,CI80*1000/CG80,"")</f>
        <v>24.3216943192265</v>
      </c>
      <c r="CK80" s="12" t="n">
        <f aca="false">IF(CH80="",1,MIN(p_idx_max,MAX(p_idx_min,CH80/p_fc_world)))</f>
        <v>1.57491059321838</v>
      </c>
      <c r="CL80" s="12" t="n">
        <f aca="false">IF(CJ80="",1,MIN(p_idx_max,MAX(p_idx_min,CJ80/p_cb_world)))</f>
        <v>0.462470560512632</v>
      </c>
      <c r="CM80" s="37" t="n">
        <f aca="false">p_b*(1-p_wb_idx+p_wb_idx*CK80)</f>
        <v>0.209463108898044</v>
      </c>
      <c r="CN80" s="37" t="n">
        <f aca="false">p_c*(1-p_wc_idx+p_wc_idx*CL80)</f>
        <v>0.0596587023061295</v>
      </c>
      <c r="CO80" s="28" t="n">
        <f aca="false">IF(N(BR80)&gt;0,(N(BS80)+N(BT80)+N(BU80))/BR80,"")</f>
        <v>0.236376021798365</v>
      </c>
      <c r="CP80" s="16" t="n">
        <f aca="false">N(BS80)+N(BT80)+N(BU80)</f>
        <v>3.47</v>
      </c>
      <c r="CQ80" s="28" t="n">
        <f aca="false">IF(CP80&gt;0,N(BS80)/CP80,"")</f>
        <v>0.210374639769452</v>
      </c>
      <c r="CR80" s="28" t="n">
        <f aca="false">IF(CP80&gt;0,N(BT80)/CP80,"")</f>
        <v>0.795389048991354</v>
      </c>
      <c r="CS80" s="28" t="n">
        <f aca="false">IF(CP80&gt;0,N(BU80)/CP80,"")</f>
        <v>-0.00576368876080692</v>
      </c>
      <c r="CT80" s="7" t="n">
        <f aca="false">1000*(p_sh_pv*p_cf_pv/p_capex_pv+(1-p_sh_pv)*p_cf_wind/p_capex_wind)*8760</f>
        <v>2301.28856624319</v>
      </c>
      <c r="CU80" s="13" t="n">
        <f aca="false">IF(AND(ISNUMBER(CO80),ISNUMBER(CQ80),BY80=1),1,0)</f>
        <v>1</v>
      </c>
      <c r="CV80" s="16" t="n">
        <f aca="false">IF(CU80=0,"",CQ80*p_hr_coal*N(AK80)+CR80*p_hr_gas*N(AO80)+CS80*p_hr_oil*N(AH80)/p_gj_l_oil)</f>
        <v>106.106284307381</v>
      </c>
      <c r="CW80" s="37" t="n">
        <f aca="false">IF(CU80=0,"",CQ80*p_hr_coal*p_ef_coal+CR80*p_hr_gas*p_ef_gas+CS80*p_hr_oil*p_ef_oil)</f>
        <v>0.528990201729107</v>
      </c>
      <c r="CX80" s="16" t="n">
        <f aca="false">IF(CU80=0,"",CQ80*p_hr_coal*N(AW80)+CR80*p_hr_gas*N(AX80)+CS80*p_hr_oil*N(AY80)/p_gj_l_oil)</f>
        <v>1.59519876413851</v>
      </c>
      <c r="CY80" s="37" t="n">
        <f aca="false">IF(CU80=0,"",CO80*CW80)</f>
        <v>0.125040599455041</v>
      </c>
      <c r="CZ80" s="37" t="n">
        <f aca="false">IF(CU80=0,"",CT80*CO80*CV80/1000/1000-p_om_re)</f>
        <v>0.0427185756624282</v>
      </c>
      <c r="DA80" s="37" t="n">
        <f aca="false">IF(CU80=0,"",CT80*CO80*CX80/1000/1000)</f>
        <v>0.000867739372512695</v>
      </c>
      <c r="DB80" s="37" t="n">
        <f aca="false">IF(CU80=0,"",CT80*CO80*CW80/1000)</f>
        <v>0.28775450184208</v>
      </c>
      <c r="DC80" s="13" t="n">
        <f aca="false">IF(AND(CU80=1,ISNUMBER(AD80),ISNUMBER(AV80)),1,0)</f>
        <v>1</v>
      </c>
      <c r="DD80" s="7" t="n">
        <f aca="false">IF(DC80=0,"",p_ev_km*p_ice_l/100*AD80-p_ev_km*p_ev_kwh*AV80+p_ev_km*p_ev_maint)</f>
        <v>775.2105</v>
      </c>
      <c r="DE80" s="37" t="n">
        <f aca="false">IF(DC80=0,"",DD80/p_ev_prem)</f>
        <v>0.1550421</v>
      </c>
      <c r="DF80" s="37" t="n">
        <f aca="false">IF(DC80=0,"",p_ev_km*p_ice_l/100*N(AZ80)/p_ev_prem)</f>
        <v>0.0081333</v>
      </c>
      <c r="DG80" s="37" t="n">
        <f aca="false">IF(DC80=0,"",1000/p_ev_prem*(p_ev_km*p_ice_l/100*p_gj_l_gso*p_ef_gso-p_ev_km*p_ev_kwh/1000*CY80))</f>
        <v>0.465741576294278</v>
      </c>
      <c r="DH80" s="11" t="str">
        <f aca="false">IFERROR(IF(INDEX(Damodaran!$D:$D,MATCH(A80,Damodaran!$A:$A,0))="","",INDEX(Damodaran!$D:$D,MATCH(A80,Damodaran!$A:$A,0))),"")</f>
        <v/>
      </c>
      <c r="DI80" s="11" t="str">
        <f aca="false">IFERROR(IF(INDEX(Damodaran!$E:$E,MATCH(A80,Damodaran!$A:$A,0))="","",INDEX(Damodaran!$E:$E,MATCH(A80,Damodaran!$A:$A,0))),"")</f>
        <v/>
      </c>
      <c r="DJ80" s="11" t="str">
        <f aca="false">IFERROR(IF(INDEX(Damodaran!$G:$G,MATCH(A80,Damodaran!$A:$A,0))="","",INDEX(Damodaran!$G:$G,MATCH(A80,Damodaran!$A:$A,0))),"")</f>
        <v/>
      </c>
      <c r="DK80" s="11" t="n">
        <f aca="false">IF(ISNUMBER(BG80),(1+BG80/100)*(1+p_infl)-1,"")</f>
        <v>0.07406</v>
      </c>
      <c r="DL80" s="11" t="n">
        <f aca="false">IF(ISNUMBER(BH80),BH80/100,"")</f>
        <v>0.0587</v>
      </c>
      <c r="DM80" s="11" t="n">
        <f aca="false">IF(COUNT(DK80,DL80)=0,"",AVERAGE(DK80,DL80))</f>
        <v>0.06638</v>
      </c>
      <c r="DN80" s="11" t="str">
        <f aca="false">IF(OR(DH80="",DI80=""),"",p_dv*(p_rf+DH80)*(1-IF(DJ80="",p_tax_def,DJ80))+(1-p_dv)*(p_rf+p_beta*p_erp+p_lambda*DI80))</f>
        <v/>
      </c>
      <c r="DO80" s="13" t="n">
        <f aca="false">IF(AND(ISNUMBER(DM80),ISNUMBER(DN80)),1,0)</f>
        <v>0</v>
      </c>
      <c r="DP80" s="11" t="n">
        <f aca="false">IF(DO80=1,DM80,0)</f>
        <v>0</v>
      </c>
      <c r="DQ80" s="11" t="n">
        <f aca="false">IF(DO80=1,DN80,0)</f>
        <v>0</v>
      </c>
      <c r="DR80" s="11" t="str">
        <f aca="false">IF(DN80="","",DN80+p_shift)</f>
        <v/>
      </c>
      <c r="DS80" s="11" t="n">
        <f aca="false">IF(E80="AE",p_r_ae,IF(E80="China",p_r_chn,p_r_emdc))</f>
        <v>0.055</v>
      </c>
      <c r="DT80" s="11" t="n">
        <f aca="false">IF(E80="AE",p_rh_ae,IF(E80="China",p_rh_chn,p_rh_emdc))</f>
        <v>0.07</v>
      </c>
      <c r="DU80" s="11" t="n">
        <f aca="false">IF(AND(p_use_obs=1,ISNUMBER(DM80)),DM80,IF(AND(p_use_dam=1,ISNUMBER(DR80)),DR80,DS80))</f>
        <v>0.06638</v>
      </c>
      <c r="DV80" s="6" t="str">
        <f aca="false">IF(AND(p_use_obs=1,ISNUMBER(DM80)),"Observed (IRENA/Steffen)",IF(AND(p_use_dam=1,ISNUMBER(DR80)),"Damodaran (eq. 5)","Group default (IHLEG)"))</f>
        <v>Observed (IRENA/Steffen)</v>
      </c>
      <c r="DW80" s="11" t="n">
        <f aca="false">IF(p_basis=1,(1+DU80)/(1+p_infl)-1,DU80)</f>
        <v>0.06638</v>
      </c>
      <c r="DX80" s="11" t="n">
        <f aca="false">DW80+(DT80-DS80)</f>
        <v>0.08138</v>
      </c>
      <c r="DY80" s="28" t="n">
        <f aca="false">IF(AND(p_use_pefa=1,ISNUMBER(BD80)),p_gap_lic-(BD80-1)/3*(p_gap_lic-p_gap_ae),IF(E80="AE",p_gap_ae,IF(D80="Low income",p_gap_lic,p_gap_em)))*(1-p_reform*p_reform_close)</f>
        <v>0.13</v>
      </c>
      <c r="DZ80" s="6" t="str">
        <f aca="false">IF(AND(p_use_pefa=1,ISNUMBER(BD80)),"PEFA PI-11","Income-group default (IMF 2015)")</f>
        <v>Income-group default (IMF 2015)</v>
      </c>
      <c r="EA80" s="28" t="n">
        <f aca="false">IF(E80="AE",p_ps_ae,IF(E80="China",p_ps_chn,p_ps_emdc))</f>
        <v>0.3</v>
      </c>
      <c r="EB80" s="37" t="n">
        <f aca="false">(1-EA80)+EA80/(1-DY80)</f>
        <v>1.0448275862069</v>
      </c>
      <c r="EC80" s="16" t="n">
        <f aca="false">Results_Country!F80</f>
        <v>4.03094399176489</v>
      </c>
      <c r="ED80" s="16" t="n">
        <f aca="false">IF(CH80="",0,CH80*EC80)</f>
        <v>1022.13522620489</v>
      </c>
      <c r="EE80" s="16" t="n">
        <f aca="false">IF(CJ80="",0,CJ80*EC80)</f>
        <v>98.0393875856284</v>
      </c>
      <c r="EF80" s="16" t="n">
        <f aca="false">IF(CH80="",0,EC80)</f>
        <v>4.03094399176489</v>
      </c>
    </row>
    <row r="81" customFormat="false" ht="15" hidden="false" customHeight="false" outlineLevel="0" collapsed="false">
      <c r="A81" s="35" t="s">
        <v>919</v>
      </c>
      <c r="B81" s="35" t="s">
        <v>920</v>
      </c>
      <c r="C81" s="35" t="s">
        <v>766</v>
      </c>
      <c r="D81" s="35" t="s">
        <v>763</v>
      </c>
      <c r="E81" s="35" t="s">
        <v>31</v>
      </c>
      <c r="F81" s="36" t="n">
        <v>90.088</v>
      </c>
      <c r="G81" s="36" t="n">
        <v>203.96</v>
      </c>
      <c r="H81" s="33" t="n">
        <v>2.03</v>
      </c>
      <c r="I81" s="33" t="n">
        <v>2.835</v>
      </c>
      <c r="J81" s="36" t="n">
        <v>6.736216</v>
      </c>
      <c r="K81" s="36" t="n">
        <v>55.378</v>
      </c>
      <c r="L81" s="36" t="n">
        <v>68.853</v>
      </c>
      <c r="M81" s="36" t="n">
        <v>68.853</v>
      </c>
      <c r="N81" s="36" t="n">
        <v>17.433056073606</v>
      </c>
      <c r="O81" s="36" t="n">
        <v>16.2666053386522</v>
      </c>
      <c r="P81" s="36" t="n">
        <v>0.460421393192486</v>
      </c>
      <c r="Q81" s="31" t="n">
        <v>0.0546436890719986</v>
      </c>
      <c r="R81" s="31" t="n">
        <v>0.0333653031039989</v>
      </c>
      <c r="S81" s="31" t="n">
        <v>0.0045156109101182</v>
      </c>
      <c r="T81" s="31" t="n">
        <v>0.00101780597010528</v>
      </c>
      <c r="U81" s="31" t="n">
        <v>0.0178032834675086</v>
      </c>
      <c r="V81" s="31" t="n">
        <v>0.0086460257431682</v>
      </c>
      <c r="W81" s="31" t="n">
        <v>0.195385212011536</v>
      </c>
      <c r="X81" s="31" t="n">
        <v>0</v>
      </c>
      <c r="Y81" s="36" t="n">
        <v>0.667555076951341</v>
      </c>
      <c r="Z81" s="36" t="n">
        <v>2.86277841982645</v>
      </c>
      <c r="AA81" s="36" t="n">
        <v>0.30208693549929</v>
      </c>
      <c r="AB81" s="36" t="n">
        <v>1.11919397480909E-006</v>
      </c>
      <c r="AC81" s="36" t="n">
        <v>0.676369535313135</v>
      </c>
      <c r="AD81" s="31" t="n">
        <v>0.868117</v>
      </c>
      <c r="AE81" s="31" t="n">
        <v>0.810929</v>
      </c>
      <c r="AF81" s="31" t="n">
        <v>0.533606</v>
      </c>
      <c r="AG81" s="31" t="n">
        <v>0.591</v>
      </c>
      <c r="AH81" s="31" t="n">
        <v>0.519462891908447</v>
      </c>
      <c r="AI81" s="31" t="n">
        <v>4.044</v>
      </c>
      <c r="AJ81" s="31" t="n">
        <v>8.5728</v>
      </c>
      <c r="AK81" s="31" t="n">
        <v>2.461</v>
      </c>
      <c r="AL81" s="31" t="n">
        <v>2.82625143796262</v>
      </c>
      <c r="AM81" s="31" t="n">
        <v>14.922</v>
      </c>
      <c r="AN81" s="31" t="n">
        <v>22.4376</v>
      </c>
      <c r="AO81" s="31" t="n">
        <v>14.922</v>
      </c>
      <c r="AP81" s="31" t="n">
        <v>17.6322010021596</v>
      </c>
      <c r="AQ81" s="36" t="n">
        <v>5.18420160667874</v>
      </c>
      <c r="AR81" s="36" t="n">
        <v>0.0893326946226801</v>
      </c>
      <c r="AS81" s="36" t="n">
        <v>0.0943700954597397</v>
      </c>
      <c r="AT81" s="36" t="n">
        <v>0.200642088401908</v>
      </c>
      <c r="AU81" s="31" t="n">
        <v>0.563408575651148</v>
      </c>
      <c r="AV81" s="36" t="n">
        <v>0.09744</v>
      </c>
      <c r="AW81" s="31" t="n">
        <v>1.182514</v>
      </c>
      <c r="AX81" s="31" t="n">
        <v>1.5E-005</v>
      </c>
      <c r="AY81" s="31" t="n">
        <v>1.23988462224746</v>
      </c>
      <c r="AZ81" s="31" t="n">
        <v>0.04281</v>
      </c>
      <c r="BA81" s="33" t="n">
        <v>44.064</v>
      </c>
      <c r="BB81" s="33" t="n">
        <v>4.578</v>
      </c>
      <c r="BC81" s="33" t="n">
        <v>92.818</v>
      </c>
      <c r="BD81" s="33" t="n">
        <v>1.5</v>
      </c>
      <c r="BE81" s="33" t="n">
        <v>1</v>
      </c>
      <c r="BF81" s="33" t="n">
        <v>0</v>
      </c>
      <c r="BG81" s="33"/>
      <c r="BH81" s="33"/>
      <c r="BI81" s="29"/>
      <c r="BJ81" s="33"/>
      <c r="BK81" s="33"/>
      <c r="BL81" s="33" t="n">
        <v>-0.421</v>
      </c>
      <c r="BM81" s="33" t="n">
        <v>3.044</v>
      </c>
      <c r="BN81" s="29" t="n">
        <v>13.197</v>
      </c>
      <c r="BO81" s="33" t="n">
        <v>1.409</v>
      </c>
      <c r="BP81" s="33" t="n">
        <v>0.224</v>
      </c>
      <c r="BQ81" s="29" t="n">
        <v>2025</v>
      </c>
      <c r="BR81" s="36" t="n">
        <v>36.67</v>
      </c>
      <c r="BS81" s="36" t="n">
        <v>23.85</v>
      </c>
      <c r="BT81" s="36" t="n">
        <v>2.51</v>
      </c>
      <c r="BU81" s="36" t="n">
        <v>0.11</v>
      </c>
      <c r="BV81" s="16" t="n">
        <f aca="false">F81*(1+N(H81)/100)*(1+N(I81)/100)^5</f>
        <v>105.705989056018</v>
      </c>
      <c r="BW81" s="16" t="n">
        <f aca="false">IF(N(G81)&gt;0,G81,F81)</f>
        <v>203.96</v>
      </c>
      <c r="BX81" s="12" t="n">
        <f aca="false">F81/BW81</f>
        <v>0.441694449892136</v>
      </c>
      <c r="BY81" s="13" t="n">
        <f aca="false">IF(ISNUMBER(K81),1,0)</f>
        <v>1</v>
      </c>
      <c r="BZ81" s="16" t="n">
        <f aca="false">IF(BY81=0,"",N(N81)+N(O81)+N(P81))</f>
        <v>34.1600828054507</v>
      </c>
      <c r="CA81" s="37" t="n">
        <f aca="false">IF(BY81=0,"",(N(Y81)*34.2+N(Z81)*38.6)/1000)</f>
        <v>0.133333630637037</v>
      </c>
      <c r="CB81" s="37" t="n">
        <f aca="false">IF(BY81=0,"",N(O81)*0.0036+N(R81)+N(V81)+(N(AA81)*25.3+N(AB81)*37)/1000)</f>
        <v>0.108213948944624</v>
      </c>
      <c r="CC81" s="37" t="n">
        <f aca="false">IF(BY81=0,"",N(N81)*0.0036+N(Q81)+N(U81)+N(T81)+N(X81)+N(AC81)*38/1000)</f>
        <v>0.161925822716493</v>
      </c>
      <c r="CD81" s="37" t="n">
        <f aca="false">IF(BY81=0,"",N(Q81)+N(R81)+N(S81)+N(T81)+N(U81)+N(V81)+N(W81)+N(X81)+(N(Y81)*34.2+N(Z81)*38.6+N(AA81)*25.3+N(AB81)*37+N(AC81)*38)/1000)</f>
        <v>0.482055444135678</v>
      </c>
      <c r="CE81" s="16" t="n">
        <f aca="false">IF(BY81=0,"",MAX(0,N(L81)-N(K81))+MAX(0,N(M81)-N(L81)))</f>
        <v>13.475</v>
      </c>
      <c r="CF81" s="16" t="n">
        <f aca="false">IF(BY81=0,"",N(Y81)*N(AD81)+N(Z81)*N(AE81)+N(AA81)*N(AF81)+N(AB81)*N(AG81)+N(AC81)*N(AH81)+N(U81)*N(AI81)+N(V81)*N(AJ81)+N(W81)*N(AK81)+N(X81)*N(AL81)+N(Q81)*N(AM81)+N(R81)*N(AN81)+N(S81)*N(AO81)+N(T81)*N(AP81))</f>
        <v>5.68988958280897</v>
      </c>
      <c r="CG81" s="16" t="n">
        <f aca="false">IF(AND(BY81=1,N(K81)&gt;0),K81,0)</f>
        <v>55.378</v>
      </c>
      <c r="CH81" s="16" t="n">
        <f aca="false">IF(CG81&gt;0,CF81*1000/CG81,"")</f>
        <v>102.746389952851</v>
      </c>
      <c r="CI81" s="16" t="n">
        <f aca="false">IF(BY81=0,"",N(AQ81)+p_road*(N(AR81)+N(AS81)+N(AT81)))</f>
        <v>5.18420160667874</v>
      </c>
      <c r="CJ81" s="16" t="n">
        <f aca="false">IF(CG81&gt;0,CI81*1000/CG81,"")</f>
        <v>93.6148218909808</v>
      </c>
      <c r="CK81" s="12" t="n">
        <f aca="false">IF(CH81="",1,MIN(p_idx_max,MAX(p_idx_min,CH81/p_fc_world)))</f>
        <v>0.638147223333027</v>
      </c>
      <c r="CL81" s="12" t="n">
        <f aca="false">IF(CJ81="",1,MIN(p_idx_max,MAX(p_idx_min,CJ81/p_cb_world)))</f>
        <v>1.78006098522452</v>
      </c>
      <c r="CM81" s="37" t="n">
        <f aca="false">p_b*(1-p_wb_idx+p_wb_idx*CK81)</f>
        <v>0.0848735807032926</v>
      </c>
      <c r="CN81" s="37" t="n">
        <f aca="false">p_c*(1-p_wc_idx+p_wc_idx*CL81)</f>
        <v>0.229627867093964</v>
      </c>
      <c r="CO81" s="28" t="n">
        <f aca="false">IF(N(BR81)&gt;0,(N(BS81)+N(BT81)+N(BU81))/BR81,"")</f>
        <v>0.721843468775566</v>
      </c>
      <c r="CP81" s="16" t="n">
        <f aca="false">N(BS81)+N(BT81)+N(BU81)</f>
        <v>26.47</v>
      </c>
      <c r="CQ81" s="28" t="n">
        <f aca="false">IF(CP81&gt;0,N(BS81)/CP81,"")</f>
        <v>0.901020022667171</v>
      </c>
      <c r="CR81" s="28" t="n">
        <f aca="false">IF(CP81&gt;0,N(BT81)/CP81,"")</f>
        <v>0.0948243294295429</v>
      </c>
      <c r="CS81" s="28" t="n">
        <f aca="false">IF(CP81&gt;0,N(BU81)/CP81,"")</f>
        <v>0.00415564790328674</v>
      </c>
      <c r="CT81" s="7" t="n">
        <f aca="false">1000*(p_sh_pv*p_cf_pv/p_capex_pv+(1-p_sh_pv)*p_cf_wind/p_capex_wind)*8760</f>
        <v>2301.28856624319</v>
      </c>
      <c r="CU81" s="13" t="n">
        <f aca="false">IF(AND(ISNUMBER(CO81),ISNUMBER(CQ81),BY81=1),1,0)</f>
        <v>1</v>
      </c>
      <c r="CV81" s="16" t="n">
        <f aca="false">IF(CU81=0,"",CQ81*p_hr_coal*N(AK81)+CR81*p_hr_gas*N(AO81)+CS81*p_hr_oil*N(AH81)/p_gj_l_oil)</f>
        <v>33.3735800526496</v>
      </c>
      <c r="CW81" s="37" t="n">
        <f aca="false">IF(CU81=0,"",CQ81*p_hr_coal*p_ef_coal+CR81*p_hr_gas*p_ef_gas+CS81*p_hr_oil*p_ef_oil)</f>
        <v>0.895639573101625</v>
      </c>
      <c r="CX81" s="16" t="n">
        <f aca="false">IF(CU81=0,"",CQ81*p_hr_coal*N(AW81)+CR81*p_hr_gas*N(AX81)+CS81*p_hr_oil*N(AY81)/p_gj_l_oil)</f>
        <v>12.056291875807</v>
      </c>
      <c r="CY81" s="37" t="n">
        <f aca="false">IF(CU81=0,"",CO81*CW81)</f>
        <v>0.646511576220344</v>
      </c>
      <c r="CZ81" s="37" t="n">
        <f aca="false">IF(CU81=0,"",CT81*CO81*CV81/1000/1000-p_om_re)</f>
        <v>0.0404391940246267</v>
      </c>
      <c r="DA81" s="37" t="n">
        <f aca="false">IF(CU81=0,"",CT81*CO81*CX81/1000/1000)</f>
        <v>0.0200275518378896</v>
      </c>
      <c r="DB81" s="37" t="n">
        <f aca="false">IF(CU81=0,"",CT81*CO81*CW81/1000)</f>
        <v>1.48780969829974</v>
      </c>
      <c r="DC81" s="13" t="n">
        <f aca="false">IF(AND(CU81=1,ISNUMBER(AD81),ISNUMBER(AV81)),1,0)</f>
        <v>1</v>
      </c>
      <c r="DD81" s="7" t="n">
        <f aca="false">IF(DC81=0,"",p_ev_km*p_ice_l/100*AD81-p_ev_km*p_ev_kwh*AV81+p_ev_km*p_ev_maint)</f>
        <v>893.543625</v>
      </c>
      <c r="DE81" s="37" t="n">
        <f aca="false">IF(DC81=0,"",DD81/p_ev_prem)</f>
        <v>0.178708725</v>
      </c>
      <c r="DF81" s="37" t="n">
        <f aca="false">IF(DC81=0,"",p_ev_km*p_ice_l/100*N(AZ81)/p_ev_prem)</f>
        <v>0.00963225</v>
      </c>
      <c r="DG81" s="37" t="n">
        <f aca="false">IF(DC81=0,"",1000/p_ev_prem*(p_ev_km*p_ice_l/100*p_gj_l_gso*p_ef_gso-p_ev_km*p_ev_kwh/1000*CY81))</f>
        <v>0.184147248841014</v>
      </c>
      <c r="DH81" s="11" t="str">
        <f aca="false">IFERROR(IF(INDEX(Damodaran!$D:$D,MATCH(A81,Damodaran!$A:$A,0))="","",INDEX(Damodaran!$D:$D,MATCH(A81,Damodaran!$A:$A,0))),"")</f>
        <v/>
      </c>
      <c r="DI81" s="11" t="str">
        <f aca="false">IFERROR(IF(INDEX(Damodaran!$E:$E,MATCH(A81,Damodaran!$A:$A,0))="","",INDEX(Damodaran!$E:$E,MATCH(A81,Damodaran!$A:$A,0))),"")</f>
        <v/>
      </c>
      <c r="DJ81" s="11" t="str">
        <f aca="false">IFERROR(IF(INDEX(Damodaran!$G:$G,MATCH(A81,Damodaran!$A:$A,0))="","",INDEX(Damodaran!$G:$G,MATCH(A81,Damodaran!$A:$A,0))),"")</f>
        <v/>
      </c>
      <c r="DK81" s="11" t="str">
        <f aca="false">IF(ISNUMBER(BG81),(1+BG81/100)*(1+p_infl)-1,"")</f>
        <v/>
      </c>
      <c r="DL81" s="11" t="str">
        <f aca="false">IF(ISNUMBER(BH81),BH81/100,"")</f>
        <v/>
      </c>
      <c r="DM81" s="11" t="str">
        <f aca="false">IF(COUNT(DK81,DL81)=0,"",AVERAGE(DK81,DL81))</f>
        <v/>
      </c>
      <c r="DN81" s="11" t="str">
        <f aca="false">IF(OR(DH81="",DI81=""),"",p_dv*(p_rf+DH81)*(1-IF(DJ81="",p_tax_def,DJ81))+(1-p_dv)*(p_rf+p_beta*p_erp+p_lambda*DI81))</f>
        <v/>
      </c>
      <c r="DO81" s="13" t="n">
        <f aca="false">IF(AND(ISNUMBER(DM81),ISNUMBER(DN81)),1,0)</f>
        <v>0</v>
      </c>
      <c r="DP81" s="11" t="n">
        <f aca="false">IF(DO81=1,DM81,0)</f>
        <v>0</v>
      </c>
      <c r="DQ81" s="11" t="n">
        <f aca="false">IF(DO81=1,DN81,0)</f>
        <v>0</v>
      </c>
      <c r="DR81" s="11" t="str">
        <f aca="false">IF(DN81="","",DN81+p_shift)</f>
        <v/>
      </c>
      <c r="DS81" s="11" t="n">
        <f aca="false">IF(E81="AE",p_r_ae,IF(E81="China",p_r_chn,p_r_emdc))</f>
        <v>0.105</v>
      </c>
      <c r="DT81" s="11" t="n">
        <f aca="false">IF(E81="AE",p_rh_ae,IF(E81="China",p_rh_chn,p_rh_emdc))</f>
        <v>0.15</v>
      </c>
      <c r="DU81" s="11" t="n">
        <f aca="false">IF(AND(p_use_obs=1,ISNUMBER(DM81)),DM81,IF(AND(p_use_dam=1,ISNUMBER(DR81)),DR81,DS81))</f>
        <v>0.105</v>
      </c>
      <c r="DV81" s="6" t="str">
        <f aca="false">IF(AND(p_use_obs=1,ISNUMBER(DM81)),"Observed (IRENA/Steffen)",IF(AND(p_use_dam=1,ISNUMBER(DR81)),"Damodaran (eq. 5)","Group default (IHLEG)"))</f>
        <v>Group default (IHLEG)</v>
      </c>
      <c r="DW81" s="11" t="n">
        <f aca="false">IF(p_basis=1,(1+DU81)/(1+p_infl)-1,DU81)</f>
        <v>0.105</v>
      </c>
      <c r="DX81" s="11" t="n">
        <f aca="false">DW81+(DT81-DS81)</f>
        <v>0.15</v>
      </c>
      <c r="DY81" s="28" t="n">
        <f aca="false">IF(AND(p_use_pefa=1,ISNUMBER(BD81)),p_gap_lic-(BD81-1)/3*(p_gap_lic-p_gap_ae),IF(E81="AE",p_gap_ae,IF(D81="Low income",p_gap_lic,p_gap_em)))*(1-p_reform*p_reform_close)</f>
        <v>0.355</v>
      </c>
      <c r="DZ81" s="6" t="str">
        <f aca="false">IF(AND(p_use_pefa=1,ISNUMBER(BD81)),"PEFA PI-11","Income-group default (IMF 2015)")</f>
        <v>PEFA PI-11</v>
      </c>
      <c r="EA81" s="28" t="n">
        <f aca="false">IF(E81="AE",p_ps_ae,IF(E81="China",p_ps_chn,p_ps_emdc))</f>
        <v>0.4</v>
      </c>
      <c r="EB81" s="37" t="n">
        <f aca="false">(1-EA81)+EA81/(1-DY81)</f>
        <v>1.22015503875969</v>
      </c>
      <c r="EC81" s="16" t="n">
        <f aca="false">Results_Country!F81</f>
        <v>6.28516075243677</v>
      </c>
      <c r="ED81" s="16" t="n">
        <f aca="false">IF(CH81="",0,CH81*EC81)</f>
        <v>645.777577586221</v>
      </c>
      <c r="EE81" s="16" t="n">
        <f aca="false">IF(CJ81="",0,CJ81*EC81)</f>
        <v>588.384204395551</v>
      </c>
      <c r="EF81" s="16" t="n">
        <f aca="false">IF(CH81="",0,EC81)</f>
        <v>6.28516075243677</v>
      </c>
    </row>
    <row r="82" customFormat="false" ht="15" hidden="false" customHeight="false" outlineLevel="0" collapsed="false">
      <c r="A82" s="35" t="s">
        <v>921</v>
      </c>
      <c r="B82" s="35" t="s">
        <v>922</v>
      </c>
      <c r="C82" s="35" t="s">
        <v>847</v>
      </c>
      <c r="D82" s="35" t="s">
        <v>771</v>
      </c>
      <c r="E82" s="35" t="s">
        <v>31</v>
      </c>
      <c r="F82" s="36" t="n">
        <v>87.132</v>
      </c>
      <c r="G82" s="36" t="n">
        <v>245.266</v>
      </c>
      <c r="H82" s="33" t="n">
        <v>6.5</v>
      </c>
      <c r="I82" s="33" t="n">
        <v>6.2</v>
      </c>
      <c r="J82" s="36" t="n">
        <v>31.93423</v>
      </c>
      <c r="K82" s="36" t="n">
        <v>13.981</v>
      </c>
      <c r="L82" s="36" t="n">
        <v>36.553</v>
      </c>
      <c r="M82" s="36" t="n">
        <v>36.553</v>
      </c>
      <c r="N82" s="36" t="n">
        <v>5.11408218592421</v>
      </c>
      <c r="O82" s="36" t="n">
        <v>5.85318973646889</v>
      </c>
      <c r="P82" s="36" t="n">
        <v>0.0155355156714981</v>
      </c>
      <c r="Q82" s="31" t="n">
        <v>0.0108406824683056</v>
      </c>
      <c r="R82" s="31" t="n">
        <v>0.00674610866836627</v>
      </c>
      <c r="S82" s="31" t="n">
        <v>0.0729097192925093</v>
      </c>
      <c r="T82" s="31" t="n">
        <v>0</v>
      </c>
      <c r="U82" s="31" t="n">
        <v>0</v>
      </c>
      <c r="V82" s="31" t="n">
        <v>0</v>
      </c>
      <c r="W82" s="31" t="n">
        <v>0</v>
      </c>
      <c r="X82" s="31" t="n">
        <v>0</v>
      </c>
      <c r="Y82" s="36" t="n">
        <v>1.21497349677609</v>
      </c>
      <c r="Z82" s="36" t="n">
        <v>1.70481453827609</v>
      </c>
      <c r="AA82" s="36" t="n">
        <v>0.936043722030127</v>
      </c>
      <c r="AB82" s="36" t="n">
        <v>0.0211107152006143</v>
      </c>
      <c r="AC82" s="36" t="n">
        <v>0.0961918433445559</v>
      </c>
      <c r="AD82" s="31" t="n">
        <v>0.85432</v>
      </c>
      <c r="AE82" s="31" t="n">
        <v>0.635353</v>
      </c>
      <c r="AF82" s="31" t="n">
        <v>0.594613</v>
      </c>
      <c r="AG82" s="31" t="n">
        <v>0.69738</v>
      </c>
      <c r="AH82" s="31" t="n">
        <v>0.519462891908447</v>
      </c>
      <c r="AI82" s="31" t="n">
        <v>7.124</v>
      </c>
      <c r="AJ82" s="31" t="n">
        <v>14.38774</v>
      </c>
      <c r="AK82" s="31" t="n">
        <v>5.575</v>
      </c>
      <c r="AL82" s="31" t="n">
        <v>9.02891333333333</v>
      </c>
      <c r="AM82" s="31" t="n">
        <v>9.011</v>
      </c>
      <c r="AN82" s="31" t="n">
        <v>15.31758</v>
      </c>
      <c r="AO82" s="31" t="n">
        <v>6.224</v>
      </c>
      <c r="AP82" s="31" t="n">
        <v>7.2357435519826</v>
      </c>
      <c r="AQ82" s="36" t="n">
        <v>0.0981864408737848</v>
      </c>
      <c r="AR82" s="36" t="n">
        <v>0.0482109818079275</v>
      </c>
      <c r="AS82" s="36" t="n">
        <v>0.298150802395346</v>
      </c>
      <c r="AT82" s="36" t="n">
        <v>0.0827404285281412</v>
      </c>
      <c r="AU82" s="31" t="n">
        <v>0.329699345225655</v>
      </c>
      <c r="AV82" s="36" t="n">
        <v>0.183396</v>
      </c>
      <c r="AW82" s="31" t="n">
        <v>0.256046</v>
      </c>
      <c r="AX82" s="31" t="n">
        <v>0.007846</v>
      </c>
      <c r="AY82" s="31" t="n">
        <v>0.00707592989992734</v>
      </c>
      <c r="AZ82" s="31" t="n">
        <v>0.03365</v>
      </c>
      <c r="BA82" s="33" t="n">
        <v>59.459</v>
      </c>
      <c r="BB82" s="33" t="n">
        <v>16.23</v>
      </c>
      <c r="BC82" s="33"/>
      <c r="BD82" s="33" t="n">
        <v>2</v>
      </c>
      <c r="BE82" s="33" t="n">
        <v>2</v>
      </c>
      <c r="BF82" s="33" t="n">
        <v>0</v>
      </c>
      <c r="BG82" s="33"/>
      <c r="BH82" s="33"/>
      <c r="BI82" s="29"/>
      <c r="BJ82" s="33"/>
      <c r="BK82" s="33"/>
      <c r="BL82" s="33" t="n">
        <v>2.822</v>
      </c>
      <c r="BM82" s="33" t="n">
        <v>6.284</v>
      </c>
      <c r="BN82" s="29" t="n">
        <v>14.149</v>
      </c>
      <c r="BO82" s="33" t="n">
        <v>1.945</v>
      </c>
      <c r="BP82" s="33" t="n">
        <v>0.507</v>
      </c>
      <c r="BQ82" s="29" t="n">
        <v>2024</v>
      </c>
      <c r="BR82" s="36" t="n">
        <v>10.79</v>
      </c>
      <c r="BS82" s="36" t="n">
        <v>0</v>
      </c>
      <c r="BT82" s="36" t="n">
        <v>7.65</v>
      </c>
      <c r="BU82" s="36" t="n">
        <v>0.02</v>
      </c>
      <c r="BV82" s="16" t="n">
        <f aca="false">F82*(1+N(H82)/100)*(1+N(I82)/100)^5</f>
        <v>125.357370651527</v>
      </c>
      <c r="BW82" s="16" t="n">
        <f aca="false">IF(N(G82)&gt;0,G82,F82)</f>
        <v>245.266</v>
      </c>
      <c r="BX82" s="12" t="n">
        <f aca="false">F82/BW82</f>
        <v>0.355255110777686</v>
      </c>
      <c r="BY82" s="13" t="n">
        <f aca="false">IF(ISNUMBER(K82),1,0)</f>
        <v>1</v>
      </c>
      <c r="BZ82" s="16" t="n">
        <f aca="false">IF(BY82=0,"",N(N82)+N(O82)+N(P82))</f>
        <v>10.9828074380646</v>
      </c>
      <c r="CA82" s="37" t="n">
        <f aca="false">IF(BY82=0,"",(N(Y82)*34.2+N(Z82)*38.6)/1000)</f>
        <v>0.1073579347672</v>
      </c>
      <c r="CB82" s="37" t="n">
        <f aca="false">IF(BY82=0,"",N(O82)*0.0036+N(R82)+N(V82)+(N(AA82)*25.3+N(AB82)*37)/1000)</f>
        <v>0.0522805943494392</v>
      </c>
      <c r="CC82" s="37" t="n">
        <f aca="false">IF(BY82=0,"",N(N82)*0.0036+N(Q82)+N(U82)+N(T82)+N(X82)+N(AC82)*38/1000)</f>
        <v>0.0329066683847259</v>
      </c>
      <c r="CD82" s="37" t="n">
        <f aca="false">IF(BY82=0,"",N(Q82)+N(R82)+N(S82)+N(T82)+N(U82)+N(V82)+N(W82)+N(X82)+(N(Y82)*34.2+N(Z82)*38.6+N(AA82)*25.3+N(AB82)*37+N(AC82)*38)/1000)</f>
        <v>0.225972737873259</v>
      </c>
      <c r="CE82" s="16" t="n">
        <f aca="false">IF(BY82=0,"",MAX(0,N(L82)-N(K82))+MAX(0,N(M82)-N(L82)))</f>
        <v>22.572</v>
      </c>
      <c r="CF82" s="16" t="n">
        <f aca="false">IF(BY82=0,"",N(Y82)*N(AD82)+N(Z82)*N(AE82)+N(AA82)*N(AF82)+N(AB82)*N(AG82)+N(AC82)*N(AH82)+N(U82)*N(AI82)+N(V82)*N(AJ82)+N(W82)*N(AK82)+N(X82)*N(AL82)+N(Q82)*N(AM82)+N(R82)*N(AN82)+N(S82)*N(AO82)+N(T82)*N(AP82))</f>
        <v>3.39721878029383</v>
      </c>
      <c r="CG82" s="16" t="n">
        <f aca="false">IF(AND(BY82=1,N(K82)&gt;0),K82,0)</f>
        <v>13.981</v>
      </c>
      <c r="CH82" s="16" t="n">
        <f aca="false">IF(CG82&gt;0,CF82*1000/CG82,"")</f>
        <v>242.988254080096</v>
      </c>
      <c r="CI82" s="16" t="n">
        <f aca="false">IF(BY82=0,"",N(AQ82)+p_road*(N(AR82)+N(AS82)+N(AT82)))</f>
        <v>0.0981864408737848</v>
      </c>
      <c r="CJ82" s="16" t="n">
        <f aca="false">IF(CG82&gt;0,CI82*1000/CG82,"")</f>
        <v>7.02284821356017</v>
      </c>
      <c r="CK82" s="12" t="n">
        <f aca="false">IF(CH82="",1,MIN(p_idx_max,MAX(p_idx_min,CH82/p_fc_world)))</f>
        <v>1.50917496677898</v>
      </c>
      <c r="CL82" s="12" t="n">
        <f aca="false">IF(CJ82="",1,MIN(p_idx_max,MAX(p_idx_min,CJ82/p_cb_world)))</f>
        <v>0.25</v>
      </c>
      <c r="CM82" s="37" t="n">
        <f aca="false">p_b*(1-p_wb_idx+p_wb_idx*CK82)</f>
        <v>0.200720270581604</v>
      </c>
      <c r="CN82" s="37" t="n">
        <f aca="false">p_c*(1-p_wc_idx+p_wc_idx*CL82)</f>
        <v>0.03225</v>
      </c>
      <c r="CO82" s="28" t="n">
        <f aca="false">IF(N(BR82)&gt;0,(N(BS82)+N(BT82)+N(BU82))/BR82,"")</f>
        <v>0.710843373493976</v>
      </c>
      <c r="CP82" s="16" t="n">
        <f aca="false">N(BS82)+N(BT82)+N(BU82)</f>
        <v>7.67</v>
      </c>
      <c r="CQ82" s="28" t="n">
        <f aca="false">IF(CP82&gt;0,N(BS82)/CP82,"")</f>
        <v>0</v>
      </c>
      <c r="CR82" s="28" t="n">
        <f aca="false">IF(CP82&gt;0,N(BT82)/CP82,"")</f>
        <v>0.997392438070404</v>
      </c>
      <c r="CS82" s="28" t="n">
        <f aca="false">IF(CP82&gt;0,N(BU82)/CP82,"")</f>
        <v>0.00260756192959583</v>
      </c>
      <c r="CT82" s="7" t="n">
        <f aca="false">1000*(p_sh_pv*p_cf_pv/p_capex_pv+(1-p_sh_pv)*p_cf_wind/p_capex_wind)*8760</f>
        <v>2301.28856624319</v>
      </c>
      <c r="CU82" s="13" t="n">
        <f aca="false">IF(AND(ISNUMBER(CO82),ISNUMBER(CQ82),BY82=1),1,0)</f>
        <v>1</v>
      </c>
      <c r="CV82" s="16" t="n">
        <f aca="false">IF(CU82=0,"",CQ82*p_hr_coal*N(AK82)+CR82*p_hr_gas*N(AO82)+CS82*p_hr_oil*N(AH82)/p_gj_l_oil)</f>
        <v>46.9267396940532</v>
      </c>
      <c r="CW82" s="37" t="n">
        <f aca="false">IF(CU82=0,"",CQ82*p_hr_coal*p_ef_coal+CR82*p_hr_gas*p_ef_gas+CS82*p_hr_oil*p_ef_oil)</f>
        <v>0.421772033898305</v>
      </c>
      <c r="CX82" s="16" t="n">
        <f aca="false">IF(CU82=0,"",CQ82*p_hr_coal*N(AW82)+CR82*p_hr_gas*N(AX82)+CS82*p_hr_oil*N(AY82)/p_gj_l_oil)</f>
        <v>0.0637105921360551</v>
      </c>
      <c r="CY82" s="37" t="n">
        <f aca="false">IF(CU82=0,"",CO82*CW82)</f>
        <v>0.299813855421687</v>
      </c>
      <c r="CZ82" s="37" t="n">
        <f aca="false">IF(CU82=0,"",CT82*CO82*CV82/1000/1000-p_om_re)</f>
        <v>0.0617653759160328</v>
      </c>
      <c r="DA82" s="37" t="n">
        <f aca="false">IF(CU82=0,"",CT82*CO82*CX82/1000/1000)</f>
        <v>0.000104221337068023</v>
      </c>
      <c r="DB82" s="37" t="n">
        <f aca="false">IF(CU82=0,"",CT82*CO82*CW82/1000)</f>
        <v>0.689958197483218</v>
      </c>
      <c r="DC82" s="13" t="n">
        <f aca="false">IF(AND(CU82=1,ISNUMBER(AD82),ISNUMBER(AV82)),1,0)</f>
        <v>1</v>
      </c>
      <c r="DD82" s="7" t="n">
        <f aca="false">IF(DC82=0,"",p_ev_km*p_ice_l/100*AD82-p_ev_km*p_ev_kwh*AV82+p_ev_km*p_ev_maint)</f>
        <v>645.9408</v>
      </c>
      <c r="DE82" s="37" t="n">
        <f aca="false">IF(DC82=0,"",DD82/p_ev_prem)</f>
        <v>0.12918816</v>
      </c>
      <c r="DF82" s="37" t="n">
        <f aca="false">IF(DC82=0,"",p_ev_km*p_ice_l/100*N(AZ82)/p_ev_prem)</f>
        <v>0.00757125</v>
      </c>
      <c r="DG82" s="37" t="n">
        <f aca="false">IF(DC82=0,"",1000/p_ev_prem*(p_ev_km*p_ice_l/100*p_gj_l_gso*p_ef_gso-p_ev_km*p_ev_kwh/1000*CY82))</f>
        <v>0.371364018072289</v>
      </c>
      <c r="DH82" s="11" t="str">
        <f aca="false">IFERROR(IF(INDEX(Damodaran!$D:$D,MATCH(A82,Damodaran!$A:$A,0))="","",INDEX(Damodaran!$D:$D,MATCH(A82,Damodaran!$A:$A,0))),"")</f>
        <v/>
      </c>
      <c r="DI82" s="11" t="str">
        <f aca="false">IFERROR(IF(INDEX(Damodaran!$E:$E,MATCH(A82,Damodaran!$A:$A,0))="","",INDEX(Damodaran!$E:$E,MATCH(A82,Damodaran!$A:$A,0))),"")</f>
        <v/>
      </c>
      <c r="DJ82" s="11" t="str">
        <f aca="false">IFERROR(IF(INDEX(Damodaran!$G:$G,MATCH(A82,Damodaran!$A:$A,0))="","",INDEX(Damodaran!$G:$G,MATCH(A82,Damodaran!$A:$A,0))),"")</f>
        <v/>
      </c>
      <c r="DK82" s="11" t="str">
        <f aca="false">IF(ISNUMBER(BG82),(1+BG82/100)*(1+p_infl)-1,"")</f>
        <v/>
      </c>
      <c r="DL82" s="11" t="str">
        <f aca="false">IF(ISNUMBER(BH82),BH82/100,"")</f>
        <v/>
      </c>
      <c r="DM82" s="11" t="str">
        <f aca="false">IF(COUNT(DK82,DL82)=0,"",AVERAGE(DK82,DL82))</f>
        <v/>
      </c>
      <c r="DN82" s="11" t="str">
        <f aca="false">IF(OR(DH82="",DI82=""),"",p_dv*(p_rf+DH82)*(1-IF(DJ82="",p_tax_def,DJ82))+(1-p_dv)*(p_rf+p_beta*p_erp+p_lambda*DI82))</f>
        <v/>
      </c>
      <c r="DO82" s="13" t="n">
        <f aca="false">IF(AND(ISNUMBER(DM82),ISNUMBER(DN82)),1,0)</f>
        <v>0</v>
      </c>
      <c r="DP82" s="11" t="n">
        <f aca="false">IF(DO82=1,DM82,0)</f>
        <v>0</v>
      </c>
      <c r="DQ82" s="11" t="n">
        <f aca="false">IF(DO82=1,DN82,0)</f>
        <v>0</v>
      </c>
      <c r="DR82" s="11" t="str">
        <f aca="false">IF(DN82="","",DN82+p_shift)</f>
        <v/>
      </c>
      <c r="DS82" s="11" t="n">
        <f aca="false">IF(E82="AE",p_r_ae,IF(E82="China",p_r_chn,p_r_emdc))</f>
        <v>0.105</v>
      </c>
      <c r="DT82" s="11" t="n">
        <f aca="false">IF(E82="AE",p_rh_ae,IF(E82="China",p_rh_chn,p_rh_emdc))</f>
        <v>0.15</v>
      </c>
      <c r="DU82" s="11" t="n">
        <f aca="false">IF(AND(p_use_obs=1,ISNUMBER(DM82)),DM82,IF(AND(p_use_dam=1,ISNUMBER(DR82)),DR82,DS82))</f>
        <v>0.105</v>
      </c>
      <c r="DV82" s="6" t="str">
        <f aca="false">IF(AND(p_use_obs=1,ISNUMBER(DM82)),"Observed (IRENA/Steffen)",IF(AND(p_use_dam=1,ISNUMBER(DR82)),"Damodaran (eq. 5)","Group default (IHLEG)"))</f>
        <v>Group default (IHLEG)</v>
      </c>
      <c r="DW82" s="11" t="n">
        <f aca="false">IF(p_basis=1,(1+DU82)/(1+p_infl)-1,DU82)</f>
        <v>0.105</v>
      </c>
      <c r="DX82" s="11" t="n">
        <f aca="false">DW82+(DT82-DS82)</f>
        <v>0.15</v>
      </c>
      <c r="DY82" s="28" t="n">
        <f aca="false">IF(AND(p_use_pefa=1,ISNUMBER(BD82)),p_gap_lic-(BD82-1)/3*(p_gap_lic-p_gap_ae),IF(E82="AE",p_gap_ae,IF(D82="Low income",p_gap_lic,p_gap_em)))*(1-p_reform*p_reform_close)</f>
        <v>0.31</v>
      </c>
      <c r="DZ82" s="6" t="str">
        <f aca="false">IF(AND(p_use_pefa=1,ISNUMBER(BD82)),"PEFA PI-11","Income-group default (IMF 2015)")</f>
        <v>PEFA PI-11</v>
      </c>
      <c r="EA82" s="28" t="n">
        <f aca="false">IF(E82="AE",p_ps_ae,IF(E82="China",p_ps_chn,p_ps_emdc))</f>
        <v>0.4</v>
      </c>
      <c r="EB82" s="37" t="n">
        <f aca="false">(1-EA82)+EA82/(1-DY82)</f>
        <v>1.17971014492754</v>
      </c>
      <c r="EC82" s="16" t="n">
        <f aca="false">Results_Country!F82</f>
        <v>4.56143859120918</v>
      </c>
      <c r="ED82" s="16" t="n">
        <f aca="false">IF(CH82="",0,CH82*EC82)</f>
        <v>1108.37599937149</v>
      </c>
      <c r="EE82" s="16" t="n">
        <f aca="false">IF(CJ82="",0,CJ82*EC82)</f>
        <v>32.0342908615378</v>
      </c>
      <c r="EF82" s="16" t="n">
        <f aca="false">IF(CH82="",0,EC82)</f>
        <v>4.56143859120918</v>
      </c>
    </row>
    <row r="83" customFormat="false" ht="15" hidden="false" customHeight="false" outlineLevel="0" collapsed="false">
      <c r="A83" s="35" t="s">
        <v>923</v>
      </c>
      <c r="B83" s="35" t="s">
        <v>924</v>
      </c>
      <c r="C83" s="35" t="s">
        <v>784</v>
      </c>
      <c r="D83" s="35" t="s">
        <v>760</v>
      </c>
      <c r="E83" s="35" t="s">
        <v>31</v>
      </c>
      <c r="F83" s="36" t="n">
        <v>86.524</v>
      </c>
      <c r="G83" s="36" t="n">
        <v>187.078</v>
      </c>
      <c r="H83" s="33" t="n">
        <v>4.35</v>
      </c>
      <c r="I83" s="33" t="n">
        <v>3.84</v>
      </c>
      <c r="J83" s="36" t="n">
        <v>4.515577</v>
      </c>
      <c r="K83" s="36" t="n">
        <v>13.424</v>
      </c>
      <c r="L83" s="36" t="n">
        <v>20.839</v>
      </c>
      <c r="M83" s="36" t="n">
        <v>24.855</v>
      </c>
      <c r="N83" s="36" t="n">
        <v>8.88898531410776</v>
      </c>
      <c r="O83" s="36" t="n">
        <v>4.48859806090869</v>
      </c>
      <c r="P83" s="36" t="n">
        <v>0.117651089866818</v>
      </c>
      <c r="Q83" s="31" t="n">
        <v>0</v>
      </c>
      <c r="R83" s="31" t="n">
        <v>0</v>
      </c>
      <c r="S83" s="31" t="n">
        <v>0.0179324005243777</v>
      </c>
      <c r="T83" s="31" t="n">
        <v>0</v>
      </c>
      <c r="U83" s="31" t="n">
        <v>0</v>
      </c>
      <c r="V83" s="31" t="n">
        <v>0</v>
      </c>
      <c r="W83" s="31" t="n">
        <v>0.0255543220161859</v>
      </c>
      <c r="X83" s="31" t="n">
        <v>0</v>
      </c>
      <c r="Y83" s="36" t="n">
        <v>1.35934859365327</v>
      </c>
      <c r="Z83" s="36" t="n">
        <v>1.58846108555636</v>
      </c>
      <c r="AA83" s="36" t="n">
        <v>0.468840628228635</v>
      </c>
      <c r="AB83" s="36" t="n">
        <v>0.0456802381145535</v>
      </c>
      <c r="AC83" s="36" t="n">
        <v>0.31371672979021</v>
      </c>
      <c r="AD83" s="31" t="n">
        <v>0.806792</v>
      </c>
      <c r="AE83" s="31" t="n">
        <v>0.665158</v>
      </c>
      <c r="AF83" s="31" t="n">
        <v>0.561563</v>
      </c>
      <c r="AG83" s="31" t="n">
        <v>0.568642</v>
      </c>
      <c r="AH83" s="31" t="n">
        <v>0.519462891908447</v>
      </c>
      <c r="AI83" s="31" t="n">
        <v>7.124</v>
      </c>
      <c r="AJ83" s="31" t="n">
        <v>13.04651</v>
      </c>
      <c r="AK83" s="31" t="n">
        <v>5.575</v>
      </c>
      <c r="AL83" s="31" t="n">
        <v>5.575</v>
      </c>
      <c r="AM83" s="31" t="n">
        <v>8.176</v>
      </c>
      <c r="AN83" s="31" t="n">
        <v>17.24626</v>
      </c>
      <c r="AO83" s="31" t="n">
        <v>6.853</v>
      </c>
      <c r="AP83" s="31" t="n">
        <v>6.853</v>
      </c>
      <c r="AQ83" s="36" t="n">
        <v>0.663814180950897</v>
      </c>
      <c r="AR83" s="36" t="n">
        <v>0.604967179565844</v>
      </c>
      <c r="AS83" s="36" t="n">
        <v>0.297490777688294</v>
      </c>
      <c r="AT83" s="36" t="n">
        <v>0.217995922352154</v>
      </c>
      <c r="AU83" s="31" t="n">
        <v>0.664658665527767</v>
      </c>
      <c r="AV83" s="36" t="n">
        <v>0.150539</v>
      </c>
      <c r="AW83" s="31" t="n">
        <v>3.809922</v>
      </c>
      <c r="AX83" s="31" t="n">
        <v>0.020319</v>
      </c>
      <c r="AY83" s="31" t="n">
        <v>0.0667783651289989</v>
      </c>
      <c r="AZ83" s="31" t="n">
        <v>0.049139</v>
      </c>
      <c r="BA83" s="33" t="n">
        <v>57.814</v>
      </c>
      <c r="BB83" s="33" t="n">
        <v>17.234</v>
      </c>
      <c r="BC83" s="33" t="n">
        <v>99.632</v>
      </c>
      <c r="BD83" s="33"/>
      <c r="BE83" s="33"/>
      <c r="BF83" s="33" t="n">
        <v>0</v>
      </c>
      <c r="BG83" s="33"/>
      <c r="BH83" s="33"/>
      <c r="BI83" s="29"/>
      <c r="BJ83" s="33"/>
      <c r="BK83" s="33"/>
      <c r="BL83" s="33"/>
      <c r="BM83" s="33"/>
      <c r="BN83" s="29"/>
      <c r="BO83" s="33" t="n">
        <v>0.602</v>
      </c>
      <c r="BP83" s="33"/>
      <c r="BQ83" s="29" t="n">
        <v>2024</v>
      </c>
      <c r="BR83" s="36" t="n">
        <v>13.43</v>
      </c>
      <c r="BS83" s="36" t="n">
        <v>0.5</v>
      </c>
      <c r="BT83" s="36" t="n">
        <v>2.8</v>
      </c>
      <c r="BU83" s="36" t="n">
        <v>1</v>
      </c>
      <c r="BV83" s="16" t="n">
        <f aca="false">F83*(1+N(H83)/100)*(1+N(I83)/100)^5</f>
        <v>109.006511009235</v>
      </c>
      <c r="BW83" s="16" t="n">
        <f aca="false">IF(N(G83)&gt;0,G83,F83)</f>
        <v>187.078</v>
      </c>
      <c r="BX83" s="12" t="n">
        <f aca="false">F83/BW83</f>
        <v>0.462502271779686</v>
      </c>
      <c r="BY83" s="13" t="n">
        <f aca="false">IF(ISNUMBER(K83),1,0)</f>
        <v>1</v>
      </c>
      <c r="BZ83" s="16" t="n">
        <f aca="false">IF(BY83=0,"",N(N83)+N(O83)+N(P83))</f>
        <v>13.4952344648833</v>
      </c>
      <c r="CA83" s="37" t="n">
        <f aca="false">IF(BY83=0,"",(N(Y83)*34.2+N(Z83)*38.6)/1000)</f>
        <v>0.107804319805417</v>
      </c>
      <c r="CB83" s="37" t="n">
        <f aca="false">IF(BY83=0,"",N(O83)*0.0036+N(R83)+N(V83)+(N(AA83)*25.3+N(AB83)*37)/1000)</f>
        <v>0.0297107897236942</v>
      </c>
      <c r="CC83" s="37" t="n">
        <f aca="false">IF(BY83=0,"",N(N83)*0.0036+N(Q83)+N(U83)+N(T83)+N(X83)+N(AC83)*38/1000)</f>
        <v>0.0439215828628159</v>
      </c>
      <c r="CD83" s="37" t="n">
        <f aca="false">IF(BY83=0,"",N(Q83)+N(R83)+N(S83)+N(T83)+N(U83)+N(V83)+N(W83)+N(X83)+(N(Y83)*34.2+N(Z83)*38.6+N(AA83)*25.3+N(AB83)*37+N(AC83)*38)/1000)</f>
        <v>0.176764114782432</v>
      </c>
      <c r="CE83" s="16" t="n">
        <f aca="false">IF(BY83=0,"",MAX(0,N(L83)-N(K83))+MAX(0,N(M83)-N(L83)))</f>
        <v>11.431</v>
      </c>
      <c r="CF83" s="16" t="n">
        <f aca="false">IF(BY83=0,"",N(Y83)*N(AD83)+N(Z83)*N(AE83)+N(AA83)*N(AF83)+N(AB83)*N(AG83)+N(AC83)*N(AH83)+N(U83)*N(AI83)+N(V83)*N(AJ83)+N(W83)*N(AK83)+N(X83)*N(AL83)+N(Q83)*N(AM83)+N(R83)*N(AN83)+N(S83)*N(AO83)+N(T83)*N(AP83))</f>
        <v>2.87086870671978</v>
      </c>
      <c r="CG83" s="16" t="n">
        <f aca="false">IF(AND(BY83=1,N(K83)&gt;0),K83,0)</f>
        <v>13.424</v>
      </c>
      <c r="CH83" s="16" t="n">
        <f aca="false">IF(CG83&gt;0,CF83*1000/CG83,"")</f>
        <v>213.860898891521</v>
      </c>
      <c r="CI83" s="16" t="n">
        <f aca="false">IF(BY83=0,"",N(AQ83)+p_road*(N(AR83)+N(AS83)+N(AT83)))</f>
        <v>0.663814180950897</v>
      </c>
      <c r="CJ83" s="16" t="n">
        <f aca="false">IF(CG83&gt;0,CI83*1000/CG83,"")</f>
        <v>49.4498048980108</v>
      </c>
      <c r="CK83" s="12" t="n">
        <f aca="false">IF(CH83="",1,MIN(p_idx_max,MAX(p_idx_min,CH83/p_fc_world)))</f>
        <v>1.32826796999638</v>
      </c>
      <c r="CL83" s="12" t="n">
        <f aca="false">IF(CJ83="",1,MIN(p_idx_max,MAX(p_idx_min,CJ83/p_cb_world)))</f>
        <v>0.940274912111904</v>
      </c>
      <c r="CM83" s="37" t="n">
        <f aca="false">p_b*(1-p_wb_idx+p_wb_idx*CK83)</f>
        <v>0.176659640009518</v>
      </c>
      <c r="CN83" s="37" t="n">
        <f aca="false">p_c*(1-p_wc_idx+p_wc_idx*CL83)</f>
        <v>0.121295463662436</v>
      </c>
      <c r="CO83" s="28" t="n">
        <f aca="false">IF(N(BR83)&gt;0,(N(BS83)+N(BT83)+N(BU83))/BR83,"")</f>
        <v>0.32017870439315</v>
      </c>
      <c r="CP83" s="16" t="n">
        <f aca="false">N(BS83)+N(BT83)+N(BU83)</f>
        <v>4.3</v>
      </c>
      <c r="CQ83" s="28" t="n">
        <f aca="false">IF(CP83&gt;0,N(BS83)/CP83,"")</f>
        <v>0.116279069767442</v>
      </c>
      <c r="CR83" s="28" t="n">
        <f aca="false">IF(CP83&gt;0,N(BT83)/CP83,"")</f>
        <v>0.651162790697674</v>
      </c>
      <c r="CS83" s="28" t="n">
        <f aca="false">IF(CP83&gt;0,N(BU83)/CP83,"")</f>
        <v>0.232558139534884</v>
      </c>
      <c r="CT83" s="7" t="n">
        <f aca="false">1000*(p_sh_pv*p_cf_pv/p_capex_pv+(1-p_sh_pv)*p_cf_wind/p_capex_wind)*8760</f>
        <v>2301.28856624319</v>
      </c>
      <c r="CU83" s="13" t="n">
        <f aca="false">IF(AND(ISNUMBER(CO83),ISNUMBER(CQ83),BY83=1),1,0)</f>
        <v>1</v>
      </c>
      <c r="CV83" s="16" t="n">
        <f aca="false">IF(CU83=0,"",CQ83*p_hr_coal*N(AK83)+CR83*p_hr_gas*N(AO83)+CS83*p_hr_oil*N(AH83)/p_gj_l_oil)</f>
        <v>72.8122494579991</v>
      </c>
      <c r="CW83" s="37" t="n">
        <f aca="false">IF(CU83=0,"",CQ83*p_hr_coal*p_ef_coal+CR83*p_hr_gas*p_ef_gas+CS83*p_hr_oil*p_ef_oil)</f>
        <v>0.572976744186047</v>
      </c>
      <c r="CX83" s="16" t="n">
        <f aca="false">IF(CU83=0,"",CQ83*p_hr_coal*N(AW83)+CR83*p_hr_gas*N(AX83)+CS83*p_hr_oil*N(AY83)/p_gj_l_oil)</f>
        <v>8.75381588898957</v>
      </c>
      <c r="CY83" s="37" t="n">
        <f aca="false">IF(CU83=0,"",CO83*CW83)</f>
        <v>0.183454951600894</v>
      </c>
      <c r="CZ83" s="37" t="n">
        <f aca="false">IF(CU83=0,"",CT83*CO83*CV83/1000/1000-p_om_re)</f>
        <v>0.0386497831562624</v>
      </c>
      <c r="DA83" s="37" t="n">
        <f aca="false">IF(CU83=0,"",CT83*CO83*CX83/1000/1000)</f>
        <v>0.00645001806330735</v>
      </c>
      <c r="DB83" s="37" t="n">
        <f aca="false">IF(CU83=0,"",CT83*CO83*CW83/1000)</f>
        <v>0.422182782539835</v>
      </c>
      <c r="DC83" s="13" t="n">
        <f aca="false">IF(AND(CU83=1,ISNUMBER(AD83),ISNUMBER(AV83)),1,0)</f>
        <v>1</v>
      </c>
      <c r="DD83" s="7" t="n">
        <f aca="false">IF(DC83=0,"",p_ev_km*p_ice_l/100*AD83-p_ev_km*p_ev_kwh*AV83+p_ev_km*p_ev_maint)</f>
        <v>681.1857</v>
      </c>
      <c r="DE83" s="37" t="n">
        <f aca="false">IF(DC83=0,"",DD83/p_ev_prem)</f>
        <v>0.13623714</v>
      </c>
      <c r="DF83" s="37" t="n">
        <f aca="false">IF(DC83=0,"",p_ev_km*p_ice_l/100*N(AZ83)/p_ev_prem)</f>
        <v>0.011056275</v>
      </c>
      <c r="DG83" s="37" t="n">
        <f aca="false">IF(DC83=0,"",1000/p_ev_prem*(p_ev_km*p_ice_l/100*p_gj_l_gso*p_ef_gso-p_ev_km*p_ev_kwh/1000*CY83))</f>
        <v>0.434197826135518</v>
      </c>
      <c r="DH83" s="11" t="str">
        <f aca="false">IFERROR(IF(INDEX(Damodaran!$D:$D,MATCH(A83,Damodaran!$A:$A,0))="","",INDEX(Damodaran!$D:$D,MATCH(A83,Damodaran!$A:$A,0))),"")</f>
        <v/>
      </c>
      <c r="DI83" s="11" t="str">
        <f aca="false">IFERROR(IF(INDEX(Damodaran!$E:$E,MATCH(A83,Damodaran!$A:$A,0))="","",INDEX(Damodaran!$E:$E,MATCH(A83,Damodaran!$A:$A,0))),"")</f>
        <v/>
      </c>
      <c r="DJ83" s="11" t="str">
        <f aca="false">IFERROR(IF(INDEX(Damodaran!$G:$G,MATCH(A83,Damodaran!$A:$A,0))="","",INDEX(Damodaran!$G:$G,MATCH(A83,Damodaran!$A:$A,0))),"")</f>
        <v/>
      </c>
      <c r="DK83" s="11" t="str">
        <f aca="false">IF(ISNUMBER(BG83),(1+BG83/100)*(1+p_infl)-1,"")</f>
        <v/>
      </c>
      <c r="DL83" s="11" t="str">
        <f aca="false">IF(ISNUMBER(BH83),BH83/100,"")</f>
        <v/>
      </c>
      <c r="DM83" s="11" t="str">
        <f aca="false">IF(COUNT(DK83,DL83)=0,"",AVERAGE(DK83,DL83))</f>
        <v/>
      </c>
      <c r="DN83" s="11" t="str">
        <f aca="false">IF(OR(DH83="",DI83=""),"",p_dv*(p_rf+DH83)*(1-IF(DJ83="",p_tax_def,DJ83))+(1-p_dv)*(p_rf+p_beta*p_erp+p_lambda*DI83))</f>
        <v/>
      </c>
      <c r="DO83" s="13" t="n">
        <f aca="false">IF(AND(ISNUMBER(DM83),ISNUMBER(DN83)),1,0)</f>
        <v>0</v>
      </c>
      <c r="DP83" s="11" t="n">
        <f aca="false">IF(DO83=1,DM83,0)</f>
        <v>0</v>
      </c>
      <c r="DQ83" s="11" t="n">
        <f aca="false">IF(DO83=1,DN83,0)</f>
        <v>0</v>
      </c>
      <c r="DR83" s="11" t="str">
        <f aca="false">IF(DN83="","",DN83+p_shift)</f>
        <v/>
      </c>
      <c r="DS83" s="11" t="n">
        <f aca="false">IF(E83="AE",p_r_ae,IF(E83="China",p_r_chn,p_r_emdc))</f>
        <v>0.105</v>
      </c>
      <c r="DT83" s="11" t="n">
        <f aca="false">IF(E83="AE",p_rh_ae,IF(E83="China",p_rh_chn,p_rh_emdc))</f>
        <v>0.15</v>
      </c>
      <c r="DU83" s="11" t="n">
        <f aca="false">IF(AND(p_use_obs=1,ISNUMBER(DM83)),DM83,IF(AND(p_use_dam=1,ISNUMBER(DR83)),DR83,DS83))</f>
        <v>0.105</v>
      </c>
      <c r="DV83" s="6" t="str">
        <f aca="false">IF(AND(p_use_obs=1,ISNUMBER(DM83)),"Observed (IRENA/Steffen)",IF(AND(p_use_dam=1,ISNUMBER(DR83)),"Damodaran (eq. 5)","Group default (IHLEG)"))</f>
        <v>Group default (IHLEG)</v>
      </c>
      <c r="DW83" s="11" t="n">
        <f aca="false">IF(p_basis=1,(1+DU83)/(1+p_infl)-1,DU83)</f>
        <v>0.105</v>
      </c>
      <c r="DX83" s="11" t="n">
        <f aca="false">DW83+(DT83-DS83)</f>
        <v>0.15</v>
      </c>
      <c r="DY83" s="28" t="n">
        <f aca="false">IF(AND(p_use_pefa=1,ISNUMBER(BD83)),p_gap_lic-(BD83-1)/3*(p_gap_lic-p_gap_ae),IF(E83="AE",p_gap_ae,IF(D83="Low income",p_gap_lic,p_gap_em)))*(1-p_reform*p_reform_close)</f>
        <v>0.27</v>
      </c>
      <c r="DZ83" s="6" t="str">
        <f aca="false">IF(AND(p_use_pefa=1,ISNUMBER(BD83)),"PEFA PI-11","Income-group default (IMF 2015)")</f>
        <v>Income-group default (IMF 2015)</v>
      </c>
      <c r="EA83" s="28" t="n">
        <f aca="false">IF(E83="AE",p_ps_ae,IF(E83="China",p_ps_chn,p_ps_emdc))</f>
        <v>0.4</v>
      </c>
      <c r="EB83" s="37" t="n">
        <f aca="false">(1-EA83)+EA83/(1-DY83)</f>
        <v>1.14794520547945</v>
      </c>
      <c r="EC83" s="16" t="n">
        <f aca="false">Results_Country!F83</f>
        <v>4.26342915568363</v>
      </c>
      <c r="ED83" s="16" t="n">
        <f aca="false">IF(CH83="",0,CH83*EC83)</f>
        <v>911.78079159482</v>
      </c>
      <c r="EE83" s="16" t="n">
        <f aca="false">IF(CJ83="",0,CJ83*EC83)</f>
        <v>210.825739945046</v>
      </c>
      <c r="EF83" s="16" t="n">
        <f aca="false">IF(CH83="",0,EC83)</f>
        <v>4.26342915568363</v>
      </c>
    </row>
    <row r="84" customFormat="false" ht="15" hidden="false" customHeight="false" outlineLevel="0" collapsed="false">
      <c r="A84" s="35" t="s">
        <v>925</v>
      </c>
      <c r="B84" s="35" t="s">
        <v>926</v>
      </c>
      <c r="C84" s="35" t="s">
        <v>766</v>
      </c>
      <c r="D84" s="35" t="s">
        <v>760</v>
      </c>
      <c r="E84" s="35" t="s">
        <v>29</v>
      </c>
      <c r="F84" s="36" t="n">
        <v>85.482</v>
      </c>
      <c r="G84" s="36" t="n">
        <v>158.007</v>
      </c>
      <c r="H84" s="33" t="n">
        <v>2.858</v>
      </c>
      <c r="I84" s="33" t="n">
        <v>2.912</v>
      </c>
      <c r="J84" s="36" t="n">
        <v>2.85911</v>
      </c>
      <c r="K84" s="36" t="n">
        <v>15.167</v>
      </c>
      <c r="L84" s="36" t="n">
        <v>21.85</v>
      </c>
      <c r="M84" s="36" t="n">
        <v>15.603</v>
      </c>
      <c r="N84" s="36" t="n">
        <v>6.6731933778362</v>
      </c>
      <c r="O84" s="36" t="n">
        <v>2.95975440575669</v>
      </c>
      <c r="P84" s="36" t="n">
        <v>0.052478079881875</v>
      </c>
      <c r="Q84" s="31" t="n">
        <v>0.0210255982804295</v>
      </c>
      <c r="R84" s="31" t="n">
        <v>0.0279221183943751</v>
      </c>
      <c r="S84" s="31" t="n">
        <v>0.00702995815135477</v>
      </c>
      <c r="T84" s="31" t="n">
        <v>0.000755241149478774</v>
      </c>
      <c r="U84" s="31" t="n">
        <v>0.00525622040607058</v>
      </c>
      <c r="V84" s="31" t="n">
        <v>0.0034080866447506</v>
      </c>
      <c r="W84" s="31" t="n">
        <v>0</v>
      </c>
      <c r="X84" s="31" t="n">
        <v>0</v>
      </c>
      <c r="Y84" s="36" t="n">
        <v>0.296396033270228</v>
      </c>
      <c r="Z84" s="36" t="n">
        <v>1.99567235402963</v>
      </c>
      <c r="AA84" s="36" t="n">
        <v>0.217422574091834</v>
      </c>
      <c r="AB84" s="36" t="n">
        <v>0.000856220296196849</v>
      </c>
      <c r="AC84" s="36" t="n">
        <v>0.556667159496413</v>
      </c>
      <c r="AD84" s="31" t="n">
        <v>0.875304</v>
      </c>
      <c r="AE84" s="31" t="n">
        <v>0.838468</v>
      </c>
      <c r="AF84" s="31" t="n">
        <v>0.534132</v>
      </c>
      <c r="AG84" s="31" t="n">
        <v>0.591</v>
      </c>
      <c r="AH84" s="31" t="n">
        <v>0.519462891908447</v>
      </c>
      <c r="AI84" s="31" t="n">
        <v>6.662</v>
      </c>
      <c r="AJ84" s="31" t="n">
        <v>14.26953</v>
      </c>
      <c r="AK84" s="31" t="n">
        <v>5.582</v>
      </c>
      <c r="AL84" s="31" t="n">
        <v>9.65440565234611</v>
      </c>
      <c r="AM84" s="31" t="n">
        <v>12.917</v>
      </c>
      <c r="AN84" s="31" t="n">
        <v>22.03652</v>
      </c>
      <c r="AO84" s="31" t="n">
        <v>12.917</v>
      </c>
      <c r="AP84" s="31" t="n">
        <v>17.4658905698683</v>
      </c>
      <c r="AQ84" s="36" t="n">
        <v>0.640083988695809</v>
      </c>
      <c r="AR84" s="36" t="n">
        <v>0.0726271191259564</v>
      </c>
      <c r="AS84" s="36" t="n">
        <v>0.0477109389346067</v>
      </c>
      <c r="AT84" s="36" t="n">
        <v>0.178886071389592</v>
      </c>
      <c r="AU84" s="31" t="n">
        <v>0.725158248642456</v>
      </c>
      <c r="AV84" s="36" t="n">
        <v>0.230372</v>
      </c>
      <c r="AW84" s="31" t="n">
        <v>0.280756</v>
      </c>
      <c r="AX84" s="31" t="n">
        <v>0.062206</v>
      </c>
      <c r="AY84" s="31" t="n">
        <v>0.154043642529458</v>
      </c>
      <c r="AZ84" s="31" t="n">
        <v>0.021815</v>
      </c>
      <c r="BA84" s="33" t="n">
        <v>37.965</v>
      </c>
      <c r="BB84" s="33" t="n">
        <v>0.684</v>
      </c>
      <c r="BC84" s="33" t="n">
        <v>90.093</v>
      </c>
      <c r="BD84" s="33"/>
      <c r="BE84" s="33"/>
      <c r="BF84" s="33" t="n">
        <v>0</v>
      </c>
      <c r="BG84" s="33"/>
      <c r="BH84" s="33" t="n">
        <v>9.5</v>
      </c>
      <c r="BI84" s="29" t="n">
        <v>2019</v>
      </c>
      <c r="BJ84" s="33" t="n">
        <v>1</v>
      </c>
      <c r="BK84" s="33"/>
      <c r="BL84" s="33"/>
      <c r="BM84" s="33"/>
      <c r="BN84" s="29"/>
      <c r="BO84" s="33"/>
      <c r="BP84" s="33"/>
      <c r="BQ84" s="29" t="n">
        <v>2025</v>
      </c>
      <c r="BR84" s="36" t="n">
        <v>8.88</v>
      </c>
      <c r="BS84" s="36" t="n">
        <v>0</v>
      </c>
      <c r="BT84" s="36" t="n">
        <v>1.48</v>
      </c>
      <c r="BU84" s="36" t="n">
        <v>0.51</v>
      </c>
      <c r="BV84" s="16" t="n">
        <f aca="false">F84*(1+N(H84)/100)*(1+N(I84)/100)^5</f>
        <v>101.494578003495</v>
      </c>
      <c r="BW84" s="16" t="n">
        <f aca="false">IF(N(G84)&gt;0,G84,F84)</f>
        <v>158.007</v>
      </c>
      <c r="BX84" s="12" t="n">
        <f aca="false">F84/BW84</f>
        <v>0.541001348041542</v>
      </c>
      <c r="BY84" s="13" t="n">
        <f aca="false">IF(ISNUMBER(K84),1,0)</f>
        <v>1</v>
      </c>
      <c r="BZ84" s="16" t="n">
        <f aca="false">IF(BY84=0,"",N(N84)+N(O84)+N(P84))</f>
        <v>9.68542586347476</v>
      </c>
      <c r="CA84" s="37" t="n">
        <f aca="false">IF(BY84=0,"",(N(Y84)*34.2+N(Z84)*38.6)/1000)</f>
        <v>0.0871696972033857</v>
      </c>
      <c r="CB84" s="37" t="n">
        <f aca="false">IF(BY84=0,"",N(O84)*0.0036+N(R84)+N(V84)+(N(AA84)*25.3+N(AB84)*37)/1000)</f>
        <v>0.0475177921753324</v>
      </c>
      <c r="CC84" s="37" t="n">
        <f aca="false">IF(BY84=0,"",N(N84)*0.0036+N(Q84)+N(U84)+N(T84)+N(X84)+N(AC84)*38/1000)</f>
        <v>0.0722139080570529</v>
      </c>
      <c r="CD84" s="37" t="n">
        <f aca="false">IF(BY84=0,"",N(Q84)+N(R84)+N(S84)+N(T84)+N(U84)+N(V84)+N(W84)+N(X84)+(N(Y84)*34.2+N(Z84)*38.6+N(AA84)*25.3+N(AB84)*37+N(AC84)*38)/1000)</f>
        <v>0.179252743566191</v>
      </c>
      <c r="CE84" s="16" t="n">
        <f aca="false">IF(BY84=0,"",MAX(0,N(L84)-N(K84))+MAX(0,N(M84)-N(L84)))</f>
        <v>6.683</v>
      </c>
      <c r="CF84" s="16" t="n">
        <f aca="false">IF(BY84=0,"",N(Y84)*N(AD84)+N(Z84)*N(AE84)+N(AA84)*N(AF84)+N(AB84)*N(AG84)+N(AC84)*N(AH84)+N(U84)*N(AI84)+N(V84)*N(AJ84)+N(W84)*N(AK84)+N(X84)*N(AL84)+N(Q84)*N(AM84)+N(R84)*N(AN84)+N(S84)*N(AO84)+N(T84)*N(AP84))</f>
        <v>3.41308999099156</v>
      </c>
      <c r="CG84" s="16" t="n">
        <f aca="false">IF(AND(BY84=1,N(K84)&gt;0),K84,0)</f>
        <v>15.167</v>
      </c>
      <c r="CH84" s="16" t="n">
        <f aca="false">IF(CG84&gt;0,CF84*1000/CG84,"")</f>
        <v>225.033954703736</v>
      </c>
      <c r="CI84" s="16" t="n">
        <f aca="false">IF(BY84=0,"",N(AQ84)+p_road*(N(AR84)+N(AS84)+N(AT84)))</f>
        <v>0.640083988695809</v>
      </c>
      <c r="CJ84" s="16" t="n">
        <f aca="false">IF(CG84&gt;0,CI84*1000/CG84,"")</f>
        <v>42.2024123884624</v>
      </c>
      <c r="CK84" s="12" t="n">
        <f aca="false">IF(CH84="",1,MIN(p_idx_max,MAX(p_idx_min,CH84/p_fc_world)))</f>
        <v>1.3976626664522</v>
      </c>
      <c r="CL84" s="12" t="n">
        <f aca="false">IF(CJ84="",1,MIN(p_idx_max,MAX(p_idx_min,CJ84/p_cb_world)))</f>
        <v>0.802467667593732</v>
      </c>
      <c r="CM84" s="37" t="n">
        <f aca="false">p_b*(1-p_wb_idx+p_wb_idx*CK84)</f>
        <v>0.185889134638143</v>
      </c>
      <c r="CN84" s="37" t="n">
        <f aca="false">p_c*(1-p_wc_idx+p_wc_idx*CL84)</f>
        <v>0.103518329119591</v>
      </c>
      <c r="CO84" s="28" t="n">
        <f aca="false">IF(N(BR84)&gt;0,(N(BS84)+N(BT84)+N(BU84))/BR84,"")</f>
        <v>0.224099099099099</v>
      </c>
      <c r="CP84" s="16" t="n">
        <f aca="false">N(BS84)+N(BT84)+N(BU84)</f>
        <v>1.99</v>
      </c>
      <c r="CQ84" s="28" t="n">
        <f aca="false">IF(CP84&gt;0,N(BS84)/CP84,"")</f>
        <v>0</v>
      </c>
      <c r="CR84" s="28" t="n">
        <f aca="false">IF(CP84&gt;0,N(BT84)/CP84,"")</f>
        <v>0.743718592964824</v>
      </c>
      <c r="CS84" s="28" t="n">
        <f aca="false">IF(CP84&gt;0,N(BU84)/CP84,"")</f>
        <v>0.256281407035176</v>
      </c>
      <c r="CT84" s="7" t="n">
        <f aca="false">1000*(p_sh_pv*p_cf_pv/p_capex_pv+(1-p_sh_pv)*p_cf_wind/p_capex_wind)*8760</f>
        <v>2301.28856624319</v>
      </c>
      <c r="CU84" s="13" t="n">
        <f aca="false">IF(AND(ISNUMBER(CO84),ISNUMBER(CQ84),BY84=1),1,0)</f>
        <v>1</v>
      </c>
      <c r="CV84" s="16" t="n">
        <f aca="false">IF(CU84=0,"",CQ84*p_hr_coal*N(AK84)+CR84*p_hr_gas*N(AO84)+CS84*p_hr_oil*N(AH84)/p_gj_l_oil)</f>
        <v>108.263358322308</v>
      </c>
      <c r="CW84" s="37" t="n">
        <f aca="false">IF(CU84=0,"",CQ84*p_hr_coal*p_ef_coal+CR84*p_hr_gas*p_ef_gas+CS84*p_hr_oil*p_ef_oil)</f>
        <v>0.521199497487437</v>
      </c>
      <c r="CX84" s="16" t="n">
        <f aca="false">IF(CU84=0,"",CQ84*p_hr_coal*N(AW84)+CR84*p_hr_gas*N(AX84)+CS84*p_hr_oil*N(AY84)/p_gj_l_oil)</f>
        <v>11.0859542336716</v>
      </c>
      <c r="CY84" s="37" t="n">
        <f aca="false">IF(CU84=0,"",CO84*CW84)</f>
        <v>0.116800337837838</v>
      </c>
      <c r="CZ84" s="37" t="n">
        <f aca="false">IF(CU84=0,"",CT84*CO84*CV84/1000/1000-p_om_re)</f>
        <v>0.0408332212853525</v>
      </c>
      <c r="DA84" s="37" t="n">
        <f aca="false">IF(CU84=0,"",CT84*CO84*CX84/1000/1000)</f>
        <v>0.00571721167234785</v>
      </c>
      <c r="DB84" s="37" t="n">
        <f aca="false">IF(CU84=0,"",CT84*CO84*CW84/1000)</f>
        <v>0.268791281999559</v>
      </c>
      <c r="DC84" s="13" t="n">
        <f aca="false">IF(AND(CU84=1,ISNUMBER(AD84),ISNUMBER(AV84)),1,0)</f>
        <v>1</v>
      </c>
      <c r="DD84" s="7" t="n">
        <f aca="false">IF(DC84=0,"",p_ev_km*p_ice_l/100*AD84-p_ev_km*p_ev_kwh*AV84+p_ev_km*p_ev_maint)</f>
        <v>542.7126</v>
      </c>
      <c r="DE84" s="37" t="n">
        <f aca="false">IF(DC84=0,"",DD84/p_ev_prem)</f>
        <v>0.10854252</v>
      </c>
      <c r="DF84" s="37" t="n">
        <f aca="false">IF(DC84=0,"",p_ev_km*p_ice_l/100*N(AZ84)/p_ev_prem)</f>
        <v>0.004908375</v>
      </c>
      <c r="DG84" s="37" t="n">
        <f aca="false">IF(DC84=0,"",1000/p_ev_prem*(p_ev_km*p_ice_l/100*p_gj_l_gso*p_ef_gso-p_ev_km*p_ev_kwh/1000*CY84))</f>
        <v>0.470191317567568</v>
      </c>
      <c r="DH84" s="11" t="str">
        <f aca="false">IFERROR(IF(INDEX(Damodaran!$D:$D,MATCH(A84,Damodaran!$A:$A,0))="","",INDEX(Damodaran!$D:$D,MATCH(A84,Damodaran!$A:$A,0))),"")</f>
        <v/>
      </c>
      <c r="DI84" s="11" t="str">
        <f aca="false">IFERROR(IF(INDEX(Damodaran!$E:$E,MATCH(A84,Damodaran!$A:$A,0))="","",INDEX(Damodaran!$E:$E,MATCH(A84,Damodaran!$A:$A,0))),"")</f>
        <v/>
      </c>
      <c r="DJ84" s="11" t="str">
        <f aca="false">IFERROR(IF(INDEX(Damodaran!$G:$G,MATCH(A84,Damodaran!$A:$A,0))="","",INDEX(Damodaran!$G:$G,MATCH(A84,Damodaran!$A:$A,0))),"")</f>
        <v/>
      </c>
      <c r="DK84" s="11" t="str">
        <f aca="false">IF(ISNUMBER(BG84),(1+BG84/100)*(1+p_infl)-1,"")</f>
        <v/>
      </c>
      <c r="DL84" s="11" t="n">
        <f aca="false">IF(ISNUMBER(BH84),BH84/100,"")</f>
        <v>0.095</v>
      </c>
      <c r="DM84" s="11" t="n">
        <f aca="false">IF(COUNT(DK84,DL84)=0,"",AVERAGE(DK84,DL84))</f>
        <v>0.095</v>
      </c>
      <c r="DN84" s="11" t="str">
        <f aca="false">IF(OR(DH84="",DI84=""),"",p_dv*(p_rf+DH84)*(1-IF(DJ84="",p_tax_def,DJ84))+(1-p_dv)*(p_rf+p_beta*p_erp+p_lambda*DI84))</f>
        <v/>
      </c>
      <c r="DO84" s="13" t="n">
        <f aca="false">IF(AND(ISNUMBER(DM84),ISNUMBER(DN84)),1,0)</f>
        <v>0</v>
      </c>
      <c r="DP84" s="11" t="n">
        <f aca="false">IF(DO84=1,DM84,0)</f>
        <v>0</v>
      </c>
      <c r="DQ84" s="11" t="n">
        <f aca="false">IF(DO84=1,DN84,0)</f>
        <v>0</v>
      </c>
      <c r="DR84" s="11" t="str">
        <f aca="false">IF(DN84="","",DN84+p_shift)</f>
        <v/>
      </c>
      <c r="DS84" s="11" t="n">
        <f aca="false">IF(E84="AE",p_r_ae,IF(E84="China",p_r_chn,p_r_emdc))</f>
        <v>0.055</v>
      </c>
      <c r="DT84" s="11" t="n">
        <f aca="false">IF(E84="AE",p_rh_ae,IF(E84="China",p_rh_chn,p_rh_emdc))</f>
        <v>0.07</v>
      </c>
      <c r="DU84" s="11" t="n">
        <f aca="false">IF(AND(p_use_obs=1,ISNUMBER(DM84)),DM84,IF(AND(p_use_dam=1,ISNUMBER(DR84)),DR84,DS84))</f>
        <v>0.095</v>
      </c>
      <c r="DV84" s="6" t="str">
        <f aca="false">IF(AND(p_use_obs=1,ISNUMBER(DM84)),"Observed (IRENA/Steffen)",IF(AND(p_use_dam=1,ISNUMBER(DR84)),"Damodaran (eq. 5)","Group default (IHLEG)"))</f>
        <v>Observed (IRENA/Steffen)</v>
      </c>
      <c r="DW84" s="11" t="n">
        <f aca="false">IF(p_basis=1,(1+DU84)/(1+p_infl)-1,DU84)</f>
        <v>0.095</v>
      </c>
      <c r="DX84" s="11" t="n">
        <f aca="false">DW84+(DT84-DS84)</f>
        <v>0.11</v>
      </c>
      <c r="DY84" s="28" t="n">
        <f aca="false">IF(AND(p_use_pefa=1,ISNUMBER(BD84)),p_gap_lic-(BD84-1)/3*(p_gap_lic-p_gap_ae),IF(E84="AE",p_gap_ae,IF(D84="Low income",p_gap_lic,p_gap_em)))*(1-p_reform*p_reform_close)</f>
        <v>0.13</v>
      </c>
      <c r="DZ84" s="6" t="str">
        <f aca="false">IF(AND(p_use_pefa=1,ISNUMBER(BD84)),"PEFA PI-11","Income-group default (IMF 2015)")</f>
        <v>Income-group default (IMF 2015)</v>
      </c>
      <c r="EA84" s="28" t="n">
        <f aca="false">IF(E84="AE",p_ps_ae,IF(E84="China",p_ps_chn,p_ps_emdc))</f>
        <v>0.3</v>
      </c>
      <c r="EB84" s="37" t="n">
        <f aca="false">(1-EA84)+EA84/(1-DY84)</f>
        <v>1.0448275862069</v>
      </c>
      <c r="EC84" s="16" t="n">
        <f aca="false">Results_Country!F84</f>
        <v>3.03998380564614</v>
      </c>
      <c r="ED84" s="16" t="n">
        <f aca="false">IF(CH84="",0,CH84*EC84)</f>
        <v>684.099578019863</v>
      </c>
      <c r="EE84" s="16" t="n">
        <f aca="false">IF(CJ84="",0,CJ84*EC84)</f>
        <v>128.294650220126</v>
      </c>
      <c r="EF84" s="16" t="n">
        <f aca="false">IF(CH84="",0,EC84)</f>
        <v>3.03998380564614</v>
      </c>
    </row>
    <row r="85" customFormat="false" ht="15" hidden="false" customHeight="false" outlineLevel="0" collapsed="false">
      <c r="A85" s="35" t="s">
        <v>927</v>
      </c>
      <c r="B85" s="35" t="s">
        <v>928</v>
      </c>
      <c r="C85" s="35" t="s">
        <v>847</v>
      </c>
      <c r="D85" s="35" t="s">
        <v>771</v>
      </c>
      <c r="E85" s="35" t="s">
        <v>31</v>
      </c>
      <c r="F85" s="36" t="n">
        <v>83.289</v>
      </c>
      <c r="G85" s="36" t="n">
        <v>277.182</v>
      </c>
      <c r="H85" s="33" t="n">
        <v>5.954</v>
      </c>
      <c r="I85" s="33" t="n">
        <v>4.75</v>
      </c>
      <c r="J85" s="36" t="n">
        <v>34.427414</v>
      </c>
      <c r="K85" s="36" t="n">
        <v>22.034</v>
      </c>
      <c r="L85" s="36" t="n">
        <v>52.092</v>
      </c>
      <c r="M85" s="36" t="n">
        <v>27.791</v>
      </c>
      <c r="N85" s="36" t="n">
        <v>7.86917909268065</v>
      </c>
      <c r="O85" s="36" t="n">
        <v>5.71395713131391</v>
      </c>
      <c r="P85" s="36" t="n">
        <v>0.00801664215376752</v>
      </c>
      <c r="Q85" s="31" t="n">
        <v>0.00637170897198713</v>
      </c>
      <c r="R85" s="31" t="n">
        <v>0</v>
      </c>
      <c r="S85" s="31" t="n">
        <v>0.0771276783175653</v>
      </c>
      <c r="T85" s="31" t="n">
        <v>0</v>
      </c>
      <c r="U85" s="31" t="n">
        <v>0</v>
      </c>
      <c r="V85" s="31" t="n">
        <v>0</v>
      </c>
      <c r="W85" s="31" t="n">
        <v>0</v>
      </c>
      <c r="X85" s="31" t="n">
        <v>0</v>
      </c>
      <c r="Y85" s="36" t="n">
        <v>2.21117681004959</v>
      </c>
      <c r="Z85" s="36" t="n">
        <v>2.48258894102277</v>
      </c>
      <c r="AA85" s="36" t="n">
        <v>0.639620282393237</v>
      </c>
      <c r="AB85" s="36" t="n">
        <v>0.0220447225209905</v>
      </c>
      <c r="AC85" s="36" t="n">
        <v>0.192694509704243</v>
      </c>
      <c r="AD85" s="31" t="n">
        <v>0.85206</v>
      </c>
      <c r="AE85" s="31" t="n">
        <v>0.797053</v>
      </c>
      <c r="AF85" s="31" t="n">
        <v>0.575821</v>
      </c>
      <c r="AG85" s="31" t="n">
        <v>0.700335</v>
      </c>
      <c r="AH85" s="31" t="n">
        <v>0.519462891908447</v>
      </c>
      <c r="AI85" s="31" t="n">
        <v>7.124</v>
      </c>
      <c r="AJ85" s="31" t="n">
        <v>14.448705</v>
      </c>
      <c r="AK85" s="31" t="n">
        <v>5.575</v>
      </c>
      <c r="AL85" s="31" t="n">
        <v>9.049235</v>
      </c>
      <c r="AM85" s="31" t="n">
        <v>4.676</v>
      </c>
      <c r="AN85" s="31" t="n">
        <v>11.04657</v>
      </c>
      <c r="AO85" s="31" t="n">
        <v>3.902</v>
      </c>
      <c r="AP85" s="31" t="n">
        <v>3.96106274170871</v>
      </c>
      <c r="AQ85" s="36" t="n">
        <v>0.112082803049726</v>
      </c>
      <c r="AR85" s="36" t="n">
        <v>0.036245599936847</v>
      </c>
      <c r="AS85" s="36" t="n">
        <v>0.0802867185896193</v>
      </c>
      <c r="AT85" s="36" t="n">
        <v>0.129280819437387</v>
      </c>
      <c r="AU85" s="31" t="n">
        <v>0.430478636104593</v>
      </c>
      <c r="AV85" s="36" t="n">
        <v>0.233445</v>
      </c>
      <c r="AW85" s="31" t="n">
        <v>0.354975</v>
      </c>
      <c r="AX85" s="31" t="n">
        <v>0.007877</v>
      </c>
      <c r="AY85" s="31" t="n">
        <v>0.0976310096655935</v>
      </c>
      <c r="AZ85" s="31" t="n">
        <v>0.024167</v>
      </c>
      <c r="BA85" s="33" t="n">
        <v>70.342</v>
      </c>
      <c r="BB85" s="33" t="n">
        <v>25.266</v>
      </c>
      <c r="BC85" s="33" t="n">
        <v>50.151</v>
      </c>
      <c r="BD85" s="33" t="n">
        <v>1</v>
      </c>
      <c r="BE85" s="33" t="n">
        <v>1</v>
      </c>
      <c r="BF85" s="33" t="n">
        <v>1</v>
      </c>
      <c r="BG85" s="33" t="n">
        <v>9.5</v>
      </c>
      <c r="BH85" s="33"/>
      <c r="BI85" s="29"/>
      <c r="BJ85" s="33" t="n">
        <v>1</v>
      </c>
      <c r="BK85" s="33"/>
      <c r="BL85" s="33" t="n">
        <v>0.035</v>
      </c>
      <c r="BM85" s="33" t="n">
        <v>1.665</v>
      </c>
      <c r="BN85" s="29" t="n">
        <v>26.331</v>
      </c>
      <c r="BO85" s="33" t="n">
        <v>0.446</v>
      </c>
      <c r="BP85" s="33" t="n">
        <v>0.038</v>
      </c>
      <c r="BQ85" s="29" t="n">
        <v>2024</v>
      </c>
      <c r="BR85" s="36" t="n">
        <v>24.27</v>
      </c>
      <c r="BS85" s="36" t="n">
        <v>0</v>
      </c>
      <c r="BT85" s="36" t="n">
        <v>14.91</v>
      </c>
      <c r="BU85" s="36" t="n">
        <v>0.57</v>
      </c>
      <c r="BV85" s="16" t="n">
        <f aca="false">F85*(1+N(H85)/100)*(1+N(I85)/100)^5</f>
        <v>111.294874206792</v>
      </c>
      <c r="BW85" s="16" t="n">
        <f aca="false">IF(N(G85)&gt;0,G85,F85)</f>
        <v>277.182</v>
      </c>
      <c r="BX85" s="12" t="n">
        <f aca="false">F85/BW85</f>
        <v>0.300484879970561</v>
      </c>
      <c r="BY85" s="13" t="n">
        <f aca="false">IF(ISNUMBER(K85),1,0)</f>
        <v>1</v>
      </c>
      <c r="BZ85" s="16" t="n">
        <f aca="false">IF(BY85=0,"",N(N85)+N(O85)+N(P85))</f>
        <v>13.5911528661483</v>
      </c>
      <c r="CA85" s="37" t="n">
        <f aca="false">IF(BY85=0,"",(N(Y85)*34.2+N(Z85)*38.6)/1000)</f>
        <v>0.171450180027175</v>
      </c>
      <c r="CB85" s="37" t="n">
        <f aca="false">IF(BY85=0,"",N(O85)*0.0036+N(R85)+N(V85)+(N(AA85)*25.3+N(AB85)*37)/1000)</f>
        <v>0.0375682935505556</v>
      </c>
      <c r="CC85" s="37" t="n">
        <f aca="false">IF(BY85=0,"",N(N85)*0.0036+N(Q85)+N(U85)+N(T85)+N(X85)+N(AC85)*38/1000)</f>
        <v>0.0420231450743987</v>
      </c>
      <c r="CD85" s="37" t="n">
        <f aca="false">IF(BY85=0,"",N(Q85)+N(R85)+N(S85)+N(T85)+N(U85)+N(V85)+N(W85)+N(X85)+(N(Y85)*34.2+N(Z85)*38.6+N(AA85)*25.3+N(AB85)*37+N(AC85)*38)/1000)</f>
        <v>0.279270006563314</v>
      </c>
      <c r="CE85" s="16" t="n">
        <f aca="false">IF(BY85=0,"",MAX(0,N(L85)-N(K85))+MAX(0,N(M85)-N(L85)))</f>
        <v>30.058</v>
      </c>
      <c r="CF85" s="16" t="n">
        <f aca="false">IF(BY85=0,"",N(Y85)*N(AD85)+N(Z85)*N(AE85)+N(AA85)*N(AF85)+N(AB85)*N(AG85)+N(AC85)*N(AH85)+N(U85)*N(AI85)+N(V85)*N(AJ85)+N(W85)*N(AK85)+N(X85)*N(AL85)+N(Q85)*N(AM85)+N(R85)*N(AN85)+N(S85)*N(AO85)+N(T85)*N(AP85))</f>
        <v>4.67739971656857</v>
      </c>
      <c r="CG85" s="16" t="n">
        <f aca="false">IF(AND(BY85=1,N(K85)&gt;0),K85,0)</f>
        <v>22.034</v>
      </c>
      <c r="CH85" s="16" t="n">
        <f aca="false">IF(CG85&gt;0,CF85*1000/CG85,"")</f>
        <v>212.281007378078</v>
      </c>
      <c r="CI85" s="16" t="n">
        <f aca="false">IF(BY85=0,"",N(AQ85)+p_road*(N(AR85)+N(AS85)+N(AT85)))</f>
        <v>0.112082803049726</v>
      </c>
      <c r="CJ85" s="16" t="n">
        <f aca="false">IF(CG85&gt;0,CI85*1000/CG85,"")</f>
        <v>5.08681143005018</v>
      </c>
      <c r="CK85" s="12" t="n">
        <f aca="false">IF(CH85="",1,MIN(p_idx_max,MAX(p_idx_min,CH85/p_fc_world)))</f>
        <v>1.3184554268702</v>
      </c>
      <c r="CL85" s="12" t="n">
        <f aca="false">IF(CJ85="",1,MIN(p_idx_max,MAX(p_idx_min,CJ85/p_cb_world)))</f>
        <v>0.25</v>
      </c>
      <c r="CM85" s="37" t="n">
        <f aca="false">p_b*(1-p_wb_idx+p_wb_idx*CK85)</f>
        <v>0.175354571773737</v>
      </c>
      <c r="CN85" s="37" t="n">
        <f aca="false">p_c*(1-p_wc_idx+p_wc_idx*CL85)</f>
        <v>0.03225</v>
      </c>
      <c r="CO85" s="28" t="n">
        <f aca="false">IF(N(BR85)&gt;0,(N(BS85)+N(BT85)+N(BU85))/BR85,"")</f>
        <v>0.637824474660074</v>
      </c>
      <c r="CP85" s="16" t="n">
        <f aca="false">N(BS85)+N(BT85)+N(BU85)</f>
        <v>15.48</v>
      </c>
      <c r="CQ85" s="28" t="n">
        <f aca="false">IF(CP85&gt;0,N(BS85)/CP85,"")</f>
        <v>0</v>
      </c>
      <c r="CR85" s="28" t="n">
        <f aca="false">IF(CP85&gt;0,N(BT85)/CP85,"")</f>
        <v>0.963178294573643</v>
      </c>
      <c r="CS85" s="28" t="n">
        <f aca="false">IF(CP85&gt;0,N(BU85)/CP85,"")</f>
        <v>0.0368217054263566</v>
      </c>
      <c r="CT85" s="7" t="n">
        <f aca="false">1000*(p_sh_pv*p_cf_pv/p_capex_pv+(1-p_sh_pv)*p_cf_wind/p_capex_wind)*8760</f>
        <v>2301.28856624319</v>
      </c>
      <c r="CU85" s="13" t="n">
        <f aca="false">IF(AND(ISNUMBER(CO85),ISNUMBER(CQ85),BY85=1),1,0)</f>
        <v>1</v>
      </c>
      <c r="CV85" s="16" t="n">
        <f aca="false">IF(CU85=0,"",CQ85*p_hr_coal*N(AK85)+CR85*p_hr_gas*N(AO85)+CS85*p_hr_oil*N(AH85)/p_gj_l_oil)</f>
        <v>33.3904918230979</v>
      </c>
      <c r="CW85" s="37" t="n">
        <f aca="false">IF(CU85=0,"",CQ85*p_hr_coal*p_ef_coal+CR85*p_hr_gas*p_ef_gas+CS85*p_hr_oil*p_ef_oil)</f>
        <v>0.43518226744186</v>
      </c>
      <c r="CX85" s="16" t="n">
        <f aca="false">IF(CU85=0,"",CQ85*p_hr_coal*N(AW85)+CR85*p_hr_gas*N(AX85)+CS85*p_hr_oil*N(AY85)/p_gj_l_oil)</f>
        <v>1.03480042795246</v>
      </c>
      <c r="CY85" s="37" t="n">
        <f aca="false">IF(CU85=0,"",CO85*CW85)</f>
        <v>0.277569901112485</v>
      </c>
      <c r="CZ85" s="37" t="n">
        <f aca="false">IF(CU85=0,"",CT85*CO85*CV85/1000/1000-p_om_re)</f>
        <v>0.0340111706300689</v>
      </c>
      <c r="DA85" s="37" t="n">
        <f aca="false">IF(CU85=0,"",CT85*CO85*CX85/1000/1000)</f>
        <v>0.00151889887130572</v>
      </c>
      <c r="DB85" s="37" t="n">
        <f aca="false">IF(CU85=0,"",CT85*CO85*CW85/1000)</f>
        <v>0.638768439763415</v>
      </c>
      <c r="DC85" s="13" t="n">
        <f aca="false">IF(AND(CU85=1,ISNUMBER(AD85),ISNUMBER(AV85)),1,0)</f>
        <v>1</v>
      </c>
      <c r="DD85" s="7" t="n">
        <f aca="false">IF(DC85=0,"",p_ev_km*p_ice_l/100*AD85-p_ev_km*p_ev_kwh*AV85+p_ev_km*p_ev_maint)</f>
        <v>508.266</v>
      </c>
      <c r="DE85" s="37" t="n">
        <f aca="false">IF(DC85=0,"",DD85/p_ev_prem)</f>
        <v>0.1016532</v>
      </c>
      <c r="DF85" s="37" t="n">
        <f aca="false">IF(DC85=0,"",p_ev_km*p_ice_l/100*N(AZ85)/p_ev_prem)</f>
        <v>0.005437575</v>
      </c>
      <c r="DG85" s="37" t="n">
        <f aca="false">IF(DC85=0,"",1000/p_ev_prem*(p_ev_km*p_ice_l/100*p_gj_l_gso*p_ef_gso-p_ev_km*p_ev_kwh/1000*CY85))</f>
        <v>0.383375753399258</v>
      </c>
      <c r="DH85" s="11" t="str">
        <f aca="false">IFERROR(IF(INDEX(Damodaran!$D:$D,MATCH(A85,Damodaran!$A:$A,0))="","",INDEX(Damodaran!$D:$D,MATCH(A85,Damodaran!$A:$A,0))),"")</f>
        <v/>
      </c>
      <c r="DI85" s="11" t="str">
        <f aca="false">IFERROR(IF(INDEX(Damodaran!$E:$E,MATCH(A85,Damodaran!$A:$A,0))="","",INDEX(Damodaran!$E:$E,MATCH(A85,Damodaran!$A:$A,0))),"")</f>
        <v/>
      </c>
      <c r="DJ85" s="11" t="str">
        <f aca="false">IFERROR(IF(INDEX(Damodaran!$G:$G,MATCH(A85,Damodaran!$A:$A,0))="","",INDEX(Damodaran!$G:$G,MATCH(A85,Damodaran!$A:$A,0))),"")</f>
        <v/>
      </c>
      <c r="DK85" s="11" t="n">
        <f aca="false">IF(ISNUMBER(BG85),(1+BG85/100)*(1+p_infl)-1,"")</f>
        <v>0.1169</v>
      </c>
      <c r="DL85" s="11" t="str">
        <f aca="false">IF(ISNUMBER(BH85),BH85/100,"")</f>
        <v/>
      </c>
      <c r="DM85" s="11" t="n">
        <f aca="false">IF(COUNT(DK85,DL85)=0,"",AVERAGE(DK85,DL85))</f>
        <v>0.1169</v>
      </c>
      <c r="DN85" s="11" t="str">
        <f aca="false">IF(OR(DH85="",DI85=""),"",p_dv*(p_rf+DH85)*(1-IF(DJ85="",p_tax_def,DJ85))+(1-p_dv)*(p_rf+p_beta*p_erp+p_lambda*DI85))</f>
        <v/>
      </c>
      <c r="DO85" s="13" t="n">
        <f aca="false">IF(AND(ISNUMBER(DM85),ISNUMBER(DN85)),1,0)</f>
        <v>0</v>
      </c>
      <c r="DP85" s="11" t="n">
        <f aca="false">IF(DO85=1,DM85,0)</f>
        <v>0</v>
      </c>
      <c r="DQ85" s="11" t="n">
        <f aca="false">IF(DO85=1,DN85,0)</f>
        <v>0</v>
      </c>
      <c r="DR85" s="11" t="str">
        <f aca="false">IF(DN85="","",DN85+p_shift)</f>
        <v/>
      </c>
      <c r="DS85" s="11" t="n">
        <f aca="false">IF(E85="AE",p_r_ae,IF(E85="China",p_r_chn,p_r_emdc))</f>
        <v>0.105</v>
      </c>
      <c r="DT85" s="11" t="n">
        <f aca="false">IF(E85="AE",p_rh_ae,IF(E85="China",p_rh_chn,p_rh_emdc))</f>
        <v>0.15</v>
      </c>
      <c r="DU85" s="11" t="n">
        <f aca="false">IF(AND(p_use_obs=1,ISNUMBER(DM85)),DM85,IF(AND(p_use_dam=1,ISNUMBER(DR85)),DR85,DS85))</f>
        <v>0.1169</v>
      </c>
      <c r="DV85" s="6" t="str">
        <f aca="false">IF(AND(p_use_obs=1,ISNUMBER(DM85)),"Observed (IRENA/Steffen)",IF(AND(p_use_dam=1,ISNUMBER(DR85)),"Damodaran (eq. 5)","Group default (IHLEG)"))</f>
        <v>Observed (IRENA/Steffen)</v>
      </c>
      <c r="DW85" s="11" t="n">
        <f aca="false">IF(p_basis=1,(1+DU85)/(1+p_infl)-1,DU85)</f>
        <v>0.1169</v>
      </c>
      <c r="DX85" s="11" t="n">
        <f aca="false">DW85+(DT85-DS85)</f>
        <v>0.1619</v>
      </c>
      <c r="DY85" s="28" t="n">
        <f aca="false">IF(AND(p_use_pefa=1,ISNUMBER(BD85)),p_gap_lic-(BD85-1)/3*(p_gap_lic-p_gap_ae),IF(E85="AE",p_gap_ae,IF(D85="Low income",p_gap_lic,p_gap_em)))*(1-p_reform*p_reform_close)</f>
        <v>0.4</v>
      </c>
      <c r="DZ85" s="6" t="str">
        <f aca="false">IF(AND(p_use_pefa=1,ISNUMBER(BD85)),"PEFA PI-11","Income-group default (IMF 2015)")</f>
        <v>PEFA PI-11</v>
      </c>
      <c r="EA85" s="28" t="n">
        <f aca="false">IF(E85="AE",p_ps_ae,IF(E85="China",p_ps_chn,p_ps_emdc))</f>
        <v>0.4</v>
      </c>
      <c r="EB85" s="37" t="n">
        <f aca="false">(1-EA85)+EA85/(1-DY85)</f>
        <v>1.26666666666667</v>
      </c>
      <c r="EC85" s="16" t="n">
        <f aca="false">Results_Country!F85</f>
        <v>4.94441615756689</v>
      </c>
      <c r="ED85" s="16" t="n">
        <f aca="false">IF(CH85="",0,CH85*EC85)</f>
        <v>1049.60564282474</v>
      </c>
      <c r="EE85" s="16" t="n">
        <f aca="false">IF(CJ85="",0,CJ85*EC85)</f>
        <v>25.1513126252361</v>
      </c>
      <c r="EF85" s="16" t="n">
        <f aca="false">IF(CH85="",0,EC85)</f>
        <v>4.94441615756689</v>
      </c>
    </row>
    <row r="86" customFormat="false" ht="15" hidden="false" customHeight="false" outlineLevel="0" collapsed="false">
      <c r="A86" s="35" t="s">
        <v>929</v>
      </c>
      <c r="B86" s="35" t="s">
        <v>930</v>
      </c>
      <c r="C86" s="35" t="s">
        <v>784</v>
      </c>
      <c r="D86" s="35" t="s">
        <v>760</v>
      </c>
      <c r="E86" s="35" t="s">
        <v>31</v>
      </c>
      <c r="F86" s="36" t="n">
        <v>82.323</v>
      </c>
      <c r="G86" s="36" t="n">
        <v>123.938</v>
      </c>
      <c r="H86" s="33" t="n">
        <v>1.785</v>
      </c>
      <c r="I86" s="33" t="n">
        <v>1.8</v>
      </c>
      <c r="J86" s="36" t="n">
        <v>3.386587</v>
      </c>
      <c r="K86" s="36" t="n">
        <v>8.602</v>
      </c>
      <c r="L86" s="36" t="n">
        <v>42.335</v>
      </c>
      <c r="M86" s="36" t="n">
        <v>40.623</v>
      </c>
      <c r="N86" s="36" t="n">
        <v>6.83977796649866</v>
      </c>
      <c r="O86" s="36" t="n">
        <v>4.39149053662272</v>
      </c>
      <c r="P86" s="36" t="n">
        <v>0</v>
      </c>
      <c r="Q86" s="31" t="n">
        <v>0.00106862073210259</v>
      </c>
      <c r="R86" s="31" t="n">
        <v>0.00167308570725458</v>
      </c>
      <c r="S86" s="31" t="n">
        <v>0</v>
      </c>
      <c r="T86" s="31" t="n">
        <v>0</v>
      </c>
      <c r="U86" s="31" t="n">
        <v>4.35763657979576E-006</v>
      </c>
      <c r="V86" s="31" t="n">
        <v>0</v>
      </c>
      <c r="W86" s="31" t="n">
        <v>0</v>
      </c>
      <c r="X86" s="31" t="n">
        <v>0</v>
      </c>
      <c r="Y86" s="36" t="n">
        <v>0.727244067535428</v>
      </c>
      <c r="Z86" s="36" t="n">
        <v>0.995681599517969</v>
      </c>
      <c r="AA86" s="36" t="n">
        <v>0.228855921233986</v>
      </c>
      <c r="AB86" s="36" t="n">
        <v>0.00698659138123016</v>
      </c>
      <c r="AC86" s="36" t="n">
        <v>0.800568372885581</v>
      </c>
      <c r="AD86" s="31" t="n">
        <v>0.921175</v>
      </c>
      <c r="AE86" s="31" t="n">
        <v>0.675414</v>
      </c>
      <c r="AF86" s="31" t="n">
        <v>0.629707</v>
      </c>
      <c r="AG86" s="31" t="n">
        <v>0.69296</v>
      </c>
      <c r="AH86" s="31" t="n">
        <v>0.521683431829826</v>
      </c>
      <c r="AI86" s="31" t="n">
        <v>6.149</v>
      </c>
      <c r="AJ86" s="31" t="n">
        <v>12.70996</v>
      </c>
      <c r="AK86" s="31" t="n">
        <v>4.659</v>
      </c>
      <c r="AL86" s="31" t="n">
        <v>6.149</v>
      </c>
      <c r="AM86" s="31" t="n">
        <v>8.176</v>
      </c>
      <c r="AN86" s="31" t="n">
        <v>19.66396</v>
      </c>
      <c r="AO86" s="31" t="n">
        <v>6.853</v>
      </c>
      <c r="AP86" s="31" t="n">
        <v>15.1863572744348</v>
      </c>
      <c r="AQ86" s="36" t="n">
        <v>0.308755660445676</v>
      </c>
      <c r="AR86" s="36" t="n">
        <v>0.151008537721506</v>
      </c>
      <c r="AS86" s="36" t="n">
        <v>0.104717999930307</v>
      </c>
      <c r="AT86" s="36" t="n">
        <v>0.149964144777192</v>
      </c>
      <c r="AU86" s="31" t="n">
        <v>0.860702107899232</v>
      </c>
      <c r="AV86" s="36" t="n">
        <v>0.216965</v>
      </c>
      <c r="AW86" s="31" t="n">
        <v>0.77696</v>
      </c>
      <c r="AX86" s="31" t="n">
        <v>0.022155</v>
      </c>
      <c r="AY86" s="31" t="n">
        <v>0.118196322694968</v>
      </c>
      <c r="AZ86" s="31" t="n">
        <v>0.017731</v>
      </c>
      <c r="BA86" s="33" t="n">
        <v>67.553</v>
      </c>
      <c r="BB86" s="33" t="n">
        <v>8.058</v>
      </c>
      <c r="BC86" s="33" t="n">
        <v>150.73</v>
      </c>
      <c r="BD86" s="33"/>
      <c r="BE86" s="33"/>
      <c r="BF86" s="33" t="n">
        <v>0</v>
      </c>
      <c r="BG86" s="33"/>
      <c r="BH86" s="33" t="n">
        <v>4.2</v>
      </c>
      <c r="BI86" s="29" t="n">
        <v>2020</v>
      </c>
      <c r="BJ86" s="33" t="n">
        <v>1</v>
      </c>
      <c r="BK86" s="33"/>
      <c r="BL86" s="33"/>
      <c r="BM86" s="33"/>
      <c r="BN86" s="29"/>
      <c r="BO86" s="33"/>
      <c r="BP86" s="33" t="n">
        <v>0.185</v>
      </c>
      <c r="BQ86" s="29" t="n">
        <v>2025</v>
      </c>
      <c r="BR86" s="36" t="n">
        <v>11.94</v>
      </c>
      <c r="BS86" s="36" t="n">
        <v>0</v>
      </c>
      <c r="BT86" s="36" t="n">
        <v>0</v>
      </c>
      <c r="BU86" s="36" t="n">
        <v>0.26</v>
      </c>
      <c r="BV86" s="16" t="n">
        <f aca="false">F86*(1+N(H86)/100)*(1+N(I86)/100)^5</f>
        <v>91.6102059537938</v>
      </c>
      <c r="BW86" s="16" t="n">
        <f aca="false">IF(N(G86)&gt;0,G86,F86)</f>
        <v>123.938</v>
      </c>
      <c r="BX86" s="12" t="n">
        <f aca="false">F86/BW86</f>
        <v>0.664227274927786</v>
      </c>
      <c r="BY86" s="13" t="n">
        <f aca="false">IF(ISNUMBER(K86),1,0)</f>
        <v>1</v>
      </c>
      <c r="BZ86" s="16" t="n">
        <f aca="false">IF(BY86=0,"",N(N86)+N(O86)+N(P86))</f>
        <v>11.2312685031214</v>
      </c>
      <c r="CA86" s="37" t="n">
        <f aca="false">IF(BY86=0,"",(N(Y86)*34.2+N(Z86)*38.6)/1000)</f>
        <v>0.0633050568511052</v>
      </c>
      <c r="CB86" s="37" t="n">
        <f aca="false">IF(BY86=0,"",N(O86)*0.0036+N(R86)+N(V86)+(N(AA86)*25.3+N(AB86)*37)/1000)</f>
        <v>0.0235310103274217</v>
      </c>
      <c r="CC86" s="37" t="n">
        <f aca="false">IF(BY86=0,"",N(N86)*0.0036+N(Q86)+N(U86)+N(T86)+N(X86)+N(AC86)*38/1000)</f>
        <v>0.0561177772177297</v>
      </c>
      <c r="CD86" s="37" t="n">
        <f aca="false">IF(BY86=0,"",N(Q86)+N(R86)+N(S86)+N(T86)+N(U86)+N(V86)+N(W86)+N(X86)+(N(Y86)*34.2+N(Z86)*38.6+N(AA86)*25.3+N(AB86)*37+N(AC86)*38)/1000)</f>
        <v>0.10252127778502</v>
      </c>
      <c r="CE86" s="16" t="n">
        <f aca="false">IF(BY86=0,"",MAX(0,N(L86)-N(K86))+MAX(0,N(M86)-N(L86)))</f>
        <v>33.733</v>
      </c>
      <c r="CF86" s="16" t="n">
        <f aca="false">IF(BY86=0,"",N(Y86)*N(AD86)+N(Z86)*N(AE86)+N(AA86)*N(AF86)+N(AB86)*N(AG86)+N(AC86)*N(AH86)+N(U86)*N(AI86)+N(V86)*N(AJ86)+N(W86)*N(AK86)+N(X86)*N(AL86)+N(Q86)*N(AM86)+N(R86)*N(AN86)+N(S86)*N(AO86)+N(T86)*N(AP86))</f>
        <v>1.9506765345432</v>
      </c>
      <c r="CG86" s="16" t="n">
        <f aca="false">IF(AND(BY86=1,N(K86)&gt;0),K86,0)</f>
        <v>8.602</v>
      </c>
      <c r="CH86" s="16" t="n">
        <f aca="false">IF(CG86&gt;0,CF86*1000/CG86,"")</f>
        <v>226.77011561767</v>
      </c>
      <c r="CI86" s="16" t="n">
        <f aca="false">IF(BY86=0,"",N(AQ86)+p_road*(N(AR86)+N(AS86)+N(AT86)))</f>
        <v>0.308755660445676</v>
      </c>
      <c r="CJ86" s="16" t="n">
        <f aca="false">IF(CG86&gt;0,CI86*1000/CG86,"")</f>
        <v>35.8934736625989</v>
      </c>
      <c r="CK86" s="12" t="n">
        <f aca="false">IF(CH86="",1,MIN(p_idx_max,MAX(p_idx_min,CH86/p_fc_world)))</f>
        <v>1.40844578269595</v>
      </c>
      <c r="CL86" s="12" t="n">
        <f aca="false">IF(CJ86="",1,MIN(p_idx_max,MAX(p_idx_min,CJ86/p_cb_world)))</f>
        <v>0.682504872629918</v>
      </c>
      <c r="CM86" s="37" t="n">
        <f aca="false">p_b*(1-p_wb_idx+p_wb_idx*CK86)</f>
        <v>0.187323289098561</v>
      </c>
      <c r="CN86" s="37" t="n">
        <f aca="false">p_c*(1-p_wc_idx+p_wc_idx*CL86)</f>
        <v>0.0880431285692595</v>
      </c>
      <c r="CO86" s="28" t="n">
        <f aca="false">IF(N(BR86)&gt;0,(N(BS86)+N(BT86)+N(BU86))/BR86,"")</f>
        <v>0.0217755443886097</v>
      </c>
      <c r="CP86" s="16" t="n">
        <f aca="false">N(BS86)+N(BT86)+N(BU86)</f>
        <v>0.26</v>
      </c>
      <c r="CQ86" s="28" t="n">
        <f aca="false">IF(CP86&gt;0,N(BS86)/CP86,"")</f>
        <v>0</v>
      </c>
      <c r="CR86" s="28" t="n">
        <f aca="false">IF(CP86&gt;0,N(BT86)/CP86,"")</f>
        <v>0</v>
      </c>
      <c r="CS86" s="28" t="n">
        <f aca="false">IF(CP86&gt;0,N(BU86)/CP86,"")</f>
        <v>1</v>
      </c>
      <c r="CT86" s="7" t="n">
        <f aca="false">1000*(p_sh_pv*p_cf_pv/p_capex_pv+(1-p_sh_pv)*p_cf_wind/p_capex_wind)*8760</f>
        <v>2301.28856624319</v>
      </c>
      <c r="CU86" s="13" t="n">
        <f aca="false">IF(AND(ISNUMBER(CO86),ISNUMBER(CQ86),BY86=1),1,0)</f>
        <v>1</v>
      </c>
      <c r="CV86" s="16" t="n">
        <f aca="false">IF(CU86=0,"",CQ86*p_hr_coal*N(AK86)+CR86*p_hr_gas*N(AO86)+CS86*p_hr_oil*N(AH86)/p_gj_l_oil)</f>
        <v>141.908705549564</v>
      </c>
      <c r="CW86" s="37" t="n">
        <f aca="false">IF(CU86=0,"",CQ86*p_hr_coal*p_ef_coal+CR86*p_hr_gas*p_ef_gas+CS86*p_hr_oil*p_ef_oil)</f>
        <v>0.8127</v>
      </c>
      <c r="CX86" s="16" t="n">
        <f aca="false">IF(CU86=0,"",CQ86*p_hr_coal*N(AW86)+CR86*p_hr_gas*N(AX86)+CS86*p_hr_oil*N(AY86)/p_gj_l_oil)</f>
        <v>32.1518494377504</v>
      </c>
      <c r="CY86" s="37" t="n">
        <f aca="false">IF(CU86=0,"",CO86*CW86)</f>
        <v>0.0176969849246231</v>
      </c>
      <c r="CZ86" s="37" t="n">
        <f aca="false">IF(CU86=0,"",CT86*CO86*CV86/1000/1000-p_om_re)</f>
        <v>-0.00788869772209282</v>
      </c>
      <c r="DA86" s="37" t="n">
        <f aca="false">IF(CU86=0,"",CT86*CO86*CX86/1000/1000)</f>
        <v>0.00161118741278171</v>
      </c>
      <c r="DB86" s="37" t="n">
        <f aca="false">IF(CU86=0,"",CT86*CO86*CW86/1000)</f>
        <v>0.0407258690640134</v>
      </c>
      <c r="DC86" s="13" t="n">
        <f aca="false">IF(AND(CU86=1,ISNUMBER(AD86),ISNUMBER(AV86)),1,0)</f>
        <v>1</v>
      </c>
      <c r="DD86" s="7" t="n">
        <f aca="false">IF(DC86=0,"",p_ev_km*p_ice_l/100*AD86-p_ev_km*p_ev_kwh*AV86+p_ev_km*p_ev_maint)</f>
        <v>630.516375</v>
      </c>
      <c r="DE86" s="37" t="n">
        <f aca="false">IF(DC86=0,"",DD86/p_ev_prem)</f>
        <v>0.126103275</v>
      </c>
      <c r="DF86" s="37" t="n">
        <f aca="false">IF(DC86=0,"",p_ev_km*p_ice_l/100*N(AZ86)/p_ev_prem)</f>
        <v>0.003989475</v>
      </c>
      <c r="DG86" s="37" t="n">
        <f aca="false">IF(DC86=0,"",1000/p_ev_prem*(p_ev_km*p_ice_l/100*p_gj_l_gso*p_ef_gso-p_ev_km*p_ev_kwh/1000*CY86))</f>
        <v>0.523707128140704</v>
      </c>
      <c r="DH86" s="11" t="str">
        <f aca="false">IFERROR(IF(INDEX(Damodaran!$D:$D,MATCH(A86,Damodaran!$A:$A,0))="","",INDEX(Damodaran!$D:$D,MATCH(A86,Damodaran!$A:$A,0))),"")</f>
        <v/>
      </c>
      <c r="DI86" s="11" t="str">
        <f aca="false">IFERROR(IF(INDEX(Damodaran!$E:$E,MATCH(A86,Damodaran!$A:$A,0))="","",INDEX(Damodaran!$E:$E,MATCH(A86,Damodaran!$A:$A,0))),"")</f>
        <v/>
      </c>
      <c r="DJ86" s="11" t="str">
        <f aca="false">IFERROR(IF(INDEX(Damodaran!$G:$G,MATCH(A86,Damodaran!$A:$A,0))="","",INDEX(Damodaran!$G:$G,MATCH(A86,Damodaran!$A:$A,0))),"")</f>
        <v/>
      </c>
      <c r="DK86" s="11" t="str">
        <f aca="false">IF(ISNUMBER(BG86),(1+BG86/100)*(1+p_infl)-1,"")</f>
        <v/>
      </c>
      <c r="DL86" s="11" t="n">
        <f aca="false">IF(ISNUMBER(BH86),BH86/100,"")</f>
        <v>0.042</v>
      </c>
      <c r="DM86" s="11" t="n">
        <f aca="false">IF(COUNT(DK86,DL86)=0,"",AVERAGE(DK86,DL86))</f>
        <v>0.042</v>
      </c>
      <c r="DN86" s="11" t="str">
        <f aca="false">IF(OR(DH86="",DI86=""),"",p_dv*(p_rf+DH86)*(1-IF(DJ86="",p_tax_def,DJ86))+(1-p_dv)*(p_rf+p_beta*p_erp+p_lambda*DI86))</f>
        <v/>
      </c>
      <c r="DO86" s="13" t="n">
        <f aca="false">IF(AND(ISNUMBER(DM86),ISNUMBER(DN86)),1,0)</f>
        <v>0</v>
      </c>
      <c r="DP86" s="11" t="n">
        <f aca="false">IF(DO86=1,DM86,0)</f>
        <v>0</v>
      </c>
      <c r="DQ86" s="11" t="n">
        <f aca="false">IF(DO86=1,DN86,0)</f>
        <v>0</v>
      </c>
      <c r="DR86" s="11" t="str">
        <f aca="false">IF(DN86="","",DN86+p_shift)</f>
        <v/>
      </c>
      <c r="DS86" s="11" t="n">
        <f aca="false">IF(E86="AE",p_r_ae,IF(E86="China",p_r_chn,p_r_emdc))</f>
        <v>0.105</v>
      </c>
      <c r="DT86" s="11" t="n">
        <f aca="false">IF(E86="AE",p_rh_ae,IF(E86="China",p_rh_chn,p_rh_emdc))</f>
        <v>0.15</v>
      </c>
      <c r="DU86" s="11" t="n">
        <f aca="false">IF(AND(p_use_obs=1,ISNUMBER(DM86)),DM86,IF(AND(p_use_dam=1,ISNUMBER(DR86)),DR86,DS86))</f>
        <v>0.042</v>
      </c>
      <c r="DV86" s="6" t="str">
        <f aca="false">IF(AND(p_use_obs=1,ISNUMBER(DM86)),"Observed (IRENA/Steffen)",IF(AND(p_use_dam=1,ISNUMBER(DR86)),"Damodaran (eq. 5)","Group default (IHLEG)"))</f>
        <v>Observed (IRENA/Steffen)</v>
      </c>
      <c r="DW86" s="11" t="n">
        <f aca="false">IF(p_basis=1,(1+DU86)/(1+p_infl)-1,DU86)</f>
        <v>0.042</v>
      </c>
      <c r="DX86" s="11" t="n">
        <f aca="false">DW86+(DT86-DS86)</f>
        <v>0.087</v>
      </c>
      <c r="DY86" s="28" t="n">
        <f aca="false">IF(AND(p_use_pefa=1,ISNUMBER(BD86)),p_gap_lic-(BD86-1)/3*(p_gap_lic-p_gap_ae),IF(E86="AE",p_gap_ae,IF(D86="Low income",p_gap_lic,p_gap_em)))*(1-p_reform*p_reform_close)</f>
        <v>0.27</v>
      </c>
      <c r="DZ86" s="6" t="str">
        <f aca="false">IF(AND(p_use_pefa=1,ISNUMBER(BD86)),"PEFA PI-11","Income-group default (IMF 2015)")</f>
        <v>Income-group default (IMF 2015)</v>
      </c>
      <c r="EA86" s="28" t="n">
        <f aca="false">IF(E86="AE",p_ps_ae,IF(E86="China",p_ps_chn,p_ps_emdc))</f>
        <v>0.4</v>
      </c>
      <c r="EB86" s="37" t="n">
        <f aca="false">(1-EA86)+EA86/(1-DY86)</f>
        <v>1.14794520547945</v>
      </c>
      <c r="EC86" s="16" t="n">
        <f aca="false">Results_Country!F86</f>
        <v>4.09115771155463</v>
      </c>
      <c r="ED86" s="16" t="n">
        <f aca="false">IF(CH86="",0,CH86*EC86)</f>
        <v>927.752307259366</v>
      </c>
      <c r="EE86" s="16" t="n">
        <f aca="false">IF(CJ86="",0,CJ86*EC86)</f>
        <v>146.845861569225</v>
      </c>
      <c r="EF86" s="16" t="n">
        <f aca="false">IF(CH86="",0,EC86)</f>
        <v>4.09115771155463</v>
      </c>
    </row>
    <row r="87" customFormat="false" ht="15" hidden="false" customHeight="false" outlineLevel="0" collapsed="false">
      <c r="A87" s="35" t="s">
        <v>931</v>
      </c>
      <c r="B87" s="35" t="s">
        <v>932</v>
      </c>
      <c r="C87" s="35" t="s">
        <v>847</v>
      </c>
      <c r="D87" s="35" t="s">
        <v>771</v>
      </c>
      <c r="E87" s="35" t="s">
        <v>31</v>
      </c>
      <c r="F87" s="36" t="n">
        <v>79.236</v>
      </c>
      <c r="G87" s="36" t="n">
        <v>270.439</v>
      </c>
      <c r="H87" s="33" t="n">
        <v>5.876</v>
      </c>
      <c r="I87" s="33" t="n">
        <v>5.94</v>
      </c>
      <c r="J87" s="36" t="n">
        <v>68.560157</v>
      </c>
      <c r="K87" s="36" t="n">
        <v>17.591</v>
      </c>
      <c r="L87" s="36" t="n">
        <v>94.854</v>
      </c>
      <c r="M87" s="36" t="n">
        <v>159.385</v>
      </c>
      <c r="N87" s="36" t="n">
        <v>4.85717291341695</v>
      </c>
      <c r="O87" s="36" t="n">
        <v>3.88681173523032</v>
      </c>
      <c r="P87" s="36" t="n">
        <v>0.124762401147865</v>
      </c>
      <c r="Q87" s="31" t="n">
        <v>0.014530461022206</v>
      </c>
      <c r="R87" s="31" t="n">
        <v>0.000967672192495247</v>
      </c>
      <c r="S87" s="31" t="n">
        <v>0.0523006422879568</v>
      </c>
      <c r="T87" s="31" t="n">
        <v>0</v>
      </c>
      <c r="U87" s="31" t="n">
        <v>0.016495359327367</v>
      </c>
      <c r="V87" s="31" t="n">
        <v>0</v>
      </c>
      <c r="W87" s="31" t="n">
        <v>0</v>
      </c>
      <c r="X87" s="31" t="n">
        <v>0</v>
      </c>
      <c r="Y87" s="36" t="n">
        <v>1.61572177857732</v>
      </c>
      <c r="Z87" s="36" t="n">
        <v>2.49629130726753</v>
      </c>
      <c r="AA87" s="36" t="n">
        <v>0.481076190066829</v>
      </c>
      <c r="AB87" s="36" t="n">
        <v>0.0868103360668002</v>
      </c>
      <c r="AC87" s="36" t="n">
        <v>0.0287620936044601</v>
      </c>
      <c r="AD87" s="31" t="n">
        <v>0.85432</v>
      </c>
      <c r="AE87" s="31" t="n">
        <v>0.806684</v>
      </c>
      <c r="AF87" s="31" t="n">
        <v>0.60534</v>
      </c>
      <c r="AG87" s="31" t="n">
        <v>0.69738</v>
      </c>
      <c r="AH87" s="31" t="n">
        <v>0.519462891908447</v>
      </c>
      <c r="AI87" s="31" t="n">
        <v>3.373</v>
      </c>
      <c r="AJ87" s="31" t="n">
        <v>6.32244</v>
      </c>
      <c r="AK87" s="31" t="n">
        <v>2.049</v>
      </c>
      <c r="AL87" s="31" t="n">
        <v>3.373</v>
      </c>
      <c r="AM87" s="31" t="n">
        <v>3.084</v>
      </c>
      <c r="AN87" s="31" t="n">
        <v>8.32372</v>
      </c>
      <c r="AO87" s="31" t="n">
        <v>2.422</v>
      </c>
      <c r="AP87" s="31" t="n">
        <v>2.6481116873415</v>
      </c>
      <c r="AQ87" s="36" t="n">
        <v>0.0135692903512424</v>
      </c>
      <c r="AR87" s="36" t="n">
        <v>0.00895551437191742</v>
      </c>
      <c r="AS87" s="36" t="n">
        <v>0.0245563864654273</v>
      </c>
      <c r="AT87" s="36" t="n">
        <v>0.104397103066322</v>
      </c>
      <c r="AU87" s="31" t="n">
        <v>0.454104095274594</v>
      </c>
      <c r="AV87" s="36" t="n">
        <v>0.063484</v>
      </c>
      <c r="AW87" s="31" t="n">
        <v>0.032371</v>
      </c>
      <c r="AX87" s="31" t="n">
        <v>0.002346</v>
      </c>
      <c r="AY87" s="31" t="n">
        <v>0.020698004667987</v>
      </c>
      <c r="AZ87" s="31" t="n">
        <v>0.004225</v>
      </c>
      <c r="BA87" s="33" t="n">
        <v>49.86</v>
      </c>
      <c r="BB87" s="33" t="n">
        <v>14.591</v>
      </c>
      <c r="BC87" s="33" t="n">
        <v>87.952</v>
      </c>
      <c r="BD87" s="33" t="n">
        <v>1.5</v>
      </c>
      <c r="BE87" s="33" t="n">
        <v>2</v>
      </c>
      <c r="BF87" s="33" t="n">
        <v>1</v>
      </c>
      <c r="BG87" s="33"/>
      <c r="BH87" s="33"/>
      <c r="BI87" s="29"/>
      <c r="BJ87" s="33"/>
      <c r="BK87" s="33"/>
      <c r="BL87" s="33" t="n">
        <v>3.017</v>
      </c>
      <c r="BM87" s="33" t="n">
        <v>7.03</v>
      </c>
      <c r="BN87" s="29" t="n">
        <v>22.479</v>
      </c>
      <c r="BO87" s="33" t="n">
        <v>1.428</v>
      </c>
      <c r="BP87" s="33" t="n">
        <v>0.125</v>
      </c>
      <c r="BQ87" s="29" t="n">
        <v>2024</v>
      </c>
      <c r="BR87" s="36" t="n">
        <v>8.84</v>
      </c>
      <c r="BS87" s="36" t="n">
        <v>0</v>
      </c>
      <c r="BT87" s="36" t="n">
        <v>5.55</v>
      </c>
      <c r="BU87" s="36" t="n">
        <v>0.38</v>
      </c>
      <c r="BV87" s="16" t="n">
        <f aca="false">F87*(1+N(H87)/100)*(1+N(I87)/100)^5</f>
        <v>111.948920878512</v>
      </c>
      <c r="BW87" s="16" t="n">
        <f aca="false">IF(N(G87)&gt;0,G87,F87)</f>
        <v>270.439</v>
      </c>
      <c r="BX87" s="12" t="n">
        <f aca="false">F87/BW87</f>
        <v>0.292990286164348</v>
      </c>
      <c r="BY87" s="13" t="n">
        <f aca="false">IF(ISNUMBER(K87),1,0)</f>
        <v>1</v>
      </c>
      <c r="BZ87" s="16" t="n">
        <f aca="false">IF(BY87=0,"",N(N87)+N(O87)+N(P87))</f>
        <v>8.86874704979513</v>
      </c>
      <c r="CA87" s="37" t="n">
        <f aca="false">IF(BY87=0,"",(N(Y87)*34.2+N(Z87)*38.6)/1000)</f>
        <v>0.151614529287871</v>
      </c>
      <c r="CB87" s="37" t="n">
        <f aca="false">IF(BY87=0,"",N(O87)*0.0036+N(R87)+N(V87)+(N(AA87)*25.3+N(AB87)*37)/1000)</f>
        <v>0.0303434044824868</v>
      </c>
      <c r="CC87" s="37" t="n">
        <f aca="false">IF(BY87=0,"",N(N87)*0.0036+N(Q87)+N(U87)+N(T87)+N(X87)+N(AC87)*38/1000)</f>
        <v>0.0496046023948436</v>
      </c>
      <c r="CD87" s="37" t="n">
        <f aca="false">IF(BY87=0,"",N(Q87)+N(R87)+N(S87)+N(T87)+N(U87)+N(V87)+N(W87)+N(X87)+(N(Y87)*34.2+N(Z87)*38.6+N(AA87)*25.3+N(AB87)*37+N(AC87)*38)/1000)</f>
        <v>0.252384833718028</v>
      </c>
      <c r="CE87" s="16" t="n">
        <f aca="false">IF(BY87=0,"",MAX(0,N(L87)-N(K87))+MAX(0,N(M87)-N(L87)))</f>
        <v>141.794</v>
      </c>
      <c r="CF87" s="16" t="n">
        <f aca="false">IF(BY87=0,"",N(Y87)*N(AD87)+N(Z87)*N(AE87)+N(AA87)*N(AF87)+N(AB87)*N(AG87)+N(AC87)*N(AH87)+N(U87)*N(AI87)+N(V87)*N(AJ87)+N(W87)*N(AK87)+N(X87)*N(AL87)+N(Q87)*N(AM87)+N(R87)*N(AN87)+N(S87)*N(AO87)+N(T87)*N(AP87))</f>
        <v>3.99593455697565</v>
      </c>
      <c r="CG87" s="16" t="n">
        <f aca="false">IF(AND(BY87=1,N(K87)&gt;0),K87,0)</f>
        <v>17.591</v>
      </c>
      <c r="CH87" s="16" t="n">
        <f aca="false">IF(CG87&gt;0,CF87*1000/CG87,"")</f>
        <v>227.157896479771</v>
      </c>
      <c r="CI87" s="16" t="n">
        <f aca="false">IF(BY87=0,"",N(AQ87)+p_road*(N(AR87)+N(AS87)+N(AT87)))</f>
        <v>0.0135692903512424</v>
      </c>
      <c r="CJ87" s="16" t="n">
        <f aca="false">IF(CG87&gt;0,CI87*1000/CG87,"")</f>
        <v>0.771376860396927</v>
      </c>
      <c r="CK87" s="12" t="n">
        <f aca="false">IF(CH87="",1,MIN(p_idx_max,MAX(p_idx_min,CH87/p_fc_world)))</f>
        <v>1.4108542496068</v>
      </c>
      <c r="CL87" s="12" t="n">
        <f aca="false">IF(CJ87="",1,MIN(p_idx_max,MAX(p_idx_min,CJ87/p_cb_world)))</f>
        <v>0.25</v>
      </c>
      <c r="CM87" s="37" t="n">
        <f aca="false">p_b*(1-p_wb_idx+p_wb_idx*CK87)</f>
        <v>0.187643615197705</v>
      </c>
      <c r="CN87" s="37" t="n">
        <f aca="false">p_c*(1-p_wc_idx+p_wc_idx*CL87)</f>
        <v>0.03225</v>
      </c>
      <c r="CO87" s="28" t="n">
        <f aca="false">IF(N(BR87)&gt;0,(N(BS87)+N(BT87)+N(BU87))/BR87,"")</f>
        <v>0.670814479638009</v>
      </c>
      <c r="CP87" s="16" t="n">
        <f aca="false">N(BS87)+N(BT87)+N(BU87)</f>
        <v>5.93</v>
      </c>
      <c r="CQ87" s="28" t="n">
        <f aca="false">IF(CP87&gt;0,N(BS87)/CP87,"")</f>
        <v>0</v>
      </c>
      <c r="CR87" s="28" t="n">
        <f aca="false">IF(CP87&gt;0,N(BT87)/CP87,"")</f>
        <v>0.935919055649241</v>
      </c>
      <c r="CS87" s="28" t="n">
        <f aca="false">IF(CP87&gt;0,N(BU87)/CP87,"")</f>
        <v>0.0640809443507589</v>
      </c>
      <c r="CT87" s="7" t="n">
        <f aca="false">1000*(p_sh_pv*p_cf_pv/p_capex_pv+(1-p_sh_pv)*p_cf_wind/p_capex_wind)*8760</f>
        <v>2301.28856624319</v>
      </c>
      <c r="CU87" s="13" t="n">
        <f aca="false">IF(AND(ISNUMBER(CO87),ISNUMBER(CQ87),BY87=1),1,0)</f>
        <v>1</v>
      </c>
      <c r="CV87" s="16" t="n">
        <f aca="false">IF(CU87=0,"",CQ87*p_hr_coal*N(AK87)+CR87*p_hr_gas*N(AO87)+CS87*p_hr_oil*N(AH87)/p_gj_l_oil)</f>
        <v>26.0559065116982</v>
      </c>
      <c r="CW87" s="37" t="n">
        <f aca="false">IF(CU87=0,"",CQ87*p_hr_coal*p_ef_coal+CR87*p_hr_gas*p_ef_gas+CS87*p_hr_oil*p_ef_oil)</f>
        <v>0.44586652613828</v>
      </c>
      <c r="CX87" s="16" t="n">
        <f aca="false">IF(CU87=0,"",CQ87*p_hr_coal*N(AW87)+CR87*p_hr_gas*N(AX87)+CS87*p_hr_oil*N(AY87)/p_gj_l_oil)</f>
        <v>0.377261555257225</v>
      </c>
      <c r="CY87" s="37" t="n">
        <f aca="false">IF(CU87=0,"",CO87*CW87)</f>
        <v>0.299093721719457</v>
      </c>
      <c r="CZ87" s="37" t="n">
        <f aca="false">IF(CU87=0,"",CT87*CO87*CV87/1000/1000-p_om_re)</f>
        <v>0.0252234849829347</v>
      </c>
      <c r="DA87" s="37" t="n">
        <f aca="false">IF(CU87=0,"",CT87*CO87*CX87/1000/1000)</f>
        <v>0.000582392882616255</v>
      </c>
      <c r="DB87" s="37" t="n">
        <f aca="false">IF(CU87=0,"",CT87*CO87*CW87/1000)</f>
        <v>0.68830096202811</v>
      </c>
      <c r="DC87" s="13" t="n">
        <f aca="false">IF(AND(CU87=1,ISNUMBER(AD87),ISNUMBER(AV87)),1,0)</f>
        <v>1</v>
      </c>
      <c r="DD87" s="7" t="n">
        <f aca="false">IF(DC87=0,"",p_ev_km*p_ice_l/100*AD87-p_ev_km*p_ev_kwh*AV87+p_ev_km*p_ev_maint)</f>
        <v>969.7032</v>
      </c>
      <c r="DE87" s="37" t="n">
        <f aca="false">IF(DC87=0,"",DD87/p_ev_prem)</f>
        <v>0.19394064</v>
      </c>
      <c r="DF87" s="37" t="n">
        <f aca="false">IF(DC87=0,"",p_ev_km*p_ice_l/100*N(AZ87)/p_ev_prem)</f>
        <v>0.000950625</v>
      </c>
      <c r="DG87" s="37" t="n">
        <f aca="false">IF(DC87=0,"",1000/p_ev_prem*(p_ev_km*p_ice_l/100*p_gj_l_gso*p_ef_gso-p_ev_km*p_ev_kwh/1000*CY87))</f>
        <v>0.371752890271493</v>
      </c>
      <c r="DH87" s="11" t="str">
        <f aca="false">IFERROR(IF(INDEX(Damodaran!$D:$D,MATCH(A87,Damodaran!$A:$A,0))="","",INDEX(Damodaran!$D:$D,MATCH(A87,Damodaran!$A:$A,0))),"")</f>
        <v/>
      </c>
      <c r="DI87" s="11" t="str">
        <f aca="false">IFERROR(IF(INDEX(Damodaran!$E:$E,MATCH(A87,Damodaran!$A:$A,0))="","",INDEX(Damodaran!$E:$E,MATCH(A87,Damodaran!$A:$A,0))),"")</f>
        <v/>
      </c>
      <c r="DJ87" s="11" t="str">
        <f aca="false">IFERROR(IF(INDEX(Damodaran!$G:$G,MATCH(A87,Damodaran!$A:$A,0))="","",INDEX(Damodaran!$G:$G,MATCH(A87,Damodaran!$A:$A,0))),"")</f>
        <v/>
      </c>
      <c r="DK87" s="11" t="str">
        <f aca="false">IF(ISNUMBER(BG87),(1+BG87/100)*(1+p_infl)-1,"")</f>
        <v/>
      </c>
      <c r="DL87" s="11" t="str">
        <f aca="false">IF(ISNUMBER(BH87),BH87/100,"")</f>
        <v/>
      </c>
      <c r="DM87" s="11" t="str">
        <f aca="false">IF(COUNT(DK87,DL87)=0,"",AVERAGE(DK87,DL87))</f>
        <v/>
      </c>
      <c r="DN87" s="11" t="str">
        <f aca="false">IF(OR(DH87="",DI87=""),"",p_dv*(p_rf+DH87)*(1-IF(DJ87="",p_tax_def,DJ87))+(1-p_dv)*(p_rf+p_beta*p_erp+p_lambda*DI87))</f>
        <v/>
      </c>
      <c r="DO87" s="13" t="n">
        <f aca="false">IF(AND(ISNUMBER(DM87),ISNUMBER(DN87)),1,0)</f>
        <v>0</v>
      </c>
      <c r="DP87" s="11" t="n">
        <f aca="false">IF(DO87=1,DM87,0)</f>
        <v>0</v>
      </c>
      <c r="DQ87" s="11" t="n">
        <f aca="false">IF(DO87=1,DN87,0)</f>
        <v>0</v>
      </c>
      <c r="DR87" s="11" t="str">
        <f aca="false">IF(DN87="","",DN87+p_shift)</f>
        <v/>
      </c>
      <c r="DS87" s="11" t="n">
        <f aca="false">IF(E87="AE",p_r_ae,IF(E87="China",p_r_chn,p_r_emdc))</f>
        <v>0.105</v>
      </c>
      <c r="DT87" s="11" t="n">
        <f aca="false">IF(E87="AE",p_rh_ae,IF(E87="China",p_rh_chn,p_rh_emdc))</f>
        <v>0.15</v>
      </c>
      <c r="DU87" s="11" t="n">
        <f aca="false">IF(AND(p_use_obs=1,ISNUMBER(DM87)),DM87,IF(AND(p_use_dam=1,ISNUMBER(DR87)),DR87,DS87))</f>
        <v>0.105</v>
      </c>
      <c r="DV87" s="6" t="str">
        <f aca="false">IF(AND(p_use_obs=1,ISNUMBER(DM87)),"Observed (IRENA/Steffen)",IF(AND(p_use_dam=1,ISNUMBER(DR87)),"Damodaran (eq. 5)","Group default (IHLEG)"))</f>
        <v>Group default (IHLEG)</v>
      </c>
      <c r="DW87" s="11" t="n">
        <f aca="false">IF(p_basis=1,(1+DU87)/(1+p_infl)-1,DU87)</f>
        <v>0.105</v>
      </c>
      <c r="DX87" s="11" t="n">
        <f aca="false">DW87+(DT87-DS87)</f>
        <v>0.15</v>
      </c>
      <c r="DY87" s="28" t="n">
        <f aca="false">IF(AND(p_use_pefa=1,ISNUMBER(BD87)),p_gap_lic-(BD87-1)/3*(p_gap_lic-p_gap_ae),IF(E87="AE",p_gap_ae,IF(D87="Low income",p_gap_lic,p_gap_em)))*(1-p_reform*p_reform_close)</f>
        <v>0.355</v>
      </c>
      <c r="DZ87" s="6" t="str">
        <f aca="false">IF(AND(p_use_pefa=1,ISNUMBER(BD87)),"PEFA PI-11","Income-group default (IMF 2015)")</f>
        <v>PEFA PI-11</v>
      </c>
      <c r="EA87" s="28" t="n">
        <f aca="false">IF(E87="AE",p_ps_ae,IF(E87="China",p_ps_chn,p_ps_emdc))</f>
        <v>0.4</v>
      </c>
      <c r="EB87" s="37" t="n">
        <f aca="false">(1-EA87)+EA87/(1-DY87)</f>
        <v>1.22015503875969</v>
      </c>
      <c r="EC87" s="16" t="n">
        <f aca="false">Results_Country!F87</f>
        <v>5.98771789122448</v>
      </c>
      <c r="ED87" s="16" t="n">
        <f aca="false">IF(CH87="",0,CH87*EC87)</f>
        <v>1360.15740088484</v>
      </c>
      <c r="EE87" s="16" t="n">
        <f aca="false">IF(CJ87="",0,CJ87*EC87)</f>
        <v>4.61878702787525</v>
      </c>
      <c r="EF87" s="16" t="n">
        <f aca="false">IF(CH87="",0,EC87)</f>
        <v>5.98771789122448</v>
      </c>
    </row>
    <row r="88" customFormat="false" ht="15" hidden="false" customHeight="false" outlineLevel="0" collapsed="false">
      <c r="A88" s="35" t="s">
        <v>933</v>
      </c>
      <c r="B88" s="35" t="s">
        <v>934</v>
      </c>
      <c r="C88" s="35" t="s">
        <v>766</v>
      </c>
      <c r="D88" s="35" t="s">
        <v>763</v>
      </c>
      <c r="E88" s="35" t="s">
        <v>31</v>
      </c>
      <c r="F88" s="36" t="n">
        <v>78.847</v>
      </c>
      <c r="G88" s="36" t="n">
        <v>296.996</v>
      </c>
      <c r="H88" s="33" t="n">
        <v>1.263</v>
      </c>
      <c r="I88" s="33" t="n">
        <v>1.22</v>
      </c>
      <c r="J88" s="36" t="n">
        <v>9.056696</v>
      </c>
      <c r="K88" s="36" t="n">
        <v>57.927</v>
      </c>
      <c r="L88" s="36" t="n">
        <v>88.447</v>
      </c>
      <c r="M88" s="36" t="n">
        <v>45.511</v>
      </c>
      <c r="N88" s="36" t="n">
        <v>23.081583863231</v>
      </c>
      <c r="O88" s="36" t="n">
        <v>6.52254377057416</v>
      </c>
      <c r="P88" s="36" t="n">
        <v>0.845903514212827</v>
      </c>
      <c r="Q88" s="31" t="n">
        <v>0.133906603995311</v>
      </c>
      <c r="R88" s="31" t="n">
        <v>0.0779192703635263</v>
      </c>
      <c r="S88" s="31" t="n">
        <v>0.345418422493374</v>
      </c>
      <c r="T88" s="31" t="n">
        <v>0.00016900038583802</v>
      </c>
      <c r="U88" s="31" t="n">
        <v>0.0249616889761153</v>
      </c>
      <c r="V88" s="31" t="n">
        <v>0.0057039783809209</v>
      </c>
      <c r="W88" s="31" t="n">
        <v>0</v>
      </c>
      <c r="X88" s="31" t="n">
        <v>0.000158242636953309</v>
      </c>
      <c r="Y88" s="36" t="n">
        <v>1.36364361498267</v>
      </c>
      <c r="Z88" s="36" t="n">
        <v>3.27923624616918</v>
      </c>
      <c r="AA88" s="36" t="n">
        <v>0.241764585712798</v>
      </c>
      <c r="AB88" s="36" t="n">
        <v>0.0187361042380897</v>
      </c>
      <c r="AC88" s="36" t="n">
        <v>1.18600604577143</v>
      </c>
      <c r="AD88" s="31" t="n">
        <v>0.866079</v>
      </c>
      <c r="AE88" s="31" t="n">
        <v>0.817464</v>
      </c>
      <c r="AF88" s="31" t="n">
        <v>0.546448</v>
      </c>
      <c r="AG88" s="31" t="n">
        <v>0.591</v>
      </c>
      <c r="AH88" s="31" t="n">
        <v>0.519462891908447</v>
      </c>
      <c r="AI88" s="31" t="n">
        <v>7.124</v>
      </c>
      <c r="AJ88" s="31" t="n">
        <v>16.4424</v>
      </c>
      <c r="AK88" s="31" t="n">
        <v>4.351</v>
      </c>
      <c r="AL88" s="31" t="n">
        <v>8.8572723115376</v>
      </c>
      <c r="AM88" s="31" t="n">
        <v>8.164</v>
      </c>
      <c r="AN88" s="31" t="n">
        <v>19.2816</v>
      </c>
      <c r="AO88" s="31" t="n">
        <v>6.846</v>
      </c>
      <c r="AP88" s="31" t="n">
        <v>8.90158278311511</v>
      </c>
      <c r="AQ88" s="36" t="n">
        <v>5.0869917416324</v>
      </c>
      <c r="AR88" s="36" t="n">
        <v>0.484542363082635</v>
      </c>
      <c r="AS88" s="36" t="n">
        <v>0.362139191715779</v>
      </c>
      <c r="AT88" s="36" t="n">
        <v>0.5251576694738</v>
      </c>
      <c r="AU88" s="31" t="n">
        <v>0.0667699261579</v>
      </c>
      <c r="AV88" s="36" t="n">
        <v>0.175503</v>
      </c>
      <c r="AW88" s="31" t="n">
        <v>0.034919</v>
      </c>
      <c r="AX88" s="31" t="n">
        <v>0.983207</v>
      </c>
      <c r="AY88" s="31" t="n">
        <v>0.467164075381703</v>
      </c>
      <c r="AZ88" s="31" t="n">
        <v>0.15707</v>
      </c>
      <c r="BA88" s="33" t="n">
        <v>38.699</v>
      </c>
      <c r="BB88" s="33" t="n">
        <v>3.101</v>
      </c>
      <c r="BC88" s="33"/>
      <c r="BD88" s="33"/>
      <c r="BE88" s="33"/>
      <c r="BF88" s="33" t="n">
        <v>0</v>
      </c>
      <c r="BG88" s="33"/>
      <c r="BH88" s="33"/>
      <c r="BI88" s="29"/>
      <c r="BJ88" s="33"/>
      <c r="BK88" s="33"/>
      <c r="BL88" s="33" t="n">
        <v>3.653</v>
      </c>
      <c r="BM88" s="33" t="n">
        <v>6.177</v>
      </c>
      <c r="BN88" s="29" t="n">
        <v>4.521</v>
      </c>
      <c r="BO88" s="33" t="n">
        <v>0.006</v>
      </c>
      <c r="BP88" s="33"/>
      <c r="BQ88" s="29" t="n">
        <v>2025</v>
      </c>
      <c r="BR88" s="36" t="n">
        <v>45.79</v>
      </c>
      <c r="BS88" s="36" t="n">
        <v>0.02</v>
      </c>
      <c r="BT88" s="36" t="n">
        <v>25.25</v>
      </c>
      <c r="BU88" s="36" t="n">
        <v>1.9</v>
      </c>
      <c r="BV88" s="16" t="n">
        <f aca="false">F88*(1+N(H88)/100)*(1+N(I88)/100)^5</f>
        <v>84.8335474737877</v>
      </c>
      <c r="BW88" s="16" t="n">
        <f aca="false">IF(N(G88)&gt;0,G88,F88)</f>
        <v>296.996</v>
      </c>
      <c r="BX88" s="12" t="n">
        <f aca="false">F88/BW88</f>
        <v>0.265481689989091</v>
      </c>
      <c r="BY88" s="13" t="n">
        <f aca="false">IF(ISNUMBER(K88),1,0)</f>
        <v>1</v>
      </c>
      <c r="BZ88" s="16" t="n">
        <f aca="false">IF(BY88=0,"",N(N88)+N(O88)+N(P88))</f>
        <v>30.4500311480179</v>
      </c>
      <c r="CA88" s="37" t="n">
        <f aca="false">IF(BY88=0,"",(N(Y88)*34.2+N(Z88)*38.6)/1000)</f>
        <v>0.173215130734538</v>
      </c>
      <c r="CB88" s="37" t="n">
        <f aca="false">IF(BY88=0,"",N(O88)*0.0036+N(R88)+N(V88)+(N(AA88)*25.3+N(AB88)*37)/1000)</f>
        <v>0.113914286193857</v>
      </c>
      <c r="CC88" s="37" t="n">
        <f aca="false">IF(BY88=0,"",N(N88)*0.0036+N(Q88)+N(U88)+N(T88)+N(X88)+N(AC88)*38/1000)</f>
        <v>0.287357467641163</v>
      </c>
      <c r="CD88" s="37" t="n">
        <f aca="false">IF(BY88=0,"",N(Q88)+N(R88)+N(S88)+N(T88)+N(U88)+N(V88)+N(W88)+N(X88)+(N(Y88)*34.2+N(Z88)*38.6+N(AA88)*25.3+N(AB88)*37+N(AC88)*38)/1000)</f>
        <v>0.813330447581233</v>
      </c>
      <c r="CE88" s="16" t="n">
        <f aca="false">IF(BY88=0,"",MAX(0,N(L88)-N(K88))+MAX(0,N(M88)-N(L88)))</f>
        <v>30.52</v>
      </c>
      <c r="CF88" s="16" t="n">
        <f aca="false">IF(BY88=0,"",N(Y88)*N(AD88)+N(Z88)*N(AE88)+N(AA88)*N(AF88)+N(AB88)*N(AG88)+N(AC88)*N(AH88)+N(U88)*N(AI88)+N(V88)*N(AJ88)+N(W88)*N(AK88)+N(X88)*N(AL88)+N(Q88)*N(AM88)+N(R88)*N(AN88)+N(S88)*N(AO88)+N(T88)*N(AP88))</f>
        <v>9.85582799375138</v>
      </c>
      <c r="CG88" s="16" t="n">
        <f aca="false">IF(AND(BY88=1,N(K88)&gt;0),K88,0)</f>
        <v>57.927</v>
      </c>
      <c r="CH88" s="16" t="n">
        <f aca="false">IF(CG88&gt;0,CF88*1000/CG88,"")</f>
        <v>170.142213367711</v>
      </c>
      <c r="CI88" s="16" t="n">
        <f aca="false">IF(BY88=0,"",N(AQ88)+p_road*(N(AR88)+N(AS88)+N(AT88)))</f>
        <v>5.0869917416324</v>
      </c>
      <c r="CJ88" s="16" t="n">
        <f aca="false">IF(CG88&gt;0,CI88*1000/CG88,"")</f>
        <v>87.8172828151362</v>
      </c>
      <c r="CK88" s="12" t="n">
        <f aca="false">IF(CH88="",1,MIN(p_idx_max,MAX(p_idx_min,CH88/p_fc_world)))</f>
        <v>1.05673572650255</v>
      </c>
      <c r="CL88" s="12" t="n">
        <f aca="false">IF(CJ88="",1,MIN(p_idx_max,MAX(p_idx_min,CJ88/p_cb_world)))</f>
        <v>1.66982231883851</v>
      </c>
      <c r="CM88" s="37" t="n">
        <f aca="false">p_b*(1-p_wb_idx+p_wb_idx*CK88)</f>
        <v>0.140545851624839</v>
      </c>
      <c r="CN88" s="37" t="n">
        <f aca="false">p_c*(1-p_wc_idx+p_wc_idx*CL88)</f>
        <v>0.215407079130168</v>
      </c>
      <c r="CO88" s="28" t="n">
        <f aca="false">IF(N(BR88)&gt;0,(N(BS88)+N(BT88)+N(BU88))/BR88,"")</f>
        <v>0.593360995850622</v>
      </c>
      <c r="CP88" s="16" t="n">
        <f aca="false">N(BS88)+N(BT88)+N(BU88)</f>
        <v>27.17</v>
      </c>
      <c r="CQ88" s="28" t="n">
        <f aca="false">IF(CP88&gt;0,N(BS88)/CP88,"")</f>
        <v>0.000736105999263894</v>
      </c>
      <c r="CR88" s="28" t="n">
        <f aca="false">IF(CP88&gt;0,N(BT88)/CP88,"")</f>
        <v>0.929333824070666</v>
      </c>
      <c r="CS88" s="28" t="n">
        <f aca="false">IF(CP88&gt;0,N(BU88)/CP88,"")</f>
        <v>0.0699300699300699</v>
      </c>
      <c r="CT88" s="7" t="n">
        <f aca="false">1000*(p_sh_pv*p_cf_pv/p_capex_pv+(1-p_sh_pv)*p_cf_wind/p_capex_wind)*8760</f>
        <v>2301.28856624319</v>
      </c>
      <c r="CU88" s="13" t="n">
        <f aca="false">IF(AND(ISNUMBER(CO88),ISNUMBER(CQ88),BY88=1),1,0)</f>
        <v>1</v>
      </c>
      <c r="CV88" s="16" t="n">
        <f aca="false">IF(CU88=0,"",CQ88*p_hr_coal*N(AK88)+CR88*p_hr_gas*N(AO88)+CS88*p_hr_oil*N(AH88)/p_gj_l_oil)</f>
        <v>57.6301188101528</v>
      </c>
      <c r="CW88" s="37" t="n">
        <f aca="false">IF(CU88=0,"",CQ88*p_hr_coal*p_ef_coal+CR88*p_hr_gas*p_ef_gas+CS88*p_hr_oil*p_ef_oil)</f>
        <v>0.448545730585204</v>
      </c>
      <c r="CX88" s="16" t="n">
        <f aca="false">IF(CU88=0,"",CQ88*p_hr_coal*N(AW88)+CR88*p_hr_gas*N(AX88)+CS88*p_hr_oil*N(AY88)/p_gj_l_oil)</f>
        <v>15.7398086006834</v>
      </c>
      <c r="CY88" s="37" t="n">
        <f aca="false">IF(CU88=0,"",CO88*CW88)</f>
        <v>0.266149541384582</v>
      </c>
      <c r="CZ88" s="37" t="n">
        <f aca="false">IF(CU88=0,"",CT88*CO88*CV88/1000/1000-p_om_re)</f>
        <v>0.0636936319042861</v>
      </c>
      <c r="DA88" s="37" t="n">
        <f aca="false">IF(CU88=0,"",CT88*CO88*CX88/1000/1000)</f>
        <v>0.0214926279841</v>
      </c>
      <c r="DB88" s="37" t="n">
        <f aca="false">IF(CU88=0,"",CT88*CO88*CW88/1000)</f>
        <v>0.612486896499208</v>
      </c>
      <c r="DC88" s="13" t="n">
        <f aca="false">IF(AND(CU88=1,ISNUMBER(AD88),ISNUMBER(AV88)),1,0)</f>
        <v>1</v>
      </c>
      <c r="DD88" s="7" t="n">
        <f aca="false">IF(DC88=0,"",p_ev_km*p_ice_l/100*AD88-p_ev_km*p_ev_kwh*AV88+p_ev_km*p_ev_maint)</f>
        <v>680.480775</v>
      </c>
      <c r="DE88" s="37" t="n">
        <f aca="false">IF(DC88=0,"",DD88/p_ev_prem)</f>
        <v>0.136096155</v>
      </c>
      <c r="DF88" s="37" t="n">
        <f aca="false">IF(DC88=0,"",p_ev_km*p_ice_l/100*N(AZ88)/p_ev_prem)</f>
        <v>0.03534075</v>
      </c>
      <c r="DG88" s="37" t="n">
        <f aca="false">IF(DC88=0,"",1000/p_ev_prem*(p_ev_km*p_ice_l/100*p_gj_l_gso*p_ef_gso-p_ev_km*p_ev_kwh/1000*CY88))</f>
        <v>0.389542747652326</v>
      </c>
      <c r="DH88" s="11" t="str">
        <f aca="false">IFERROR(IF(INDEX(Damodaran!$D:$D,MATCH(A88,Damodaran!$A:$A,0))="","",INDEX(Damodaran!$D:$D,MATCH(A88,Damodaran!$A:$A,0))),"")</f>
        <v/>
      </c>
      <c r="DI88" s="11" t="str">
        <f aca="false">IFERROR(IF(INDEX(Damodaran!$E:$E,MATCH(A88,Damodaran!$A:$A,0))="","",INDEX(Damodaran!$E:$E,MATCH(A88,Damodaran!$A:$A,0))),"")</f>
        <v/>
      </c>
      <c r="DJ88" s="11" t="str">
        <f aca="false">IFERROR(IF(INDEX(Damodaran!$G:$G,MATCH(A88,Damodaran!$A:$A,0))="","",INDEX(Damodaran!$G:$G,MATCH(A88,Damodaran!$A:$A,0))),"")</f>
        <v/>
      </c>
      <c r="DK88" s="11" t="str">
        <f aca="false">IF(ISNUMBER(BG88),(1+BG88/100)*(1+p_infl)-1,"")</f>
        <v/>
      </c>
      <c r="DL88" s="11" t="str">
        <f aca="false">IF(ISNUMBER(BH88),BH88/100,"")</f>
        <v/>
      </c>
      <c r="DM88" s="11" t="str">
        <f aca="false">IF(COUNT(DK88,DL88)=0,"",AVERAGE(DK88,DL88))</f>
        <v/>
      </c>
      <c r="DN88" s="11" t="str">
        <f aca="false">IF(OR(DH88="",DI88=""),"",p_dv*(p_rf+DH88)*(1-IF(DJ88="",p_tax_def,DJ88))+(1-p_dv)*(p_rf+p_beta*p_erp+p_lambda*DI88))</f>
        <v/>
      </c>
      <c r="DO88" s="13" t="n">
        <f aca="false">IF(AND(ISNUMBER(DM88),ISNUMBER(DN88)),1,0)</f>
        <v>0</v>
      </c>
      <c r="DP88" s="11" t="n">
        <f aca="false">IF(DO88=1,DM88,0)</f>
        <v>0</v>
      </c>
      <c r="DQ88" s="11" t="n">
        <f aca="false">IF(DO88=1,DN88,0)</f>
        <v>0</v>
      </c>
      <c r="DR88" s="11" t="str">
        <f aca="false">IF(DN88="","",DN88+p_shift)</f>
        <v/>
      </c>
      <c r="DS88" s="11" t="n">
        <f aca="false">IF(E88="AE",p_r_ae,IF(E88="China",p_r_chn,p_r_emdc))</f>
        <v>0.105</v>
      </c>
      <c r="DT88" s="11" t="n">
        <f aca="false">IF(E88="AE",p_rh_ae,IF(E88="China",p_rh_chn,p_rh_emdc))</f>
        <v>0.15</v>
      </c>
      <c r="DU88" s="11" t="n">
        <f aca="false">IF(AND(p_use_obs=1,ISNUMBER(DM88)),DM88,IF(AND(p_use_dam=1,ISNUMBER(DR88)),DR88,DS88))</f>
        <v>0.105</v>
      </c>
      <c r="DV88" s="6" t="str">
        <f aca="false">IF(AND(p_use_obs=1,ISNUMBER(DM88)),"Observed (IRENA/Steffen)",IF(AND(p_use_dam=1,ISNUMBER(DR88)),"Damodaran (eq. 5)","Group default (IHLEG)"))</f>
        <v>Group default (IHLEG)</v>
      </c>
      <c r="DW88" s="11" t="n">
        <f aca="false">IF(p_basis=1,(1+DU88)/(1+p_infl)-1,DU88)</f>
        <v>0.105</v>
      </c>
      <c r="DX88" s="11" t="n">
        <f aca="false">DW88+(DT88-DS88)</f>
        <v>0.15</v>
      </c>
      <c r="DY88" s="28" t="n">
        <f aca="false">IF(AND(p_use_pefa=1,ISNUMBER(BD88)),p_gap_lic-(BD88-1)/3*(p_gap_lic-p_gap_ae),IF(E88="AE",p_gap_ae,IF(D88="Low income",p_gap_lic,p_gap_em)))*(1-p_reform*p_reform_close)</f>
        <v>0.27</v>
      </c>
      <c r="DZ88" s="6" t="str">
        <f aca="false">IF(AND(p_use_pefa=1,ISNUMBER(BD88)),"PEFA PI-11","Income-group default (IMF 2015)")</f>
        <v>Income-group default (IMF 2015)</v>
      </c>
      <c r="EA88" s="28" t="n">
        <f aca="false">IF(E88="AE",p_ps_ae,IF(E88="China",p_ps_chn,p_ps_emdc))</f>
        <v>0.4</v>
      </c>
      <c r="EB88" s="37" t="n">
        <f aca="false">(1-EA88)+EA88/(1-DY88)</f>
        <v>1.14794520547945</v>
      </c>
      <c r="EC88" s="16" t="n">
        <f aca="false">Results_Country!F88</f>
        <v>6.21396887012414</v>
      </c>
      <c r="ED88" s="16" t="n">
        <f aca="false">IF(CH88="",0,CH88*EC88)</f>
        <v>1057.25841736097</v>
      </c>
      <c r="EE88" s="16" t="n">
        <f aca="false">IF(CJ88="",0,CJ88*EC88)</f>
        <v>545.693861672144</v>
      </c>
      <c r="EF88" s="16" t="n">
        <f aca="false">IF(CH88="",0,EC88)</f>
        <v>6.21396887012414</v>
      </c>
    </row>
    <row r="89" customFormat="false" ht="15" hidden="false" customHeight="false" outlineLevel="0" collapsed="false">
      <c r="A89" s="35" t="s">
        <v>935</v>
      </c>
      <c r="B89" s="35" t="s">
        <v>936</v>
      </c>
      <c r="C89" s="35" t="s">
        <v>762</v>
      </c>
      <c r="D89" s="35" t="s">
        <v>771</v>
      </c>
      <c r="E89" s="35" t="s">
        <v>31</v>
      </c>
      <c r="F89" s="36" t="n">
        <v>76.759</v>
      </c>
      <c r="G89" s="36" t="n">
        <v>274.604</v>
      </c>
      <c r="H89" s="33" t="n">
        <v>-1.964</v>
      </c>
      <c r="I89" s="33" t="n">
        <v>2.995</v>
      </c>
      <c r="J89" s="36" t="n">
        <v>54.500091</v>
      </c>
      <c r="K89" s="36" t="n">
        <v>42.531</v>
      </c>
      <c r="L89" s="36" t="n">
        <v>173.541</v>
      </c>
      <c r="M89" s="36" t="n">
        <v>310.039</v>
      </c>
      <c r="N89" s="36" t="n">
        <v>12.2129081935658</v>
      </c>
      <c r="O89" s="36" t="n">
        <v>8.82882506185384</v>
      </c>
      <c r="P89" s="36" t="n">
        <v>0.142476823279253</v>
      </c>
      <c r="Q89" s="31" t="n">
        <v>0.027138754731434</v>
      </c>
      <c r="R89" s="31" t="n">
        <v>0.000364826062187839</v>
      </c>
      <c r="S89" s="31" t="n">
        <v>0.0984231484831144</v>
      </c>
      <c r="T89" s="31" t="n">
        <v>0.00644227837987524</v>
      </c>
      <c r="U89" s="31" t="n">
        <v>0.00886337803733769</v>
      </c>
      <c r="V89" s="31" t="n">
        <v>0</v>
      </c>
      <c r="W89" s="31" t="n">
        <v>0.0557783486245142</v>
      </c>
      <c r="X89" s="31" t="n">
        <v>0</v>
      </c>
      <c r="Y89" s="36" t="n">
        <v>1.99770531864275</v>
      </c>
      <c r="Z89" s="36" t="n">
        <v>4.73668494713583</v>
      </c>
      <c r="AA89" s="36" t="n">
        <v>0.0491071220648412</v>
      </c>
      <c r="AB89" s="36" t="n">
        <v>0.0452620234586547</v>
      </c>
      <c r="AC89" s="36" t="n">
        <v>0.0554593018517562</v>
      </c>
      <c r="AD89" s="31" t="n">
        <v>0.72</v>
      </c>
      <c r="AE89" s="31" t="n">
        <v>0.734</v>
      </c>
      <c r="AF89" s="31" t="n">
        <v>0.51</v>
      </c>
      <c r="AG89" s="31" t="n">
        <v>0.652</v>
      </c>
      <c r="AH89" s="31" t="n">
        <v>0.543345303403777</v>
      </c>
      <c r="AI89" s="31" t="n">
        <v>3.373</v>
      </c>
      <c r="AJ89" s="31" t="n">
        <v>5.358</v>
      </c>
      <c r="AK89" s="31" t="n">
        <v>2.049</v>
      </c>
      <c r="AL89" s="31" t="n">
        <v>2.23054082707015</v>
      </c>
      <c r="AM89" s="31" t="n">
        <v>6.804</v>
      </c>
      <c r="AN89" s="31" t="n">
        <v>10.774</v>
      </c>
      <c r="AO89" s="31" t="n">
        <v>6.142</v>
      </c>
      <c r="AP89" s="31" t="n">
        <v>6.29808862443388</v>
      </c>
      <c r="AQ89" s="36" t="n">
        <v>1.80044928251626</v>
      </c>
      <c r="AR89" s="36" t="n">
        <v>0.00289517247828984</v>
      </c>
      <c r="AS89" s="36" t="n">
        <v>0.0172711856036103</v>
      </c>
      <c r="AT89" s="36" t="n">
        <v>0.0786822087869964</v>
      </c>
      <c r="AU89" s="31" t="n">
        <v>0.535163641052105</v>
      </c>
      <c r="AV89" s="36" t="n">
        <v>0.141295</v>
      </c>
      <c r="AW89" s="31" t="n">
        <v>0.260284</v>
      </c>
      <c r="AX89" s="31" t="n">
        <v>0.025915</v>
      </c>
      <c r="AY89" s="31" t="n">
        <v>0.0268895451701656</v>
      </c>
      <c r="AZ89" s="31" t="n">
        <v>0.131689</v>
      </c>
      <c r="BA89" s="33" t="n">
        <v>50.643</v>
      </c>
      <c r="BB89" s="33" t="n">
        <v>10.305</v>
      </c>
      <c r="BC89" s="33" t="n">
        <v>114.131</v>
      </c>
      <c r="BD89" s="33" t="n">
        <v>1</v>
      </c>
      <c r="BE89" s="33" t="n">
        <v>1</v>
      </c>
      <c r="BF89" s="33" t="n">
        <v>0</v>
      </c>
      <c r="BG89" s="33"/>
      <c r="BH89" s="33"/>
      <c r="BI89" s="29"/>
      <c r="BJ89" s="33"/>
      <c r="BK89" s="33"/>
      <c r="BL89" s="33" t="n">
        <v>1.519</v>
      </c>
      <c r="BM89" s="33" t="n">
        <v>2</v>
      </c>
      <c r="BN89" s="29" t="n">
        <v>4.444</v>
      </c>
      <c r="BO89" s="33" t="n">
        <v>0.048</v>
      </c>
      <c r="BP89" s="33"/>
      <c r="BQ89" s="29" t="n">
        <v>2024</v>
      </c>
      <c r="BR89" s="36" t="n">
        <v>21.71</v>
      </c>
      <c r="BS89" s="36" t="n">
        <v>1.2</v>
      </c>
      <c r="BT89" s="36" t="n">
        <v>10</v>
      </c>
      <c r="BU89" s="36" t="n">
        <v>0.12</v>
      </c>
      <c r="BV89" s="16" t="n">
        <f aca="false">F89*(1+N(H89)/100)*(1+N(I89)/100)^5</f>
        <v>87.2158868067666</v>
      </c>
      <c r="BW89" s="16" t="n">
        <f aca="false">IF(N(G89)&gt;0,G89,F89)</f>
        <v>274.604</v>
      </c>
      <c r="BX89" s="12" t="n">
        <f aca="false">F89/BW89</f>
        <v>0.279526154025433</v>
      </c>
      <c r="BY89" s="13" t="n">
        <f aca="false">IF(ISNUMBER(K89),1,0)</f>
        <v>1</v>
      </c>
      <c r="BZ89" s="16" t="n">
        <f aca="false">IF(BY89=0,"",N(N89)+N(O89)+N(P89))</f>
        <v>21.1842100786989</v>
      </c>
      <c r="CA89" s="37" t="n">
        <f aca="false">IF(BY89=0,"",(N(Y89)*34.2+N(Z89)*38.6)/1000)</f>
        <v>0.251157560857025</v>
      </c>
      <c r="CB89" s="37" t="n">
        <f aca="false">IF(BY89=0,"",N(O89)*0.0036+N(R89)+N(V89)+(N(AA89)*25.3+N(AB89)*37)/1000)</f>
        <v>0.0350657013410724</v>
      </c>
      <c r="CC89" s="37" t="n">
        <f aca="false">IF(BY89=0,"",N(N89)*0.0036+N(Q89)+N(U89)+N(T89)+N(X89)+N(AC89)*38/1000)</f>
        <v>0.0885183341158505</v>
      </c>
      <c r="CD89" s="37" t="n">
        <f aca="false">IF(BY89=0,"",N(Q89)+N(R89)+N(S89)+N(T89)+N(U89)+N(V89)+N(W89)+N(X89)+(N(Y89)*34.2+N(Z89)*38.6+N(AA89)*25.3+N(AB89)*37+N(AC89)*38)/1000)</f>
        <v>0.453192853702066</v>
      </c>
      <c r="CE89" s="16" t="n">
        <f aca="false">IF(BY89=0,"",MAX(0,N(L89)-N(K89))+MAX(0,N(M89)-N(L89)))</f>
        <v>267.508</v>
      </c>
      <c r="CF89" s="16" t="n">
        <f aca="false">IF(BY89=0,"",N(Y89)*N(AD89)+N(Z89)*N(AE89)+N(AA89)*N(AF89)+N(AB89)*N(AG89)+N(AC89)*N(AH89)+N(U89)*N(AI89)+N(V89)*N(AJ89)+N(W89)*N(AK89)+N(X89)*N(AL89)+N(Q89)*N(AM89)+N(R89)*N(AN89)+N(S89)*N(AO89)+N(T89)*N(AP89))</f>
        <v>5.97762135516107</v>
      </c>
      <c r="CG89" s="16" t="n">
        <f aca="false">IF(AND(BY89=1,N(K89)&gt;0),K89,0)</f>
        <v>42.531</v>
      </c>
      <c r="CH89" s="16" t="n">
        <f aca="false">IF(CG89&gt;0,CF89*1000/CG89,"")</f>
        <v>140.547397313984</v>
      </c>
      <c r="CI89" s="16" t="n">
        <f aca="false">IF(BY89=0,"",N(AQ89)+p_road*(N(AR89)+N(AS89)+N(AT89)))</f>
        <v>1.80044928251626</v>
      </c>
      <c r="CJ89" s="16" t="n">
        <f aca="false">IF(CG89&gt;0,CI89*1000/CG89,"")</f>
        <v>42.3326346080803</v>
      </c>
      <c r="CK89" s="12" t="n">
        <f aca="false">IF(CH89="",1,MIN(p_idx_max,MAX(p_idx_min,CH89/p_fc_world)))</f>
        <v>0.872925378534084</v>
      </c>
      <c r="CL89" s="12" t="n">
        <f aca="false">IF(CJ89="",1,MIN(p_idx_max,MAX(p_idx_min,CJ89/p_cb_world)))</f>
        <v>0.804943808528135</v>
      </c>
      <c r="CM89" s="37" t="n">
        <f aca="false">p_b*(1-p_wb_idx+p_wb_idx*CK89)</f>
        <v>0.116099075345033</v>
      </c>
      <c r="CN89" s="37" t="n">
        <f aca="false">p_c*(1-p_wc_idx+p_wc_idx*CL89)</f>
        <v>0.103837751300129</v>
      </c>
      <c r="CO89" s="28" t="n">
        <f aca="false">IF(N(BR89)&gt;0,(N(BS89)+N(BT89)+N(BU89))/BR89,"")</f>
        <v>0.52141870105942</v>
      </c>
      <c r="CP89" s="16" t="n">
        <f aca="false">N(BS89)+N(BT89)+N(BU89)</f>
        <v>11.32</v>
      </c>
      <c r="CQ89" s="28" t="n">
        <f aca="false">IF(CP89&gt;0,N(BS89)/CP89,"")</f>
        <v>0.106007067137809</v>
      </c>
      <c r="CR89" s="28" t="n">
        <f aca="false">IF(CP89&gt;0,N(BT89)/CP89,"")</f>
        <v>0.88339222614841</v>
      </c>
      <c r="CS89" s="28" t="n">
        <f aca="false">IF(CP89&gt;0,N(BU89)/CP89,"")</f>
        <v>0.0106007067137809</v>
      </c>
      <c r="CT89" s="7" t="n">
        <f aca="false">1000*(p_sh_pv*p_cf_pv/p_capex_pv+(1-p_sh_pv)*p_cf_wind/p_capex_wind)*8760</f>
        <v>2301.28856624319</v>
      </c>
      <c r="CU89" s="13" t="n">
        <f aca="false">IF(AND(ISNUMBER(CO89),ISNUMBER(CQ89),BY89=1),1,0)</f>
        <v>1</v>
      </c>
      <c r="CV89" s="16" t="n">
        <f aca="false">IF(CU89=0,"",CQ89*p_hr_coal*N(AK89)+CR89*p_hr_gas*N(AO89)+CS89*p_hr_oil*N(AH89)/p_gj_l_oil)</f>
        <v>44.4323447021384</v>
      </c>
      <c r="CW89" s="37" t="n">
        <f aca="false">IF(CU89=0,"",CQ89*p_hr_coal*p_ef_coal+CR89*p_hr_gas*p_ef_gas+CS89*p_hr_oil*p_ef_oil)</f>
        <v>0.480585159010601</v>
      </c>
      <c r="CX89" s="16" t="n">
        <f aca="false">IF(CU89=0,"",CQ89*p_hr_coal*N(AW89)+CR89*p_hr_gas*N(AX89)+CS89*p_hr_oil*N(AY89)/p_gj_l_oil)</f>
        <v>0.52515676942641</v>
      </c>
      <c r="CY89" s="37" t="n">
        <f aca="false">IF(CU89=0,"",CO89*CW89)</f>
        <v>0.250586089359742</v>
      </c>
      <c r="CZ89" s="37" t="n">
        <f aca="false">IF(CU89=0,"",CT89*CO89*CV89/1000/1000-p_om_re)</f>
        <v>0.0383159208735832</v>
      </c>
      <c r="DA89" s="37" t="n">
        <f aca="false">IF(CU89=0,"",CT89*CO89*CX89/1000/1000)</f>
        <v>0.00063015393296626</v>
      </c>
      <c r="DB89" s="37" t="n">
        <f aca="false">IF(CU89=0,"",CT89*CO89*CW89/1000)</f>
        <v>0.57667090230317</v>
      </c>
      <c r="DC89" s="13" t="n">
        <f aca="false">IF(AND(CU89=1,ISNUMBER(AD89),ISNUMBER(AV89)),1,0)</f>
        <v>1</v>
      </c>
      <c r="DD89" s="7" t="n">
        <f aca="false">IF(DC89=0,"",p_ev_km*p_ice_l/100*AD89-p_ev_km*p_ev_kwh*AV89+p_ev_km*p_ev_maint)</f>
        <v>608.5035</v>
      </c>
      <c r="DE89" s="37" t="n">
        <f aca="false">IF(DC89=0,"",DD89/p_ev_prem)</f>
        <v>0.1217007</v>
      </c>
      <c r="DF89" s="37" t="n">
        <f aca="false">IF(DC89=0,"",p_ev_km*p_ice_l/100*N(AZ89)/p_ev_prem)</f>
        <v>0.029630025</v>
      </c>
      <c r="DG89" s="37" t="n">
        <f aca="false">IF(DC89=0,"",1000/p_ev_prem*(p_ev_km*p_ice_l/100*p_gj_l_gso*p_ef_gso-p_ev_km*p_ev_kwh/1000*CY89))</f>
        <v>0.397947011745739</v>
      </c>
      <c r="DH89" s="11" t="str">
        <f aca="false">IFERROR(IF(INDEX(Damodaran!$D:$D,MATCH(A89,Damodaran!$A:$A,0))="","",INDEX(Damodaran!$D:$D,MATCH(A89,Damodaran!$A:$A,0))),"")</f>
        <v/>
      </c>
      <c r="DI89" s="11" t="str">
        <f aca="false">IFERROR(IF(INDEX(Damodaran!$E:$E,MATCH(A89,Damodaran!$A:$A,0))="","",INDEX(Damodaran!$E:$E,MATCH(A89,Damodaran!$A:$A,0))),"")</f>
        <v/>
      </c>
      <c r="DJ89" s="11" t="str">
        <f aca="false">IFERROR(IF(INDEX(Damodaran!$G:$G,MATCH(A89,Damodaran!$A:$A,0))="","",INDEX(Damodaran!$G:$G,MATCH(A89,Damodaran!$A:$A,0))),"")</f>
        <v/>
      </c>
      <c r="DK89" s="11" t="str">
        <f aca="false">IF(ISNUMBER(BG89),(1+BG89/100)*(1+p_infl)-1,"")</f>
        <v/>
      </c>
      <c r="DL89" s="11" t="str">
        <f aca="false">IF(ISNUMBER(BH89),BH89/100,"")</f>
        <v/>
      </c>
      <c r="DM89" s="11" t="str">
        <f aca="false">IF(COUNT(DK89,DL89)=0,"",AVERAGE(DK89,DL89))</f>
        <v/>
      </c>
      <c r="DN89" s="11" t="str">
        <f aca="false">IF(OR(DH89="",DI89=""),"",p_dv*(p_rf+DH89)*(1-IF(DJ89="",p_tax_def,DJ89))+(1-p_dv)*(p_rf+p_beta*p_erp+p_lambda*DI89))</f>
        <v/>
      </c>
      <c r="DO89" s="13" t="n">
        <f aca="false">IF(AND(ISNUMBER(DM89),ISNUMBER(DN89)),1,0)</f>
        <v>0</v>
      </c>
      <c r="DP89" s="11" t="n">
        <f aca="false">IF(DO89=1,DM89,0)</f>
        <v>0</v>
      </c>
      <c r="DQ89" s="11" t="n">
        <f aca="false">IF(DO89=1,DN89,0)</f>
        <v>0</v>
      </c>
      <c r="DR89" s="11" t="str">
        <f aca="false">IF(DN89="","",DN89+p_shift)</f>
        <v/>
      </c>
      <c r="DS89" s="11" t="n">
        <f aca="false">IF(E89="AE",p_r_ae,IF(E89="China",p_r_chn,p_r_emdc))</f>
        <v>0.105</v>
      </c>
      <c r="DT89" s="11" t="n">
        <f aca="false">IF(E89="AE",p_rh_ae,IF(E89="China",p_rh_chn,p_rh_emdc))</f>
        <v>0.15</v>
      </c>
      <c r="DU89" s="11" t="n">
        <f aca="false">IF(AND(p_use_obs=1,ISNUMBER(DM89)),DM89,IF(AND(p_use_dam=1,ISNUMBER(DR89)),DR89,DS89))</f>
        <v>0.105</v>
      </c>
      <c r="DV89" s="6" t="str">
        <f aca="false">IF(AND(p_use_obs=1,ISNUMBER(DM89)),"Observed (IRENA/Steffen)",IF(AND(p_use_dam=1,ISNUMBER(DR89)),"Damodaran (eq. 5)","Group default (IHLEG)"))</f>
        <v>Group default (IHLEG)</v>
      </c>
      <c r="DW89" s="11" t="n">
        <f aca="false">IF(p_basis=1,(1+DU89)/(1+p_infl)-1,DU89)</f>
        <v>0.105</v>
      </c>
      <c r="DX89" s="11" t="n">
        <f aca="false">DW89+(DT89-DS89)</f>
        <v>0.15</v>
      </c>
      <c r="DY89" s="28" t="n">
        <f aca="false">IF(AND(p_use_pefa=1,ISNUMBER(BD89)),p_gap_lic-(BD89-1)/3*(p_gap_lic-p_gap_ae),IF(E89="AE",p_gap_ae,IF(D89="Low income",p_gap_lic,p_gap_em)))*(1-p_reform*p_reform_close)</f>
        <v>0.4</v>
      </c>
      <c r="DZ89" s="6" t="str">
        <f aca="false">IF(AND(p_use_pefa=1,ISNUMBER(BD89)),"PEFA PI-11","Income-group default (IMF 2015)")</f>
        <v>PEFA PI-11</v>
      </c>
      <c r="EA89" s="28" t="n">
        <f aca="false">IF(E89="AE",p_ps_ae,IF(E89="China",p_ps_chn,p_ps_emdc))</f>
        <v>0.4</v>
      </c>
      <c r="EB89" s="37" t="n">
        <f aca="false">(1-EA89)+EA89/(1-DY89)</f>
        <v>1.26666666666667</v>
      </c>
      <c r="EC89" s="16" t="n">
        <f aca="false">Results_Country!F89</f>
        <v>8.49611086519651</v>
      </c>
      <c r="ED89" s="16" t="n">
        <f aca="false">IF(CH89="",0,CH89*EC89)</f>
        <v>1194.10626939443</v>
      </c>
      <c r="EE89" s="16" t="n">
        <f aca="false">IF(CJ89="",0,CJ89*EC89)</f>
        <v>359.662756846105</v>
      </c>
      <c r="EF89" s="16" t="n">
        <f aca="false">IF(CH89="",0,EC89)</f>
        <v>8.49611086519651</v>
      </c>
    </row>
    <row r="90" customFormat="false" ht="15" hidden="false" customHeight="false" outlineLevel="0" collapsed="false">
      <c r="A90" s="35" t="s">
        <v>937</v>
      </c>
      <c r="B90" s="35" t="s">
        <v>938</v>
      </c>
      <c r="C90" s="35" t="s">
        <v>847</v>
      </c>
      <c r="D90" s="35" t="s">
        <v>888</v>
      </c>
      <c r="E90" s="35" t="s">
        <v>31</v>
      </c>
      <c r="F90" s="36" t="n">
        <v>76.731</v>
      </c>
      <c r="G90" s="36" t="n">
        <v>199.168</v>
      </c>
      <c r="H90" s="33" t="n">
        <v>5.746</v>
      </c>
      <c r="I90" s="33" t="n">
        <v>5.901</v>
      </c>
      <c r="J90" s="36" t="n">
        <v>109.276264</v>
      </c>
      <c r="K90" s="36" t="n">
        <v>3.76</v>
      </c>
      <c r="L90" s="36" t="n">
        <v>66.533</v>
      </c>
      <c r="M90" s="36" t="n">
        <v>669.183</v>
      </c>
      <c r="N90" s="36" t="n">
        <v>9.91843443643383</v>
      </c>
      <c r="O90" s="36" t="n">
        <v>2.05024551665569</v>
      </c>
      <c r="P90" s="36" t="n">
        <v>2.16010718046735</v>
      </c>
      <c r="Q90" s="31" t="n">
        <v>0</v>
      </c>
      <c r="R90" s="31" t="n">
        <v>0</v>
      </c>
      <c r="S90" s="31" t="n">
        <v>0</v>
      </c>
      <c r="T90" s="31" t="n">
        <v>0</v>
      </c>
      <c r="U90" s="31" t="n">
        <v>0</v>
      </c>
      <c r="V90" s="31" t="n">
        <v>0</v>
      </c>
      <c r="W90" s="31" t="n">
        <v>0</v>
      </c>
      <c r="X90" s="31" t="n">
        <v>0</v>
      </c>
      <c r="Y90" s="36" t="n">
        <v>0.478306890086047</v>
      </c>
      <c r="Z90" s="36" t="n">
        <v>0.810515998789333</v>
      </c>
      <c r="AA90" s="36" t="n">
        <v>1.62531055900618E-006</v>
      </c>
      <c r="AB90" s="36" t="n">
        <v>0.0269139833548354</v>
      </c>
      <c r="AC90" s="36" t="n">
        <v>0.00148385580389862</v>
      </c>
      <c r="AD90" s="31" t="n">
        <v>0.83984</v>
      </c>
      <c r="AE90" s="31" t="n">
        <v>0.789565</v>
      </c>
      <c r="AF90" s="31" t="n">
        <v>0.513</v>
      </c>
      <c r="AG90" s="31" t="n">
        <v>0.68556</v>
      </c>
      <c r="AH90" s="31" t="n">
        <v>0.519462891908447</v>
      </c>
      <c r="AI90" s="31" t="n">
        <v>7.124</v>
      </c>
      <c r="AJ90" s="31" t="n">
        <v>14.14388</v>
      </c>
      <c r="AK90" s="31" t="n">
        <v>5.575</v>
      </c>
      <c r="AL90" s="31" t="n">
        <v>8.94762666666667</v>
      </c>
      <c r="AM90" s="31" t="n">
        <v>6.853</v>
      </c>
      <c r="AN90" s="31" t="n">
        <v>12.55468</v>
      </c>
      <c r="AO90" s="31" t="n">
        <v>6.191</v>
      </c>
      <c r="AP90" s="31" t="n">
        <v>8.53289333333333</v>
      </c>
      <c r="AQ90" s="36" t="n">
        <v>0.000732589240243678</v>
      </c>
      <c r="AR90" s="36" t="n">
        <v>0.00338259984369439</v>
      </c>
      <c r="AS90" s="36" t="n">
        <v>0.0810679545193779</v>
      </c>
      <c r="AT90" s="36" t="n">
        <v>0.0557437843197028</v>
      </c>
      <c r="AU90" s="31" t="n">
        <v>0.999879412214809</v>
      </c>
      <c r="AV90" s="36" t="n">
        <v>0.150317</v>
      </c>
      <c r="AW90" s="31" t="n">
        <v>0.033911</v>
      </c>
      <c r="AX90" s="31" t="n">
        <v>0.000467</v>
      </c>
      <c r="AY90" s="31" t="n">
        <v>0.00653955608982283</v>
      </c>
      <c r="AZ90" s="31" t="n">
        <v>0.000462</v>
      </c>
      <c r="BA90" s="33" t="n">
        <v>15.841</v>
      </c>
      <c r="BB90" s="33" t="n">
        <v>1.716</v>
      </c>
      <c r="BC90" s="33" t="n">
        <v>25.041</v>
      </c>
      <c r="BD90" s="33" t="n">
        <v>1</v>
      </c>
      <c r="BE90" s="33" t="n">
        <v>1</v>
      </c>
      <c r="BF90" s="33" t="n">
        <v>0</v>
      </c>
      <c r="BG90" s="33"/>
      <c r="BH90" s="33"/>
      <c r="BI90" s="29"/>
      <c r="BJ90" s="33"/>
      <c r="BK90" s="33"/>
      <c r="BL90" s="33" t="n">
        <v>4.505</v>
      </c>
      <c r="BM90" s="33" t="n">
        <v>4.853</v>
      </c>
      <c r="BN90" s="29" t="n">
        <v>34.309</v>
      </c>
      <c r="BO90" s="33" t="n">
        <v>0.691</v>
      </c>
      <c r="BP90" s="33" t="n">
        <v>0.585</v>
      </c>
      <c r="BQ90" s="29" t="n">
        <v>2024</v>
      </c>
      <c r="BR90" s="36" t="n">
        <v>15.92</v>
      </c>
      <c r="BS90" s="36" t="n">
        <v>0</v>
      </c>
      <c r="BT90" s="36" t="n">
        <v>0</v>
      </c>
      <c r="BU90" s="36" t="n">
        <v>0</v>
      </c>
      <c r="BV90" s="16" t="n">
        <f aca="false">F90*(1+N(H90)/100)*(1+N(I90)/100)^5</f>
        <v>108.077455670596</v>
      </c>
      <c r="BW90" s="16" t="n">
        <f aca="false">IF(N(G90)&gt;0,G90,F90)</f>
        <v>199.168</v>
      </c>
      <c r="BX90" s="12" t="n">
        <f aca="false">F90/BW90</f>
        <v>0.385257671915167</v>
      </c>
      <c r="BY90" s="13" t="n">
        <f aca="false">IF(ISNUMBER(K90),1,0)</f>
        <v>1</v>
      </c>
      <c r="BZ90" s="16" t="n">
        <f aca="false">IF(BY90=0,"",N(N90)+N(O90)+N(P90))</f>
        <v>14.1287871335569</v>
      </c>
      <c r="CA90" s="37" t="n">
        <f aca="false">IF(BY90=0,"",(N(Y90)*34.2+N(Z90)*38.6)/1000)</f>
        <v>0.0476440131942111</v>
      </c>
      <c r="CB90" s="37" t="n">
        <f aca="false">IF(BY90=0,"",N(O90)*0.0036+N(R90)+N(V90)+(N(AA90)*25.3+N(AB90)*37)/1000)</f>
        <v>0.00837674236444653</v>
      </c>
      <c r="CC90" s="37" t="n">
        <f aca="false">IF(BY90=0,"",N(N90)*0.0036+N(Q90)+N(U90)+N(T90)+N(X90)+N(AC90)*38/1000)</f>
        <v>0.0357627504917099</v>
      </c>
      <c r="CD90" s="37" t="n">
        <f aca="false">IF(BY90=0,"",N(Q90)+N(R90)+N(S90)+N(T90)+N(U90)+N(V90)+N(W90)+N(X90)+(N(Y90)*34.2+N(Z90)*38.6+N(AA90)*25.3+N(AB90)*37+N(AC90)*38)/1000)</f>
        <v>0.0486962582192453</v>
      </c>
      <c r="CE90" s="16" t="n">
        <f aca="false">IF(BY90=0,"",MAX(0,N(L90)-N(K90))+MAX(0,N(M90)-N(L90)))</f>
        <v>665.423</v>
      </c>
      <c r="CF90" s="16" t="n">
        <f aca="false">IF(BY90=0,"",N(Y90)*N(AD90)+N(Z90)*N(AE90)+N(AA90)*N(AF90)+N(AB90)*N(AG90)+N(AC90)*N(AH90)+N(U90)*N(AI90)+N(V90)*N(AJ90)+N(W90)*N(AK90)+N(X90)*N(AL90)+N(Q90)*N(AM90)+N(R90)*N(AN90)+N(S90)*N(AO90)+N(T90)*N(AP90))</f>
        <v>1.06087911539409</v>
      </c>
      <c r="CG90" s="16" t="n">
        <f aca="false">IF(AND(BY90=1,N(K90)&gt;0),K90,0)</f>
        <v>3.76</v>
      </c>
      <c r="CH90" s="16" t="n">
        <f aca="false">IF(CG90&gt;0,CF90*1000/CG90,"")</f>
        <v>282.148700902684</v>
      </c>
      <c r="CI90" s="16" t="n">
        <f aca="false">IF(BY90=0,"",N(AQ90)+p_road*(N(AR90)+N(AS90)+N(AT90)))</f>
        <v>0.000732589240243678</v>
      </c>
      <c r="CJ90" s="16" t="n">
        <f aca="false">IF(CG90&gt;0,CI90*1000/CG90,"")</f>
        <v>0.194837563894595</v>
      </c>
      <c r="CK90" s="12" t="n">
        <f aca="false">IF(CH90="",1,MIN(p_idx_max,MAX(p_idx_min,CH90/p_fc_world)))</f>
        <v>1.75239646016461</v>
      </c>
      <c r="CL90" s="12" t="n">
        <f aca="false">IF(CJ90="",1,MIN(p_idx_max,MAX(p_idx_min,CJ90/p_cb_world)))</f>
        <v>0.25</v>
      </c>
      <c r="CM90" s="37" t="n">
        <f aca="false">p_b*(1-p_wb_idx+p_wb_idx*CK90)</f>
        <v>0.233068729201893</v>
      </c>
      <c r="CN90" s="37" t="n">
        <f aca="false">p_c*(1-p_wc_idx+p_wc_idx*CL90)</f>
        <v>0.03225</v>
      </c>
      <c r="CO90" s="28" t="n">
        <f aca="false">IF(N(BR90)&gt;0,(N(BS90)+N(BT90)+N(BU90))/BR90,"")</f>
        <v>0</v>
      </c>
      <c r="CP90" s="16" t="n">
        <f aca="false">N(BS90)+N(BT90)+N(BU90)</f>
        <v>0</v>
      </c>
      <c r="CQ90" s="28" t="str">
        <f aca="false">IF(CP90&gt;0,N(BS90)/CP90,"")</f>
        <v/>
      </c>
      <c r="CR90" s="28" t="str">
        <f aca="false">IF(CP90&gt;0,N(BT90)/CP90,"")</f>
        <v/>
      </c>
      <c r="CS90" s="28" t="str">
        <f aca="false">IF(CP90&gt;0,N(BU90)/CP90,"")</f>
        <v/>
      </c>
      <c r="CT90" s="7" t="n">
        <f aca="false">1000*(p_sh_pv*p_cf_pv/p_capex_pv+(1-p_sh_pv)*p_cf_wind/p_capex_wind)*8760</f>
        <v>2301.28856624319</v>
      </c>
      <c r="CU90" s="13" t="n">
        <f aca="false">IF(AND(ISNUMBER(CO90),ISNUMBER(CQ90),BY90=1),1,0)</f>
        <v>0</v>
      </c>
      <c r="CV90" s="16" t="str">
        <f aca="false">IF(CU90=0,"",CQ90*p_hr_coal*N(AK90)+CR90*p_hr_gas*N(AO90)+CS90*p_hr_oil*N(AH90)/p_gj_l_oil)</f>
        <v/>
      </c>
      <c r="CW90" s="37" t="str">
        <f aca="false">IF(CU90=0,"",CQ90*p_hr_coal*p_ef_coal+CR90*p_hr_gas*p_ef_gas+CS90*p_hr_oil*p_ef_oil)</f>
        <v/>
      </c>
      <c r="CX90" s="16" t="str">
        <f aca="false">IF(CU90=0,"",CQ90*p_hr_coal*N(AW90)+CR90*p_hr_gas*N(AX90)+CS90*p_hr_oil*N(AY90)/p_gj_l_oil)</f>
        <v/>
      </c>
      <c r="CY90" s="37" t="str">
        <f aca="false">IF(CU90=0,"",CO90*CW90)</f>
        <v/>
      </c>
      <c r="CZ90" s="37" t="str">
        <f aca="false">IF(CU90=0,"",CT90*CO90*CV90/1000/1000-p_om_re)</f>
        <v/>
      </c>
      <c r="DA90" s="37" t="str">
        <f aca="false">IF(CU90=0,"",CT90*CO90*CX90/1000/1000)</f>
        <v/>
      </c>
      <c r="DB90" s="37" t="str">
        <f aca="false">IF(CU90=0,"",CT90*CO90*CW90/1000)</f>
        <v/>
      </c>
      <c r="DC90" s="13" t="n">
        <f aca="false">IF(AND(CU90=1,ISNUMBER(AD90),ISNUMBER(AV90)),1,0)</f>
        <v>0</v>
      </c>
      <c r="DD90" s="7" t="str">
        <f aca="false">IF(DC90=0,"",p_ev_km*p_ice_l/100*AD90-p_ev_km*p_ev_kwh*AV90+p_ev_km*p_ev_maint)</f>
        <v/>
      </c>
      <c r="DE90" s="37" t="str">
        <f aca="false">IF(DC90=0,"",DD90/p_ev_prem)</f>
        <v/>
      </c>
      <c r="DF90" s="37" t="str">
        <f aca="false">IF(DC90=0,"",p_ev_km*p_ice_l/100*N(AZ90)/p_ev_prem)</f>
        <v/>
      </c>
      <c r="DG90" s="37" t="str">
        <f aca="false">IF(DC90=0,"",1000/p_ev_prem*(p_ev_km*p_ice_l/100*p_gj_l_gso*p_ef_gso-p_ev_km*p_ev_kwh/1000*CY90))</f>
        <v/>
      </c>
      <c r="DH90" s="11" t="str">
        <f aca="false">IFERROR(IF(INDEX(Damodaran!$D:$D,MATCH(A90,Damodaran!$A:$A,0))="","",INDEX(Damodaran!$D:$D,MATCH(A90,Damodaran!$A:$A,0))),"")</f>
        <v/>
      </c>
      <c r="DI90" s="11" t="str">
        <f aca="false">IFERROR(IF(INDEX(Damodaran!$E:$E,MATCH(A90,Damodaran!$A:$A,0))="","",INDEX(Damodaran!$E:$E,MATCH(A90,Damodaran!$A:$A,0))),"")</f>
        <v/>
      </c>
      <c r="DJ90" s="11" t="str">
        <f aca="false">IFERROR(IF(INDEX(Damodaran!$G:$G,MATCH(A90,Damodaran!$A:$A,0))="","",INDEX(Damodaran!$G:$G,MATCH(A90,Damodaran!$A:$A,0))),"")</f>
        <v/>
      </c>
      <c r="DK90" s="11" t="str">
        <f aca="false">IF(ISNUMBER(BG90),(1+BG90/100)*(1+p_infl)-1,"")</f>
        <v/>
      </c>
      <c r="DL90" s="11" t="str">
        <f aca="false">IF(ISNUMBER(BH90),BH90/100,"")</f>
        <v/>
      </c>
      <c r="DM90" s="11" t="str">
        <f aca="false">IF(COUNT(DK90,DL90)=0,"",AVERAGE(DK90,DL90))</f>
        <v/>
      </c>
      <c r="DN90" s="11" t="str">
        <f aca="false">IF(OR(DH90="",DI90=""),"",p_dv*(p_rf+DH90)*(1-IF(DJ90="",p_tax_def,DJ90))+(1-p_dv)*(p_rf+p_beta*p_erp+p_lambda*DI90))</f>
        <v/>
      </c>
      <c r="DO90" s="13" t="n">
        <f aca="false">IF(AND(ISNUMBER(DM90),ISNUMBER(DN90)),1,0)</f>
        <v>0</v>
      </c>
      <c r="DP90" s="11" t="n">
        <f aca="false">IF(DO90=1,DM90,0)</f>
        <v>0</v>
      </c>
      <c r="DQ90" s="11" t="n">
        <f aca="false">IF(DO90=1,DN90,0)</f>
        <v>0</v>
      </c>
      <c r="DR90" s="11" t="str">
        <f aca="false">IF(DN90="","",DN90+p_shift)</f>
        <v/>
      </c>
      <c r="DS90" s="11" t="n">
        <f aca="false">IF(E90="AE",p_r_ae,IF(E90="China",p_r_chn,p_r_emdc))</f>
        <v>0.105</v>
      </c>
      <c r="DT90" s="11" t="n">
        <f aca="false">IF(E90="AE",p_rh_ae,IF(E90="China",p_rh_chn,p_rh_emdc))</f>
        <v>0.15</v>
      </c>
      <c r="DU90" s="11" t="n">
        <f aca="false">IF(AND(p_use_obs=1,ISNUMBER(DM90)),DM90,IF(AND(p_use_dam=1,ISNUMBER(DR90)),DR90,DS90))</f>
        <v>0.105</v>
      </c>
      <c r="DV90" s="6" t="str">
        <f aca="false">IF(AND(p_use_obs=1,ISNUMBER(DM90)),"Observed (IRENA/Steffen)",IF(AND(p_use_dam=1,ISNUMBER(DR90)),"Damodaran (eq. 5)","Group default (IHLEG)"))</f>
        <v>Group default (IHLEG)</v>
      </c>
      <c r="DW90" s="11" t="n">
        <f aca="false">IF(p_basis=1,(1+DU90)/(1+p_infl)-1,DU90)</f>
        <v>0.105</v>
      </c>
      <c r="DX90" s="11" t="n">
        <f aca="false">DW90+(DT90-DS90)</f>
        <v>0.15</v>
      </c>
      <c r="DY90" s="28" t="n">
        <f aca="false">IF(AND(p_use_pefa=1,ISNUMBER(BD90)),p_gap_lic-(BD90-1)/3*(p_gap_lic-p_gap_ae),IF(E90="AE",p_gap_ae,IF(D90="Low income",p_gap_lic,p_gap_em)))*(1-p_reform*p_reform_close)</f>
        <v>0.4</v>
      </c>
      <c r="DZ90" s="6" t="str">
        <f aca="false">IF(AND(p_use_pefa=1,ISNUMBER(BD90)),"PEFA PI-11","Income-group default (IMF 2015)")</f>
        <v>PEFA PI-11</v>
      </c>
      <c r="EA90" s="28" t="n">
        <f aca="false">IF(E90="AE",p_ps_ae,IF(E90="China",p_ps_chn,p_ps_emdc))</f>
        <v>0.4</v>
      </c>
      <c r="EB90" s="37" t="n">
        <f aca="false">(1-EA90)+EA90/(1-DY90)</f>
        <v>1.26666666666667</v>
      </c>
      <c r="EC90" s="16" t="n">
        <f aca="false">Results_Country!F90</f>
        <v>13.8098324990928</v>
      </c>
      <c r="ED90" s="16" t="n">
        <f aca="false">IF(CH90="",0,CH90*EC90)</f>
        <v>3896.42629930271</v>
      </c>
      <c r="EE90" s="16" t="n">
        <f aca="false">IF(CJ90="",0,CJ90*EC90)</f>
        <v>2.69067412191566</v>
      </c>
      <c r="EF90" s="16" t="n">
        <f aca="false">IF(CH90="",0,EC90)</f>
        <v>13.8098324990928</v>
      </c>
    </row>
    <row r="91" customFormat="false" ht="15" hidden="false" customHeight="false" outlineLevel="0" collapsed="false">
      <c r="A91" s="35" t="s">
        <v>939</v>
      </c>
      <c r="B91" s="35" t="s">
        <v>940</v>
      </c>
      <c r="C91" s="35" t="s">
        <v>766</v>
      </c>
      <c r="D91" s="35" t="s">
        <v>763</v>
      </c>
      <c r="E91" s="35" t="s">
        <v>31</v>
      </c>
      <c r="F91" s="36" t="n">
        <v>74.426</v>
      </c>
      <c r="G91" s="36" t="n">
        <v>256.56</v>
      </c>
      <c r="H91" s="33" t="n">
        <v>1.4</v>
      </c>
      <c r="I91" s="33" t="n">
        <v>2.217</v>
      </c>
      <c r="J91" s="36" t="n">
        <v>10.336578</v>
      </c>
      <c r="K91" s="36" t="n">
        <v>36.957</v>
      </c>
      <c r="L91" s="36" t="n">
        <v>70.588</v>
      </c>
      <c r="M91" s="36" t="n">
        <v>68.695</v>
      </c>
      <c r="N91" s="36" t="n">
        <v>13.6764965682761</v>
      </c>
      <c r="O91" s="36" t="n">
        <v>7.35068849859145</v>
      </c>
      <c r="P91" s="36" t="n">
        <v>0.232656775361448</v>
      </c>
      <c r="Q91" s="31" t="n">
        <v>0.0459875987133655</v>
      </c>
      <c r="R91" s="31" t="n">
        <v>0.160062719607278</v>
      </c>
      <c r="S91" s="31" t="n">
        <v>0.223394765936144</v>
      </c>
      <c r="T91" s="31" t="n">
        <v>0.000793224351585292</v>
      </c>
      <c r="U91" s="31" t="n">
        <v>0</v>
      </c>
      <c r="V91" s="31" t="n">
        <v>0</v>
      </c>
      <c r="W91" s="31" t="n">
        <v>0</v>
      </c>
      <c r="X91" s="31" t="n">
        <v>0</v>
      </c>
      <c r="Y91" s="36" t="n">
        <v>1.72235856909846</v>
      </c>
      <c r="Z91" s="36" t="n">
        <v>1.3598046994191</v>
      </c>
      <c r="AA91" s="36" t="n">
        <v>0.0567872268953552</v>
      </c>
      <c r="AB91" s="36" t="n">
        <v>0.111171885195534</v>
      </c>
      <c r="AC91" s="36" t="n">
        <v>0.420754855210046</v>
      </c>
      <c r="AD91" s="31" t="n">
        <v>0.853848</v>
      </c>
      <c r="AE91" s="31" t="n">
        <v>0.787683</v>
      </c>
      <c r="AF91" s="31" t="n">
        <v>0.541681</v>
      </c>
      <c r="AG91" s="31" t="n">
        <v>0.591</v>
      </c>
      <c r="AH91" s="31" t="n">
        <v>0.519462891908447</v>
      </c>
      <c r="AI91" s="31" t="n">
        <v>7.124</v>
      </c>
      <c r="AJ91" s="31" t="n">
        <v>12.94342</v>
      </c>
      <c r="AK91" s="31" t="n">
        <v>4.351</v>
      </c>
      <c r="AL91" s="31" t="n">
        <v>8.13947333333333</v>
      </c>
      <c r="AM91" s="31" t="n">
        <v>5.56</v>
      </c>
      <c r="AN91" s="31" t="n">
        <v>11.98054</v>
      </c>
      <c r="AO91" s="31" t="n">
        <v>4.794</v>
      </c>
      <c r="AP91" s="31" t="n">
        <v>7.55459426697742</v>
      </c>
      <c r="AQ91" s="36" t="n">
        <v>1.441085692878</v>
      </c>
      <c r="AR91" s="36" t="n">
        <v>0.371741819179231</v>
      </c>
      <c r="AS91" s="36" t="n">
        <v>0.390167139792893</v>
      </c>
      <c r="AT91" s="36" t="n">
        <v>0.282720419282967</v>
      </c>
      <c r="AU91" s="31" t="n">
        <v>0.0783732936990747</v>
      </c>
      <c r="AV91" s="36" t="n">
        <v>0.13216</v>
      </c>
      <c r="AW91" s="31" t="n">
        <v>0</v>
      </c>
      <c r="AX91" s="31" t="n">
        <v>0</v>
      </c>
      <c r="AY91" s="31" t="n">
        <v>0.749817548550624</v>
      </c>
      <c r="AZ91" s="31" t="n">
        <v>0.155819</v>
      </c>
      <c r="BA91" s="33" t="n">
        <v>21.64</v>
      </c>
      <c r="BB91" s="33" t="n">
        <v>1.134</v>
      </c>
      <c r="BC91" s="33" t="n">
        <v>99.354</v>
      </c>
      <c r="BD91" s="33"/>
      <c r="BE91" s="33"/>
      <c r="BF91" s="33" t="n">
        <v>1</v>
      </c>
      <c r="BG91" s="33" t="n">
        <v>7</v>
      </c>
      <c r="BH91" s="33"/>
      <c r="BI91" s="29"/>
      <c r="BJ91" s="33" t="n">
        <v>1</v>
      </c>
      <c r="BK91" s="33"/>
      <c r="BL91" s="33" t="n">
        <v>2.041</v>
      </c>
      <c r="BM91" s="33" t="n">
        <v>7.23</v>
      </c>
      <c r="BN91" s="29" t="n">
        <v>21.499</v>
      </c>
      <c r="BO91" s="33" t="n">
        <v>0.611</v>
      </c>
      <c r="BP91" s="33" t="n">
        <v>0.49</v>
      </c>
      <c r="BQ91" s="29" t="n">
        <v>2025</v>
      </c>
      <c r="BR91" s="36" t="n">
        <v>27.34</v>
      </c>
      <c r="BS91" s="36" t="n">
        <v>0</v>
      </c>
      <c r="BT91" s="36" t="n">
        <v>24.64</v>
      </c>
      <c r="BU91" s="36" t="n">
        <v>0.1</v>
      </c>
      <c r="BV91" s="16" t="n">
        <f aca="false">F91*(1+N(H91)/100)*(1+N(I91)/100)^5</f>
        <v>84.2128346885473</v>
      </c>
      <c r="BW91" s="16" t="n">
        <f aca="false">IF(N(G91)&gt;0,G91,F91)</f>
        <v>256.56</v>
      </c>
      <c r="BX91" s="12" t="n">
        <f aca="false">F91/BW91</f>
        <v>0.290091986280013</v>
      </c>
      <c r="BY91" s="13" t="n">
        <f aca="false">IF(ISNUMBER(K91),1,0)</f>
        <v>1</v>
      </c>
      <c r="BZ91" s="16" t="n">
        <f aca="false">IF(BY91=0,"",N(N91)+N(O91)+N(P91))</f>
        <v>21.259841842229</v>
      </c>
      <c r="CA91" s="37" t="n">
        <f aca="false">IF(BY91=0,"",(N(Y91)*34.2+N(Z91)*38.6)/1000)</f>
        <v>0.111393124460744</v>
      </c>
      <c r="CB91" s="37" t="n">
        <f aca="false">IF(BY91=0,"",N(O91)*0.0036+N(R91)+N(V91)+(N(AA91)*25.3+N(AB91)*37)/1000)</f>
        <v>0.192075274794894</v>
      </c>
      <c r="CC91" s="37" t="n">
        <f aca="false">IF(BY91=0,"",N(N91)*0.0036+N(Q91)+N(U91)+N(T91)+N(X91)+N(AC91)*38/1000)</f>
        <v>0.112004895208727</v>
      </c>
      <c r="CD91" s="37" t="n">
        <f aca="false">IF(BY91=0,"",N(Q91)+N(R91)+N(S91)+N(T91)+N(U91)+N(V91)+N(W91)+N(X91)+(N(Y91)*34.2+N(Z91)*38.6+N(AA91)*25.3+N(AB91)*37+N(AC91)*38)/1000)</f>
        <v>0.563170194159786</v>
      </c>
      <c r="CE91" s="16" t="n">
        <f aca="false">IF(BY91=0,"",MAX(0,N(L91)-N(K91))+MAX(0,N(M91)-N(L91)))</f>
        <v>33.631</v>
      </c>
      <c r="CF91" s="16" t="n">
        <f aca="false">IF(BY91=0,"",N(Y91)*N(AD91)+N(Z91)*N(AE91)+N(AA91)*N(AF91)+N(AB91)*N(AG91)+N(AC91)*N(AH91)+N(U91)*N(AI91)+N(V91)*N(AJ91)+N(W91)*N(AK91)+N(X91)*N(AL91)+N(Q91)*N(AM91)+N(R91)*N(AN91)+N(S91)*N(AO91)+N(T91)*N(AP91))</f>
        <v>6.10703300408138</v>
      </c>
      <c r="CG91" s="16" t="n">
        <f aca="false">IF(AND(BY91=1,N(K91)&gt;0),K91,0)</f>
        <v>36.957</v>
      </c>
      <c r="CH91" s="16" t="n">
        <f aca="false">IF(CG91&gt;0,CF91*1000/CG91,"")</f>
        <v>165.246989855274</v>
      </c>
      <c r="CI91" s="16" t="n">
        <f aca="false">IF(BY91=0,"",N(AQ91)+p_road*(N(AR91)+N(AS91)+N(AT91)))</f>
        <v>1.441085692878</v>
      </c>
      <c r="CJ91" s="16" t="n">
        <f aca="false">IF(CG91&gt;0,CI91*1000/CG91,"")</f>
        <v>38.993578831561</v>
      </c>
      <c r="CK91" s="12" t="n">
        <f aca="false">IF(CH91="",1,MIN(p_idx_max,MAX(p_idx_min,CH91/p_fc_world)))</f>
        <v>1.0263319985128</v>
      </c>
      <c r="CL91" s="12" t="n">
        <f aca="false">IF(CJ91="",1,MIN(p_idx_max,MAX(p_idx_min,CJ91/p_cb_world)))</f>
        <v>0.741452549396197</v>
      </c>
      <c r="CM91" s="37" t="n">
        <f aca="false">p_b*(1-p_wb_idx+p_wb_idx*CK91)</f>
        <v>0.136502155802202</v>
      </c>
      <c r="CN91" s="37" t="n">
        <f aca="false">p_c*(1-p_wc_idx+p_wc_idx*CL91)</f>
        <v>0.0956473788721094</v>
      </c>
      <c r="CO91" s="28" t="n">
        <f aca="false">IF(N(BR91)&gt;0,(N(BS91)+N(BT91)+N(BU91))/BR91,"")</f>
        <v>0.904901243599122</v>
      </c>
      <c r="CP91" s="16" t="n">
        <f aca="false">N(BS91)+N(BT91)+N(BU91)</f>
        <v>24.74</v>
      </c>
      <c r="CQ91" s="28" t="n">
        <f aca="false">IF(CP91&gt;0,N(BS91)/CP91,"")</f>
        <v>0</v>
      </c>
      <c r="CR91" s="28" t="n">
        <f aca="false">IF(CP91&gt;0,N(BT91)/CP91,"")</f>
        <v>0.995957962813258</v>
      </c>
      <c r="CS91" s="28" t="n">
        <f aca="false">IF(CP91&gt;0,N(BU91)/CP91,"")</f>
        <v>0.00404203718674212</v>
      </c>
      <c r="CT91" s="7" t="n">
        <f aca="false">1000*(p_sh_pv*p_cf_pv/p_capex_pv+(1-p_sh_pv)*p_cf_wind/p_capex_wind)*8760</f>
        <v>2301.28856624319</v>
      </c>
      <c r="CU91" s="13" t="n">
        <f aca="false">IF(AND(ISNUMBER(CO91),ISNUMBER(CQ91),BY91=1),1,0)</f>
        <v>1</v>
      </c>
      <c r="CV91" s="16" t="n">
        <f aca="false">IF(CU91=0,"",CQ91*p_hr_coal*N(AK91)+CR91*p_hr_gas*N(AO91)+CS91*p_hr_oil*N(AH91)/p_gj_l_oil)</f>
        <v>36.3808272945408</v>
      </c>
      <c r="CW91" s="37" t="n">
        <f aca="false">IF(CU91=0,"",CQ91*p_hr_coal*p_ef_coal+CR91*p_hr_gas*p_ef_gas+CS91*p_hr_oil*p_ef_oil)</f>
        <v>0.422334276475344</v>
      </c>
      <c r="CX91" s="16" t="n">
        <f aca="false">IF(CU91=0,"",CQ91*p_hr_coal*N(AW91)+CR91*p_hr_gas*N(AX91)+CS91*p_hr_oil*N(AY91)/p_gj_l_oil)</f>
        <v>0.824437807056764</v>
      </c>
      <c r="CY91" s="37" t="n">
        <f aca="false">IF(CU91=0,"",CO91*CW91)</f>
        <v>0.382170811997074</v>
      </c>
      <c r="CZ91" s="37" t="n">
        <f aca="false">IF(CU91=0,"",CT91*CO91*CV91/1000/1000-p_om_re)</f>
        <v>0.0607608494438622</v>
      </c>
      <c r="DA91" s="37" t="n">
        <f aca="false">IF(CU91=0,"",CT91*CO91*CX91/1000/1000)</f>
        <v>0.00171684134806984</v>
      </c>
      <c r="DB91" s="37" t="n">
        <f aca="false">IF(CU91=0,"",CT91*CO91*CW91/1000)</f>
        <v>0.879485320000743</v>
      </c>
      <c r="DC91" s="13" t="n">
        <f aca="false">IF(AND(CU91=1,ISNUMBER(AD91),ISNUMBER(AV91)),1,0)</f>
        <v>1</v>
      </c>
      <c r="DD91" s="7" t="n">
        <f aca="false">IF(DC91=0,"",p_ev_km*p_ice_l/100*AD91-p_ev_km*p_ev_kwh*AV91+p_ev_km*p_ev_maint)</f>
        <v>783.747</v>
      </c>
      <c r="DE91" s="37" t="n">
        <f aca="false">IF(DC91=0,"",DD91/p_ev_prem)</f>
        <v>0.1567494</v>
      </c>
      <c r="DF91" s="37" t="n">
        <f aca="false">IF(DC91=0,"",p_ev_km*p_ice_l/100*N(AZ91)/p_ev_prem)</f>
        <v>0.035059275</v>
      </c>
      <c r="DG91" s="37" t="n">
        <f aca="false">IF(DC91=0,"",1000/p_ev_prem*(p_ev_km*p_ice_l/100*p_gj_l_gso*p_ef_gso-p_ev_km*p_ev_kwh/1000*CY91))</f>
        <v>0.32689126152158</v>
      </c>
      <c r="DH91" s="11" t="str">
        <f aca="false">IFERROR(IF(INDEX(Damodaran!$D:$D,MATCH(A91,Damodaran!$A:$A,0))="","",INDEX(Damodaran!$D:$D,MATCH(A91,Damodaran!$A:$A,0))),"")</f>
        <v/>
      </c>
      <c r="DI91" s="11" t="str">
        <f aca="false">IFERROR(IF(INDEX(Damodaran!$E:$E,MATCH(A91,Damodaran!$A:$A,0))="","",INDEX(Damodaran!$E:$E,MATCH(A91,Damodaran!$A:$A,0))),"")</f>
        <v/>
      </c>
      <c r="DJ91" s="11" t="str">
        <f aca="false">IFERROR(IF(INDEX(Damodaran!$G:$G,MATCH(A91,Damodaran!$A:$A,0))="","",INDEX(Damodaran!$G:$G,MATCH(A91,Damodaran!$A:$A,0))),"")</f>
        <v/>
      </c>
      <c r="DK91" s="11" t="n">
        <f aca="false">IF(ISNUMBER(BG91),(1+BG91/100)*(1+p_infl)-1,"")</f>
        <v>0.0914000000000002</v>
      </c>
      <c r="DL91" s="11" t="str">
        <f aca="false">IF(ISNUMBER(BH91),BH91/100,"")</f>
        <v/>
      </c>
      <c r="DM91" s="11" t="n">
        <f aca="false">IF(COUNT(DK91,DL91)=0,"",AVERAGE(DK91,DL91))</f>
        <v>0.0914000000000002</v>
      </c>
      <c r="DN91" s="11" t="str">
        <f aca="false">IF(OR(DH91="",DI91=""),"",p_dv*(p_rf+DH91)*(1-IF(DJ91="",p_tax_def,DJ91))+(1-p_dv)*(p_rf+p_beta*p_erp+p_lambda*DI91))</f>
        <v/>
      </c>
      <c r="DO91" s="13" t="n">
        <f aca="false">IF(AND(ISNUMBER(DM91),ISNUMBER(DN91)),1,0)</f>
        <v>0</v>
      </c>
      <c r="DP91" s="11" t="n">
        <f aca="false">IF(DO91=1,DM91,0)</f>
        <v>0</v>
      </c>
      <c r="DQ91" s="11" t="n">
        <f aca="false">IF(DO91=1,DN91,0)</f>
        <v>0</v>
      </c>
      <c r="DR91" s="11" t="str">
        <f aca="false">IF(DN91="","",DN91+p_shift)</f>
        <v/>
      </c>
      <c r="DS91" s="11" t="n">
        <f aca="false">IF(E91="AE",p_r_ae,IF(E91="China",p_r_chn,p_r_emdc))</f>
        <v>0.105</v>
      </c>
      <c r="DT91" s="11" t="n">
        <f aca="false">IF(E91="AE",p_rh_ae,IF(E91="China",p_rh_chn,p_rh_emdc))</f>
        <v>0.15</v>
      </c>
      <c r="DU91" s="11" t="n">
        <f aca="false">IF(AND(p_use_obs=1,ISNUMBER(DM91)),DM91,IF(AND(p_use_dam=1,ISNUMBER(DR91)),DR91,DS91))</f>
        <v>0.0914000000000002</v>
      </c>
      <c r="DV91" s="6" t="str">
        <f aca="false">IF(AND(p_use_obs=1,ISNUMBER(DM91)),"Observed (IRENA/Steffen)",IF(AND(p_use_dam=1,ISNUMBER(DR91)),"Damodaran (eq. 5)","Group default (IHLEG)"))</f>
        <v>Observed (IRENA/Steffen)</v>
      </c>
      <c r="DW91" s="11" t="n">
        <f aca="false">IF(p_basis=1,(1+DU91)/(1+p_infl)-1,DU91)</f>
        <v>0.0914000000000002</v>
      </c>
      <c r="DX91" s="11" t="n">
        <f aca="false">DW91+(DT91-DS91)</f>
        <v>0.1364</v>
      </c>
      <c r="DY91" s="28" t="n">
        <f aca="false">IF(AND(p_use_pefa=1,ISNUMBER(BD91)),p_gap_lic-(BD91-1)/3*(p_gap_lic-p_gap_ae),IF(E91="AE",p_gap_ae,IF(D91="Low income",p_gap_lic,p_gap_em)))*(1-p_reform*p_reform_close)</f>
        <v>0.27</v>
      </c>
      <c r="DZ91" s="6" t="str">
        <f aca="false">IF(AND(p_use_pefa=1,ISNUMBER(BD91)),"PEFA PI-11","Income-group default (IMF 2015)")</f>
        <v>Income-group default (IMF 2015)</v>
      </c>
      <c r="EA91" s="28" t="n">
        <f aca="false">IF(E91="AE",p_ps_ae,IF(E91="China",p_ps_chn,p_ps_emdc))</f>
        <v>0.4</v>
      </c>
      <c r="EB91" s="37" t="n">
        <f aca="false">(1-EA91)+EA91/(1-DY91)</f>
        <v>1.14794520547945</v>
      </c>
      <c r="EC91" s="16" t="n">
        <f aca="false">Results_Country!F91</f>
        <v>5.47147690928311</v>
      </c>
      <c r="ED91" s="16" t="n">
        <f aca="false">IF(CH91="",0,CH91*EC91)</f>
        <v>904.145089321674</v>
      </c>
      <c r="EE91" s="16" t="n">
        <f aca="false">IF(CJ91="",0,CJ91*EC91)</f>
        <v>213.352466187197</v>
      </c>
      <c r="EF91" s="16" t="n">
        <f aca="false">IF(CH91="",0,EC91)</f>
        <v>5.47147690928311</v>
      </c>
    </row>
    <row r="92" customFormat="false" ht="15" hidden="false" customHeight="false" outlineLevel="0" collapsed="false">
      <c r="A92" s="35" t="s">
        <v>941</v>
      </c>
      <c r="B92" s="35" t="s">
        <v>942</v>
      </c>
      <c r="C92" s="35" t="s">
        <v>766</v>
      </c>
      <c r="D92" s="35" t="s">
        <v>760</v>
      </c>
      <c r="E92" s="35" t="s">
        <v>29</v>
      </c>
      <c r="F92" s="36" t="n">
        <v>72.95</v>
      </c>
      <c r="G92" s="36" t="n">
        <v>118.759</v>
      </c>
      <c r="H92" s="33" t="n">
        <v>1.06</v>
      </c>
      <c r="I92" s="33" t="n">
        <v>2</v>
      </c>
      <c r="J92" s="36" t="n">
        <v>2.118696</v>
      </c>
      <c r="K92" s="36" t="n">
        <v>13.371</v>
      </c>
      <c r="L92" s="36" t="n">
        <v>16.534</v>
      </c>
      <c r="M92" s="36" t="n">
        <v>13.39</v>
      </c>
      <c r="N92" s="36" t="n">
        <v>10.6145936635134</v>
      </c>
      <c r="O92" s="36" t="n">
        <v>4.30221566805153</v>
      </c>
      <c r="P92" s="36" t="n">
        <v>0.268788844563188</v>
      </c>
      <c r="Q92" s="31" t="n">
        <v>0.0289741476484987</v>
      </c>
      <c r="R92" s="31" t="n">
        <v>0.00915914082975283</v>
      </c>
      <c r="S92" s="31" t="n">
        <v>0.0043216778662314</v>
      </c>
      <c r="T92" s="31" t="n">
        <v>0.000233272190318844</v>
      </c>
      <c r="U92" s="31" t="n">
        <v>0.00119481262081859</v>
      </c>
      <c r="V92" s="31" t="n">
        <v>1.35124585862085E-006</v>
      </c>
      <c r="W92" s="31" t="n">
        <v>0.023183541076989</v>
      </c>
      <c r="X92" s="31" t="n">
        <v>0</v>
      </c>
      <c r="Y92" s="36" t="n">
        <v>0.540424249385056</v>
      </c>
      <c r="Z92" s="36" t="n">
        <v>1.98762649702212</v>
      </c>
      <c r="AA92" s="36" t="n">
        <v>0.163889390514896</v>
      </c>
      <c r="AB92" s="36" t="n">
        <v>0.000706444562044396</v>
      </c>
      <c r="AC92" s="36" t="n">
        <v>0.0646290490234779</v>
      </c>
      <c r="AD92" s="31" t="n">
        <v>0.881237</v>
      </c>
      <c r="AE92" s="31" t="n">
        <v>0.843328</v>
      </c>
      <c r="AF92" s="31" t="n">
        <v>0.55078</v>
      </c>
      <c r="AG92" s="31" t="n">
        <v>0.591</v>
      </c>
      <c r="AH92" s="31" t="n">
        <v>0.519462891908447</v>
      </c>
      <c r="AI92" s="31" t="n">
        <v>4.423</v>
      </c>
      <c r="AJ92" s="31" t="n">
        <v>10.05524</v>
      </c>
      <c r="AK92" s="31" t="n">
        <v>4.007</v>
      </c>
      <c r="AL92" s="31" t="n">
        <v>4.02772275733771</v>
      </c>
      <c r="AM92" s="31" t="n">
        <v>15.716</v>
      </c>
      <c r="AN92" s="31" t="n">
        <v>25.6139</v>
      </c>
      <c r="AO92" s="31" t="n">
        <v>15.716</v>
      </c>
      <c r="AP92" s="31" t="n">
        <v>17.8513511220152</v>
      </c>
      <c r="AQ92" s="36" t="n">
        <v>0.064401974123996</v>
      </c>
      <c r="AR92" s="36" t="n">
        <v>0.0716627271251461</v>
      </c>
      <c r="AS92" s="36" t="n">
        <v>0.0206411716002741</v>
      </c>
      <c r="AT92" s="36" t="n">
        <v>0.0531153127131313</v>
      </c>
      <c r="AU92" s="31" t="n">
        <v>0.554095611638545</v>
      </c>
      <c r="AV92" s="36" t="n">
        <v>0.206644</v>
      </c>
      <c r="AW92" s="31" t="n">
        <v>1.157198</v>
      </c>
      <c r="AX92" s="31" t="n">
        <v>0.021717</v>
      </c>
      <c r="AY92" s="31" t="n">
        <v>0.0112253392390264</v>
      </c>
      <c r="AZ92" s="31" t="n">
        <v>0.023662</v>
      </c>
      <c r="BA92" s="33" t="n">
        <v>66.606</v>
      </c>
      <c r="BB92" s="33" t="n">
        <v>1.441</v>
      </c>
      <c r="BC92" s="33"/>
      <c r="BD92" s="33"/>
      <c r="BE92" s="33"/>
      <c r="BF92" s="33" t="n">
        <v>0</v>
      </c>
      <c r="BG92" s="33"/>
      <c r="BH92" s="33" t="n">
        <v>4.5</v>
      </c>
      <c r="BI92" s="29" t="n">
        <v>2018</v>
      </c>
      <c r="BJ92" s="33" t="n">
        <v>1</v>
      </c>
      <c r="BK92" s="33"/>
      <c r="BL92" s="33"/>
      <c r="BM92" s="33"/>
      <c r="BN92" s="29"/>
      <c r="BO92" s="33"/>
      <c r="BP92" s="33"/>
      <c r="BQ92" s="29" t="n">
        <v>2025</v>
      </c>
      <c r="BR92" s="36" t="n">
        <v>14.86</v>
      </c>
      <c r="BS92" s="36" t="n">
        <v>2.18</v>
      </c>
      <c r="BT92" s="36" t="n">
        <v>0.97</v>
      </c>
      <c r="BU92" s="36" t="n">
        <v>-0.02</v>
      </c>
      <c r="BV92" s="16" t="n">
        <f aca="false">F92*(1+N(H92)/100)*(1+N(I92)/100)^5</f>
        <v>81.3964471561305</v>
      </c>
      <c r="BW92" s="16" t="n">
        <f aca="false">IF(N(G92)&gt;0,G92,F92)</f>
        <v>118.759</v>
      </c>
      <c r="BX92" s="12" t="n">
        <f aca="false">F92/BW92</f>
        <v>0.614269234331714</v>
      </c>
      <c r="BY92" s="13" t="n">
        <f aca="false">IF(ISNUMBER(K92),1,0)</f>
        <v>1</v>
      </c>
      <c r="BZ92" s="16" t="n">
        <f aca="false">IF(BY92=0,"",N(N92)+N(O92)+N(P92))</f>
        <v>15.1855981761281</v>
      </c>
      <c r="CA92" s="37" t="n">
        <f aca="false">IF(BY92=0,"",(N(Y92)*34.2+N(Z92)*38.6)/1000)</f>
        <v>0.0952048921140227</v>
      </c>
      <c r="CB92" s="37" t="n">
        <f aca="false">IF(BY92=0,"",N(O92)*0.0036+N(R92)+N(V92)+(N(AA92)*25.3+N(AB92)*37)/1000)</f>
        <v>0.0288210085094195</v>
      </c>
      <c r="CC92" s="37" t="n">
        <f aca="false">IF(BY92=0,"",N(N92)*0.0036+N(Q92)+N(U92)+N(T92)+N(X92)+N(AC92)*38/1000)</f>
        <v>0.0710706735111765</v>
      </c>
      <c r="CD92" s="37" t="n">
        <f aca="false">IF(BY92=0,"",N(Q92)+N(R92)+N(S92)+N(T92)+N(U92)+N(V92)+N(W92)+N(X92)+(N(Y92)*34.2+N(Z92)*38.6+N(AA92)*25.3+N(AB92)*37+N(AC92)*38)/1000)</f>
        <v>0.168901279484205</v>
      </c>
      <c r="CE92" s="16" t="n">
        <f aca="false">IF(BY92=0,"",MAX(0,N(L92)-N(K92))+MAX(0,N(M92)-N(L92)))</f>
        <v>3.163</v>
      </c>
      <c r="CF92" s="16" t="n">
        <f aca="false">IF(BY92=0,"",N(Y92)*N(AD92)+N(Z92)*N(AE92)+N(AA92)*N(AF92)+N(AB92)*N(AG92)+N(AC92)*N(AH92)+N(U92)*N(AI92)+N(V92)*N(AJ92)+N(W92)*N(AK92)+N(X92)*N(AL92)+N(Q92)*N(AM92)+N(R92)*N(AN92)+N(S92)*N(AO92)+N(T92)*N(AP92))</f>
        <v>3.13695724997087</v>
      </c>
      <c r="CG92" s="16" t="n">
        <f aca="false">IF(AND(BY92=1,N(K92)&gt;0),K92,0)</f>
        <v>13.371</v>
      </c>
      <c r="CH92" s="16" t="n">
        <f aca="false">IF(CG92&gt;0,CF92*1000/CG92,"")</f>
        <v>234.609023257114</v>
      </c>
      <c r="CI92" s="16" t="n">
        <f aca="false">IF(BY92=0,"",N(AQ92)+p_road*(N(AR92)+N(AS92)+N(AT92)))</f>
        <v>0.064401974123996</v>
      </c>
      <c r="CJ92" s="16" t="n">
        <f aca="false">IF(CG92&gt;0,CI92*1000/CG92,"")</f>
        <v>4.81654133004233</v>
      </c>
      <c r="CK92" s="12" t="n">
        <f aca="false">IF(CH92="",1,MIN(p_idx_max,MAX(p_idx_min,CH92/p_fc_world)))</f>
        <v>1.45713242897491</v>
      </c>
      <c r="CL92" s="12" t="n">
        <f aca="false">IF(CJ92="",1,MIN(p_idx_max,MAX(p_idx_min,CJ92/p_cb_world)))</f>
        <v>0.25</v>
      </c>
      <c r="CM92" s="37" t="n">
        <f aca="false">p_b*(1-p_wb_idx+p_wb_idx*CK92)</f>
        <v>0.193798613053663</v>
      </c>
      <c r="CN92" s="37" t="n">
        <f aca="false">p_c*(1-p_wc_idx+p_wc_idx*CL92)</f>
        <v>0.03225</v>
      </c>
      <c r="CO92" s="28" t="n">
        <f aca="false">IF(N(BR92)&gt;0,(N(BS92)+N(BT92)+N(BU92))/BR92,"")</f>
        <v>0.210632570659489</v>
      </c>
      <c r="CP92" s="16" t="n">
        <f aca="false">N(BS92)+N(BT92)+N(BU92)</f>
        <v>3.13</v>
      </c>
      <c r="CQ92" s="28" t="n">
        <f aca="false">IF(CP92&gt;0,N(BS92)/CP92,"")</f>
        <v>0.696485623003195</v>
      </c>
      <c r="CR92" s="28" t="n">
        <f aca="false">IF(CP92&gt;0,N(BT92)/CP92,"")</f>
        <v>0.309904153354633</v>
      </c>
      <c r="CS92" s="28" t="n">
        <f aca="false">IF(CP92&gt;0,N(BU92)/CP92,"")</f>
        <v>-0.00638977635782748</v>
      </c>
      <c r="CT92" s="7" t="n">
        <f aca="false">1000*(p_sh_pv*p_cf_pv/p_capex_pv+(1-p_sh_pv)*p_cf_wind/p_capex_wind)*8760</f>
        <v>2301.28856624319</v>
      </c>
      <c r="CU92" s="13" t="n">
        <f aca="false">IF(AND(ISNUMBER(CO92),ISNUMBER(CQ92),BY92=1),1,0)</f>
        <v>1</v>
      </c>
      <c r="CV92" s="16" t="n">
        <f aca="false">IF(CU92=0,"",CQ92*p_hr_coal*N(AK92)+CR92*p_hr_gas*N(AO92)+CS92*p_hr_oil*N(AH92)/p_gj_l_oil)</f>
        <v>63.5336762129751</v>
      </c>
      <c r="CW92" s="37" t="n">
        <f aca="false">IF(CU92=0,"",CQ92*p_hr_coal*p_ef_coal+CR92*p_hr_gas*p_ef_gas+CS92*p_hr_oil*p_ef_oil)</f>
        <v>0.784074600638978</v>
      </c>
      <c r="CX92" s="16" t="n">
        <f aca="false">IF(CU92=0,"",CQ92*p_hr_coal*N(AW92)+CR92*p_hr_gas*N(AX92)+CS92*p_hr_oil*N(AY92)/p_gj_l_oil)</f>
        <v>8.09068277206049</v>
      </c>
      <c r="CY92" s="37" t="n">
        <f aca="false">IF(CU92=0,"",CO92*CW92)</f>
        <v>0.1651516487214</v>
      </c>
      <c r="CZ92" s="37" t="n">
        <f aca="false">IF(CU92=0,"",CT92*CO92*CV92/1000/1000-p_om_re)</f>
        <v>0.0157964454821125</v>
      </c>
      <c r="DA92" s="37" t="n">
        <f aca="false">IF(CU92=0,"",CT92*CO92*CX92/1000/1000)</f>
        <v>0.00392176693927782</v>
      </c>
      <c r="DB92" s="37" t="n">
        <f aca="false">IF(CU92=0,"",CT92*CO92*CW92/1000)</f>
        <v>0.38006160089877</v>
      </c>
      <c r="DC92" s="13" t="n">
        <f aca="false">IF(AND(CU92=1,ISNUMBER(AD92),ISNUMBER(AV92)),1,0)</f>
        <v>1</v>
      </c>
      <c r="DD92" s="7" t="n">
        <f aca="false">IF(DC92=0,"",p_ev_km*p_ice_l/100*AD92-p_ev_km*p_ev_kwh*AV92+p_ev_km*p_ev_maint)</f>
        <v>613.452825</v>
      </c>
      <c r="DE92" s="37" t="n">
        <f aca="false">IF(DC92=0,"",DD92/p_ev_prem)</f>
        <v>0.122690565</v>
      </c>
      <c r="DF92" s="37" t="n">
        <f aca="false">IF(DC92=0,"",p_ev_km*p_ice_l/100*N(AZ92)/p_ev_prem)</f>
        <v>0.00532395</v>
      </c>
      <c r="DG92" s="37" t="n">
        <f aca="false">IF(DC92=0,"",1000/p_ev_prem*(p_ev_km*p_ice_l/100*p_gj_l_gso*p_ef_gso-p_ev_km*p_ev_kwh/1000*CY92))</f>
        <v>0.444081609690444</v>
      </c>
      <c r="DH92" s="11" t="str">
        <f aca="false">IFERROR(IF(INDEX(Damodaran!$D:$D,MATCH(A92,Damodaran!$A:$A,0))="","",INDEX(Damodaran!$D:$D,MATCH(A92,Damodaran!$A:$A,0))),"")</f>
        <v/>
      </c>
      <c r="DI92" s="11" t="str">
        <f aca="false">IFERROR(IF(INDEX(Damodaran!$E:$E,MATCH(A92,Damodaran!$A:$A,0))="","",INDEX(Damodaran!$E:$E,MATCH(A92,Damodaran!$A:$A,0))),"")</f>
        <v/>
      </c>
      <c r="DJ92" s="11" t="str">
        <f aca="false">IFERROR(IF(INDEX(Damodaran!$G:$G,MATCH(A92,Damodaran!$A:$A,0))="","",INDEX(Damodaran!$G:$G,MATCH(A92,Damodaran!$A:$A,0))),"")</f>
        <v/>
      </c>
      <c r="DK92" s="11" t="str">
        <f aca="false">IF(ISNUMBER(BG92),(1+BG92/100)*(1+p_infl)-1,"")</f>
        <v/>
      </c>
      <c r="DL92" s="11" t="n">
        <f aca="false">IF(ISNUMBER(BH92),BH92/100,"")</f>
        <v>0.045</v>
      </c>
      <c r="DM92" s="11" t="n">
        <f aca="false">IF(COUNT(DK92,DL92)=0,"",AVERAGE(DK92,DL92))</f>
        <v>0.045</v>
      </c>
      <c r="DN92" s="11" t="str">
        <f aca="false">IF(OR(DH92="",DI92=""),"",p_dv*(p_rf+DH92)*(1-IF(DJ92="",p_tax_def,DJ92))+(1-p_dv)*(p_rf+p_beta*p_erp+p_lambda*DI92))</f>
        <v/>
      </c>
      <c r="DO92" s="13" t="n">
        <f aca="false">IF(AND(ISNUMBER(DM92),ISNUMBER(DN92)),1,0)</f>
        <v>0</v>
      </c>
      <c r="DP92" s="11" t="n">
        <f aca="false">IF(DO92=1,DM92,0)</f>
        <v>0</v>
      </c>
      <c r="DQ92" s="11" t="n">
        <f aca="false">IF(DO92=1,DN92,0)</f>
        <v>0</v>
      </c>
      <c r="DR92" s="11" t="str">
        <f aca="false">IF(DN92="","",DN92+p_shift)</f>
        <v/>
      </c>
      <c r="DS92" s="11" t="n">
        <f aca="false">IF(E92="AE",p_r_ae,IF(E92="China",p_r_chn,p_r_emdc))</f>
        <v>0.055</v>
      </c>
      <c r="DT92" s="11" t="n">
        <f aca="false">IF(E92="AE",p_rh_ae,IF(E92="China",p_rh_chn,p_rh_emdc))</f>
        <v>0.07</v>
      </c>
      <c r="DU92" s="11" t="n">
        <f aca="false">IF(AND(p_use_obs=1,ISNUMBER(DM92)),DM92,IF(AND(p_use_dam=1,ISNUMBER(DR92)),DR92,DS92))</f>
        <v>0.045</v>
      </c>
      <c r="DV92" s="6" t="str">
        <f aca="false">IF(AND(p_use_obs=1,ISNUMBER(DM92)),"Observed (IRENA/Steffen)",IF(AND(p_use_dam=1,ISNUMBER(DR92)),"Damodaran (eq. 5)","Group default (IHLEG)"))</f>
        <v>Observed (IRENA/Steffen)</v>
      </c>
      <c r="DW92" s="11" t="n">
        <f aca="false">IF(p_basis=1,(1+DU92)/(1+p_infl)-1,DU92)</f>
        <v>0.045</v>
      </c>
      <c r="DX92" s="11" t="n">
        <f aca="false">DW92+(DT92-DS92)</f>
        <v>0.06</v>
      </c>
      <c r="DY92" s="28" t="n">
        <f aca="false">IF(AND(p_use_pefa=1,ISNUMBER(BD92)),p_gap_lic-(BD92-1)/3*(p_gap_lic-p_gap_ae),IF(E92="AE",p_gap_ae,IF(D92="Low income",p_gap_lic,p_gap_em)))*(1-p_reform*p_reform_close)</f>
        <v>0.13</v>
      </c>
      <c r="DZ92" s="6" t="str">
        <f aca="false">IF(AND(p_use_pefa=1,ISNUMBER(BD92)),"PEFA PI-11","Income-group default (IMF 2015)")</f>
        <v>Income-group default (IMF 2015)</v>
      </c>
      <c r="EA92" s="28" t="n">
        <f aca="false">IF(E92="AE",p_ps_ae,IF(E92="China",p_ps_chn,p_ps_emdc))</f>
        <v>0.3</v>
      </c>
      <c r="EB92" s="37" t="n">
        <f aca="false">(1-EA92)+EA92/(1-DY92)</f>
        <v>1.0448275862069</v>
      </c>
      <c r="EC92" s="16" t="n">
        <f aca="false">Results_Country!F92</f>
        <v>3.00683612187892</v>
      </c>
      <c r="ED92" s="16" t="n">
        <f aca="false">IF(CH92="",0,CH92*EC92)</f>
        <v>705.430885648221</v>
      </c>
      <c r="EE92" s="16" t="n">
        <f aca="false">IF(CJ92="",0,CJ92*EC92)</f>
        <v>14.482550453694</v>
      </c>
      <c r="EF92" s="16" t="n">
        <f aca="false">IF(CH92="",0,EC92)</f>
        <v>3.00683612187892</v>
      </c>
    </row>
    <row r="93" customFormat="false" ht="15" hidden="false" customHeight="false" outlineLevel="0" collapsed="false">
      <c r="A93" s="35" t="s">
        <v>943</v>
      </c>
      <c r="B93" s="35" t="s">
        <v>944</v>
      </c>
      <c r="C93" s="35" t="s">
        <v>766</v>
      </c>
      <c r="D93" s="35" t="s">
        <v>763</v>
      </c>
      <c r="E93" s="35" t="s">
        <v>31</v>
      </c>
      <c r="F93" s="36" t="n">
        <v>68.675</v>
      </c>
      <c r="G93" s="36" t="n">
        <v>146.269</v>
      </c>
      <c r="H93" s="33" t="n">
        <v>3.576</v>
      </c>
      <c r="I93" s="33" t="n">
        <v>2.6</v>
      </c>
      <c r="J93" s="36" t="n">
        <v>7.494498</v>
      </c>
      <c r="K93" s="36" t="n">
        <v>69.002</v>
      </c>
      <c r="L93" s="36" t="n">
        <v>132.686</v>
      </c>
      <c r="M93" s="36" t="n">
        <v>132.686</v>
      </c>
      <c r="N93" s="36" t="n">
        <v>6.76503084388245</v>
      </c>
      <c r="O93" s="36" t="n">
        <v>2.09417355668064</v>
      </c>
      <c r="P93" s="36" t="n">
        <v>1.13598371308799</v>
      </c>
      <c r="Q93" s="31" t="n">
        <v>0.48061328890223</v>
      </c>
      <c r="R93" s="31" t="n">
        <v>0.463283268641501</v>
      </c>
      <c r="S93" s="31" t="n">
        <v>0.274431112411456</v>
      </c>
      <c r="T93" s="31" t="n">
        <v>0.0389250395168803</v>
      </c>
      <c r="U93" s="31" t="n">
        <v>0</v>
      </c>
      <c r="V93" s="31" t="n">
        <v>0</v>
      </c>
      <c r="W93" s="31" t="n">
        <v>0</v>
      </c>
      <c r="X93" s="31" t="n">
        <v>0</v>
      </c>
      <c r="Y93" s="36" t="n">
        <v>1.8241143112768</v>
      </c>
      <c r="Z93" s="36" t="n">
        <v>2.27401144229528</v>
      </c>
      <c r="AA93" s="36" t="n">
        <v>2.55443451975112</v>
      </c>
      <c r="AB93" s="36" t="n">
        <v>0.200714055349638</v>
      </c>
      <c r="AC93" s="36" t="n">
        <v>1.41680700391974</v>
      </c>
      <c r="AD93" s="31" t="n">
        <v>0.8326</v>
      </c>
      <c r="AE93" s="31" t="n">
        <v>0.777099</v>
      </c>
      <c r="AF93" s="31" t="n">
        <v>0.513</v>
      </c>
      <c r="AG93" s="31" t="n">
        <v>0.67965</v>
      </c>
      <c r="AH93" s="31" t="n">
        <v>0.519462891908447</v>
      </c>
      <c r="AI93" s="31" t="n">
        <v>7.124</v>
      </c>
      <c r="AJ93" s="31" t="n">
        <v>12.61435</v>
      </c>
      <c r="AK93" s="31" t="n">
        <v>4.351</v>
      </c>
      <c r="AL93" s="31" t="n">
        <v>8.02978333333333</v>
      </c>
      <c r="AM93" s="31" t="n">
        <v>9.084</v>
      </c>
      <c r="AN93" s="31" t="n">
        <v>9.2138</v>
      </c>
      <c r="AO93" s="31" t="n">
        <v>8.864</v>
      </c>
      <c r="AP93" s="31" t="n">
        <v>9.08380245342301</v>
      </c>
      <c r="AQ93" s="36" t="n">
        <v>1.02695094540061</v>
      </c>
      <c r="AR93" s="36" t="n">
        <v>0.488067744670617</v>
      </c>
      <c r="AS93" s="36" t="n">
        <v>0.279064100613499</v>
      </c>
      <c r="AT93" s="36" t="n">
        <v>0.313268111149136</v>
      </c>
      <c r="AU93" s="31" t="n">
        <v>0.000288158239569058</v>
      </c>
      <c r="AV93" s="36" t="n">
        <v>0.105423</v>
      </c>
      <c r="AW93" s="31" t="n">
        <v>0.236253</v>
      </c>
      <c r="AX93" s="31" t="n">
        <v>0.018284</v>
      </c>
      <c r="AY93" s="31" t="n">
        <v>0.106950427469056</v>
      </c>
      <c r="AZ93" s="31" t="n">
        <v>0.044977</v>
      </c>
      <c r="BA93" s="33" t="n">
        <v>4.112</v>
      </c>
      <c r="BB93" s="33"/>
      <c r="BC93" s="33"/>
      <c r="BD93" s="33"/>
      <c r="BE93" s="33"/>
      <c r="BF93" s="33" t="n">
        <v>0</v>
      </c>
      <c r="BG93" s="33"/>
      <c r="BH93" s="33"/>
      <c r="BI93" s="29"/>
      <c r="BJ93" s="33"/>
      <c r="BK93" s="33"/>
      <c r="BL93" s="33" t="n">
        <v>6.254</v>
      </c>
      <c r="BM93" s="33" t="n">
        <v>6.871</v>
      </c>
      <c r="BN93" s="29" t="n">
        <v>20.174</v>
      </c>
      <c r="BO93" s="33" t="n">
        <v>0.079</v>
      </c>
      <c r="BP93" s="33"/>
      <c r="BQ93" s="29" t="n">
        <v>2024</v>
      </c>
      <c r="BR93" s="36" t="n">
        <v>33.01</v>
      </c>
      <c r="BS93" s="36" t="n">
        <v>0</v>
      </c>
      <c r="BT93" s="36" t="n">
        <v>33</v>
      </c>
      <c r="BU93" s="36" t="n">
        <v>0</v>
      </c>
      <c r="BV93" s="16" t="n">
        <f aca="false">F93*(1+N(H93)/100)*(1+N(I93)/100)^5</f>
        <v>80.8713339927671</v>
      </c>
      <c r="BW93" s="16" t="n">
        <f aca="false">IF(N(G93)&gt;0,G93,F93)</f>
        <v>146.269</v>
      </c>
      <c r="BX93" s="12" t="n">
        <f aca="false">F93/BW93</f>
        <v>0.469511653186936</v>
      </c>
      <c r="BY93" s="13" t="n">
        <f aca="false">IF(ISNUMBER(K93),1,0)</f>
        <v>1</v>
      </c>
      <c r="BZ93" s="16" t="n">
        <f aca="false">IF(BY93=0,"",N(N93)+N(O93)+N(P93))</f>
        <v>9.99518811365109</v>
      </c>
      <c r="CA93" s="37" t="n">
        <f aca="false">IF(BY93=0,"",(N(Y93)*34.2+N(Z93)*38.6)/1000)</f>
        <v>0.150161551118264</v>
      </c>
      <c r="CB93" s="37" t="n">
        <f aca="false">IF(BY93=0,"",N(O93)*0.0036+N(R93)+N(V93)+(N(AA93)*25.3+N(AB93)*37)/1000)</f>
        <v>0.542875906843191</v>
      </c>
      <c r="CC93" s="37" t="n">
        <f aca="false">IF(BY93=0,"",N(N93)*0.0036+N(Q93)+N(U93)+N(T93)+N(X93)+N(AC93)*38/1000)</f>
        <v>0.597731105606038</v>
      </c>
      <c r="CD93" s="37" t="n">
        <f aca="false">IF(BY93=0,"",N(Q93)+N(R93)+N(S93)+N(T93)+N(U93)+N(V93)+N(W93)+N(X93)+(N(Y93)*34.2+N(Z93)*38.6+N(AA93)*25.3+N(AB93)*37+N(AC93)*38)/1000)</f>
        <v>1.53330654013692</v>
      </c>
      <c r="CE93" s="16" t="n">
        <f aca="false">IF(BY93=0,"",MAX(0,N(L93)-N(K93))+MAX(0,N(M93)-N(L93)))</f>
        <v>63.684</v>
      </c>
      <c r="CF93" s="16" t="n">
        <f aca="false">IF(BY93=0,"",N(Y93)*N(AD93)+N(Z93)*N(AE93)+N(AA93)*N(AF93)+N(AB93)*N(AG93)+N(AC93)*N(AH93)+N(U93)*N(AI93)+N(V93)*N(AJ93)+N(W93)*N(AK93)+N(X93)*N(AL93)+N(Q93)*N(AM93)+N(R93)*N(AN93)+N(S93)*N(AO93)+N(T93)*N(AP93))</f>
        <v>16.8893437201234</v>
      </c>
      <c r="CG93" s="16" t="n">
        <f aca="false">IF(AND(BY93=1,N(K93)&gt;0),K93,0)</f>
        <v>69.002</v>
      </c>
      <c r="CH93" s="16" t="n">
        <f aca="false">IF(CG93&gt;0,CF93*1000/CG93,"")</f>
        <v>244.766002726347</v>
      </c>
      <c r="CI93" s="16" t="n">
        <f aca="false">IF(BY93=0,"",N(AQ93)+p_road*(N(AR93)+N(AS93)+N(AT93)))</f>
        <v>1.02695094540061</v>
      </c>
      <c r="CJ93" s="16" t="n">
        <f aca="false">IF(CG93&gt;0,CI93*1000/CG93,"")</f>
        <v>14.8829156459322</v>
      </c>
      <c r="CK93" s="12" t="n">
        <f aca="false">IF(CH93="",1,MIN(p_idx_max,MAX(p_idx_min,CH93/p_fc_world)))</f>
        <v>1.52021638013578</v>
      </c>
      <c r="CL93" s="12" t="n">
        <f aca="false">IF(CJ93="",1,MIN(p_idx_max,MAX(p_idx_min,CJ93/p_cb_world)))</f>
        <v>0.282994689863997</v>
      </c>
      <c r="CM93" s="37" t="n">
        <f aca="false">p_b*(1-p_wb_idx+p_wb_idx*CK93)</f>
        <v>0.202188778558059</v>
      </c>
      <c r="CN93" s="37" t="n">
        <f aca="false">p_c*(1-p_wc_idx+p_wc_idx*CL93)</f>
        <v>0.0365063149924557</v>
      </c>
      <c r="CO93" s="28" t="n">
        <f aca="false">IF(N(BR93)&gt;0,(N(BS93)+N(BT93)+N(BU93))/BR93,"")</f>
        <v>0.999697061496516</v>
      </c>
      <c r="CP93" s="16" t="n">
        <f aca="false">N(BS93)+N(BT93)+N(BU93)</f>
        <v>33</v>
      </c>
      <c r="CQ93" s="28" t="n">
        <f aca="false">IF(CP93&gt;0,N(BS93)/CP93,"")</f>
        <v>0</v>
      </c>
      <c r="CR93" s="28" t="n">
        <f aca="false">IF(CP93&gt;0,N(BT93)/CP93,"")</f>
        <v>1</v>
      </c>
      <c r="CS93" s="28" t="n">
        <f aca="false">IF(CP93&gt;0,N(BU93)/CP93,"")</f>
        <v>0</v>
      </c>
      <c r="CT93" s="7" t="n">
        <f aca="false">1000*(p_sh_pv*p_cf_pv/p_capex_pv+(1-p_sh_pv)*p_cf_wind/p_capex_wind)*8760</f>
        <v>2301.28856624319</v>
      </c>
      <c r="CU93" s="13" t="n">
        <f aca="false">IF(AND(ISNUMBER(CO93),ISNUMBER(CQ93),BY93=1),1,0)</f>
        <v>1</v>
      </c>
      <c r="CV93" s="16" t="n">
        <f aca="false">IF(CU93=0,"",CQ93*p_hr_coal*N(AK93)+CR93*p_hr_gas*N(AO93)+CS93*p_hr_oil*N(AH93)/p_gj_l_oil)</f>
        <v>66.48</v>
      </c>
      <c r="CW93" s="37" t="n">
        <f aca="false">IF(CU93=0,"",CQ93*p_hr_coal*p_ef_coal+CR93*p_hr_gas*p_ef_gas+CS93*p_hr_oil*p_ef_oil)</f>
        <v>0.42075</v>
      </c>
      <c r="CX93" s="16" t="n">
        <f aca="false">IF(CU93=0,"",CQ93*p_hr_coal*N(AW93)+CR93*p_hr_gas*N(AX93)+CS93*p_hr_oil*N(AY93)/p_gj_l_oil)</f>
        <v>0.13713</v>
      </c>
      <c r="CY93" s="37" t="n">
        <f aca="false">IF(CU93=0,"",CO93*CW93)</f>
        <v>0.420622538624659</v>
      </c>
      <c r="CZ93" s="37" t="n">
        <f aca="false">IF(CU93=0,"",CT93*CO93*CV93/1000/1000-p_om_re)</f>
        <v>0.137943317424022</v>
      </c>
      <c r="DA93" s="37" t="n">
        <f aca="false">IF(CU93=0,"",CT93*CO93*CX93/1000/1000)</f>
        <v>0.000315480101058305</v>
      </c>
      <c r="DB93" s="37" t="n">
        <f aca="false">IF(CU93=0,"",CT93*CO93*CW93/1000)</f>
        <v>0.967973838841114</v>
      </c>
      <c r="DC93" s="13" t="n">
        <f aca="false">IF(AND(CU93=1,ISNUMBER(AD93),ISNUMBER(AV93)),1,0)</f>
        <v>1</v>
      </c>
      <c r="DD93" s="7" t="n">
        <f aca="false">IF(DC93=0,"",p_ev_km*p_ice_l/100*AD93-p_ev_km*p_ev_kwh*AV93+p_ev_km*p_ev_maint)</f>
        <v>832.0329</v>
      </c>
      <c r="DE93" s="37" t="n">
        <f aca="false">IF(DC93=0,"",DD93/p_ev_prem)</f>
        <v>0.16640658</v>
      </c>
      <c r="DF93" s="37" t="n">
        <f aca="false">IF(DC93=0,"",p_ev_km*p_ice_l/100*N(AZ93)/p_ev_prem)</f>
        <v>0.010119825</v>
      </c>
      <c r="DG93" s="37" t="n">
        <f aca="false">IF(DC93=0,"",1000/p_ev_prem*(p_ev_km*p_ice_l/100*p_gj_l_gso*p_ef_gso-p_ev_km*p_ev_kwh/1000*CY93))</f>
        <v>0.306127329142684</v>
      </c>
      <c r="DH93" s="11" t="str">
        <f aca="false">IFERROR(IF(INDEX(Damodaran!$D:$D,MATCH(A93,Damodaran!$A:$A,0))="","",INDEX(Damodaran!$D:$D,MATCH(A93,Damodaran!$A:$A,0))),"")</f>
        <v/>
      </c>
      <c r="DI93" s="11" t="str">
        <f aca="false">IFERROR(IF(INDEX(Damodaran!$E:$E,MATCH(A93,Damodaran!$A:$A,0))="","",INDEX(Damodaran!$E:$E,MATCH(A93,Damodaran!$A:$A,0))),"")</f>
        <v/>
      </c>
      <c r="DJ93" s="11" t="str">
        <f aca="false">IFERROR(IF(INDEX(Damodaran!$G:$G,MATCH(A93,Damodaran!$A:$A,0))="","",INDEX(Damodaran!$G:$G,MATCH(A93,Damodaran!$A:$A,0))),"")</f>
        <v/>
      </c>
      <c r="DK93" s="11" t="str">
        <f aca="false">IF(ISNUMBER(BG93),(1+BG93/100)*(1+p_infl)-1,"")</f>
        <v/>
      </c>
      <c r="DL93" s="11" t="str">
        <f aca="false">IF(ISNUMBER(BH93),BH93/100,"")</f>
        <v/>
      </c>
      <c r="DM93" s="11" t="str">
        <f aca="false">IF(COUNT(DK93,DL93)=0,"",AVERAGE(DK93,DL93))</f>
        <v/>
      </c>
      <c r="DN93" s="11" t="str">
        <f aca="false">IF(OR(DH93="",DI93=""),"",p_dv*(p_rf+DH93)*(1-IF(DJ93="",p_tax_def,DJ93))+(1-p_dv)*(p_rf+p_beta*p_erp+p_lambda*DI93))</f>
        <v/>
      </c>
      <c r="DO93" s="13" t="n">
        <f aca="false">IF(AND(ISNUMBER(DM93),ISNUMBER(DN93)),1,0)</f>
        <v>0</v>
      </c>
      <c r="DP93" s="11" t="n">
        <f aca="false">IF(DO93=1,DM93,0)</f>
        <v>0</v>
      </c>
      <c r="DQ93" s="11" t="n">
        <f aca="false">IF(DO93=1,DN93,0)</f>
        <v>0</v>
      </c>
      <c r="DR93" s="11" t="str">
        <f aca="false">IF(DN93="","",DN93+p_shift)</f>
        <v/>
      </c>
      <c r="DS93" s="11" t="n">
        <f aca="false">IF(E93="AE",p_r_ae,IF(E93="China",p_r_chn,p_r_emdc))</f>
        <v>0.105</v>
      </c>
      <c r="DT93" s="11" t="n">
        <f aca="false">IF(E93="AE",p_rh_ae,IF(E93="China",p_rh_chn,p_rh_emdc))</f>
        <v>0.15</v>
      </c>
      <c r="DU93" s="11" t="n">
        <f aca="false">IF(AND(p_use_obs=1,ISNUMBER(DM93)),DM93,IF(AND(p_use_dam=1,ISNUMBER(DR93)),DR93,DS93))</f>
        <v>0.105</v>
      </c>
      <c r="DV93" s="6" t="str">
        <f aca="false">IF(AND(p_use_obs=1,ISNUMBER(DM93)),"Observed (IRENA/Steffen)",IF(AND(p_use_dam=1,ISNUMBER(DR93)),"Damodaran (eq. 5)","Group default (IHLEG)"))</f>
        <v>Group default (IHLEG)</v>
      </c>
      <c r="DW93" s="11" t="n">
        <f aca="false">IF(p_basis=1,(1+DU93)/(1+p_infl)-1,DU93)</f>
        <v>0.105</v>
      </c>
      <c r="DX93" s="11" t="n">
        <f aca="false">DW93+(DT93-DS93)</f>
        <v>0.15</v>
      </c>
      <c r="DY93" s="28" t="n">
        <f aca="false">IF(AND(p_use_pefa=1,ISNUMBER(BD93)),p_gap_lic-(BD93-1)/3*(p_gap_lic-p_gap_ae),IF(E93="AE",p_gap_ae,IF(D93="Low income",p_gap_lic,p_gap_em)))*(1-p_reform*p_reform_close)</f>
        <v>0.27</v>
      </c>
      <c r="DZ93" s="6" t="str">
        <f aca="false">IF(AND(p_use_pefa=1,ISNUMBER(BD93)),"PEFA PI-11","Income-group default (IMF 2015)")</f>
        <v>Income-group default (IMF 2015)</v>
      </c>
      <c r="EA93" s="28" t="n">
        <f aca="false">IF(E93="AE",p_ps_ae,IF(E93="China",p_ps_chn,p_ps_emdc))</f>
        <v>0.4</v>
      </c>
      <c r="EB93" s="37" t="n">
        <f aca="false">(1-EA93)+EA93/(1-DY93)</f>
        <v>1.14794520547945</v>
      </c>
      <c r="EC93" s="16" t="n">
        <f aca="false">Results_Country!F93</f>
        <v>7.36518940096734</v>
      </c>
      <c r="ED93" s="16" t="n">
        <f aca="false">IF(CH93="",0,CH93*EC93)</f>
        <v>1802.74796899723</v>
      </c>
      <c r="EE93" s="16" t="n">
        <f aca="false">IF(CJ93="",0,CJ93*EC93)</f>
        <v>109.615492570911</v>
      </c>
      <c r="EF93" s="16" t="n">
        <f aca="false">IF(CH93="",0,EC93)</f>
        <v>7.36518940096734</v>
      </c>
    </row>
    <row r="94" customFormat="false" ht="15" hidden="false" customHeight="false" outlineLevel="0" collapsed="false">
      <c r="A94" s="35" t="s">
        <v>945</v>
      </c>
      <c r="B94" s="35" t="s">
        <v>946</v>
      </c>
      <c r="C94" s="35" t="s">
        <v>799</v>
      </c>
      <c r="D94" s="35" t="s">
        <v>763</v>
      </c>
      <c r="E94" s="35" t="s">
        <v>31</v>
      </c>
      <c r="F94" s="36" t="n">
        <v>58.701</v>
      </c>
      <c r="G94" s="36" t="n">
        <v>137.668</v>
      </c>
      <c r="H94" s="33" t="n">
        <v>2.683</v>
      </c>
      <c r="I94" s="33" t="n">
        <v>2.748</v>
      </c>
      <c r="J94" s="36" t="n">
        <v>11.552876</v>
      </c>
      <c r="K94" s="36" t="n">
        <v>25.17</v>
      </c>
      <c r="L94" s="36" t="n">
        <v>36.495</v>
      </c>
      <c r="M94" s="36" t="n">
        <v>36.495</v>
      </c>
      <c r="N94" s="36" t="n">
        <v>12.4322616739711</v>
      </c>
      <c r="O94" s="36" t="n">
        <v>10.4710397158757</v>
      </c>
      <c r="P94" s="36" t="n">
        <v>0</v>
      </c>
      <c r="Q94" s="31" t="n">
        <v>0</v>
      </c>
      <c r="R94" s="31" t="n">
        <v>0</v>
      </c>
      <c r="S94" s="31" t="n">
        <v>0.145586760818648</v>
      </c>
      <c r="T94" s="31" t="n">
        <v>0</v>
      </c>
      <c r="U94" s="31" t="n">
        <v>0.00801845938345014</v>
      </c>
      <c r="V94" s="31" t="n">
        <v>0</v>
      </c>
      <c r="W94" s="31" t="n">
        <v>0</v>
      </c>
      <c r="X94" s="31" t="n">
        <v>0</v>
      </c>
      <c r="Y94" s="36" t="n">
        <v>2.00135271544811</v>
      </c>
      <c r="Z94" s="36" t="n">
        <v>1.96333455154952</v>
      </c>
      <c r="AA94" s="36" t="n">
        <v>0.85924567396198</v>
      </c>
      <c r="AB94" s="36" t="n">
        <v>0.0909193644541185</v>
      </c>
      <c r="AC94" s="36" t="n">
        <v>0.34971931608015</v>
      </c>
      <c r="AD94" s="31" t="n">
        <v>0.8352</v>
      </c>
      <c r="AE94" s="31" t="n">
        <v>0.794609</v>
      </c>
      <c r="AF94" s="31" t="n">
        <v>0.57383</v>
      </c>
      <c r="AG94" s="31" t="n">
        <v>0.75632</v>
      </c>
      <c r="AH94" s="31" t="n">
        <v>0.543345303403777</v>
      </c>
      <c r="AI94" s="31" t="n">
        <v>7.124</v>
      </c>
      <c r="AJ94" s="31" t="n">
        <v>14.14388</v>
      </c>
      <c r="AK94" s="31" t="n">
        <v>5.575</v>
      </c>
      <c r="AL94" s="31" t="n">
        <v>7.124</v>
      </c>
      <c r="AM94" s="31" t="n">
        <v>10.084</v>
      </c>
      <c r="AN94" s="31" t="n">
        <v>20.72688</v>
      </c>
      <c r="AO94" s="31" t="n">
        <v>8.787</v>
      </c>
      <c r="AP94" s="31" t="n">
        <v>8.787</v>
      </c>
      <c r="AQ94" s="36" t="n">
        <v>0.352371319596263</v>
      </c>
      <c r="AR94" s="36" t="n">
        <v>0.115186537875787</v>
      </c>
      <c r="AS94" s="36" t="n">
        <v>0.0364130509114789</v>
      </c>
      <c r="AT94" s="36" t="n">
        <v>0.241830491045334</v>
      </c>
      <c r="AU94" s="31" t="n">
        <v>0.334942477946031</v>
      </c>
      <c r="AV94" s="36" t="n">
        <v>0.14986</v>
      </c>
      <c r="AW94" s="31" t="n">
        <v>1.15557</v>
      </c>
      <c r="AX94" s="31" t="n">
        <v>0.021037</v>
      </c>
      <c r="AY94" s="31" t="n">
        <v>0.179228341198901</v>
      </c>
      <c r="AZ94" s="31" t="n">
        <v>0.036482</v>
      </c>
      <c r="BA94" s="33" t="n">
        <v>82.122</v>
      </c>
      <c r="BB94" s="33" t="n">
        <v>20.45</v>
      </c>
      <c r="BC94" s="33" t="n">
        <v>58.327</v>
      </c>
      <c r="BD94" s="33" t="n">
        <v>1</v>
      </c>
      <c r="BE94" s="33" t="n">
        <v>2</v>
      </c>
      <c r="BF94" s="33" t="n">
        <v>0</v>
      </c>
      <c r="BG94" s="33" t="n">
        <v>8.2</v>
      </c>
      <c r="BH94" s="33" t="n">
        <v>8.96</v>
      </c>
      <c r="BI94" s="29" t="n">
        <v>2020</v>
      </c>
      <c r="BJ94" s="33" t="n">
        <v>2</v>
      </c>
      <c r="BK94" s="33"/>
      <c r="BL94" s="33" t="n">
        <v>-0.943</v>
      </c>
      <c r="BM94" s="33" t="n">
        <v>4.625</v>
      </c>
      <c r="BN94" s="29" t="n">
        <v>21.924</v>
      </c>
      <c r="BO94" s="33" t="n">
        <v>0.838</v>
      </c>
      <c r="BP94" s="33" t="n">
        <v>0.014</v>
      </c>
      <c r="BQ94" s="29" t="n">
        <v>2024</v>
      </c>
      <c r="BR94" s="36" t="n">
        <v>23.67</v>
      </c>
      <c r="BS94" s="36" t="n">
        <v>0</v>
      </c>
      <c r="BT94" s="36" t="n">
        <v>14.67</v>
      </c>
      <c r="BU94" s="36" t="n">
        <v>3.3</v>
      </c>
      <c r="BV94" s="16" t="n">
        <f aca="false">F94*(1+N(H94)/100)*(1+N(I94)/100)^5</f>
        <v>69.0257181131773</v>
      </c>
      <c r="BW94" s="16" t="n">
        <f aca="false">IF(N(G94)&gt;0,G94,F94)</f>
        <v>137.668</v>
      </c>
      <c r="BX94" s="12" t="n">
        <f aca="false">F94/BW94</f>
        <v>0.426395386001104</v>
      </c>
      <c r="BY94" s="13" t="n">
        <f aca="false">IF(ISNUMBER(K94),1,0)</f>
        <v>1</v>
      </c>
      <c r="BZ94" s="16" t="n">
        <f aca="false">IF(BY94=0,"",N(N94)+N(O94)+N(P94))</f>
        <v>22.9033013898469</v>
      </c>
      <c r="CA94" s="37" t="n">
        <f aca="false">IF(BY94=0,"",(N(Y94)*34.2+N(Z94)*38.6)/1000)</f>
        <v>0.144230976558137</v>
      </c>
      <c r="CB94" s="37" t="n">
        <f aca="false">IF(BY94=0,"",N(O94)*0.0036+N(R94)+N(V94)+(N(AA94)*25.3+N(AB94)*37)/1000)</f>
        <v>0.0627986750131931</v>
      </c>
      <c r="CC94" s="37" t="n">
        <f aca="false">IF(BY94=0,"",N(N94)*0.0036+N(Q94)+N(U94)+N(T94)+N(X94)+N(AC94)*38/1000)</f>
        <v>0.0660639354207919</v>
      </c>
      <c r="CD94" s="37" t="n">
        <f aca="false">IF(BY94=0,"",N(Q94)+N(R94)+N(S94)+N(T94)+N(U94)+N(V94)+N(W94)+N(X94)+(N(Y94)*34.2+N(Z94)*38.6+N(AA94)*25.3+N(AB94)*37+N(AC94)*38)/1000)</f>
        <v>0.336228462807321</v>
      </c>
      <c r="CE94" s="16" t="n">
        <f aca="false">IF(BY94=0,"",MAX(0,N(L94)-N(K94))+MAX(0,N(M94)-N(L94)))</f>
        <v>11.325</v>
      </c>
      <c r="CF94" s="16" t="n">
        <f aca="false">IF(BY94=0,"",N(Y94)*N(AD94)+N(Z94)*N(AE94)+N(AA94)*N(AF94)+N(AB94)*N(AG94)+N(AC94)*N(AH94)+N(U94)*N(AI94)+N(V94)*N(AJ94)+N(W94)*N(AK94)+N(X94)*N(AL94)+N(Q94)*N(AM94)+N(R94)*N(AN94)+N(S94)*N(AO94)+N(T94)*N(AP94))</f>
        <v>5.31985089129091</v>
      </c>
      <c r="CG94" s="16" t="n">
        <f aca="false">IF(AND(BY94=1,N(K94)&gt;0),K94,0)</f>
        <v>25.17</v>
      </c>
      <c r="CH94" s="16" t="n">
        <f aca="false">IF(CG94&gt;0,CF94*1000/CG94,"")</f>
        <v>211.356809348069</v>
      </c>
      <c r="CI94" s="16" t="n">
        <f aca="false">IF(BY94=0,"",N(AQ94)+p_road*(N(AR94)+N(AS94)+N(AT94)))</f>
        <v>0.352371319596263</v>
      </c>
      <c r="CJ94" s="16" t="n">
        <f aca="false">IF(CG94&gt;0,CI94*1000/CG94,"")</f>
        <v>13.9996551289735</v>
      </c>
      <c r="CK94" s="12" t="n">
        <f aca="false">IF(CH94="",1,MIN(p_idx_max,MAX(p_idx_min,CH94/p_fc_world)))</f>
        <v>1.31271532829418</v>
      </c>
      <c r="CL94" s="12" t="n">
        <f aca="false">IF(CJ94="",1,MIN(p_idx_max,MAX(p_idx_min,CJ94/p_cb_world)))</f>
        <v>0.266199725623631</v>
      </c>
      <c r="CM94" s="37" t="n">
        <f aca="false">p_b*(1-p_wb_idx+p_wb_idx*CK94)</f>
        <v>0.174591138663126</v>
      </c>
      <c r="CN94" s="37" t="n">
        <f aca="false">p_c*(1-p_wc_idx+p_wc_idx*CL94)</f>
        <v>0.0343397646054484</v>
      </c>
      <c r="CO94" s="28" t="n">
        <f aca="false">IF(N(BR94)&gt;0,(N(BS94)+N(BT94)+N(BU94))/BR94,"")</f>
        <v>0.759188846641318</v>
      </c>
      <c r="CP94" s="16" t="n">
        <f aca="false">N(BS94)+N(BT94)+N(BU94)</f>
        <v>17.97</v>
      </c>
      <c r="CQ94" s="28" t="n">
        <f aca="false">IF(CP94&gt;0,N(BS94)/CP94,"")</f>
        <v>0</v>
      </c>
      <c r="CR94" s="28" t="n">
        <f aca="false">IF(CP94&gt;0,N(BT94)/CP94,"")</f>
        <v>0.81636060100167</v>
      </c>
      <c r="CS94" s="28" t="n">
        <f aca="false">IF(CP94&gt;0,N(BU94)/CP94,"")</f>
        <v>0.183639398998331</v>
      </c>
      <c r="CT94" s="7" t="n">
        <f aca="false">1000*(p_sh_pv*p_cf_pv/p_capex_pv+(1-p_sh_pv)*p_cf_wind/p_capex_wind)*8760</f>
        <v>2301.28856624319</v>
      </c>
      <c r="CU94" s="13" t="n">
        <f aca="false">IF(AND(ISNUMBER(CO94),ISNUMBER(CQ94),BY94=1),1,0)</f>
        <v>1</v>
      </c>
      <c r="CV94" s="16" t="n">
        <f aca="false">IF(CU94=0,"",CQ94*p_hr_coal*N(AK94)+CR94*p_hr_gas*N(AO94)+CS94*p_hr_oil*N(AH94)/p_gj_l_oil)</f>
        <v>80.9423250292527</v>
      </c>
      <c r="CW94" s="37" t="n">
        <f aca="false">IF(CU94=0,"",CQ94*p_hr_coal*p_ef_coal+CR94*p_hr_gas*p_ef_gas+CS94*p_hr_oil*p_ef_oil)</f>
        <v>0.492727462437396</v>
      </c>
      <c r="CX94" s="16" t="n">
        <f aca="false">IF(CU94=0,"",CQ94*p_hr_coal*N(AW94)+CR94*p_hr_gas*N(AX94)+CS94*p_hr_oil*N(AY94)/p_gj_l_oil)</f>
        <v>9.08192615967161</v>
      </c>
      <c r="CY94" s="37" t="n">
        <f aca="false">IF(CU94=0,"",CO94*CW94)</f>
        <v>0.37407319391635</v>
      </c>
      <c r="CZ94" s="37" t="n">
        <f aca="false">IF(CU94=0,"",CT94*CO94*CV94/1000/1000-p_om_re)</f>
        <v>0.126415356935185</v>
      </c>
      <c r="DA94" s="37" t="n">
        <f aca="false">IF(CU94=0,"",CT94*CO94*CX94/1000/1000)</f>
        <v>0.0158671477384026</v>
      </c>
      <c r="DB94" s="37" t="n">
        <f aca="false">IF(CU94=0,"",CT94*CO94*CW94/1000)</f>
        <v>0.860850364097769</v>
      </c>
      <c r="DC94" s="13" t="n">
        <f aca="false">IF(AND(CU94=1,ISNUMBER(AD94),ISNUMBER(AV94)),1,0)</f>
        <v>1</v>
      </c>
      <c r="DD94" s="7" t="n">
        <f aca="false">IF(DC94=0,"",p_ev_km*p_ice_l/100*AD94-p_ev_km*p_ev_kwh*AV94+p_ev_km*p_ev_maint)</f>
        <v>714.978</v>
      </c>
      <c r="DE94" s="37" t="n">
        <f aca="false">IF(DC94=0,"",DD94/p_ev_prem)</f>
        <v>0.1429956</v>
      </c>
      <c r="DF94" s="37" t="n">
        <f aca="false">IF(DC94=0,"",p_ev_km*p_ice_l/100*N(AZ94)/p_ev_prem)</f>
        <v>0.00820845</v>
      </c>
      <c r="DG94" s="37" t="n">
        <f aca="false">IF(DC94=0,"",1000/p_ev_prem*(p_ev_km*p_ice_l/100*p_gj_l_gso*p_ef_gso-p_ev_km*p_ev_kwh/1000*CY94))</f>
        <v>0.331263975285171</v>
      </c>
      <c r="DH94" s="11" t="str">
        <f aca="false">IFERROR(IF(INDEX(Damodaran!$D:$D,MATCH(A94,Damodaran!$A:$A,0))="","",INDEX(Damodaran!$D:$D,MATCH(A94,Damodaran!$A:$A,0))),"")</f>
        <v/>
      </c>
      <c r="DI94" s="11" t="str">
        <f aca="false">IFERROR(IF(INDEX(Damodaran!$E:$E,MATCH(A94,Damodaran!$A:$A,0))="","",INDEX(Damodaran!$E:$E,MATCH(A94,Damodaran!$A:$A,0))),"")</f>
        <v/>
      </c>
      <c r="DJ94" s="11" t="str">
        <f aca="false">IFERROR(IF(INDEX(Damodaran!$G:$G,MATCH(A94,Damodaran!$A:$A,0))="","",INDEX(Damodaran!$G:$G,MATCH(A94,Damodaran!$A:$A,0))),"")</f>
        <v/>
      </c>
      <c r="DK94" s="11" t="n">
        <f aca="false">IF(ISNUMBER(BG94),(1+BG94/100)*(1+p_infl)-1,"")</f>
        <v>0.10364</v>
      </c>
      <c r="DL94" s="11" t="n">
        <f aca="false">IF(ISNUMBER(BH94),BH94/100,"")</f>
        <v>0.0896</v>
      </c>
      <c r="DM94" s="11" t="n">
        <f aca="false">IF(COUNT(DK94,DL94)=0,"",AVERAGE(DK94,DL94))</f>
        <v>0.0966200000000001</v>
      </c>
      <c r="DN94" s="11" t="str">
        <f aca="false">IF(OR(DH94="",DI94=""),"",p_dv*(p_rf+DH94)*(1-IF(DJ94="",p_tax_def,DJ94))+(1-p_dv)*(p_rf+p_beta*p_erp+p_lambda*DI94))</f>
        <v/>
      </c>
      <c r="DO94" s="13" t="n">
        <f aca="false">IF(AND(ISNUMBER(DM94),ISNUMBER(DN94)),1,0)</f>
        <v>0</v>
      </c>
      <c r="DP94" s="11" t="n">
        <f aca="false">IF(DO94=1,DM94,0)</f>
        <v>0</v>
      </c>
      <c r="DQ94" s="11" t="n">
        <f aca="false">IF(DO94=1,DN94,0)</f>
        <v>0</v>
      </c>
      <c r="DR94" s="11" t="str">
        <f aca="false">IF(DN94="","",DN94+p_shift)</f>
        <v/>
      </c>
      <c r="DS94" s="11" t="n">
        <f aca="false">IF(E94="AE",p_r_ae,IF(E94="China",p_r_chn,p_r_emdc))</f>
        <v>0.105</v>
      </c>
      <c r="DT94" s="11" t="n">
        <f aca="false">IF(E94="AE",p_rh_ae,IF(E94="China",p_rh_chn,p_rh_emdc))</f>
        <v>0.15</v>
      </c>
      <c r="DU94" s="11" t="n">
        <f aca="false">IF(AND(p_use_obs=1,ISNUMBER(DM94)),DM94,IF(AND(p_use_dam=1,ISNUMBER(DR94)),DR94,DS94))</f>
        <v>0.0966200000000001</v>
      </c>
      <c r="DV94" s="6" t="str">
        <f aca="false">IF(AND(p_use_obs=1,ISNUMBER(DM94)),"Observed (IRENA/Steffen)",IF(AND(p_use_dam=1,ISNUMBER(DR94)),"Damodaran (eq. 5)","Group default (IHLEG)"))</f>
        <v>Observed (IRENA/Steffen)</v>
      </c>
      <c r="DW94" s="11" t="n">
        <f aca="false">IF(p_basis=1,(1+DU94)/(1+p_infl)-1,DU94)</f>
        <v>0.0966200000000001</v>
      </c>
      <c r="DX94" s="11" t="n">
        <f aca="false">DW94+(DT94-DS94)</f>
        <v>0.14162</v>
      </c>
      <c r="DY94" s="28" t="n">
        <f aca="false">IF(AND(p_use_pefa=1,ISNUMBER(BD94)),p_gap_lic-(BD94-1)/3*(p_gap_lic-p_gap_ae),IF(E94="AE",p_gap_ae,IF(D94="Low income",p_gap_lic,p_gap_em)))*(1-p_reform*p_reform_close)</f>
        <v>0.4</v>
      </c>
      <c r="DZ94" s="6" t="str">
        <f aca="false">IF(AND(p_use_pefa=1,ISNUMBER(BD94)),"PEFA PI-11","Income-group default (IMF 2015)")</f>
        <v>PEFA PI-11</v>
      </c>
      <c r="EA94" s="28" t="n">
        <f aca="false">IF(E94="AE",p_ps_ae,IF(E94="China",p_ps_chn,p_ps_emdc))</f>
        <v>0.4</v>
      </c>
      <c r="EB94" s="37" t="n">
        <f aca="false">(1-EA94)+EA94/(1-DY94)</f>
        <v>1.26666666666667</v>
      </c>
      <c r="EC94" s="16" t="n">
        <f aca="false">Results_Country!F94</f>
        <v>4.2959678541303</v>
      </c>
      <c r="ED94" s="16" t="n">
        <f aca="false">IF(CH94="",0,CH94*EC94)</f>
        <v>907.982058710853</v>
      </c>
      <c r="EE94" s="16" t="n">
        <f aca="false">IF(CJ94="",0,CJ94*EC94)</f>
        <v>60.1420684029806</v>
      </c>
      <c r="EF94" s="16" t="n">
        <f aca="false">IF(CH94="",0,EC94)</f>
        <v>4.2959678541303</v>
      </c>
    </row>
    <row r="95" customFormat="false" ht="15" hidden="false" customHeight="false" outlineLevel="0" collapsed="false">
      <c r="A95" s="35" t="s">
        <v>947</v>
      </c>
      <c r="B95" s="35" t="s">
        <v>948</v>
      </c>
      <c r="C95" s="35" t="s">
        <v>847</v>
      </c>
      <c r="D95" s="35" t="s">
        <v>888</v>
      </c>
      <c r="E95" s="35" t="s">
        <v>31</v>
      </c>
      <c r="F95" s="36" t="n">
        <v>57.061</v>
      </c>
      <c r="G95" s="36" t="n">
        <v>171.686</v>
      </c>
      <c r="H95" s="33" t="n">
        <v>6.725</v>
      </c>
      <c r="I95" s="33" t="n">
        <v>7.508</v>
      </c>
      <c r="J95" s="36" t="n">
        <v>50.015092</v>
      </c>
      <c r="K95" s="36" t="n">
        <v>7.712</v>
      </c>
      <c r="L95" s="36" t="n">
        <v>58.755</v>
      </c>
      <c r="M95" s="36" t="n">
        <v>72.345</v>
      </c>
      <c r="N95" s="36" t="n">
        <v>3.4210799643944</v>
      </c>
      <c r="O95" s="36" t="n">
        <v>0.896112038013775</v>
      </c>
      <c r="P95" s="36" t="n">
        <v>0</v>
      </c>
      <c r="Q95" s="31" t="n">
        <v>0</v>
      </c>
      <c r="R95" s="31" t="n">
        <v>0</v>
      </c>
      <c r="S95" s="31" t="n">
        <v>0</v>
      </c>
      <c r="T95" s="31" t="n">
        <v>0</v>
      </c>
      <c r="U95" s="31" t="n">
        <v>0.00421399213062939</v>
      </c>
      <c r="V95" s="31" t="n">
        <v>0</v>
      </c>
      <c r="W95" s="31" t="n">
        <v>0</v>
      </c>
      <c r="X95" s="31" t="n">
        <v>0</v>
      </c>
      <c r="Y95" s="36" t="n">
        <v>1.05072621408725</v>
      </c>
      <c r="Z95" s="36" t="n">
        <v>1.12904083745131</v>
      </c>
      <c r="AA95" s="36" t="n">
        <v>0.0514911721881077</v>
      </c>
      <c r="AB95" s="36" t="n">
        <v>0.0539641139928842</v>
      </c>
      <c r="AC95" s="36" t="n">
        <v>0.0353148460150082</v>
      </c>
      <c r="AD95" s="31" t="n">
        <v>0.821546</v>
      </c>
      <c r="AE95" s="31" t="n">
        <v>0.779625</v>
      </c>
      <c r="AF95" s="31" t="n">
        <v>0.567131</v>
      </c>
      <c r="AG95" s="31" t="n">
        <v>0.611813</v>
      </c>
      <c r="AH95" s="31" t="n">
        <v>0.519462891908447</v>
      </c>
      <c r="AI95" s="31" t="n">
        <v>7.124</v>
      </c>
      <c r="AJ95" s="31" t="n">
        <v>14.38774</v>
      </c>
      <c r="AK95" s="31" t="n">
        <v>5.575</v>
      </c>
      <c r="AL95" s="31" t="n">
        <v>7.124</v>
      </c>
      <c r="AM95" s="31" t="n">
        <v>12.112</v>
      </c>
      <c r="AN95" s="31" t="n">
        <v>23.66372</v>
      </c>
      <c r="AO95" s="31" t="n">
        <v>10.789</v>
      </c>
      <c r="AP95" s="31" t="n">
        <v>15.5215733333333</v>
      </c>
      <c r="AQ95" s="36" t="n">
        <v>0.000758887873198216</v>
      </c>
      <c r="AR95" s="36" t="n">
        <v>0.000624622401891532</v>
      </c>
      <c r="AS95" s="36" t="n">
        <v>0.00471097284211453</v>
      </c>
      <c r="AT95" s="36" t="n">
        <v>0.0180729930967922</v>
      </c>
      <c r="AU95" s="31" t="n">
        <v>0.980718697161298</v>
      </c>
      <c r="AV95" s="36" t="n">
        <v>0.192733</v>
      </c>
      <c r="AW95" s="31" t="n">
        <v>0.042101</v>
      </c>
      <c r="AX95" s="31" t="n">
        <v>9.8E-005</v>
      </c>
      <c r="AY95" s="31" t="n">
        <v>0.00199632068560717</v>
      </c>
      <c r="AZ95" s="31" t="n">
        <v>0.000382</v>
      </c>
      <c r="BA95" s="33" t="n">
        <v>51.773</v>
      </c>
      <c r="BB95" s="33" t="n">
        <v>22.399</v>
      </c>
      <c r="BC95" s="33" t="n">
        <v>99.041</v>
      </c>
      <c r="BD95" s="33" t="n">
        <v>1.5</v>
      </c>
      <c r="BE95" s="33" t="n">
        <v>2</v>
      </c>
      <c r="BF95" s="33" t="n">
        <v>1</v>
      </c>
      <c r="BG95" s="33" t="n">
        <v>6.9</v>
      </c>
      <c r="BH95" s="33" t="n">
        <v>7.97</v>
      </c>
      <c r="BI95" s="29" t="n">
        <v>2020</v>
      </c>
      <c r="BJ95" s="33" t="n">
        <v>2</v>
      </c>
      <c r="BK95" s="33"/>
      <c r="BL95" s="33" t="n">
        <v>5.649</v>
      </c>
      <c r="BM95" s="33" t="n">
        <v>7.864</v>
      </c>
      <c r="BN95" s="29" t="n">
        <v>30.65</v>
      </c>
      <c r="BO95" s="33" t="n">
        <v>0.902</v>
      </c>
      <c r="BP95" s="33" t="n">
        <v>0.161</v>
      </c>
      <c r="BQ95" s="29" t="n">
        <v>2024</v>
      </c>
      <c r="BR95" s="36" t="n">
        <v>5.81</v>
      </c>
      <c r="BS95" s="36" t="n">
        <v>0</v>
      </c>
      <c r="BT95" s="36" t="n">
        <v>0</v>
      </c>
      <c r="BU95" s="36" t="n">
        <v>0.17</v>
      </c>
      <c r="BV95" s="16" t="n">
        <f aca="false">F95*(1+N(H95)/100)*(1+N(I95)/100)^5</f>
        <v>87.4599963959086</v>
      </c>
      <c r="BW95" s="16" t="n">
        <f aca="false">IF(N(G95)&gt;0,G95,F95)</f>
        <v>171.686</v>
      </c>
      <c r="BX95" s="12" t="n">
        <f aca="false">F95/BW95</f>
        <v>0.332356744288993</v>
      </c>
      <c r="BY95" s="13" t="n">
        <f aca="false">IF(ISNUMBER(K95),1,0)</f>
        <v>1</v>
      </c>
      <c r="BZ95" s="16" t="n">
        <f aca="false">IF(BY95=0,"",N(N95)+N(O95)+N(P95))</f>
        <v>4.31719200240817</v>
      </c>
      <c r="CA95" s="37" t="n">
        <f aca="false">IF(BY95=0,"",(N(Y95)*34.2+N(Z95)*38.6)/1000)</f>
        <v>0.0795158128474046</v>
      </c>
      <c r="CB95" s="37" t="n">
        <f aca="false">IF(BY95=0,"",N(O95)*0.0036+N(R95)+N(V95)+(N(AA95)*25.3+N(AB95)*37)/1000)</f>
        <v>0.00652540221094543</v>
      </c>
      <c r="CC95" s="37" t="n">
        <f aca="false">IF(BY95=0,"",N(N95)*0.0036+N(Q95)+N(U95)+N(T95)+N(X95)+N(AC95)*38/1000)</f>
        <v>0.0178718441510195</v>
      </c>
      <c r="CD95" s="37" t="n">
        <f aca="false">IF(BY95=0,"",N(Q95)+N(R95)+N(S95)+N(T95)+N(U95)+N(V95)+N(W95)+N(X95)+(N(Y95)*34.2+N(Z95)*38.6+N(AA95)*25.3+N(AB95)*37+N(AC95)*38)/1000)</f>
        <v>0.0883711680007001</v>
      </c>
      <c r="CE95" s="16" t="n">
        <f aca="false">IF(BY95=0,"",MAX(0,N(L95)-N(K95))+MAX(0,N(M95)-N(L95)))</f>
        <v>64.633</v>
      </c>
      <c r="CF95" s="16" t="n">
        <f aca="false">IF(BY95=0,"",N(Y95)*N(AD95)+N(Z95)*N(AE95)+N(AA95)*N(AF95)+N(AB95)*N(AG95)+N(AC95)*N(AH95)+N(U95)*N(AI95)+N(V95)*N(AJ95)+N(W95)*N(AK95)+N(X95)*N(AL95)+N(Q95)*N(AM95)+N(R95)*N(AN95)+N(S95)*N(AO95)+N(T95)*N(AP95))</f>
        <v>1.85403179960191</v>
      </c>
      <c r="CG95" s="16" t="n">
        <f aca="false">IF(AND(BY95=1,N(K95)&gt;0),K95,0)</f>
        <v>7.712</v>
      </c>
      <c r="CH95" s="16" t="n">
        <f aca="false">IF(CG95&gt;0,CF95*1000/CG95,"")</f>
        <v>240.408687707716</v>
      </c>
      <c r="CI95" s="16" t="n">
        <f aca="false">IF(BY95=0,"",N(AQ95)+p_road*(N(AR95)+N(AS95)+N(AT95)))</f>
        <v>0.000758887873198216</v>
      </c>
      <c r="CJ95" s="16" t="n">
        <f aca="false">IF(CG95&gt;0,CI95*1000/CG95,"")</f>
        <v>0.0984035105288143</v>
      </c>
      <c r="CK95" s="12" t="n">
        <f aca="false">IF(CH95="",1,MIN(p_idx_max,MAX(p_idx_min,CH95/p_fc_world)))</f>
        <v>1.49315354628242</v>
      </c>
      <c r="CL95" s="12" t="n">
        <f aca="false">IF(CJ95="",1,MIN(p_idx_max,MAX(p_idx_min,CJ95/p_cb_world)))</f>
        <v>0.25</v>
      </c>
      <c r="CM95" s="37" t="n">
        <f aca="false">p_b*(1-p_wb_idx+p_wb_idx*CK95)</f>
        <v>0.198589421655562</v>
      </c>
      <c r="CN95" s="37" t="n">
        <f aca="false">p_c*(1-p_wc_idx+p_wc_idx*CL95)</f>
        <v>0.03225</v>
      </c>
      <c r="CO95" s="28" t="n">
        <f aca="false">IF(N(BR95)&gt;0,(N(BS95)+N(BT95)+N(BU95))/BR95,"")</f>
        <v>0.0292598967297763</v>
      </c>
      <c r="CP95" s="16" t="n">
        <f aca="false">N(BS95)+N(BT95)+N(BU95)</f>
        <v>0.17</v>
      </c>
      <c r="CQ95" s="28" t="n">
        <f aca="false">IF(CP95&gt;0,N(BS95)/CP95,"")</f>
        <v>0</v>
      </c>
      <c r="CR95" s="28" t="n">
        <f aca="false">IF(CP95&gt;0,N(BT95)/CP95,"")</f>
        <v>0</v>
      </c>
      <c r="CS95" s="28" t="n">
        <f aca="false">IF(CP95&gt;0,N(BU95)/CP95,"")</f>
        <v>1</v>
      </c>
      <c r="CT95" s="7" t="n">
        <f aca="false">1000*(p_sh_pv*p_cf_pv/p_capex_pv+(1-p_sh_pv)*p_cf_wind/p_capex_wind)*8760</f>
        <v>2301.28856624319</v>
      </c>
      <c r="CU95" s="13" t="n">
        <f aca="false">IF(AND(ISNUMBER(CO95),ISNUMBER(CQ95),BY95=1),1,0)</f>
        <v>1</v>
      </c>
      <c r="CV95" s="16" t="n">
        <f aca="false">IF(CU95=0,"",CQ95*p_hr_coal*N(AK95)+CR95*p_hr_gas*N(AO95)+CS95*p_hr_oil*N(AH95)/p_gj_l_oil)</f>
        <v>141.304672669396</v>
      </c>
      <c r="CW95" s="37" t="n">
        <f aca="false">IF(CU95=0,"",CQ95*p_hr_coal*p_ef_coal+CR95*p_hr_gas*p_ef_gas+CS95*p_hr_oil*p_ef_oil)</f>
        <v>0.8127</v>
      </c>
      <c r="CX95" s="16" t="n">
        <f aca="false">IF(CU95=0,"",CQ95*p_hr_coal*N(AW95)+CR95*p_hr_gas*N(AX95)+CS95*p_hr_oil*N(AY95)/p_gj_l_oil)</f>
        <v>0.543040601007131</v>
      </c>
      <c r="CY95" s="37" t="n">
        <f aca="false">IF(CU95=0,"",CO95*CW95)</f>
        <v>0.0237795180722892</v>
      </c>
      <c r="CZ95" s="37" t="n">
        <f aca="false">IF(CU95=0,"",CT95*CO95*CV95/1000/1000-p_om_re)</f>
        <v>-0.00548518404698122</v>
      </c>
      <c r="DA95" s="37" t="n">
        <f aca="false">IF(CU95=0,"",CT95*CO95*CX95/1000/1000)</f>
        <v>3.65658918137009E-005</v>
      </c>
      <c r="DB95" s="37" t="n">
        <f aca="false">IF(CU95=0,"",CT95*CO95*CW95/1000)</f>
        <v>0.0547235330505324</v>
      </c>
      <c r="DC95" s="13" t="n">
        <f aca="false">IF(AND(CU95=1,ISNUMBER(AD95),ISNUMBER(AV95)),1,0)</f>
        <v>1</v>
      </c>
      <c r="DD95" s="7" t="n">
        <f aca="false">IF(DC95=0,"",p_ev_km*p_ice_l/100*AD95-p_ev_km*p_ev_kwh*AV95+p_ev_km*p_ev_maint)</f>
        <v>583.86015</v>
      </c>
      <c r="DE95" s="37" t="n">
        <f aca="false">IF(DC95=0,"",DD95/p_ev_prem)</f>
        <v>0.11677203</v>
      </c>
      <c r="DF95" s="37" t="n">
        <f aca="false">IF(DC95=0,"",p_ev_km*p_ice_l/100*N(AZ95)/p_ev_prem)</f>
        <v>8.595E-005</v>
      </c>
      <c r="DG95" s="37" t="n">
        <f aca="false">IF(DC95=0,"",1000/p_ev_prem*(p_ev_km*p_ice_l/100*p_gj_l_gso*p_ef_gso-p_ev_km*p_ev_kwh/1000*CY95))</f>
        <v>0.520422560240964</v>
      </c>
      <c r="DH95" s="11" t="str">
        <f aca="false">IFERROR(IF(INDEX(Damodaran!$D:$D,MATCH(A95,Damodaran!$A:$A,0))="","",INDEX(Damodaran!$D:$D,MATCH(A95,Damodaran!$A:$A,0))),"")</f>
        <v/>
      </c>
      <c r="DI95" s="11" t="str">
        <f aca="false">IFERROR(IF(INDEX(Damodaran!$E:$E,MATCH(A95,Damodaran!$A:$A,0))="","",INDEX(Damodaran!$E:$E,MATCH(A95,Damodaran!$A:$A,0))),"")</f>
        <v/>
      </c>
      <c r="DJ95" s="11" t="str">
        <f aca="false">IFERROR(IF(INDEX(Damodaran!$G:$G,MATCH(A95,Damodaran!$A:$A,0))="","",INDEX(Damodaran!$G:$G,MATCH(A95,Damodaran!$A:$A,0))),"")</f>
        <v/>
      </c>
      <c r="DK95" s="11" t="n">
        <f aca="false">IF(ISNUMBER(BG95),(1+BG95/100)*(1+p_infl)-1,"")</f>
        <v>0.0903799999999999</v>
      </c>
      <c r="DL95" s="11" t="n">
        <f aca="false">IF(ISNUMBER(BH95),BH95/100,"")</f>
        <v>0.0797</v>
      </c>
      <c r="DM95" s="11" t="n">
        <f aca="false">IF(COUNT(DK95,DL95)=0,"",AVERAGE(DK95,DL95))</f>
        <v>0.08504</v>
      </c>
      <c r="DN95" s="11" t="str">
        <f aca="false">IF(OR(DH95="",DI95=""),"",p_dv*(p_rf+DH95)*(1-IF(DJ95="",p_tax_def,DJ95))+(1-p_dv)*(p_rf+p_beta*p_erp+p_lambda*DI95))</f>
        <v/>
      </c>
      <c r="DO95" s="13" t="n">
        <f aca="false">IF(AND(ISNUMBER(DM95),ISNUMBER(DN95)),1,0)</f>
        <v>0</v>
      </c>
      <c r="DP95" s="11" t="n">
        <f aca="false">IF(DO95=1,DM95,0)</f>
        <v>0</v>
      </c>
      <c r="DQ95" s="11" t="n">
        <f aca="false">IF(DO95=1,DN95,0)</f>
        <v>0</v>
      </c>
      <c r="DR95" s="11" t="str">
        <f aca="false">IF(DN95="","",DN95+p_shift)</f>
        <v/>
      </c>
      <c r="DS95" s="11" t="n">
        <f aca="false">IF(E95="AE",p_r_ae,IF(E95="China",p_r_chn,p_r_emdc))</f>
        <v>0.105</v>
      </c>
      <c r="DT95" s="11" t="n">
        <f aca="false">IF(E95="AE",p_rh_ae,IF(E95="China",p_rh_chn,p_rh_emdc))</f>
        <v>0.15</v>
      </c>
      <c r="DU95" s="11" t="n">
        <f aca="false">IF(AND(p_use_obs=1,ISNUMBER(DM95)),DM95,IF(AND(p_use_dam=1,ISNUMBER(DR95)),DR95,DS95))</f>
        <v>0.08504</v>
      </c>
      <c r="DV95" s="6" t="str">
        <f aca="false">IF(AND(p_use_obs=1,ISNUMBER(DM95)),"Observed (IRENA/Steffen)",IF(AND(p_use_dam=1,ISNUMBER(DR95)),"Damodaran (eq. 5)","Group default (IHLEG)"))</f>
        <v>Observed (IRENA/Steffen)</v>
      </c>
      <c r="DW95" s="11" t="n">
        <f aca="false">IF(p_basis=1,(1+DU95)/(1+p_infl)-1,DU95)</f>
        <v>0.08504</v>
      </c>
      <c r="DX95" s="11" t="n">
        <f aca="false">DW95+(DT95-DS95)</f>
        <v>0.13004</v>
      </c>
      <c r="DY95" s="28" t="n">
        <f aca="false">IF(AND(p_use_pefa=1,ISNUMBER(BD95)),p_gap_lic-(BD95-1)/3*(p_gap_lic-p_gap_ae),IF(E95="AE",p_gap_ae,IF(D95="Low income",p_gap_lic,p_gap_em)))*(1-p_reform*p_reform_close)</f>
        <v>0.355</v>
      </c>
      <c r="DZ95" s="6" t="str">
        <f aca="false">IF(AND(p_use_pefa=1,ISNUMBER(BD95)),"PEFA PI-11","Income-group default (IMF 2015)")</f>
        <v>PEFA PI-11</v>
      </c>
      <c r="EA95" s="28" t="n">
        <f aca="false">IF(E95="AE",p_ps_ae,IF(E95="China",p_ps_chn,p_ps_emdc))</f>
        <v>0.4</v>
      </c>
      <c r="EB95" s="37" t="n">
        <f aca="false">(1-EA95)+EA95/(1-DY95)</f>
        <v>1.22015503875969</v>
      </c>
      <c r="EC95" s="16" t="n">
        <f aca="false">Results_Country!F95</f>
        <v>3.49792769940145</v>
      </c>
      <c r="ED95" s="16" t="n">
        <f aca="false">IF(CH95="",0,CH95*EC95)</f>
        <v>840.932207909574</v>
      </c>
      <c r="EE95" s="16" t="n">
        <f aca="false">IF(CJ95="",0,CJ95*EC95)</f>
        <v>0.344208365197082</v>
      </c>
      <c r="EF95" s="16" t="n">
        <f aca="false">IF(CH95="",0,EC95)</f>
        <v>3.49792769940145</v>
      </c>
    </row>
    <row r="96" customFormat="false" ht="15" hidden="false" customHeight="false" outlineLevel="0" collapsed="false">
      <c r="A96" s="35" t="s">
        <v>949</v>
      </c>
      <c r="B96" s="35" t="s">
        <v>950</v>
      </c>
      <c r="C96" s="35" t="s">
        <v>784</v>
      </c>
      <c r="D96" s="35" t="s">
        <v>771</v>
      </c>
      <c r="E96" s="35" t="s">
        <v>31</v>
      </c>
      <c r="F96" s="36" t="n">
        <v>55.281</v>
      </c>
      <c r="G96" s="36" t="n">
        <v>160.086</v>
      </c>
      <c r="H96" s="33" t="n">
        <v>-1.2</v>
      </c>
      <c r="I96" s="33" t="n">
        <v>-3.285</v>
      </c>
      <c r="J96" s="36" t="n">
        <v>12.413315</v>
      </c>
      <c r="K96" s="36" t="n">
        <v>22.924</v>
      </c>
      <c r="L96" s="36" t="n">
        <v>60.352</v>
      </c>
      <c r="M96" s="36" t="n">
        <v>127.921</v>
      </c>
      <c r="N96" s="36" t="n">
        <v>5.59325224699343</v>
      </c>
      <c r="O96" s="36" t="n">
        <v>3.9508439487918</v>
      </c>
      <c r="P96" s="36" t="n">
        <v>0.310279617849568</v>
      </c>
      <c r="Q96" s="31" t="n">
        <v>0.0539684716730621</v>
      </c>
      <c r="R96" s="31" t="n">
        <v>0.00992934714590011</v>
      </c>
      <c r="S96" s="31" t="n">
        <v>0.0602419356596852</v>
      </c>
      <c r="T96" s="31" t="n">
        <v>0.0247437524132256</v>
      </c>
      <c r="U96" s="31" t="n">
        <v>0.000272538433535989</v>
      </c>
      <c r="V96" s="31" t="n">
        <v>0</v>
      </c>
      <c r="W96" s="31" t="n">
        <v>0</v>
      </c>
      <c r="X96" s="31" t="n">
        <v>0</v>
      </c>
      <c r="Y96" s="36" t="n">
        <v>1.94147976955814</v>
      </c>
      <c r="Z96" s="36" t="n">
        <v>2.13426828025348</v>
      </c>
      <c r="AA96" s="36" t="n">
        <v>0.894804111234334</v>
      </c>
      <c r="AB96" s="36" t="n">
        <v>0.12309554746319</v>
      </c>
      <c r="AC96" s="36" t="n">
        <v>0.105143130970088</v>
      </c>
      <c r="AD96" s="31" t="n">
        <v>0.868644</v>
      </c>
      <c r="AE96" s="31" t="n">
        <v>0.682636</v>
      </c>
      <c r="AF96" s="31" t="n">
        <v>0.61021</v>
      </c>
      <c r="AG96" s="31" t="n">
        <v>0.583095</v>
      </c>
      <c r="AH96" s="31" t="n">
        <v>0.519462891908447</v>
      </c>
      <c r="AI96" s="31" t="n">
        <v>7.124</v>
      </c>
      <c r="AJ96" s="31" t="n">
        <v>14.009757</v>
      </c>
      <c r="AK96" s="31" t="n">
        <v>5.575</v>
      </c>
      <c r="AL96" s="31" t="n">
        <v>7.124</v>
      </c>
      <c r="AM96" s="31" t="n">
        <v>8.922</v>
      </c>
      <c r="AN96" s="31" t="n">
        <v>14.812908</v>
      </c>
      <c r="AO96" s="31" t="n">
        <v>8.26</v>
      </c>
      <c r="AP96" s="31" t="n">
        <v>9.07193351008319</v>
      </c>
      <c r="AQ96" s="36" t="n">
        <v>0.281704810833752</v>
      </c>
      <c r="AR96" s="36" t="n">
        <v>1.05247236611467</v>
      </c>
      <c r="AS96" s="36" t="n">
        <v>0.340026371144162</v>
      </c>
      <c r="AT96" s="36" t="n">
        <v>0.394897866522634</v>
      </c>
      <c r="AU96" s="31" t="n">
        <v>0.394756186021993</v>
      </c>
      <c r="AV96" s="36" t="n">
        <v>0.110491</v>
      </c>
      <c r="AW96" s="31" t="n">
        <v>0.608889</v>
      </c>
      <c r="AX96" s="31" t="n">
        <v>0.008978</v>
      </c>
      <c r="AY96" s="31" t="n">
        <v>0.49239619985728</v>
      </c>
      <c r="AZ96" s="31" t="n">
        <v>0.01564</v>
      </c>
      <c r="BA96" s="33" t="n">
        <v>83.219</v>
      </c>
      <c r="BB96" s="33" t="n">
        <v>10.651</v>
      </c>
      <c r="BC96" s="33"/>
      <c r="BD96" s="33" t="n">
        <v>1.5</v>
      </c>
      <c r="BE96" s="33" t="n">
        <v>1</v>
      </c>
      <c r="BF96" s="33" t="n">
        <v>0</v>
      </c>
      <c r="BG96" s="33"/>
      <c r="BH96" s="33"/>
      <c r="BI96" s="29"/>
      <c r="BJ96" s="33"/>
      <c r="BK96" s="33"/>
      <c r="BL96" s="33" t="n">
        <v>0.561</v>
      </c>
      <c r="BM96" s="33" t="n">
        <v>7.5</v>
      </c>
      <c r="BN96" s="29" t="n">
        <v>21.072</v>
      </c>
      <c r="BO96" s="33" t="n">
        <v>0.223</v>
      </c>
      <c r="BP96" s="33"/>
      <c r="BQ96" s="29" t="n">
        <v>2025</v>
      </c>
      <c r="BR96" s="36" t="n">
        <v>13.63</v>
      </c>
      <c r="BS96" s="36" t="n">
        <v>0</v>
      </c>
      <c r="BT96" s="36" t="n">
        <v>8.51</v>
      </c>
      <c r="BU96" s="36" t="n">
        <v>0.2</v>
      </c>
      <c r="BV96" s="16" t="n">
        <f aca="false">F96*(1+N(H96)/100)*(1+N(I96)/100)^5</f>
        <v>46.2170281389243</v>
      </c>
      <c r="BW96" s="16" t="n">
        <f aca="false">IF(N(G96)&gt;0,G96,F96)</f>
        <v>160.086</v>
      </c>
      <c r="BX96" s="12" t="n">
        <f aca="false">F96/BW96</f>
        <v>0.345320640155916</v>
      </c>
      <c r="BY96" s="13" t="n">
        <f aca="false">IF(ISNUMBER(K96),1,0)</f>
        <v>1</v>
      </c>
      <c r="BZ96" s="16" t="n">
        <f aca="false">IF(BY96=0,"",N(N96)+N(O96)+N(P96))</f>
        <v>9.85437581363479</v>
      </c>
      <c r="CA96" s="37" t="n">
        <f aca="false">IF(BY96=0,"",(N(Y96)*34.2+N(Z96)*38.6)/1000)</f>
        <v>0.148781363736673</v>
      </c>
      <c r="CB96" s="37" t="n">
        <f aca="false">IF(BY96=0,"",N(O96)*0.0036+N(R96)+N(V96)+(N(AA96)*25.3+N(AB96)*37)/1000)</f>
        <v>0.0513454646319173</v>
      </c>
      <c r="CC96" s="37" t="n">
        <f aca="false">IF(BY96=0,"",N(N96)*0.0036+N(Q96)+N(U96)+N(T96)+N(X96)+N(AC96)*38/1000)</f>
        <v>0.103115909585863</v>
      </c>
      <c r="CD96" s="37" t="n">
        <f aca="false">IF(BY96=0,"",N(Q96)+N(R96)+N(S96)+N(T96)+N(U96)+N(V96)+N(W96)+N(X96)+(N(Y96)*34.2+N(Z96)*38.6+N(AA96)*25.3+N(AB96)*37+N(AC96)*38)/1000)</f>
        <v>0.329125927309312</v>
      </c>
      <c r="CE96" s="16" t="n">
        <f aca="false">IF(BY96=0,"",MAX(0,N(L96)-N(K96))+MAX(0,N(M96)-N(L96)))</f>
        <v>104.997</v>
      </c>
      <c r="CF96" s="16" t="n">
        <f aca="false">IF(BY96=0,"",N(Y96)*N(AD96)+N(Z96)*N(AE96)+N(AA96)*N(AF96)+N(AB96)*N(AG96)+N(AC96)*N(AH96)+N(U96)*N(AI96)+N(V96)*N(AJ96)+N(W96)*N(AK96)+N(X96)*N(AL96)+N(Q96)*N(AM96)+N(R96)*N(AN96)+N(S96)*N(AO96)+N(T96)*N(AP96))</f>
        <v>5.16839872362115</v>
      </c>
      <c r="CG96" s="16" t="n">
        <f aca="false">IF(AND(BY96=1,N(K96)&gt;0),K96,0)</f>
        <v>22.924</v>
      </c>
      <c r="CH96" s="16" t="n">
        <f aca="false">IF(CG96&gt;0,CF96*1000/CG96,"")</f>
        <v>225.457979568188</v>
      </c>
      <c r="CI96" s="16" t="n">
        <f aca="false">IF(BY96=0,"",N(AQ96)+p_road*(N(AR96)+N(AS96)+N(AT96)))</f>
        <v>0.281704810833752</v>
      </c>
      <c r="CJ96" s="16" t="n">
        <f aca="false">IF(CG96&gt;0,CI96*1000/CG96,"")</f>
        <v>12.2886411984711</v>
      </c>
      <c r="CK96" s="12" t="n">
        <f aca="false">IF(CH96="",1,MIN(p_idx_max,MAX(p_idx_min,CH96/p_fc_world)))</f>
        <v>1.40029624112085</v>
      </c>
      <c r="CL96" s="12" t="n">
        <f aca="false">IF(CJ96="",1,MIN(p_idx_max,MAX(p_idx_min,CJ96/p_cb_world)))</f>
        <v>0.25</v>
      </c>
      <c r="CM96" s="37" t="n">
        <f aca="false">p_b*(1-p_wb_idx+p_wb_idx*CK96)</f>
        <v>0.186239400069073</v>
      </c>
      <c r="CN96" s="37" t="n">
        <f aca="false">p_c*(1-p_wc_idx+p_wc_idx*CL96)</f>
        <v>0.03225</v>
      </c>
      <c r="CO96" s="28" t="n">
        <f aca="false">IF(N(BR96)&gt;0,(N(BS96)+N(BT96)+N(BU96))/BR96,"")</f>
        <v>0.639031548055759</v>
      </c>
      <c r="CP96" s="16" t="n">
        <f aca="false">N(BS96)+N(BT96)+N(BU96)</f>
        <v>8.71</v>
      </c>
      <c r="CQ96" s="28" t="n">
        <f aca="false">IF(CP96&gt;0,N(BS96)/CP96,"")</f>
        <v>0</v>
      </c>
      <c r="CR96" s="28" t="n">
        <f aca="false">IF(CP96&gt;0,N(BT96)/CP96,"")</f>
        <v>0.977037887485649</v>
      </c>
      <c r="CS96" s="28" t="n">
        <f aca="false">IF(CP96&gt;0,N(BU96)/CP96,"")</f>
        <v>0.0229621125143513</v>
      </c>
      <c r="CT96" s="7" t="n">
        <f aca="false">1000*(p_sh_pv*p_cf_pv/p_capex_pv+(1-p_sh_pv)*p_cf_wind/p_capex_wind)*8760</f>
        <v>2301.28856624319</v>
      </c>
      <c r="CU96" s="13" t="n">
        <f aca="false">IF(AND(ISNUMBER(CO96),ISNUMBER(CQ96),BY96=1),1,0)</f>
        <v>1</v>
      </c>
      <c r="CV96" s="16" t="n">
        <f aca="false">IF(CU96=0,"",CQ96*p_hr_coal*N(AK96)+CR96*p_hr_gas*N(AO96)+CS96*p_hr_oil*N(AH96)/p_gj_l_oil)</f>
        <v>63.7721509223742</v>
      </c>
      <c r="CW96" s="37" t="n">
        <f aca="false">IF(CU96=0,"",CQ96*p_hr_coal*p_ef_coal+CR96*p_hr_gas*p_ef_gas+CS96*p_hr_oil*p_ef_oil)</f>
        <v>0.42975</v>
      </c>
      <c r="CX96" s="16" t="n">
        <f aca="false">IF(CU96=0,"",CQ96*p_hr_coal*N(AW96)+CR96*p_hr_gas*N(AX96)+CS96*p_hr_oil*N(AY96)/p_gj_l_oil)</f>
        <v>3.14137946529892</v>
      </c>
      <c r="CY96" s="37" t="n">
        <f aca="false">IF(CU96=0,"",CO96*CW96)</f>
        <v>0.274623807776963</v>
      </c>
      <c r="CZ96" s="37" t="n">
        <f aca="false">IF(CU96=0,"",CT96*CO96*CV96/1000/1000-p_om_re)</f>
        <v>0.0787830697395789</v>
      </c>
      <c r="DA96" s="37" t="n">
        <f aca="false">IF(CU96=0,"",CT96*CO96*CX96/1000/1000)</f>
        <v>0.00461970006047338</v>
      </c>
      <c r="DB96" s="37" t="n">
        <f aca="false">IF(CU96=0,"",CT96*CO96*CW96/1000)</f>
        <v>0.631988628855293</v>
      </c>
      <c r="DC96" s="13" t="n">
        <f aca="false">IF(AND(CU96=1,ISNUMBER(AD96),ISNUMBER(AV96)),1,0)</f>
        <v>1</v>
      </c>
      <c r="DD96" s="7" t="n">
        <f aca="false">IF(DC96=0,"",p_ev_km*p_ice_l/100*AD96-p_ev_km*p_ev_kwh*AV96+p_ev_km*p_ev_maint)</f>
        <v>858.8988</v>
      </c>
      <c r="DE96" s="37" t="n">
        <f aca="false">IF(DC96=0,"",DD96/p_ev_prem)</f>
        <v>0.17177976</v>
      </c>
      <c r="DF96" s="37" t="n">
        <f aca="false">IF(DC96=0,"",p_ev_km*p_ice_l/100*N(AZ96)/p_ev_prem)</f>
        <v>0.003519</v>
      </c>
      <c r="DG96" s="37" t="n">
        <f aca="false">IF(DC96=0,"",1000/p_ev_prem*(p_ev_km*p_ice_l/100*p_gj_l_gso*p_ef_gso-p_ev_km*p_ev_kwh/1000*CY96))</f>
        <v>0.38496664380044</v>
      </c>
      <c r="DH96" s="11" t="str">
        <f aca="false">IFERROR(IF(INDEX(Damodaran!$D:$D,MATCH(A96,Damodaran!$A:$A,0))="","",INDEX(Damodaran!$D:$D,MATCH(A96,Damodaran!$A:$A,0))),"")</f>
        <v/>
      </c>
      <c r="DI96" s="11" t="str">
        <f aca="false">IFERROR(IF(INDEX(Damodaran!$E:$E,MATCH(A96,Damodaran!$A:$A,0))="","",INDEX(Damodaran!$E:$E,MATCH(A96,Damodaran!$A:$A,0))),"")</f>
        <v/>
      </c>
      <c r="DJ96" s="11" t="str">
        <f aca="false">IFERROR(IF(INDEX(Damodaran!$G:$G,MATCH(A96,Damodaran!$A:$A,0))="","",INDEX(Damodaran!$G:$G,MATCH(A96,Damodaran!$A:$A,0))),"")</f>
        <v/>
      </c>
      <c r="DK96" s="11" t="str">
        <f aca="false">IF(ISNUMBER(BG96),(1+BG96/100)*(1+p_infl)-1,"")</f>
        <v/>
      </c>
      <c r="DL96" s="11" t="str">
        <f aca="false">IF(ISNUMBER(BH96),BH96/100,"")</f>
        <v/>
      </c>
      <c r="DM96" s="11" t="str">
        <f aca="false">IF(COUNT(DK96,DL96)=0,"",AVERAGE(DK96,DL96))</f>
        <v/>
      </c>
      <c r="DN96" s="11" t="str">
        <f aca="false">IF(OR(DH96="",DI96=""),"",p_dv*(p_rf+DH96)*(1-IF(DJ96="",p_tax_def,DJ96))+(1-p_dv)*(p_rf+p_beta*p_erp+p_lambda*DI96))</f>
        <v/>
      </c>
      <c r="DO96" s="13" t="n">
        <f aca="false">IF(AND(ISNUMBER(DM96),ISNUMBER(DN96)),1,0)</f>
        <v>0</v>
      </c>
      <c r="DP96" s="11" t="n">
        <f aca="false">IF(DO96=1,DM96,0)</f>
        <v>0</v>
      </c>
      <c r="DQ96" s="11" t="n">
        <f aca="false">IF(DO96=1,DN96,0)</f>
        <v>0</v>
      </c>
      <c r="DR96" s="11" t="str">
        <f aca="false">IF(DN96="","",DN96+p_shift)</f>
        <v/>
      </c>
      <c r="DS96" s="11" t="n">
        <f aca="false">IF(E96="AE",p_r_ae,IF(E96="China",p_r_chn,p_r_emdc))</f>
        <v>0.105</v>
      </c>
      <c r="DT96" s="11" t="n">
        <f aca="false">IF(E96="AE",p_rh_ae,IF(E96="China",p_rh_chn,p_rh_emdc))</f>
        <v>0.15</v>
      </c>
      <c r="DU96" s="11" t="n">
        <f aca="false">IF(AND(p_use_obs=1,ISNUMBER(DM96)),DM96,IF(AND(p_use_dam=1,ISNUMBER(DR96)),DR96,DS96))</f>
        <v>0.105</v>
      </c>
      <c r="DV96" s="6" t="str">
        <f aca="false">IF(AND(p_use_obs=1,ISNUMBER(DM96)),"Observed (IRENA/Steffen)",IF(AND(p_use_dam=1,ISNUMBER(DR96)),"Damodaran (eq. 5)","Group default (IHLEG)"))</f>
        <v>Group default (IHLEG)</v>
      </c>
      <c r="DW96" s="11" t="n">
        <f aca="false">IF(p_basis=1,(1+DU96)/(1+p_infl)-1,DU96)</f>
        <v>0.105</v>
      </c>
      <c r="DX96" s="11" t="n">
        <f aca="false">DW96+(DT96-DS96)</f>
        <v>0.15</v>
      </c>
      <c r="DY96" s="28" t="n">
        <f aca="false">IF(AND(p_use_pefa=1,ISNUMBER(BD96)),p_gap_lic-(BD96-1)/3*(p_gap_lic-p_gap_ae),IF(E96="AE",p_gap_ae,IF(D96="Low income",p_gap_lic,p_gap_em)))*(1-p_reform*p_reform_close)</f>
        <v>0.355</v>
      </c>
      <c r="DZ96" s="6" t="str">
        <f aca="false">IF(AND(p_use_pefa=1,ISNUMBER(BD96)),"PEFA PI-11","Income-group default (IMF 2015)")</f>
        <v>PEFA PI-11</v>
      </c>
      <c r="EA96" s="28" t="n">
        <f aca="false">IF(E96="AE",p_ps_ae,IF(E96="China",p_ps_chn,p_ps_emdc))</f>
        <v>0.4</v>
      </c>
      <c r="EB96" s="37" t="n">
        <f aca="false">(1-EA96)+EA96/(1-DY96)</f>
        <v>1.22015503875969</v>
      </c>
      <c r="EC96" s="16" t="n">
        <f aca="false">Results_Country!F96</f>
        <v>4.79099298791063</v>
      </c>
      <c r="ED96" s="16" t="n">
        <f aca="false">IF(CH96="",0,CH96*EC96)</f>
        <v>1080.16759917969</v>
      </c>
      <c r="EE96" s="16" t="n">
        <f aca="false">IF(CJ96="",0,CJ96*EC96)</f>
        <v>58.8747938128247</v>
      </c>
      <c r="EF96" s="16" t="n">
        <f aca="false">IF(CH96="",0,EC96)</f>
        <v>4.79099298791063</v>
      </c>
    </row>
    <row r="97" customFormat="false" ht="15" hidden="false" customHeight="false" outlineLevel="0" collapsed="false">
      <c r="A97" s="35" t="s">
        <v>951</v>
      </c>
      <c r="B97" s="35" t="s">
        <v>952</v>
      </c>
      <c r="C97" s="35" t="s">
        <v>847</v>
      </c>
      <c r="D97" s="35" t="s">
        <v>771</v>
      </c>
      <c r="E97" s="35" t="s">
        <v>31</v>
      </c>
      <c r="F97" s="36" t="n">
        <v>53.308</v>
      </c>
      <c r="G97" s="36" t="n">
        <v>163.008</v>
      </c>
      <c r="H97" s="33" t="n">
        <v>3.073</v>
      </c>
      <c r="I97" s="33" t="n">
        <v>3.344</v>
      </c>
      <c r="J97" s="36" t="n">
        <v>29.123744</v>
      </c>
      <c r="K97" s="36" t="n">
        <v>8.32</v>
      </c>
      <c r="L97" s="36" t="n">
        <v>43.821</v>
      </c>
      <c r="M97" s="36" t="n">
        <v>78.489</v>
      </c>
      <c r="N97" s="36" t="n">
        <v>3.98983176096227</v>
      </c>
      <c r="O97" s="36" t="n">
        <v>1.33533734804442</v>
      </c>
      <c r="P97" s="36" t="n">
        <v>0.881540402427523</v>
      </c>
      <c r="Q97" s="31" t="n">
        <v>0</v>
      </c>
      <c r="R97" s="31" t="n">
        <v>0</v>
      </c>
      <c r="S97" s="31" t="n">
        <v>0.0188925592841848</v>
      </c>
      <c r="T97" s="31" t="n">
        <v>0</v>
      </c>
      <c r="U97" s="31" t="n">
        <v>0</v>
      </c>
      <c r="V97" s="31" t="n">
        <v>0</v>
      </c>
      <c r="W97" s="31" t="n">
        <v>0</v>
      </c>
      <c r="X97" s="31" t="n">
        <v>0</v>
      </c>
      <c r="Y97" s="36" t="n">
        <v>0.56868556346922</v>
      </c>
      <c r="Z97" s="36" t="n">
        <v>0.613222793582868</v>
      </c>
      <c r="AA97" s="36" t="n">
        <v>0.205585604380981</v>
      </c>
      <c r="AB97" s="36" t="n">
        <v>0.123915727368358</v>
      </c>
      <c r="AC97" s="36" t="n">
        <v>0.0794737846615249</v>
      </c>
      <c r="AD97" s="31" t="n">
        <v>0.863008</v>
      </c>
      <c r="AE97" s="31" t="n">
        <v>0.801117</v>
      </c>
      <c r="AF97" s="31" t="n">
        <v>0.58303</v>
      </c>
      <c r="AG97" s="31" t="n">
        <v>0.696198</v>
      </c>
      <c r="AH97" s="31" t="n">
        <v>0.519462891908447</v>
      </c>
      <c r="AI97" s="31" t="n">
        <v>7.124</v>
      </c>
      <c r="AJ97" s="31" t="n">
        <v>14.534056</v>
      </c>
      <c r="AK97" s="31" t="n">
        <v>5.575</v>
      </c>
      <c r="AL97" s="31" t="n">
        <v>9.07768533333333</v>
      </c>
      <c r="AM97" s="31" t="n">
        <v>8.922</v>
      </c>
      <c r="AN97" s="31" t="n">
        <v>15.367264</v>
      </c>
      <c r="AO97" s="31" t="n">
        <v>8.26</v>
      </c>
      <c r="AP97" s="31" t="n">
        <v>8.26</v>
      </c>
      <c r="AQ97" s="36" t="n">
        <v>0.0170127468048966</v>
      </c>
      <c r="AR97" s="36" t="n">
        <v>0.00673158198592259</v>
      </c>
      <c r="AS97" s="36" t="n">
        <v>0.0572178114957131</v>
      </c>
      <c r="AT97" s="36" t="n">
        <v>0.0425960208527303</v>
      </c>
      <c r="AU97" s="31" t="n">
        <v>0.787327431968561</v>
      </c>
      <c r="AV97" s="36" t="n">
        <v>0.133131</v>
      </c>
      <c r="AW97" s="31" t="n">
        <v>0.237828</v>
      </c>
      <c r="AX97" s="31" t="n">
        <v>0.002314</v>
      </c>
      <c r="AY97" s="31" t="n">
        <v>0.0293933884116989</v>
      </c>
      <c r="AZ97" s="31" t="n">
        <v>0.016907</v>
      </c>
      <c r="BA97" s="33" t="n">
        <v>43.413</v>
      </c>
      <c r="BB97" s="33" t="n">
        <v>7.909</v>
      </c>
      <c r="BC97" s="33" t="n">
        <v>83.775</v>
      </c>
      <c r="BD97" s="33" t="n">
        <v>1.5</v>
      </c>
      <c r="BE97" s="33" t="n">
        <v>1</v>
      </c>
      <c r="BF97" s="33" t="n">
        <v>0</v>
      </c>
      <c r="BG97" s="33"/>
      <c r="BH97" s="33"/>
      <c r="BI97" s="29"/>
      <c r="BJ97" s="33"/>
      <c r="BK97" s="33"/>
      <c r="BL97" s="33" t="n">
        <v>4.227</v>
      </c>
      <c r="BM97" s="33" t="n">
        <v>8.467</v>
      </c>
      <c r="BN97" s="29" t="n">
        <v>16.43</v>
      </c>
      <c r="BO97" s="33" t="n">
        <v>0.611</v>
      </c>
      <c r="BP97" s="33" t="n">
        <v>0.05</v>
      </c>
      <c r="BQ97" s="29" t="n">
        <v>2024</v>
      </c>
      <c r="BR97" s="36" t="n">
        <v>7.26</v>
      </c>
      <c r="BS97" s="36" t="n">
        <v>0</v>
      </c>
      <c r="BT97" s="36" t="n">
        <v>1.6</v>
      </c>
      <c r="BU97" s="36" t="n">
        <v>0.35</v>
      </c>
      <c r="BV97" s="16" t="n">
        <f aca="false">F97*(1+N(H97)/100)*(1+N(I97)/100)^5</f>
        <v>64.7684705459062</v>
      </c>
      <c r="BW97" s="16" t="n">
        <f aca="false">IF(N(G97)&gt;0,G97,F97)</f>
        <v>163.008</v>
      </c>
      <c r="BX97" s="12" t="n">
        <f aca="false">F97/BW97</f>
        <v>0.327026894385552</v>
      </c>
      <c r="BY97" s="13" t="n">
        <f aca="false">IF(ISNUMBER(K97),1,0)</f>
        <v>1</v>
      </c>
      <c r="BZ97" s="16" t="n">
        <f aca="false">IF(BY97=0,"",N(N97)+N(O97)+N(P97))</f>
        <v>6.20670951143421</v>
      </c>
      <c r="CA97" s="37" t="n">
        <f aca="false">IF(BY97=0,"",(N(Y97)*34.2+N(Z97)*38.6)/1000)</f>
        <v>0.043119446102946</v>
      </c>
      <c r="CB97" s="37" t="n">
        <f aca="false">IF(BY97=0,"",N(O97)*0.0036+N(R97)+N(V97)+(N(AA97)*25.3+N(AB97)*37)/1000)</f>
        <v>0.014593412156428</v>
      </c>
      <c r="CC97" s="37" t="n">
        <f aca="false">IF(BY97=0,"",N(N97)*0.0036+N(Q97)+N(U97)+N(T97)+N(X97)+N(AC97)*38/1000)</f>
        <v>0.0173833981566021</v>
      </c>
      <c r="CD97" s="37" t="n">
        <f aca="false">IF(BY97=0,"",N(Q97)+N(R97)+N(S97)+N(T97)+N(U97)+N(V97)+N(W97)+N(X97)+(N(Y97)*34.2+N(Z97)*38.6+N(AA97)*25.3+N(AB97)*37+N(AC97)*38)/1000)</f>
        <v>0.0748182069077368</v>
      </c>
      <c r="CE97" s="16" t="n">
        <f aca="false">IF(BY97=0,"",MAX(0,N(L97)-N(K97))+MAX(0,N(M97)-N(L97)))</f>
        <v>70.169</v>
      </c>
      <c r="CF97" s="16" t="n">
        <f aca="false">IF(BY97=0,"",N(Y97)*N(AD97)+N(Z97)*N(AE97)+N(AA97)*N(AF97)+N(AB97)*N(AG97)+N(AC97)*N(AH97)+N(U97)*N(AI97)+N(V97)*N(AJ97)+N(W97)*N(AK97)+N(X97)*N(AL97)+N(Q97)*N(AM97)+N(R97)*N(AN97)+N(S97)*N(AO97)+N(T97)*N(AP97))</f>
        <v>1.38551207366836</v>
      </c>
      <c r="CG97" s="16" t="n">
        <f aca="false">IF(AND(BY97=1,N(K97)&gt;0),K97,0)</f>
        <v>8.32</v>
      </c>
      <c r="CH97" s="16" t="n">
        <f aca="false">IF(CG97&gt;0,CF97*1000/CG97,"")</f>
        <v>166.527893469755</v>
      </c>
      <c r="CI97" s="16" t="n">
        <f aca="false">IF(BY97=0,"",N(AQ97)+p_road*(N(AR97)+N(AS97)+N(AT97)))</f>
        <v>0.0170127468048966</v>
      </c>
      <c r="CJ97" s="16" t="n">
        <f aca="false">IF(CG97&gt;0,CI97*1000/CG97,"")</f>
        <v>2.04480129866546</v>
      </c>
      <c r="CK97" s="12" t="n">
        <f aca="false">IF(CH97="",1,MIN(p_idx_max,MAX(p_idx_min,CH97/p_fc_world)))</f>
        <v>1.03428755865766</v>
      </c>
      <c r="CL97" s="12" t="n">
        <f aca="false">IF(CJ97="",1,MIN(p_idx_max,MAX(p_idx_min,CJ97/p_cb_world)))</f>
        <v>0.25</v>
      </c>
      <c r="CM97" s="37" t="n">
        <f aca="false">p_b*(1-p_wb_idx+p_wb_idx*CK97)</f>
        <v>0.137560245301469</v>
      </c>
      <c r="CN97" s="37" t="n">
        <f aca="false">p_c*(1-p_wc_idx+p_wc_idx*CL97)</f>
        <v>0.03225</v>
      </c>
      <c r="CO97" s="28" t="n">
        <f aca="false">IF(N(BR97)&gt;0,(N(BS97)+N(BT97)+N(BU97))/BR97,"")</f>
        <v>0.268595041322314</v>
      </c>
      <c r="CP97" s="16" t="n">
        <f aca="false">N(BS97)+N(BT97)+N(BU97)</f>
        <v>1.95</v>
      </c>
      <c r="CQ97" s="28" t="n">
        <f aca="false">IF(CP97&gt;0,N(BS97)/CP97,"")</f>
        <v>0</v>
      </c>
      <c r="CR97" s="28" t="n">
        <f aca="false">IF(CP97&gt;0,N(BT97)/CP97,"")</f>
        <v>0.820512820512821</v>
      </c>
      <c r="CS97" s="28" t="n">
        <f aca="false">IF(CP97&gt;0,N(BU97)/CP97,"")</f>
        <v>0.179487179487179</v>
      </c>
      <c r="CT97" s="7" t="n">
        <f aca="false">1000*(p_sh_pv*p_cf_pv/p_capex_pv+(1-p_sh_pv)*p_cf_wind/p_capex_wind)*8760</f>
        <v>2301.28856624319</v>
      </c>
      <c r="CU97" s="13" t="n">
        <f aca="false">IF(AND(ISNUMBER(CO97),ISNUMBER(CQ97),BY97=1),1,0)</f>
        <v>1</v>
      </c>
      <c r="CV97" s="16" t="n">
        <f aca="false">IF(CU97=0,"",CQ97*p_hr_coal*N(AK97)+CR97*p_hr_gas*N(AO97)+CS97*p_hr_oil*N(AH97)/p_gj_l_oil)</f>
        <v>76.1931463765583</v>
      </c>
      <c r="CW97" s="37" t="n">
        <f aca="false">IF(CU97=0,"",CQ97*p_hr_coal*p_ef_coal+CR97*p_hr_gas*p_ef_gas+CS97*p_hr_oil*p_ef_oil)</f>
        <v>0.4911</v>
      </c>
      <c r="CX97" s="16" t="n">
        <f aca="false">IF(CU97=0,"",CQ97*p_hr_coal*N(AW97)+CR97*p_hr_gas*N(AX97)+CS97*p_hr_oil*N(AY97)/p_gj_l_oil)</f>
        <v>1.44934963747833</v>
      </c>
      <c r="CY97" s="37" t="n">
        <f aca="false">IF(CU97=0,"",CO97*CW97)</f>
        <v>0.131907024793388</v>
      </c>
      <c r="CZ97" s="37" t="n">
        <f aca="false">IF(CU97=0,"",CT97*CO97*CV97/1000/1000-p_om_re)</f>
        <v>0.0320961036275223</v>
      </c>
      <c r="DA97" s="37" t="n">
        <f aca="false">IF(CU97=0,"",CT97*CO97*CX97/1000/1000)</f>
        <v>0.000895864312806377</v>
      </c>
      <c r="DB97" s="37" t="n">
        <f aca="false">IF(CU97=0,"",CT97*CO97*CW97/1000)</f>
        <v>0.303556127964182</v>
      </c>
      <c r="DC97" s="13" t="n">
        <f aca="false">IF(AND(CU97=1,ISNUMBER(AD97),ISNUMBER(AV97)),1,0)</f>
        <v>1</v>
      </c>
      <c r="DD97" s="7" t="n">
        <f aca="false">IF(DC97=0,"",p_ev_km*p_ice_l/100*AD97-p_ev_km*p_ev_kwh*AV97+p_ev_km*p_ev_maint)</f>
        <v>791.4303</v>
      </c>
      <c r="DE97" s="37" t="n">
        <f aca="false">IF(DC97=0,"",DD97/p_ev_prem)</f>
        <v>0.15828606</v>
      </c>
      <c r="DF97" s="37" t="n">
        <f aca="false">IF(DC97=0,"",p_ev_km*p_ice_l/100*N(AZ97)/p_ev_prem)</f>
        <v>0.003804075</v>
      </c>
      <c r="DG97" s="37" t="n">
        <f aca="false">IF(DC97=0,"",1000/p_ev_prem*(p_ev_km*p_ice_l/100*p_gj_l_gso*p_ef_gso-p_ev_km*p_ev_kwh/1000*CY97))</f>
        <v>0.46203370661157</v>
      </c>
      <c r="DH97" s="11" t="str">
        <f aca="false">IFERROR(IF(INDEX(Damodaran!$D:$D,MATCH(A97,Damodaran!$A:$A,0))="","",INDEX(Damodaran!$D:$D,MATCH(A97,Damodaran!$A:$A,0))),"")</f>
        <v/>
      </c>
      <c r="DI97" s="11" t="str">
        <f aca="false">IFERROR(IF(INDEX(Damodaran!$E:$E,MATCH(A97,Damodaran!$A:$A,0))="","",INDEX(Damodaran!$E:$E,MATCH(A97,Damodaran!$A:$A,0))),"")</f>
        <v/>
      </c>
      <c r="DJ97" s="11" t="str">
        <f aca="false">IFERROR(IF(INDEX(Damodaran!$G:$G,MATCH(A97,Damodaran!$A:$A,0))="","",INDEX(Damodaran!$G:$G,MATCH(A97,Damodaran!$A:$A,0))),"")</f>
        <v/>
      </c>
      <c r="DK97" s="11" t="str">
        <f aca="false">IF(ISNUMBER(BG97),(1+BG97/100)*(1+p_infl)-1,"")</f>
        <v/>
      </c>
      <c r="DL97" s="11" t="str">
        <f aca="false">IF(ISNUMBER(BH97),BH97/100,"")</f>
        <v/>
      </c>
      <c r="DM97" s="11" t="str">
        <f aca="false">IF(COUNT(DK97,DL97)=0,"",AVERAGE(DK97,DL97))</f>
        <v/>
      </c>
      <c r="DN97" s="11" t="str">
        <f aca="false">IF(OR(DH97="",DI97=""),"",p_dv*(p_rf+DH97)*(1-IF(DJ97="",p_tax_def,DJ97))+(1-p_dv)*(p_rf+p_beta*p_erp+p_lambda*DI97))</f>
        <v/>
      </c>
      <c r="DO97" s="13" t="n">
        <f aca="false">IF(AND(ISNUMBER(DM97),ISNUMBER(DN97)),1,0)</f>
        <v>0</v>
      </c>
      <c r="DP97" s="11" t="n">
        <f aca="false">IF(DO97=1,DM97,0)</f>
        <v>0</v>
      </c>
      <c r="DQ97" s="11" t="n">
        <f aca="false">IF(DO97=1,DN97,0)</f>
        <v>0</v>
      </c>
      <c r="DR97" s="11" t="str">
        <f aca="false">IF(DN97="","",DN97+p_shift)</f>
        <v/>
      </c>
      <c r="DS97" s="11" t="n">
        <f aca="false">IF(E97="AE",p_r_ae,IF(E97="China",p_r_chn,p_r_emdc))</f>
        <v>0.105</v>
      </c>
      <c r="DT97" s="11" t="n">
        <f aca="false">IF(E97="AE",p_rh_ae,IF(E97="China",p_rh_chn,p_rh_emdc))</f>
        <v>0.15</v>
      </c>
      <c r="DU97" s="11" t="n">
        <f aca="false">IF(AND(p_use_obs=1,ISNUMBER(DM97)),DM97,IF(AND(p_use_dam=1,ISNUMBER(DR97)),DR97,DS97))</f>
        <v>0.105</v>
      </c>
      <c r="DV97" s="6" t="str">
        <f aca="false">IF(AND(p_use_obs=1,ISNUMBER(DM97)),"Observed (IRENA/Steffen)",IF(AND(p_use_dam=1,ISNUMBER(DR97)),"Damodaran (eq. 5)","Group default (IHLEG)"))</f>
        <v>Group default (IHLEG)</v>
      </c>
      <c r="DW97" s="11" t="n">
        <f aca="false">IF(p_basis=1,(1+DU97)/(1+p_infl)-1,DU97)</f>
        <v>0.105</v>
      </c>
      <c r="DX97" s="11" t="n">
        <f aca="false">DW97+(DT97-DS97)</f>
        <v>0.15</v>
      </c>
      <c r="DY97" s="28" t="n">
        <f aca="false">IF(AND(p_use_pefa=1,ISNUMBER(BD97)),p_gap_lic-(BD97-1)/3*(p_gap_lic-p_gap_ae),IF(E97="AE",p_gap_ae,IF(D97="Low income",p_gap_lic,p_gap_em)))*(1-p_reform*p_reform_close)</f>
        <v>0.355</v>
      </c>
      <c r="DZ97" s="6" t="str">
        <f aca="false">IF(AND(p_use_pefa=1,ISNUMBER(BD97)),"PEFA PI-11","Income-group default (IMF 2015)")</f>
        <v>PEFA PI-11</v>
      </c>
      <c r="EA97" s="28" t="n">
        <f aca="false">IF(E97="AE",p_ps_ae,IF(E97="China",p_ps_chn,p_ps_emdc))</f>
        <v>0.4</v>
      </c>
      <c r="EB97" s="37" t="n">
        <f aca="false">(1-EA97)+EA97/(1-DY97)</f>
        <v>1.22015503875969</v>
      </c>
      <c r="EC97" s="16" t="n">
        <f aca="false">Results_Country!F97</f>
        <v>3.46477590709988</v>
      </c>
      <c r="ED97" s="16" t="n">
        <f aca="false">IF(CH97="",0,CH97*EC97)</f>
        <v>576.981833154102</v>
      </c>
      <c r="EE97" s="16" t="n">
        <f aca="false">IF(CJ97="",0,CJ97*EC97)</f>
        <v>7.08477827442262</v>
      </c>
      <c r="EF97" s="16" t="n">
        <f aca="false">IF(CH97="",0,EC97)</f>
        <v>3.46477590709988</v>
      </c>
    </row>
    <row r="98" customFormat="false" ht="15" hidden="false" customHeight="false" outlineLevel="0" collapsed="false">
      <c r="A98" s="35" t="s">
        <v>953</v>
      </c>
      <c r="B98" s="35" t="s">
        <v>954</v>
      </c>
      <c r="C98" s="35" t="s">
        <v>799</v>
      </c>
      <c r="D98" s="35" t="s">
        <v>771</v>
      </c>
      <c r="E98" s="35" t="s">
        <v>31</v>
      </c>
      <c r="F98" s="36" t="n">
        <v>51.331</v>
      </c>
      <c r="G98" s="36" t="n">
        <v>177.546</v>
      </c>
      <c r="H98" s="33" t="n">
        <v>2.493</v>
      </c>
      <c r="I98" s="33" t="n">
        <v>2.113</v>
      </c>
      <c r="J98" s="36" t="n">
        <v>12.277109</v>
      </c>
      <c r="K98" s="36" t="n">
        <v>36.569</v>
      </c>
      <c r="L98" s="36" t="n">
        <v>50.973</v>
      </c>
      <c r="M98" s="36" t="n">
        <v>47.19</v>
      </c>
      <c r="N98" s="36" t="n">
        <v>13.6753177597242</v>
      </c>
      <c r="O98" s="36" t="n">
        <v>6.46222335016315</v>
      </c>
      <c r="P98" s="36" t="n">
        <v>0.0549395102806933</v>
      </c>
      <c r="Q98" s="31" t="n">
        <v>0.0464918341193531</v>
      </c>
      <c r="R98" s="31" t="n">
        <v>0.0236134893402218</v>
      </c>
      <c r="S98" s="31" t="n">
        <v>0.16858976564614</v>
      </c>
      <c r="T98" s="31" t="n">
        <v>0</v>
      </c>
      <c r="U98" s="31" t="n">
        <v>0</v>
      </c>
      <c r="V98" s="31" t="n">
        <v>0</v>
      </c>
      <c r="W98" s="31" t="n">
        <v>0</v>
      </c>
      <c r="X98" s="31" t="n">
        <v>0</v>
      </c>
      <c r="Y98" s="36" t="n">
        <v>0.96993719392278</v>
      </c>
      <c r="Z98" s="36" t="n">
        <v>2.42193220347781</v>
      </c>
      <c r="AA98" s="36" t="n">
        <v>1.13009195910856</v>
      </c>
      <c r="AB98" s="36" t="n">
        <v>0.0144015073444617</v>
      </c>
      <c r="AC98" s="36" t="n">
        <v>1.02222674106597</v>
      </c>
      <c r="AD98" s="31" t="n">
        <v>0.8568</v>
      </c>
      <c r="AE98" s="31" t="n">
        <v>0.804308</v>
      </c>
      <c r="AF98" s="31" t="n">
        <v>0.596362</v>
      </c>
      <c r="AG98" s="31" t="n">
        <v>0.775858</v>
      </c>
      <c r="AH98" s="31" t="n">
        <v>0.543345303403777</v>
      </c>
      <c r="AI98" s="31" t="n">
        <v>7.124</v>
      </c>
      <c r="AJ98" s="31" t="n">
        <v>14.50967</v>
      </c>
      <c r="AK98" s="31" t="n">
        <v>5.575</v>
      </c>
      <c r="AL98" s="31" t="n">
        <v>9.06955666666667</v>
      </c>
      <c r="AM98" s="31" t="n">
        <v>9.062</v>
      </c>
      <c r="AN98" s="31" t="n">
        <v>18.53901</v>
      </c>
      <c r="AO98" s="31" t="n">
        <v>7.975</v>
      </c>
      <c r="AP98" s="31" t="n">
        <v>9.23179067104674</v>
      </c>
      <c r="AQ98" s="36" t="n">
        <v>1.33555587271543</v>
      </c>
      <c r="AR98" s="36" t="n">
        <v>0.154272678766004</v>
      </c>
      <c r="AS98" s="36" t="n">
        <v>0.709678751899441</v>
      </c>
      <c r="AT98" s="36" t="n">
        <v>0.36817976868539</v>
      </c>
      <c r="AU98" s="31" t="n">
        <v>0.171808800705835</v>
      </c>
      <c r="AV98" s="36" t="n">
        <v>0.147279</v>
      </c>
      <c r="AW98" s="31" t="n">
        <v>1.279911</v>
      </c>
      <c r="AX98" s="31" t="n">
        <v>0.039059</v>
      </c>
      <c r="AY98" s="31" t="n">
        <v>0.240543021911808</v>
      </c>
      <c r="AZ98" s="31" t="n">
        <v>0.084213</v>
      </c>
      <c r="BA98" s="33" t="n">
        <v>85.66</v>
      </c>
      <c r="BB98" s="33" t="n">
        <v>13.383</v>
      </c>
      <c r="BC98" s="33" t="n">
        <v>93.859</v>
      </c>
      <c r="BD98" s="33" t="n">
        <v>2</v>
      </c>
      <c r="BE98" s="33" t="n">
        <v>1</v>
      </c>
      <c r="BF98" s="33" t="n">
        <v>0</v>
      </c>
      <c r="BG98" s="33" t="n">
        <v>9.3</v>
      </c>
      <c r="BH98" s="33" t="n">
        <v>10.75</v>
      </c>
      <c r="BI98" s="29" t="n">
        <v>2020</v>
      </c>
      <c r="BJ98" s="33" t="n">
        <v>2</v>
      </c>
      <c r="BK98" s="33"/>
      <c r="BL98" s="33" t="n">
        <v>-2.657</v>
      </c>
      <c r="BM98" s="33" t="n">
        <v>2</v>
      </c>
      <c r="BN98" s="29" t="n">
        <v>16.825</v>
      </c>
      <c r="BO98" s="33" t="n">
        <v>0.63</v>
      </c>
      <c r="BP98" s="33" t="n">
        <v>0.244</v>
      </c>
      <c r="BQ98" s="29" t="n">
        <v>2025</v>
      </c>
      <c r="BR98" s="36" t="n">
        <v>22.31</v>
      </c>
      <c r="BS98" s="36" t="n">
        <v>0</v>
      </c>
      <c r="BT98" s="36" t="n">
        <v>21.18</v>
      </c>
      <c r="BU98" s="36" t="n">
        <v>0.23</v>
      </c>
      <c r="BV98" s="16" t="n">
        <f aca="false">F98*(1+N(H98)/100)*(1+N(I98)/100)^5</f>
        <v>58.4089108873949</v>
      </c>
      <c r="BW98" s="16" t="n">
        <f aca="false">IF(N(G98)&gt;0,G98,F98)</f>
        <v>177.546</v>
      </c>
      <c r="BX98" s="12" t="n">
        <f aca="false">F98/BW98</f>
        <v>0.289113807126041</v>
      </c>
      <c r="BY98" s="13" t="n">
        <f aca="false">IF(ISNUMBER(K98),1,0)</f>
        <v>1</v>
      </c>
      <c r="BZ98" s="16" t="n">
        <f aca="false">IF(BY98=0,"",N(N98)+N(O98)+N(P98))</f>
        <v>20.1924806201681</v>
      </c>
      <c r="CA98" s="37" t="n">
        <f aca="false">IF(BY98=0,"",(N(Y98)*34.2+N(Z98)*38.6)/1000)</f>
        <v>0.126658435086402</v>
      </c>
      <c r="CB98" s="37" t="n">
        <f aca="false">IF(BY98=0,"",N(O98)*0.0036+N(R98)+N(V98)+(N(AA98)*25.3+N(AB98)*37)/1000)</f>
        <v>0.0760016757380008</v>
      </c>
      <c r="CC98" s="37" t="n">
        <f aca="false">IF(BY98=0,"",N(N98)*0.0036+N(Q98)+N(U98)+N(T98)+N(X98)+N(AC98)*38/1000)</f>
        <v>0.134567594214867</v>
      </c>
      <c r="CD98" s="37" t="n">
        <f aca="false">IF(BY98=0,"",N(Q98)+N(R98)+N(S98)+N(T98)+N(U98)+N(V98)+N(W98)+N(X98)+(N(Y98)*34.2+N(Z98)*38.6+N(AA98)*25.3+N(AB98)*37+N(AC98)*38)/1000)</f>
        <v>0.433322322689816</v>
      </c>
      <c r="CE98" s="16" t="n">
        <f aca="false">IF(BY98=0,"",MAX(0,N(L98)-N(K98))+MAX(0,N(M98)-N(L98)))</f>
        <v>14.404</v>
      </c>
      <c r="CF98" s="16" t="n">
        <f aca="false">IF(BY98=0,"",N(Y98)*N(AD98)+N(Z98)*N(AE98)+N(AA98)*N(AF98)+N(AB98)*N(AG98)+N(AC98)*N(AH98)+N(U98)*N(AI98)+N(V98)*N(AJ98)+N(W98)*N(AK98)+N(X98)*N(AL98)+N(Q98)*N(AM98)+N(R98)*N(AN98)+N(S98)*N(AO98)+N(T98)*N(AP98))</f>
        <v>6.22314425567378</v>
      </c>
      <c r="CG98" s="16" t="n">
        <f aca="false">IF(AND(BY98=1,N(K98)&gt;0),K98,0)</f>
        <v>36.569</v>
      </c>
      <c r="CH98" s="16" t="n">
        <f aca="false">IF(CG98&gt;0,CF98*1000/CG98,"")</f>
        <v>170.175401451332</v>
      </c>
      <c r="CI98" s="16" t="n">
        <f aca="false">IF(BY98=0,"",N(AQ98)+p_road*(N(AR98)+N(AS98)+N(AT98)))</f>
        <v>1.33555587271543</v>
      </c>
      <c r="CJ98" s="16" t="n">
        <f aca="false">IF(CG98&gt;0,CI98*1000/CG98,"")</f>
        <v>36.5215311524907</v>
      </c>
      <c r="CK98" s="12" t="n">
        <f aca="false">IF(CH98="",1,MIN(p_idx_max,MAX(p_idx_min,CH98/p_fc_world)))</f>
        <v>1.05694185426451</v>
      </c>
      <c r="CL98" s="12" t="n">
        <f aca="false">IF(CJ98="",1,MIN(p_idx_max,MAX(p_idx_min,CJ98/p_cb_world)))</f>
        <v>0.694447219062371</v>
      </c>
      <c r="CM98" s="37" t="n">
        <f aca="false">p_b*(1-p_wb_idx+p_wb_idx*CK98)</f>
        <v>0.14057326661718</v>
      </c>
      <c r="CN98" s="37" t="n">
        <f aca="false">p_c*(1-p_wc_idx+p_wc_idx*CL98)</f>
        <v>0.0895836912590458</v>
      </c>
      <c r="CO98" s="28" t="n">
        <f aca="false">IF(N(BR98)&gt;0,(N(BS98)+N(BT98)+N(BU98))/BR98,"")</f>
        <v>0.95965934558494</v>
      </c>
      <c r="CP98" s="16" t="n">
        <f aca="false">N(BS98)+N(BT98)+N(BU98)</f>
        <v>21.41</v>
      </c>
      <c r="CQ98" s="28" t="n">
        <f aca="false">IF(CP98&gt;0,N(BS98)/CP98,"")</f>
        <v>0</v>
      </c>
      <c r="CR98" s="28" t="n">
        <f aca="false">IF(CP98&gt;0,N(BT98)/CP98,"")</f>
        <v>0.989257356375526</v>
      </c>
      <c r="CS98" s="28" t="n">
        <f aca="false">IF(CP98&gt;0,N(BU98)/CP98,"")</f>
        <v>0.0107426436244745</v>
      </c>
      <c r="CT98" s="7" t="n">
        <f aca="false">1000*(p_sh_pv*p_cf_pv/p_capex_pv+(1-p_sh_pv)*p_cf_wind/p_capex_wind)*8760</f>
        <v>2301.28856624319</v>
      </c>
      <c r="CU98" s="13" t="n">
        <f aca="false">IF(AND(ISNUMBER(CO98),ISNUMBER(CQ98),BY98=1),1,0)</f>
        <v>1</v>
      </c>
      <c r="CV98" s="16" t="n">
        <f aca="false">IF(CU98=0,"",CQ98*p_hr_coal*N(AK98)+CR98*p_hr_gas*N(AO98)+CS98*p_hr_oil*N(AH98)/p_gj_l_oil)</f>
        <v>60.7577310705618</v>
      </c>
      <c r="CW98" s="37" t="n">
        <f aca="false">IF(CU98=0,"",CQ98*p_hr_coal*p_ef_coal+CR98*p_hr_gas*p_ef_gas+CS98*p_hr_oil*p_ef_oil)</f>
        <v>0.424960579168613</v>
      </c>
      <c r="CX98" s="16" t="n">
        <f aca="false">IF(CU98=0,"",CQ98*p_hr_coal*N(AW98)+CR98*p_hr_gas*N(AX98)+CS98*p_hr_oil*N(AY98)/p_gj_l_oil)</f>
        <v>0.992715564257437</v>
      </c>
      <c r="CY98" s="37" t="n">
        <f aca="false">IF(CU98=0,"",CO98*CW98)</f>
        <v>0.407817391304348</v>
      </c>
      <c r="CZ98" s="37" t="n">
        <f aca="false">IF(CU98=0,"",CT98*CO98*CV98/1000/1000-p_om_re)</f>
        <v>0.119180598285185</v>
      </c>
      <c r="DA98" s="37" t="n">
        <f aca="false">IF(CU98=0,"",CT98*CO98*CX98/1000/1000)</f>
        <v>0.00219236574493509</v>
      </c>
      <c r="DB98" s="37" t="n">
        <f aca="false">IF(CU98=0,"",CT98*CO98*CW98/1000)</f>
        <v>0.938505499723822</v>
      </c>
      <c r="DC98" s="13" t="n">
        <f aca="false">IF(AND(CU98=1,ISNUMBER(AD98),ISNUMBER(AV98)),1,0)</f>
        <v>1</v>
      </c>
      <c r="DD98" s="7" t="n">
        <f aca="false">IF(DC98=0,"",p_ev_km*p_ice_l/100*AD98-p_ev_km*p_ev_kwh*AV98+p_ev_km*p_ev_maint)</f>
        <v>746.2467</v>
      </c>
      <c r="DE98" s="37" t="n">
        <f aca="false">IF(DC98=0,"",DD98/p_ev_prem)</f>
        <v>0.14924934</v>
      </c>
      <c r="DF98" s="37" t="n">
        <f aca="false">IF(DC98=0,"",p_ev_km*p_ice_l/100*N(AZ98)/p_ev_prem)</f>
        <v>0.018947925</v>
      </c>
      <c r="DG98" s="37" t="n">
        <f aca="false">IF(DC98=0,"",1000/p_ev_prem*(p_ev_km*p_ice_l/100*p_gj_l_gso*p_ef_gso-p_ev_km*p_ev_kwh/1000*CY98))</f>
        <v>0.313042108695652</v>
      </c>
      <c r="DH98" s="11" t="str">
        <f aca="false">IFERROR(IF(INDEX(Damodaran!$D:$D,MATCH(A98,Damodaran!$A:$A,0))="","",INDEX(Damodaran!$D:$D,MATCH(A98,Damodaran!$A:$A,0))),"")</f>
        <v/>
      </c>
      <c r="DI98" s="11" t="str">
        <f aca="false">IFERROR(IF(INDEX(Damodaran!$E:$E,MATCH(A98,Damodaran!$A:$A,0))="","",INDEX(Damodaran!$E:$E,MATCH(A98,Damodaran!$A:$A,0))),"")</f>
        <v/>
      </c>
      <c r="DJ98" s="11" t="str">
        <f aca="false">IFERROR(IF(INDEX(Damodaran!$G:$G,MATCH(A98,Damodaran!$A:$A,0))="","",INDEX(Damodaran!$G:$G,MATCH(A98,Damodaran!$A:$A,0))),"")</f>
        <v/>
      </c>
      <c r="DK98" s="11" t="n">
        <f aca="false">IF(ISNUMBER(BG98),(1+BG98/100)*(1+p_infl)-1,"")</f>
        <v>0.11486</v>
      </c>
      <c r="DL98" s="11" t="n">
        <f aca="false">IF(ISNUMBER(BH98),BH98/100,"")</f>
        <v>0.1075</v>
      </c>
      <c r="DM98" s="11" t="n">
        <f aca="false">IF(COUNT(DK98,DL98)=0,"",AVERAGE(DK98,DL98))</f>
        <v>0.11118</v>
      </c>
      <c r="DN98" s="11" t="str">
        <f aca="false">IF(OR(DH98="",DI98=""),"",p_dv*(p_rf+DH98)*(1-IF(DJ98="",p_tax_def,DJ98))+(1-p_dv)*(p_rf+p_beta*p_erp+p_lambda*DI98))</f>
        <v/>
      </c>
      <c r="DO98" s="13" t="n">
        <f aca="false">IF(AND(ISNUMBER(DM98),ISNUMBER(DN98)),1,0)</f>
        <v>0</v>
      </c>
      <c r="DP98" s="11" t="n">
        <f aca="false">IF(DO98=1,DM98,0)</f>
        <v>0</v>
      </c>
      <c r="DQ98" s="11" t="n">
        <f aca="false">IF(DO98=1,DN98,0)</f>
        <v>0</v>
      </c>
      <c r="DR98" s="11" t="str">
        <f aca="false">IF(DN98="","",DN98+p_shift)</f>
        <v/>
      </c>
      <c r="DS98" s="11" t="n">
        <f aca="false">IF(E98="AE",p_r_ae,IF(E98="China",p_r_chn,p_r_emdc))</f>
        <v>0.105</v>
      </c>
      <c r="DT98" s="11" t="n">
        <f aca="false">IF(E98="AE",p_rh_ae,IF(E98="China",p_rh_chn,p_rh_emdc))</f>
        <v>0.15</v>
      </c>
      <c r="DU98" s="11" t="n">
        <f aca="false">IF(AND(p_use_obs=1,ISNUMBER(DM98)),DM98,IF(AND(p_use_dam=1,ISNUMBER(DR98)),DR98,DS98))</f>
        <v>0.11118</v>
      </c>
      <c r="DV98" s="6" t="str">
        <f aca="false">IF(AND(p_use_obs=1,ISNUMBER(DM98)),"Observed (IRENA/Steffen)",IF(AND(p_use_dam=1,ISNUMBER(DR98)),"Damodaran (eq. 5)","Group default (IHLEG)"))</f>
        <v>Observed (IRENA/Steffen)</v>
      </c>
      <c r="DW98" s="11" t="n">
        <f aca="false">IF(p_basis=1,(1+DU98)/(1+p_infl)-1,DU98)</f>
        <v>0.11118</v>
      </c>
      <c r="DX98" s="11" t="n">
        <f aca="false">DW98+(DT98-DS98)</f>
        <v>0.15618</v>
      </c>
      <c r="DY98" s="28" t="n">
        <f aca="false">IF(AND(p_use_pefa=1,ISNUMBER(BD98)),p_gap_lic-(BD98-1)/3*(p_gap_lic-p_gap_ae),IF(E98="AE",p_gap_ae,IF(D98="Low income",p_gap_lic,p_gap_em)))*(1-p_reform*p_reform_close)</f>
        <v>0.31</v>
      </c>
      <c r="DZ98" s="6" t="str">
        <f aca="false">IF(AND(p_use_pefa=1,ISNUMBER(BD98)),"PEFA PI-11","Income-group default (IMF 2015)")</f>
        <v>PEFA PI-11</v>
      </c>
      <c r="EA98" s="28" t="n">
        <f aca="false">IF(E98="AE",p_ps_ae,IF(E98="China",p_ps_chn,p_ps_emdc))</f>
        <v>0.4</v>
      </c>
      <c r="EB98" s="37" t="n">
        <f aca="false">(1-EA98)+EA98/(1-DY98)</f>
        <v>1.17971014492754</v>
      </c>
      <c r="EC98" s="16" t="n">
        <f aca="false">Results_Country!F98</f>
        <v>3.96174035172196</v>
      </c>
      <c r="ED98" s="16" t="n">
        <f aca="false">IF(CH98="",0,CH98*EC98)</f>
        <v>674.190754800228</v>
      </c>
      <c r="EE98" s="16" t="n">
        <f aca="false">IF(CJ98="",0,CJ98*EC98)</f>
        <v>144.688823673493</v>
      </c>
      <c r="EF98" s="16" t="n">
        <f aca="false">IF(CH98="",0,EC98)</f>
        <v>3.96174035172196</v>
      </c>
    </row>
    <row r="99" customFormat="false" ht="15" hidden="false" customHeight="false" outlineLevel="0" collapsed="false">
      <c r="A99" s="35" t="s">
        <v>955</v>
      </c>
      <c r="B99" s="35" t="s">
        <v>956</v>
      </c>
      <c r="C99" s="35" t="s">
        <v>762</v>
      </c>
      <c r="D99" s="35" t="s">
        <v>760</v>
      </c>
      <c r="E99" s="35" t="s">
        <v>29</v>
      </c>
      <c r="F99" s="36" t="n">
        <v>49.467</v>
      </c>
      <c r="G99" s="36" t="n">
        <v>87.348</v>
      </c>
      <c r="H99" s="33" t="n">
        <v>4.671</v>
      </c>
      <c r="I99" s="33" t="n">
        <v>2.993</v>
      </c>
      <c r="J99" s="36" t="n">
        <v>0.720262</v>
      </c>
      <c r="K99" s="36" t="n">
        <v>2.426</v>
      </c>
      <c r="L99" s="36" t="n">
        <v>2.596</v>
      </c>
      <c r="M99" s="36" t="n">
        <v>2.596</v>
      </c>
      <c r="N99" s="36" t="n">
        <v>5.30682650796007</v>
      </c>
      <c r="O99" s="36" t="n">
        <v>1.63590705641125</v>
      </c>
      <c r="P99" s="36" t="n">
        <v>0.00573885449815978</v>
      </c>
      <c r="Q99" s="31" t="n">
        <v>6.85602850741881E-005</v>
      </c>
      <c r="R99" s="31" t="n">
        <v>0.000539832282287695</v>
      </c>
      <c r="S99" s="31" t="n">
        <v>0.00298488630447132</v>
      </c>
      <c r="T99" s="31" t="n">
        <v>0.000159382435355843</v>
      </c>
      <c r="U99" s="31" t="n">
        <v>0</v>
      </c>
      <c r="V99" s="31" t="n">
        <v>0</v>
      </c>
      <c r="W99" s="31" t="n">
        <v>0</v>
      </c>
      <c r="X99" s="31" t="n">
        <v>0</v>
      </c>
      <c r="Y99" s="36" t="n">
        <v>0.104294058134399</v>
      </c>
      <c r="Z99" s="36" t="n">
        <v>0.104588351334723</v>
      </c>
      <c r="AA99" s="36" t="n">
        <v>0.0294765308393974</v>
      </c>
      <c r="AB99" s="36" t="n">
        <v>0.00155620791627263</v>
      </c>
      <c r="AC99" s="36" t="n">
        <v>0.06982194214304</v>
      </c>
      <c r="AD99" s="31" t="n">
        <v>0.72</v>
      </c>
      <c r="AE99" s="31" t="n">
        <v>0.734</v>
      </c>
      <c r="AF99" s="31" t="n">
        <v>0.51</v>
      </c>
      <c r="AG99" s="31" t="n">
        <v>0.652</v>
      </c>
      <c r="AH99" s="31" t="n">
        <v>0.543345303403777</v>
      </c>
      <c r="AI99" s="31" t="n">
        <v>7.124</v>
      </c>
      <c r="AJ99" s="31" t="n">
        <v>11.451</v>
      </c>
      <c r="AK99" s="31" t="n">
        <v>4.833</v>
      </c>
      <c r="AL99" s="31" t="n">
        <v>7.80266666666667</v>
      </c>
      <c r="AM99" s="31" t="n">
        <v>13.543</v>
      </c>
      <c r="AN99" s="31" t="n">
        <v>21.484</v>
      </c>
      <c r="AO99" s="31" t="n">
        <v>12.219</v>
      </c>
      <c r="AP99" s="31" t="n">
        <v>13.6361791543237</v>
      </c>
      <c r="AQ99" s="36" t="s">
        <v>844</v>
      </c>
      <c r="AR99" s="36" t="s">
        <v>844</v>
      </c>
      <c r="AS99" s="36" t="s">
        <v>844</v>
      </c>
      <c r="AT99" s="36" t="s">
        <v>844</v>
      </c>
      <c r="AU99" s="31" t="n">
        <v>0.47988401931474</v>
      </c>
      <c r="AV99" s="36" t="n">
        <v>0.233097</v>
      </c>
      <c r="AW99" s="31" t="s">
        <v>844</v>
      </c>
      <c r="AX99" s="31" t="s">
        <v>844</v>
      </c>
      <c r="AY99" s="31" t="s">
        <v>844</v>
      </c>
      <c r="AZ99" s="31" t="s">
        <v>844</v>
      </c>
      <c r="BA99" s="33"/>
      <c r="BB99" s="33" t="n">
        <v>0</v>
      </c>
      <c r="BC99" s="33"/>
      <c r="BD99" s="33"/>
      <c r="BE99" s="33"/>
      <c r="BF99" s="33" t="n">
        <v>0</v>
      </c>
      <c r="BG99" s="33"/>
      <c r="BH99" s="33"/>
      <c r="BI99" s="29"/>
      <c r="BJ99" s="33"/>
      <c r="BK99" s="33"/>
      <c r="BL99" s="33"/>
      <c r="BM99" s="33"/>
      <c r="BN99" s="29"/>
      <c r="BO99" s="33"/>
      <c r="BP99" s="33"/>
      <c r="BQ99" s="29" t="n">
        <v>2024</v>
      </c>
      <c r="BR99" s="36" t="n">
        <v>0.78</v>
      </c>
      <c r="BS99" s="36" t="n">
        <v>0</v>
      </c>
      <c r="BT99" s="36" t="n">
        <v>0.49</v>
      </c>
      <c r="BU99" s="36" t="n">
        <v>0.05</v>
      </c>
      <c r="BV99" s="16" t="n">
        <f aca="false">F99*(1+N(H99)/100)*(1+N(I99)/100)^5</f>
        <v>60.0040395681137</v>
      </c>
      <c r="BW99" s="16" t="n">
        <f aca="false">IF(N(G99)&gt;0,G99,F99)</f>
        <v>87.348</v>
      </c>
      <c r="BX99" s="12" t="n">
        <f aca="false">F99/BW99</f>
        <v>0.566320923203737</v>
      </c>
      <c r="BY99" s="13" t="n">
        <f aca="false">IF(ISNUMBER(K99),1,0)</f>
        <v>1</v>
      </c>
      <c r="BZ99" s="16" t="n">
        <f aca="false">IF(BY99=0,"",N(N99)+N(O99)+N(P99))</f>
        <v>6.94847241886948</v>
      </c>
      <c r="CA99" s="37" t="n">
        <f aca="false">IF(BY99=0,"",(N(Y99)*34.2+N(Z99)*38.6)/1000)</f>
        <v>0.00760396714971672</v>
      </c>
      <c r="CB99" s="37" t="n">
        <f aca="false">IF(BY99=0,"",N(O99)*0.0036+N(R99)+N(V99)+(N(AA99)*25.3+N(AB99)*37)/1000)</f>
        <v>0.00723243360850704</v>
      </c>
      <c r="CC99" s="37" t="n">
        <f aca="false">IF(BY99=0,"",N(N99)*0.0036+N(Q99)+N(U99)+N(T99)+N(X99)+N(AC99)*38/1000)</f>
        <v>0.0219857519505218</v>
      </c>
      <c r="CD99" s="37" t="n">
        <f aca="false">IF(BY99=0,"",N(Q99)+N(R99)+N(S99)+N(T99)+N(U99)+N(V99)+N(W99)+N(X99)+(N(Y99)*34.2+N(Z99)*38.6+N(AA99)*25.3+N(AB99)*37+N(AC99)*38)/1000)</f>
        <v>0.0148131981814801</v>
      </c>
      <c r="CE99" s="16" t="n">
        <f aca="false">IF(BY99=0,"",MAX(0,N(L99)-N(K99))+MAX(0,N(M99)-N(L99)))</f>
        <v>0.17</v>
      </c>
      <c r="CF99" s="16" t="n">
        <f aca="false">IF(BY99=0,"",N(Y99)*N(AD99)+N(Z99)*N(AE99)+N(AA99)*N(AF99)+N(AB99)*N(AG99)+N(AC99)*N(AH99)+N(U99)*N(AI99)+N(V99)*N(AJ99)+N(W99)*N(AK99)+N(X99)*N(AL99)+N(Q99)*N(AM99)+N(R99)*N(AN99)+N(S99)*N(AO99)+N(T99)*N(AP99))</f>
        <v>0.257016636254235</v>
      </c>
      <c r="CG99" s="16" t="n">
        <f aca="false">IF(AND(BY99=1,N(K99)&gt;0),K99,0)</f>
        <v>2.426</v>
      </c>
      <c r="CH99" s="16" t="n">
        <f aca="false">IF(CG99&gt;0,CF99*1000/CG99,"")</f>
        <v>105.942554103147</v>
      </c>
      <c r="CI99" s="16" t="n">
        <f aca="false">IF(BY99=0,"",N(AQ99)+p_road*(N(AR99)+N(AS99)+N(AT99)))</f>
        <v>0</v>
      </c>
      <c r="CJ99" s="16" t="n">
        <f aca="false">IF(CG99&gt;0,CI99*1000/CG99,"")</f>
        <v>0</v>
      </c>
      <c r="CK99" s="12" t="n">
        <f aca="false">IF(CH99="",1,MIN(p_idx_max,MAX(p_idx_min,CH99/p_fc_world)))</f>
        <v>0.657998268987908</v>
      </c>
      <c r="CL99" s="12" t="n">
        <f aca="false">IF(CJ99="",1,MIN(p_idx_max,MAX(p_idx_min,CJ99/p_cb_world)))</f>
        <v>0.25</v>
      </c>
      <c r="CM99" s="37" t="n">
        <f aca="false">p_b*(1-p_wb_idx+p_wb_idx*CK99)</f>
        <v>0.0875137697753918</v>
      </c>
      <c r="CN99" s="37" t="n">
        <f aca="false">p_c*(1-p_wc_idx+p_wc_idx*CL99)</f>
        <v>0.03225</v>
      </c>
      <c r="CO99" s="28" t="n">
        <f aca="false">IF(N(BR99)&gt;0,(N(BS99)+N(BT99)+N(BU99))/BR99,"")</f>
        <v>0.692307692307692</v>
      </c>
      <c r="CP99" s="16" t="n">
        <f aca="false">N(BS99)+N(BT99)+N(BU99)</f>
        <v>0.54</v>
      </c>
      <c r="CQ99" s="28" t="n">
        <f aca="false">IF(CP99&gt;0,N(BS99)/CP99,"")</f>
        <v>0</v>
      </c>
      <c r="CR99" s="28" t="n">
        <f aca="false">IF(CP99&gt;0,N(BT99)/CP99,"")</f>
        <v>0.907407407407407</v>
      </c>
      <c r="CS99" s="28" t="n">
        <f aca="false">IF(CP99&gt;0,N(BU99)/CP99,"")</f>
        <v>0.0925925925925926</v>
      </c>
      <c r="CT99" s="7" t="n">
        <f aca="false">1000*(p_sh_pv*p_cf_pv/p_capex_pv+(1-p_sh_pv)*p_cf_wind/p_capex_wind)*8760</f>
        <v>2301.28856624319</v>
      </c>
      <c r="CU99" s="13" t="n">
        <f aca="false">IF(AND(ISNUMBER(CO99),ISNUMBER(CQ99),BY99=1),1,0)</f>
        <v>1</v>
      </c>
      <c r="CV99" s="16" t="n">
        <f aca="false">IF(CU99=0,"",CQ99*p_hr_coal*N(AK99)+CR99*p_hr_gas*N(AO99)+CS99*p_hr_oil*N(AH99)/p_gj_l_oil)</f>
        <v>96.8423781081838</v>
      </c>
      <c r="CW99" s="37" t="n">
        <f aca="false">IF(CU99=0,"",CQ99*p_hr_coal*p_ef_coal+CR99*p_hr_gas*p_ef_gas+CS99*p_hr_oil*p_ef_oil)</f>
        <v>0.457041666666667</v>
      </c>
      <c r="CX99" s="16" t="n">
        <f aca="false">IF(CU99=0,"",CQ99*p_hr_coal*N(AW99)+CR99*p_hr_gas*N(AX99)+CS99*p_hr_oil*N(AY99)/p_gj_l_oil)</f>
        <v>0</v>
      </c>
      <c r="CY99" s="37" t="n">
        <f aca="false">IF(CU99=0,"",CO99*CW99)</f>
        <v>0.316413461538462</v>
      </c>
      <c r="CZ99" s="37" t="n">
        <f aca="false">IF(CU99=0,"",CT99*CO99*CV99/1000/1000-p_om_re)</f>
        <v>0.139289255170267</v>
      </c>
      <c r="DA99" s="37" t="n">
        <f aca="false">IF(CU99=0,"",CT99*CO99*CX99/1000/1000)</f>
        <v>0</v>
      </c>
      <c r="DB99" s="37" t="n">
        <f aca="false">IF(CU99=0,"",CT99*CO99*CW99/1000)</f>
        <v>0.728158681243892</v>
      </c>
      <c r="DC99" s="13" t="n">
        <f aca="false">IF(AND(CU99=1,ISNUMBER(AD99),ISNUMBER(AV99)),1,0)</f>
        <v>1</v>
      </c>
      <c r="DD99" s="7" t="n">
        <f aca="false">IF(DC99=0,"",p_ev_km*p_ice_l/100*AD99-p_ev_km*p_ev_kwh*AV99+p_ev_km*p_ev_maint)</f>
        <v>360.6381</v>
      </c>
      <c r="DE99" s="37" t="n">
        <f aca="false">IF(DC99=0,"",DD99/p_ev_prem)</f>
        <v>0.07212762</v>
      </c>
      <c r="DF99" s="37" t="n">
        <f aca="false">IF(DC99=0,"",p_ev_km*p_ice_l/100*N(AZ99)/p_ev_prem)</f>
        <v>0</v>
      </c>
      <c r="DG99" s="37" t="n">
        <f aca="false">IF(DC99=0,"",1000/p_ev_prem*(p_ev_km*p_ice_l/100*p_gj_l_gso*p_ef_gso-p_ev_km*p_ev_kwh/1000*CY99))</f>
        <v>0.362400230769231</v>
      </c>
      <c r="DH99" s="11" t="str">
        <f aca="false">IFERROR(IF(INDEX(Damodaran!$D:$D,MATCH(A99,Damodaran!$A:$A,0))="","",INDEX(Damodaran!$D:$D,MATCH(A99,Damodaran!$A:$A,0))),"")</f>
        <v/>
      </c>
      <c r="DI99" s="11" t="str">
        <f aca="false">IFERROR(IF(INDEX(Damodaran!$E:$E,MATCH(A99,Damodaran!$A:$A,0))="","",INDEX(Damodaran!$E:$E,MATCH(A99,Damodaran!$A:$A,0))),"")</f>
        <v/>
      </c>
      <c r="DJ99" s="11" t="str">
        <f aca="false">IFERROR(IF(INDEX(Damodaran!$G:$G,MATCH(A99,Damodaran!$A:$A,0))="","",INDEX(Damodaran!$G:$G,MATCH(A99,Damodaran!$A:$A,0))),"")</f>
        <v/>
      </c>
      <c r="DK99" s="11" t="str">
        <f aca="false">IF(ISNUMBER(BG99),(1+BG99/100)*(1+p_infl)-1,"")</f>
        <v/>
      </c>
      <c r="DL99" s="11" t="str">
        <f aca="false">IF(ISNUMBER(BH99),BH99/100,"")</f>
        <v/>
      </c>
      <c r="DM99" s="11" t="str">
        <f aca="false">IF(COUNT(DK99,DL99)=0,"",AVERAGE(DK99,DL99))</f>
        <v/>
      </c>
      <c r="DN99" s="11" t="str">
        <f aca="false">IF(OR(DH99="",DI99=""),"",p_dv*(p_rf+DH99)*(1-IF(DJ99="",p_tax_def,DJ99))+(1-p_dv)*(p_rf+p_beta*p_erp+p_lambda*DI99))</f>
        <v/>
      </c>
      <c r="DO99" s="13" t="n">
        <f aca="false">IF(AND(ISNUMBER(DM99),ISNUMBER(DN99)),1,0)</f>
        <v>0</v>
      </c>
      <c r="DP99" s="11" t="n">
        <f aca="false">IF(DO99=1,DM99,0)</f>
        <v>0</v>
      </c>
      <c r="DQ99" s="11" t="n">
        <f aca="false">IF(DO99=1,DN99,0)</f>
        <v>0</v>
      </c>
      <c r="DR99" s="11" t="str">
        <f aca="false">IF(DN99="","",DN99+p_shift)</f>
        <v/>
      </c>
      <c r="DS99" s="11" t="n">
        <f aca="false">IF(E99="AE",p_r_ae,IF(E99="China",p_r_chn,p_r_emdc))</f>
        <v>0.055</v>
      </c>
      <c r="DT99" s="11" t="n">
        <f aca="false">IF(E99="AE",p_rh_ae,IF(E99="China",p_rh_chn,p_rh_emdc))</f>
        <v>0.07</v>
      </c>
      <c r="DU99" s="11" t="n">
        <f aca="false">IF(AND(p_use_obs=1,ISNUMBER(DM99)),DM99,IF(AND(p_use_dam=1,ISNUMBER(DR99)),DR99,DS99))</f>
        <v>0.055</v>
      </c>
      <c r="DV99" s="6" t="str">
        <f aca="false">IF(AND(p_use_obs=1,ISNUMBER(DM99)),"Observed (IRENA/Steffen)",IF(AND(p_use_dam=1,ISNUMBER(DR99)),"Damodaran (eq. 5)","Group default (IHLEG)"))</f>
        <v>Group default (IHLEG)</v>
      </c>
      <c r="DW99" s="11" t="n">
        <f aca="false">IF(p_basis=1,(1+DU99)/(1+p_infl)-1,DU99)</f>
        <v>0.055</v>
      </c>
      <c r="DX99" s="11" t="n">
        <f aca="false">DW99+(DT99-DS99)</f>
        <v>0.07</v>
      </c>
      <c r="DY99" s="28" t="n">
        <f aca="false">IF(AND(p_use_pefa=1,ISNUMBER(BD99)),p_gap_lic-(BD99-1)/3*(p_gap_lic-p_gap_ae),IF(E99="AE",p_gap_ae,IF(D99="Low income",p_gap_lic,p_gap_em)))*(1-p_reform*p_reform_close)</f>
        <v>0.13</v>
      </c>
      <c r="DZ99" s="6" t="str">
        <f aca="false">IF(AND(p_use_pefa=1,ISNUMBER(BD99)),"PEFA PI-11","Income-group default (IMF 2015)")</f>
        <v>Income-group default (IMF 2015)</v>
      </c>
      <c r="EA99" s="28" t="n">
        <f aca="false">IF(E99="AE",p_ps_ae,IF(E99="China",p_ps_chn,p_ps_emdc))</f>
        <v>0.3</v>
      </c>
      <c r="EB99" s="37" t="n">
        <f aca="false">(1-EA99)+EA99/(1-DY99)</f>
        <v>1.0448275862069</v>
      </c>
      <c r="EC99" s="16" t="n">
        <f aca="false">Results_Country!F99</f>
        <v>1.5611100769273</v>
      </c>
      <c r="ED99" s="16" t="n">
        <f aca="false">IF(CH99="",0,CH99*EC99)</f>
        <v>165.387988785838</v>
      </c>
      <c r="EE99" s="16" t="n">
        <f aca="false">IF(CJ99="",0,CJ99*EC99)</f>
        <v>0</v>
      </c>
      <c r="EF99" s="16" t="n">
        <f aca="false">IF(CH99="",0,EC99)</f>
        <v>1.5611100769273</v>
      </c>
    </row>
    <row r="100" customFormat="false" ht="15" hidden="false" customHeight="false" outlineLevel="0" collapsed="false">
      <c r="A100" s="35" t="s">
        <v>957</v>
      </c>
      <c r="B100" s="35" t="s">
        <v>958</v>
      </c>
      <c r="C100" s="35" t="s">
        <v>799</v>
      </c>
      <c r="D100" s="35" t="s">
        <v>763</v>
      </c>
      <c r="E100" s="35" t="s">
        <v>31</v>
      </c>
      <c r="F100" s="36" t="n">
        <v>49.349</v>
      </c>
      <c r="G100" s="36" t="n">
        <v>107.99</v>
      </c>
      <c r="H100" s="33" t="n">
        <v>15.871</v>
      </c>
      <c r="I100" s="33" t="n">
        <v>6.72</v>
      </c>
      <c r="J100" s="36" t="n">
        <v>7.381023</v>
      </c>
      <c r="K100" s="36" t="n">
        <v>76.575</v>
      </c>
      <c r="L100" s="36" t="n">
        <v>108.974</v>
      </c>
      <c r="M100" s="36" t="n">
        <v>108.974</v>
      </c>
      <c r="N100" s="36" t="n">
        <v>8.47920267530456</v>
      </c>
      <c r="O100" s="36" t="n">
        <v>20.9990000816907</v>
      </c>
      <c r="P100" s="36" t="n">
        <v>10.9521058081264</v>
      </c>
      <c r="Q100" s="31" t="n">
        <v>0.0463669744842203</v>
      </c>
      <c r="R100" s="31" t="n">
        <v>0</v>
      </c>
      <c r="S100" s="31" t="n">
        <v>0.225307141150133</v>
      </c>
      <c r="T100" s="31" t="n">
        <v>0</v>
      </c>
      <c r="U100" s="31" t="n">
        <v>0</v>
      </c>
      <c r="V100" s="31" t="n">
        <v>0</v>
      </c>
      <c r="W100" s="31" t="n">
        <v>0</v>
      </c>
      <c r="X100" s="31" t="n">
        <v>0</v>
      </c>
      <c r="Y100" s="36" t="n">
        <v>5.69647581931099</v>
      </c>
      <c r="Z100" s="36" t="n">
        <v>1.12602611283676</v>
      </c>
      <c r="AA100" s="36" t="n">
        <v>0.511408036029341</v>
      </c>
      <c r="AB100" s="36" t="n">
        <v>0.0944144244553571</v>
      </c>
      <c r="AC100" s="36" t="n">
        <v>6.61634027462775</v>
      </c>
      <c r="AD100" s="31" t="n">
        <v>0.72</v>
      </c>
      <c r="AE100" s="31" t="n">
        <v>0.734</v>
      </c>
      <c r="AF100" s="31" t="n">
        <v>0.51</v>
      </c>
      <c r="AG100" s="31" t="n">
        <v>0.652</v>
      </c>
      <c r="AH100" s="31" t="n">
        <v>0.543345303403777</v>
      </c>
      <c r="AI100" s="31" t="n">
        <v>7.124</v>
      </c>
      <c r="AJ100" s="31" t="n">
        <v>12.193</v>
      </c>
      <c r="AK100" s="31" t="n">
        <v>5.575</v>
      </c>
      <c r="AL100" s="31" t="n">
        <v>8.29733333333333</v>
      </c>
      <c r="AM100" s="31" t="n">
        <v>8.922</v>
      </c>
      <c r="AN100" s="31" t="n">
        <v>12.892</v>
      </c>
      <c r="AO100" s="31" t="n">
        <v>8.26</v>
      </c>
      <c r="AP100" s="31" t="n">
        <v>8.37298440058186</v>
      </c>
      <c r="AQ100" s="36" t="n">
        <v>0.902603555356229</v>
      </c>
      <c r="AR100" s="36" t="n">
        <v>2.08358734278314</v>
      </c>
      <c r="AS100" s="36" t="n">
        <v>1.5606952864575</v>
      </c>
      <c r="AT100" s="36" t="n">
        <v>0.320500709296912</v>
      </c>
      <c r="AU100" s="31" t="n">
        <v>0.0970450041154685</v>
      </c>
      <c r="AV100" s="36" t="n">
        <v>0.073</v>
      </c>
      <c r="AW100" s="31" t="n">
        <v>0.488677</v>
      </c>
      <c r="AX100" s="31" t="n">
        <v>0.018033</v>
      </c>
      <c r="AY100" s="31" t="n">
        <v>0.065451276710368</v>
      </c>
      <c r="AZ100" s="31" t="n">
        <v>0.041742</v>
      </c>
      <c r="BA100" s="33"/>
      <c r="BB100" s="33" t="n">
        <v>0</v>
      </c>
      <c r="BC100" s="33"/>
      <c r="BD100" s="33"/>
      <c r="BE100" s="33"/>
      <c r="BF100" s="33" t="n">
        <v>0</v>
      </c>
      <c r="BG100" s="33"/>
      <c r="BH100" s="33"/>
      <c r="BI100" s="29"/>
      <c r="BJ100" s="33"/>
      <c r="BK100" s="33"/>
      <c r="BL100" s="33"/>
      <c r="BM100" s="33"/>
      <c r="BN100" s="29"/>
      <c r="BO100" s="33" t="n">
        <v>0.04</v>
      </c>
      <c r="BP100" s="33" t="n">
        <v>0.029</v>
      </c>
      <c r="BQ100" s="29" t="n">
        <v>2024</v>
      </c>
      <c r="BR100" s="36" t="n">
        <v>34.59</v>
      </c>
      <c r="BS100" s="36" t="n">
        <v>0</v>
      </c>
      <c r="BT100" s="36" t="n">
        <v>25.78</v>
      </c>
      <c r="BU100" s="36" t="n">
        <v>8.8</v>
      </c>
      <c r="BV100" s="16" t="n">
        <f aca="false">F100*(1+N(H100)/100)*(1+N(I100)/100)^5</f>
        <v>79.1557001263235</v>
      </c>
      <c r="BW100" s="16" t="n">
        <f aca="false">IF(N(G100)&gt;0,G100,F100)</f>
        <v>107.99</v>
      </c>
      <c r="BX100" s="12" t="n">
        <f aca="false">F100/BW100</f>
        <v>0.456977497916474</v>
      </c>
      <c r="BY100" s="13" t="n">
        <f aca="false">IF(ISNUMBER(K100),1,0)</f>
        <v>1</v>
      </c>
      <c r="BZ100" s="16" t="n">
        <f aca="false">IF(BY100=0,"",N(N100)+N(O100)+N(P100))</f>
        <v>40.4303085651217</v>
      </c>
      <c r="CA100" s="37" t="n">
        <f aca="false">IF(BY100=0,"",(N(Y100)*34.2+N(Z100)*38.6)/1000)</f>
        <v>0.238284080975935</v>
      </c>
      <c r="CB100" s="37" t="n">
        <f aca="false">IF(BY100=0,"",N(O100)*0.0036+N(R100)+N(V100)+(N(AA100)*25.3+N(AB100)*37)/1000)</f>
        <v>0.0920283573104772</v>
      </c>
      <c r="CC100" s="37" t="n">
        <f aca="false">IF(BY100=0,"",N(N100)*0.0036+N(Q100)+N(U100)+N(T100)+N(X100)+N(AC100)*38/1000)</f>
        <v>0.328313034551171</v>
      </c>
      <c r="CD100" s="37" t="n">
        <f aca="false">IF(BY100=0,"",N(Q100)+N(R100)+N(S100)+N(T100)+N(U100)+N(V100)+N(W100)+N(X100)+(N(Y100)*34.2+N(Z100)*38.6+N(AA100)*25.3+N(AB100)*37+N(AC100)*38)/1000)</f>
        <v>0.777811084062533</v>
      </c>
      <c r="CE100" s="16" t="n">
        <f aca="false">IF(BY100=0,"",MAX(0,N(L100)-N(K100))+MAX(0,N(M100)-N(L100)))</f>
        <v>32.399</v>
      </c>
      <c r="CF100" s="16" t="n">
        <f aca="false">IF(BY100=0,"",N(Y100)*N(AD100)+N(Z100)*N(AE100)+N(AA100)*N(AF100)+N(AB100)*N(AG100)+N(AC100)*N(AH100)+N(U100)*N(AI100)+N(V100)*N(AJ100)+N(W100)*N(AK100)+N(X100)*N(AL100)+N(Q100)*N(AM100)+N(R100)*N(AN100)+N(S100)*N(AO100)+N(T100)*N(AP100))</f>
        <v>11.1200226060345</v>
      </c>
      <c r="CG100" s="16" t="n">
        <f aca="false">IF(AND(BY100=1,N(K100)&gt;0),K100,0)</f>
        <v>76.575</v>
      </c>
      <c r="CH100" s="16" t="n">
        <f aca="false">IF(CG100&gt;0,CF100*1000/CG100,"")</f>
        <v>145.217402625328</v>
      </c>
      <c r="CI100" s="16" t="n">
        <f aca="false">IF(BY100=0,"",N(AQ100)+p_road*(N(AR100)+N(AS100)+N(AT100)))</f>
        <v>0.902603555356229</v>
      </c>
      <c r="CJ100" s="16" t="n">
        <f aca="false">IF(CG100&gt;0,CI100*1000/CG100,"")</f>
        <v>11.7871832237183</v>
      </c>
      <c r="CK100" s="12" t="n">
        <f aca="false">IF(CH100="",1,MIN(p_idx_max,MAX(p_idx_min,CH100/p_fc_world)))</f>
        <v>0.901930299522083</v>
      </c>
      <c r="CL100" s="12" t="n">
        <f aca="false">IF(CJ100="",1,MIN(p_idx_max,MAX(p_idx_min,CJ100/p_cb_world)))</f>
        <v>0.25</v>
      </c>
      <c r="CM100" s="37" t="n">
        <f aca="false">p_b*(1-p_wb_idx+p_wb_idx*CK100)</f>
        <v>0.119956729836437</v>
      </c>
      <c r="CN100" s="37" t="n">
        <f aca="false">p_c*(1-p_wc_idx+p_wc_idx*CL100)</f>
        <v>0.03225</v>
      </c>
      <c r="CO100" s="28" t="n">
        <f aca="false">IF(N(BR100)&gt;0,(N(BS100)+N(BT100)+N(BU100))/BR100,"")</f>
        <v>0.999710899103787</v>
      </c>
      <c r="CP100" s="16" t="n">
        <f aca="false">N(BS100)+N(BT100)+N(BU100)</f>
        <v>34.58</v>
      </c>
      <c r="CQ100" s="28" t="n">
        <f aca="false">IF(CP100&gt;0,N(BS100)/CP100,"")</f>
        <v>0</v>
      </c>
      <c r="CR100" s="28" t="n">
        <f aca="false">IF(CP100&gt;0,N(BT100)/CP100,"")</f>
        <v>0.745517640254482</v>
      </c>
      <c r="CS100" s="28" t="n">
        <f aca="false">IF(CP100&gt;0,N(BU100)/CP100,"")</f>
        <v>0.254482359745518</v>
      </c>
      <c r="CT100" s="7" t="n">
        <f aca="false">1000*(p_sh_pv*p_cf_pv/p_capex_pv+(1-p_sh_pv)*p_cf_wind/p_capex_wind)*8760</f>
        <v>2301.28856624319</v>
      </c>
      <c r="CU100" s="13" t="n">
        <f aca="false">IF(AND(ISNUMBER(CO100),ISNUMBER(CQ100),BY100=1),1,0)</f>
        <v>1</v>
      </c>
      <c r="CV100" s="16" t="n">
        <f aca="false">IF(CU100=0,"",CQ100*p_hr_coal*N(AK100)+CR100*p_hr_gas*N(AO100)+CS100*p_hr_oil*N(AH100)/p_gj_l_oil)</f>
        <v>83.7976117814283</v>
      </c>
      <c r="CW100" s="37" t="n">
        <f aca="false">IF(CU100=0,"",CQ100*p_hr_coal*p_ef_coal+CR100*p_hr_gas*p_ef_gas+CS100*p_hr_oil*p_ef_oil)</f>
        <v>0.520494360902256</v>
      </c>
      <c r="CX100" s="16" t="n">
        <f aca="false">IF(CU100=0,"",CQ100*p_hr_coal*N(AW100)+CR100*p_hr_gas*N(AX100)+CS100*p_hr_oil*N(AY100)/p_gj_l_oil)</f>
        <v>4.63165973717774</v>
      </c>
      <c r="CY100" s="37" t="n">
        <f aca="false">IF(CU100=0,"",CO100*CW100)</f>
        <v>0.520343885516045</v>
      </c>
      <c r="CZ100" s="37" t="n">
        <f aca="false">IF(CU100=0,"",CT100*CO100*CV100/1000/1000-p_om_re)</f>
        <v>0.177786734935594</v>
      </c>
      <c r="DA100" s="37" t="n">
        <f aca="false">IF(CU100=0,"",CT100*CO100*CX100/1000/1000)</f>
        <v>0.0106557041314278</v>
      </c>
      <c r="DB100" s="37" t="n">
        <f aca="false">IF(CU100=0,"",CT100*CO100*CW100/1000)</f>
        <v>1.19746143425263</v>
      </c>
      <c r="DC100" s="13" t="n">
        <f aca="false">IF(AND(CU100=1,ISNUMBER(AD100),ISNUMBER(AV100)),1,0)</f>
        <v>1</v>
      </c>
      <c r="DD100" s="7" t="n">
        <f aca="false">IF(DC100=0,"",p_ev_km*p_ice_l/100*AD100-p_ev_km*p_ev_kwh*AV100+p_ev_km*p_ev_maint)</f>
        <v>792.9</v>
      </c>
      <c r="DE100" s="37" t="n">
        <f aca="false">IF(DC100=0,"",DD100/p_ev_prem)</f>
        <v>0.15858</v>
      </c>
      <c r="DF100" s="37" t="n">
        <f aca="false">IF(DC100=0,"",p_ev_km*p_ice_l/100*N(AZ100)/p_ev_prem)</f>
        <v>0.00939195</v>
      </c>
      <c r="DG100" s="37" t="n">
        <f aca="false">IF(DC100=0,"",1000/p_ev_prem*(p_ev_km*p_ice_l/100*p_gj_l_gso*p_ef_gso-p_ev_km*p_ev_kwh/1000*CY100))</f>
        <v>0.252277801821336</v>
      </c>
      <c r="DH100" s="11" t="str">
        <f aca="false">IFERROR(IF(INDEX(Damodaran!$D:$D,MATCH(A100,Damodaran!$A:$A,0))="","",INDEX(Damodaran!$D:$D,MATCH(A100,Damodaran!$A:$A,0))),"")</f>
        <v/>
      </c>
      <c r="DI100" s="11" t="str">
        <f aca="false">IFERROR(IF(INDEX(Damodaran!$E:$E,MATCH(A100,Damodaran!$A:$A,0))="","",INDEX(Damodaran!$E:$E,MATCH(A100,Damodaran!$A:$A,0))),"")</f>
        <v/>
      </c>
      <c r="DJ100" s="11" t="str">
        <f aca="false">IFERROR(IF(INDEX(Damodaran!$G:$G,MATCH(A100,Damodaran!$A:$A,0))="","",INDEX(Damodaran!$G:$G,MATCH(A100,Damodaran!$A:$A,0))),"")</f>
        <v/>
      </c>
      <c r="DK100" s="11" t="str">
        <f aca="false">IF(ISNUMBER(BG100),(1+BG100/100)*(1+p_infl)-1,"")</f>
        <v/>
      </c>
      <c r="DL100" s="11" t="str">
        <f aca="false">IF(ISNUMBER(BH100),BH100/100,"")</f>
        <v/>
      </c>
      <c r="DM100" s="11" t="str">
        <f aca="false">IF(COUNT(DK100,DL100)=0,"",AVERAGE(DK100,DL100))</f>
        <v/>
      </c>
      <c r="DN100" s="11" t="str">
        <f aca="false">IF(OR(DH100="",DI100=""),"",p_dv*(p_rf+DH100)*(1-IF(DJ100="",p_tax_def,DJ100))+(1-p_dv)*(p_rf+p_beta*p_erp+p_lambda*DI100))</f>
        <v/>
      </c>
      <c r="DO100" s="13" t="n">
        <f aca="false">IF(AND(ISNUMBER(DM100),ISNUMBER(DN100)),1,0)</f>
        <v>0</v>
      </c>
      <c r="DP100" s="11" t="n">
        <f aca="false">IF(DO100=1,DM100,0)</f>
        <v>0</v>
      </c>
      <c r="DQ100" s="11" t="n">
        <f aca="false">IF(DO100=1,DN100,0)</f>
        <v>0</v>
      </c>
      <c r="DR100" s="11" t="str">
        <f aca="false">IF(DN100="","",DN100+p_shift)</f>
        <v/>
      </c>
      <c r="DS100" s="11" t="n">
        <f aca="false">IF(E100="AE",p_r_ae,IF(E100="China",p_r_chn,p_r_emdc))</f>
        <v>0.105</v>
      </c>
      <c r="DT100" s="11" t="n">
        <f aca="false">IF(E100="AE",p_rh_ae,IF(E100="China",p_rh_chn,p_rh_emdc))</f>
        <v>0.15</v>
      </c>
      <c r="DU100" s="11" t="n">
        <f aca="false">IF(AND(p_use_obs=1,ISNUMBER(DM100)),DM100,IF(AND(p_use_dam=1,ISNUMBER(DR100)),DR100,DS100))</f>
        <v>0.105</v>
      </c>
      <c r="DV100" s="6" t="str">
        <f aca="false">IF(AND(p_use_obs=1,ISNUMBER(DM100)),"Observed (IRENA/Steffen)",IF(AND(p_use_dam=1,ISNUMBER(DR100)),"Damodaran (eq. 5)","Group default (IHLEG)"))</f>
        <v>Group default (IHLEG)</v>
      </c>
      <c r="DW100" s="11" t="n">
        <f aca="false">IF(p_basis=1,(1+DU100)/(1+p_infl)-1,DU100)</f>
        <v>0.105</v>
      </c>
      <c r="DX100" s="11" t="n">
        <f aca="false">DW100+(DT100-DS100)</f>
        <v>0.15</v>
      </c>
      <c r="DY100" s="28" t="n">
        <f aca="false">IF(AND(p_use_pefa=1,ISNUMBER(BD100)),p_gap_lic-(BD100-1)/3*(p_gap_lic-p_gap_ae),IF(E100="AE",p_gap_ae,IF(D100="Low income",p_gap_lic,p_gap_em)))*(1-p_reform*p_reform_close)</f>
        <v>0.27</v>
      </c>
      <c r="DZ100" s="6" t="str">
        <f aca="false">IF(AND(p_use_pefa=1,ISNUMBER(BD100)),"PEFA PI-11","Income-group default (IMF 2015)")</f>
        <v>Income-group default (IMF 2015)</v>
      </c>
      <c r="EA100" s="28" t="n">
        <f aca="false">IF(E100="AE",p_ps_ae,IF(E100="China",p_ps_chn,p_ps_emdc))</f>
        <v>0.4</v>
      </c>
      <c r="EB100" s="37" t="n">
        <f aca="false">(1-EA100)+EA100/(1-DY100)</f>
        <v>1.14794520547945</v>
      </c>
      <c r="EC100" s="16" t="n">
        <f aca="false">Results_Country!F100</f>
        <v>6.3002586098268</v>
      </c>
      <c r="ED100" s="16" t="n">
        <f aca="false">IF(CH100="",0,CH100*EC100)</f>
        <v>914.907191186909</v>
      </c>
      <c r="EE100" s="16" t="n">
        <f aca="false">IF(CJ100="",0,CJ100*EC100)</f>
        <v>74.2623025908372</v>
      </c>
      <c r="EF100" s="16" t="n">
        <f aca="false">IF(CH100="",0,EC100)</f>
        <v>6.3002586098268</v>
      </c>
    </row>
    <row r="101" customFormat="false" ht="15" hidden="false" customHeight="false" outlineLevel="0" collapsed="false">
      <c r="A101" s="35" t="s">
        <v>959</v>
      </c>
      <c r="B101" s="35" t="s">
        <v>960</v>
      </c>
      <c r="C101" s="35" t="s">
        <v>847</v>
      </c>
      <c r="D101" s="35" t="s">
        <v>771</v>
      </c>
      <c r="E101" s="35" t="s">
        <v>31</v>
      </c>
      <c r="F101" s="36" t="n">
        <v>49.154</v>
      </c>
      <c r="G101" s="36" t="n">
        <v>125.346</v>
      </c>
      <c r="H101" s="33" t="n">
        <v>7.54</v>
      </c>
      <c r="I101" s="33" t="n">
        <v>4.972</v>
      </c>
      <c r="J101" s="36" t="n">
        <v>16.634372</v>
      </c>
      <c r="K101" s="36" t="n">
        <v>9.654</v>
      </c>
      <c r="L101" s="36" t="n">
        <v>30.23</v>
      </c>
      <c r="M101" s="36" t="n">
        <v>113.046</v>
      </c>
      <c r="N101" s="36" t="n">
        <v>6.95867179994229</v>
      </c>
      <c r="O101" s="36" t="n">
        <v>3.06138398838992</v>
      </c>
      <c r="P101" s="36" t="n">
        <v>0.0668741556962026</v>
      </c>
      <c r="Q101" s="31" t="n">
        <v>0</v>
      </c>
      <c r="R101" s="31" t="n">
        <v>0</v>
      </c>
      <c r="S101" s="31" t="n">
        <v>0</v>
      </c>
      <c r="T101" s="31" t="n">
        <v>0</v>
      </c>
      <c r="U101" s="31" t="n">
        <v>0.0104706323263753</v>
      </c>
      <c r="V101" s="31" t="n">
        <v>0.00503686610704515</v>
      </c>
      <c r="W101" s="31" t="n">
        <v>0.0434078308006633</v>
      </c>
      <c r="X101" s="31" t="n">
        <v>0.000189875098861448</v>
      </c>
      <c r="Y101" s="36" t="n">
        <v>0.457170665968945</v>
      </c>
      <c r="Z101" s="36" t="n">
        <v>0.800632758464508</v>
      </c>
      <c r="AA101" s="36" t="n">
        <v>0.108984813228533</v>
      </c>
      <c r="AB101" s="36" t="n">
        <v>0.0751709953227747</v>
      </c>
      <c r="AC101" s="36" t="n">
        <v>0.000770280303251361</v>
      </c>
      <c r="AD101" s="31" t="n">
        <v>0.781519</v>
      </c>
      <c r="AE101" s="31" t="n">
        <v>0.765604</v>
      </c>
      <c r="AF101" s="31" t="n">
        <v>0.587385</v>
      </c>
      <c r="AG101" s="31" t="n">
        <v>0.661669</v>
      </c>
      <c r="AH101" s="31" t="n">
        <v>0.553109381048727</v>
      </c>
      <c r="AI101" s="31" t="n">
        <v>3.374</v>
      </c>
      <c r="AJ101" s="31" t="n">
        <v>6.138345</v>
      </c>
      <c r="AK101" s="31" t="n">
        <v>2.051</v>
      </c>
      <c r="AL101" s="31" t="n">
        <v>2.635568677012</v>
      </c>
      <c r="AM101" s="31" t="n">
        <v>12.782</v>
      </c>
      <c r="AN101" s="31" t="n">
        <v>23.72898</v>
      </c>
      <c r="AO101" s="31" t="n">
        <v>11.458</v>
      </c>
      <c r="AP101" s="31" t="n">
        <v>15.98966</v>
      </c>
      <c r="AQ101" s="36" t="n">
        <v>0.0119022418231665</v>
      </c>
      <c r="AR101" s="36" t="n">
        <v>0.0129432569585082</v>
      </c>
      <c r="AS101" s="36" t="n">
        <v>0.208092840758734</v>
      </c>
      <c r="AT101" s="36" t="n">
        <v>0.0599070199866034</v>
      </c>
      <c r="AU101" s="31" t="n">
        <v>0.744453497251305</v>
      </c>
      <c r="AV101" s="36" t="n">
        <v>0.14264</v>
      </c>
      <c r="AW101" s="31" t="n">
        <v>0.195791</v>
      </c>
      <c r="AX101" s="31" t="n">
        <v>4.4E-005</v>
      </c>
      <c r="AY101" s="31" t="n">
        <v>0.000336073246998812</v>
      </c>
      <c r="AZ101" s="31" t="n">
        <v>0.000223</v>
      </c>
      <c r="BA101" s="33" t="n">
        <v>70.38</v>
      </c>
      <c r="BB101" s="33" t="n">
        <v>6.447</v>
      </c>
      <c r="BC101" s="33" t="n">
        <v>23.938</v>
      </c>
      <c r="BD101" s="33" t="n">
        <v>1.5</v>
      </c>
      <c r="BE101" s="33" t="n">
        <v>1</v>
      </c>
      <c r="BF101" s="33" t="n">
        <v>0</v>
      </c>
      <c r="BG101" s="33"/>
      <c r="BH101" s="33"/>
      <c r="BI101" s="29"/>
      <c r="BJ101" s="33"/>
      <c r="BK101" s="33"/>
      <c r="BL101" s="33" t="n">
        <v>-4.071</v>
      </c>
      <c r="BM101" s="33" t="n">
        <v>5</v>
      </c>
      <c r="BN101" s="29" t="n">
        <v>9.261</v>
      </c>
      <c r="BO101" s="33" t="n">
        <v>0.285</v>
      </c>
      <c r="BP101" s="33" t="n">
        <v>0.256</v>
      </c>
      <c r="BQ101" s="29" t="n">
        <v>2024</v>
      </c>
      <c r="BR101" s="36" t="n">
        <v>10.26</v>
      </c>
      <c r="BS101" s="36" t="n">
        <v>4.4</v>
      </c>
      <c r="BT101" s="36" t="n">
        <v>0</v>
      </c>
      <c r="BU101" s="36" t="n">
        <v>0</v>
      </c>
      <c r="BV101" s="16" t="n">
        <f aca="false">F101*(1+N(H101)/100)*(1+N(I101)/100)^5</f>
        <v>67.3746087322956</v>
      </c>
      <c r="BW101" s="16" t="n">
        <f aca="false">IF(N(G101)&gt;0,G101,F101)</f>
        <v>125.346</v>
      </c>
      <c r="BX101" s="12" t="n">
        <f aca="false">F101/BW101</f>
        <v>0.392146538381759</v>
      </c>
      <c r="BY101" s="13" t="n">
        <f aca="false">IF(ISNUMBER(K101),1,0)</f>
        <v>1</v>
      </c>
      <c r="BZ101" s="16" t="n">
        <f aca="false">IF(BY101=0,"",N(N101)+N(O101)+N(P101))</f>
        <v>10.0869299440284</v>
      </c>
      <c r="CA101" s="37" t="n">
        <f aca="false">IF(BY101=0,"",(N(Y101)*34.2+N(Z101)*38.6)/1000)</f>
        <v>0.0465396612528679</v>
      </c>
      <c r="CB101" s="37" t="n">
        <f aca="false">IF(BY101=0,"",N(O101)*0.0036+N(R101)+N(V101)+(N(AA101)*25.3+N(AB101)*37)/1000)</f>
        <v>0.0215964910668734</v>
      </c>
      <c r="CC101" s="37" t="n">
        <f aca="false">IF(BY101=0,"",N(N101)*0.0036+N(Q101)+N(U101)+N(T101)+N(X101)+N(AC101)*38/1000)</f>
        <v>0.0357409965565525</v>
      </c>
      <c r="CD101" s="37" t="n">
        <f aca="false">IF(BY101=0,"",N(Q101)+N(R101)+N(S101)+N(T101)+N(U101)+N(V101)+N(W101)+N(X101)+(N(Y101)*34.2+N(Z101)*38.6+N(AA101)*25.3+N(AB101)*37+N(AC101)*38)/1000)</f>
        <v>0.111212778838961</v>
      </c>
      <c r="CE101" s="16" t="n">
        <f aca="false">IF(BY101=0,"",MAX(0,N(L101)-N(K101))+MAX(0,N(M101)-N(L101)))</f>
        <v>103.392</v>
      </c>
      <c r="CF101" s="16" t="n">
        <f aca="false">IF(BY101=0,"",N(Y101)*N(AD101)+N(Z101)*N(AE101)+N(AA101)*N(AF101)+N(AB101)*N(AG101)+N(AC101)*N(AH101)+N(U101)*N(AI101)+N(V101)*N(AJ101)+N(W101)*N(AK101)+N(X101)*N(AL101)+N(Q101)*N(AM101)+N(R101)*N(AN101)+N(S101)*N(AO101)+N(T101)*N(AP101))</f>
        <v>1.24021144038138</v>
      </c>
      <c r="CG101" s="16" t="n">
        <f aca="false">IF(AND(BY101=1,N(K101)&gt;0),K101,0)</f>
        <v>9.654</v>
      </c>
      <c r="CH101" s="16" t="n">
        <f aca="false">IF(CG101&gt;0,CF101*1000/CG101,"")</f>
        <v>128.466070062294</v>
      </c>
      <c r="CI101" s="16" t="n">
        <f aca="false">IF(BY101=0,"",N(AQ101)+p_road*(N(AR101)+N(AS101)+N(AT101)))</f>
        <v>0.0119022418231665</v>
      </c>
      <c r="CJ101" s="16" t="n">
        <f aca="false">IF(CG101&gt;0,CI101*1000/CG101,"")</f>
        <v>1.23288189591532</v>
      </c>
      <c r="CK101" s="12" t="n">
        <f aca="false">IF(CH101="",1,MIN(p_idx_max,MAX(p_idx_min,CH101/p_fc_world)))</f>
        <v>0.797889501912219</v>
      </c>
      <c r="CL101" s="12" t="n">
        <f aca="false">IF(CJ101="",1,MIN(p_idx_max,MAX(p_idx_min,CJ101/p_cb_world)))</f>
        <v>0.25</v>
      </c>
      <c r="CM101" s="37" t="n">
        <f aca="false">p_b*(1-p_wb_idx+p_wb_idx*CK101)</f>
        <v>0.106119303754325</v>
      </c>
      <c r="CN101" s="37" t="n">
        <f aca="false">p_c*(1-p_wc_idx+p_wc_idx*CL101)</f>
        <v>0.03225</v>
      </c>
      <c r="CO101" s="28" t="n">
        <f aca="false">IF(N(BR101)&gt;0,(N(BS101)+N(BT101)+N(BU101))/BR101,"")</f>
        <v>0.428849902534113</v>
      </c>
      <c r="CP101" s="16" t="n">
        <f aca="false">N(BS101)+N(BT101)+N(BU101)</f>
        <v>4.4</v>
      </c>
      <c r="CQ101" s="28" t="n">
        <f aca="false">IF(CP101&gt;0,N(BS101)/CP101,"")</f>
        <v>1</v>
      </c>
      <c r="CR101" s="28" t="n">
        <f aca="false">IF(CP101&gt;0,N(BT101)/CP101,"")</f>
        <v>0</v>
      </c>
      <c r="CS101" s="28" t="n">
        <f aca="false">IF(CP101&gt;0,N(BU101)/CP101,"")</f>
        <v>0</v>
      </c>
      <c r="CT101" s="7" t="n">
        <f aca="false">1000*(p_sh_pv*p_cf_pv/p_capex_pv+(1-p_sh_pv)*p_cf_wind/p_capex_wind)*8760</f>
        <v>2301.28856624319</v>
      </c>
      <c r="CU101" s="13" t="n">
        <f aca="false">IF(AND(ISNUMBER(CO101),ISNUMBER(CQ101),BY101=1),1,0)</f>
        <v>1</v>
      </c>
      <c r="CV101" s="16" t="n">
        <f aca="false">IF(CU101=0,"",CQ101*p_hr_coal*N(AK101)+CR101*p_hr_gas*N(AO101)+CS101*p_hr_oil*N(AH101)/p_gj_l_oil)</f>
        <v>20.51</v>
      </c>
      <c r="CW101" s="37" t="n">
        <f aca="false">IF(CU101=0,"",CQ101*p_hr_coal*p_ef_coal+CR101*p_hr_gas*p_ef_gas+CS101*p_hr_oil*p_ef_oil)</f>
        <v>0.946</v>
      </c>
      <c r="CX101" s="16" t="n">
        <f aca="false">IF(CU101=0,"",CQ101*p_hr_coal*N(AW101)+CR101*p_hr_gas*N(AX101)+CS101*p_hr_oil*N(AY101)/p_gj_l_oil)</f>
        <v>1.95791</v>
      </c>
      <c r="CY101" s="37" t="n">
        <f aca="false">IF(CU101=0,"",CO101*CW101)</f>
        <v>0.405692007797271</v>
      </c>
      <c r="CZ101" s="37" t="n">
        <f aca="false">IF(CU101=0,"",CT101*CO101*CV101/1000/1000-p_om_re)</f>
        <v>0.00524147030916674</v>
      </c>
      <c r="DA101" s="37" t="n">
        <f aca="false">IF(CU101=0,"",CT101*CO101*CX101/1000/1000)</f>
        <v>0.00193227582316044</v>
      </c>
      <c r="DB101" s="37" t="n">
        <f aca="false">IF(CU101=0,"",CT101*CO101*CW101/1000)</f>
        <v>0.933614378960104</v>
      </c>
      <c r="DC101" s="13" t="n">
        <f aca="false">IF(AND(CU101=1,ISNUMBER(AD101),ISNUMBER(AV101)),1,0)</f>
        <v>1</v>
      </c>
      <c r="DD101" s="7" t="n">
        <f aca="false">IF(DC101=0,"",p_ev_km*p_ice_l/100*AD101-p_ev_km*p_ev_kwh*AV101+p_ev_km*p_ev_maint)</f>
        <v>674.080875</v>
      </c>
      <c r="DE101" s="37" t="n">
        <f aca="false">IF(DC101=0,"",DD101/p_ev_prem)</f>
        <v>0.134816175</v>
      </c>
      <c r="DF101" s="37" t="n">
        <f aca="false">IF(DC101=0,"",p_ev_km*p_ice_l/100*N(AZ101)/p_ev_prem)</f>
        <v>5.0175E-005</v>
      </c>
      <c r="DG101" s="37" t="n">
        <f aca="false">IF(DC101=0,"",1000/p_ev_prem*(p_ev_km*p_ice_l/100*p_gj_l_gso*p_ef_gso-p_ev_km*p_ev_kwh/1000*CY101))</f>
        <v>0.314189815789474</v>
      </c>
      <c r="DH101" s="11" t="str">
        <f aca="false">IFERROR(IF(INDEX(Damodaran!$D:$D,MATCH(A101,Damodaran!$A:$A,0))="","",INDEX(Damodaran!$D:$D,MATCH(A101,Damodaran!$A:$A,0))),"")</f>
        <v/>
      </c>
      <c r="DI101" s="11" t="str">
        <f aca="false">IFERROR(IF(INDEX(Damodaran!$E:$E,MATCH(A101,Damodaran!$A:$A,0))="","",INDEX(Damodaran!$E:$E,MATCH(A101,Damodaran!$A:$A,0))),"")</f>
        <v/>
      </c>
      <c r="DJ101" s="11" t="str">
        <f aca="false">IFERROR(IF(INDEX(Damodaran!$G:$G,MATCH(A101,Damodaran!$A:$A,0))="","",INDEX(Damodaran!$G:$G,MATCH(A101,Damodaran!$A:$A,0))),"")</f>
        <v/>
      </c>
      <c r="DK101" s="11" t="str">
        <f aca="false">IF(ISNUMBER(BG101),(1+BG101/100)*(1+p_infl)-1,"")</f>
        <v/>
      </c>
      <c r="DL101" s="11" t="str">
        <f aca="false">IF(ISNUMBER(BH101),BH101/100,"")</f>
        <v/>
      </c>
      <c r="DM101" s="11" t="str">
        <f aca="false">IF(COUNT(DK101,DL101)=0,"",AVERAGE(DK101,DL101))</f>
        <v/>
      </c>
      <c r="DN101" s="11" t="str">
        <f aca="false">IF(OR(DH101="",DI101=""),"",p_dv*(p_rf+DH101)*(1-IF(DJ101="",p_tax_def,DJ101))+(1-p_dv)*(p_rf+p_beta*p_erp+p_lambda*DI101))</f>
        <v/>
      </c>
      <c r="DO101" s="13" t="n">
        <f aca="false">IF(AND(ISNUMBER(DM101),ISNUMBER(DN101)),1,0)</f>
        <v>0</v>
      </c>
      <c r="DP101" s="11" t="n">
        <f aca="false">IF(DO101=1,DM101,0)</f>
        <v>0</v>
      </c>
      <c r="DQ101" s="11" t="n">
        <f aca="false">IF(DO101=1,DN101,0)</f>
        <v>0</v>
      </c>
      <c r="DR101" s="11" t="str">
        <f aca="false">IF(DN101="","",DN101+p_shift)</f>
        <v/>
      </c>
      <c r="DS101" s="11" t="n">
        <f aca="false">IF(E101="AE",p_r_ae,IF(E101="China",p_r_chn,p_r_emdc))</f>
        <v>0.105</v>
      </c>
      <c r="DT101" s="11" t="n">
        <f aca="false">IF(E101="AE",p_rh_ae,IF(E101="China",p_rh_chn,p_rh_emdc))</f>
        <v>0.15</v>
      </c>
      <c r="DU101" s="11" t="n">
        <f aca="false">IF(AND(p_use_obs=1,ISNUMBER(DM101)),DM101,IF(AND(p_use_dam=1,ISNUMBER(DR101)),DR101,DS101))</f>
        <v>0.105</v>
      </c>
      <c r="DV101" s="6" t="str">
        <f aca="false">IF(AND(p_use_obs=1,ISNUMBER(DM101)),"Observed (IRENA/Steffen)",IF(AND(p_use_dam=1,ISNUMBER(DR101)),"Damodaran (eq. 5)","Group default (IHLEG)"))</f>
        <v>Group default (IHLEG)</v>
      </c>
      <c r="DW101" s="11" t="n">
        <f aca="false">IF(p_basis=1,(1+DU101)/(1+p_infl)-1,DU101)</f>
        <v>0.105</v>
      </c>
      <c r="DX101" s="11" t="n">
        <f aca="false">DW101+(DT101-DS101)</f>
        <v>0.15</v>
      </c>
      <c r="DY101" s="28" t="n">
        <f aca="false">IF(AND(p_use_pefa=1,ISNUMBER(BD101)),p_gap_lic-(BD101-1)/3*(p_gap_lic-p_gap_ae),IF(E101="AE",p_gap_ae,IF(D101="Low income",p_gap_lic,p_gap_em)))*(1-p_reform*p_reform_close)</f>
        <v>0.355</v>
      </c>
      <c r="DZ101" s="6" t="str">
        <f aca="false">IF(AND(p_use_pefa=1,ISNUMBER(BD101)),"PEFA PI-11","Income-group default (IMF 2015)")</f>
        <v>PEFA PI-11</v>
      </c>
      <c r="EA101" s="28" t="n">
        <f aca="false">IF(E101="AE",p_ps_ae,IF(E101="China",p_ps_chn,p_ps_emdc))</f>
        <v>0.4</v>
      </c>
      <c r="EB101" s="37" t="n">
        <f aca="false">(1-EA101)+EA101/(1-DY101)</f>
        <v>1.22015503875969</v>
      </c>
      <c r="EC101" s="16" t="n">
        <f aca="false">Results_Country!F101</f>
        <v>4.10344363987854</v>
      </c>
      <c r="ED101" s="16" t="n">
        <f aca="false">IF(CH101="",0,CH101*EC101)</f>
        <v>527.15327813731</v>
      </c>
      <c r="EE101" s="16" t="n">
        <f aca="false">IF(CJ101="",0,CJ101*EC101)</f>
        <v>5.05906137451513</v>
      </c>
      <c r="EF101" s="16" t="n">
        <f aca="false">IF(CH101="",0,EC101)</f>
        <v>4.10344363987854</v>
      </c>
    </row>
    <row r="102" customFormat="false" ht="15" hidden="false" customHeight="false" outlineLevel="0" collapsed="false">
      <c r="A102" s="35" t="s">
        <v>961</v>
      </c>
      <c r="B102" s="35" t="s">
        <v>962</v>
      </c>
      <c r="C102" s="35" t="s">
        <v>799</v>
      </c>
      <c r="D102" s="35" t="s">
        <v>760</v>
      </c>
      <c r="E102" s="35" t="s">
        <v>31</v>
      </c>
      <c r="F102" s="36" t="n">
        <v>47.21</v>
      </c>
      <c r="G102" s="36" t="n">
        <v>106.806</v>
      </c>
      <c r="H102" s="33" t="n">
        <v>3.109</v>
      </c>
      <c r="I102" s="33" t="n">
        <v>-0.499</v>
      </c>
      <c r="J102" s="36" t="n">
        <v>1.607048</v>
      </c>
      <c r="K102" s="36" t="n">
        <v>39.42</v>
      </c>
      <c r="L102" s="36" t="n">
        <v>74.727</v>
      </c>
      <c r="M102" s="36" t="n">
        <v>74.724</v>
      </c>
      <c r="N102" s="36" t="n">
        <v>29.5007428953099</v>
      </c>
      <c r="O102" s="36" t="n">
        <v>10.1258443227271</v>
      </c>
      <c r="P102" s="36" t="n">
        <v>0</v>
      </c>
      <c r="Q102" s="31" t="n">
        <v>0.0992031154968755</v>
      </c>
      <c r="R102" s="31" t="n">
        <v>4.93318068846733E-005</v>
      </c>
      <c r="S102" s="31" t="n">
        <v>0.427834282572958</v>
      </c>
      <c r="T102" s="31" t="n">
        <v>0</v>
      </c>
      <c r="U102" s="31" t="n">
        <v>0</v>
      </c>
      <c r="V102" s="31" t="n">
        <v>0</v>
      </c>
      <c r="W102" s="31" t="n">
        <v>0</v>
      </c>
      <c r="X102" s="31" t="n">
        <v>0</v>
      </c>
      <c r="Y102" s="36" t="n">
        <v>1.13836083711316</v>
      </c>
      <c r="Z102" s="36" t="n">
        <v>0.357328206300057</v>
      </c>
      <c r="AA102" s="36" t="n">
        <v>0.142789266817792</v>
      </c>
      <c r="AB102" s="36" t="n">
        <v>0.046745085310003</v>
      </c>
      <c r="AC102" s="36" t="n">
        <v>0.154052553839773</v>
      </c>
      <c r="AD102" s="31" t="n">
        <v>0.792</v>
      </c>
      <c r="AE102" s="31" t="n">
        <v>0.766644</v>
      </c>
      <c r="AF102" s="31" t="n">
        <v>0.561</v>
      </c>
      <c r="AG102" s="31" t="n">
        <v>0.652</v>
      </c>
      <c r="AH102" s="31" t="n">
        <v>0.543345303403777</v>
      </c>
      <c r="AI102" s="31" t="n">
        <v>7.124</v>
      </c>
      <c r="AJ102" s="31" t="n">
        <v>13.4123</v>
      </c>
      <c r="AK102" s="31" t="n">
        <v>5.575</v>
      </c>
      <c r="AL102" s="31" t="n">
        <v>8.70376666666667</v>
      </c>
      <c r="AM102" s="31" t="n">
        <v>3.684</v>
      </c>
      <c r="AN102" s="31" t="n">
        <v>8.4205</v>
      </c>
      <c r="AO102" s="31" t="n">
        <v>3.022</v>
      </c>
      <c r="AP102" s="31" t="n">
        <v>3.14710043695052</v>
      </c>
      <c r="AQ102" s="36" t="n">
        <v>0.19607619709413</v>
      </c>
      <c r="AR102" s="36" t="n">
        <v>0.341938762963826</v>
      </c>
      <c r="AS102" s="36" t="n">
        <v>0.0767759059008312</v>
      </c>
      <c r="AT102" s="36" t="n">
        <v>0.0985878897089154</v>
      </c>
      <c r="AU102" s="31" t="n">
        <v>0.147254006165705</v>
      </c>
      <c r="AV102" s="36" t="n">
        <v>0.1045</v>
      </c>
      <c r="AW102" s="31" t="n">
        <v>1.192033</v>
      </c>
      <c r="AX102" s="31" t="n">
        <v>0.006999</v>
      </c>
      <c r="AY102" s="31" t="n">
        <v>0.182312010098155</v>
      </c>
      <c r="AZ102" s="31" t="n">
        <v>0.047413</v>
      </c>
      <c r="BA102" s="33" t="n">
        <v>133.672</v>
      </c>
      <c r="BB102" s="33" t="n">
        <v>36.382</v>
      </c>
      <c r="BC102" s="33"/>
      <c r="BD102" s="33"/>
      <c r="BE102" s="33"/>
      <c r="BF102" s="33" t="n">
        <v>0</v>
      </c>
      <c r="BG102" s="33"/>
      <c r="BH102" s="33"/>
      <c r="BI102" s="29"/>
      <c r="BJ102" s="33"/>
      <c r="BK102" s="33"/>
      <c r="BL102" s="33"/>
      <c r="BM102" s="33"/>
      <c r="BN102" s="29"/>
      <c r="BO102" s="33"/>
      <c r="BP102" s="33"/>
      <c r="BQ102" s="29" t="n">
        <v>2024</v>
      </c>
      <c r="BR102" s="36" t="n">
        <v>37.95</v>
      </c>
      <c r="BS102" s="36" t="n">
        <v>0</v>
      </c>
      <c r="BT102" s="36" t="n">
        <v>37.85</v>
      </c>
      <c r="BU102" s="36" t="n">
        <v>0</v>
      </c>
      <c r="BV102" s="16" t="n">
        <f aca="false">F102*(1+N(H102)/100)*(1+N(I102)/100)^5</f>
        <v>47.4753092939978</v>
      </c>
      <c r="BW102" s="16" t="n">
        <f aca="false">IF(N(G102)&gt;0,G102,F102)</f>
        <v>106.806</v>
      </c>
      <c r="BX102" s="12" t="n">
        <f aca="false">F102/BW102</f>
        <v>0.442016366121754</v>
      </c>
      <c r="BY102" s="13" t="n">
        <f aca="false">IF(ISNUMBER(K102),1,0)</f>
        <v>1</v>
      </c>
      <c r="BZ102" s="16" t="n">
        <f aca="false">IF(BY102=0,"",N(N102)+N(O102)+N(P102))</f>
        <v>39.6265872180369</v>
      </c>
      <c r="CA102" s="37" t="n">
        <f aca="false">IF(BY102=0,"",(N(Y102)*34.2+N(Z102)*38.6)/1000)</f>
        <v>0.0527248093924523</v>
      </c>
      <c r="CB102" s="37" t="n">
        <f aca="false">IF(BY102=0,"",N(O102)*0.0036+N(R102)+N(V102)+(N(AA102)*25.3+N(AB102)*37)/1000)</f>
        <v>0.0418445079756623</v>
      </c>
      <c r="CC102" s="37" t="n">
        <f aca="false">IF(BY102=0,"",N(N102)*0.0036+N(Q102)+N(U102)+N(T102)+N(X102)+N(AC102)*38/1000)</f>
        <v>0.211259786965902</v>
      </c>
      <c r="CD102" s="37" t="n">
        <f aca="false">IF(BY102=0,"",N(Q102)+N(R102)+N(S102)+N(T102)+N(U102)+N(V102)+N(W102)+N(X102)+(N(Y102)*34.2+N(Z102)*38.6+N(AA102)*25.3+N(AB102)*37+N(AC102)*38)/1000)</f>
        <v>0.591007672922042</v>
      </c>
      <c r="CE102" s="16" t="n">
        <f aca="false">IF(BY102=0,"",MAX(0,N(L102)-N(K102))+MAX(0,N(M102)-N(L102)))</f>
        <v>35.307</v>
      </c>
      <c r="CF102" s="16" t="n">
        <f aca="false">IF(BY102=0,"",N(Y102)*N(AD102)+N(Z102)*N(AE102)+N(AA102)*N(AF102)+N(AB102)*N(AG102)+N(AC102)*N(AH102)+N(U102)*N(AI102)+N(V102)*N(AJ102)+N(W102)*N(AK102)+N(X102)*N(AL102)+N(Q102)*N(AM102)+N(R102)*N(AN102)+N(S102)*N(AO102)+N(T102)*N(AP102))</f>
        <v>3.02860649220326</v>
      </c>
      <c r="CG102" s="16" t="n">
        <f aca="false">IF(AND(BY102=1,N(K102)&gt;0),K102,0)</f>
        <v>39.42</v>
      </c>
      <c r="CH102" s="16" t="n">
        <f aca="false">IF(CG102&gt;0,CF102*1000/CG102,"")</f>
        <v>76.8291854947556</v>
      </c>
      <c r="CI102" s="16" t="n">
        <f aca="false">IF(BY102=0,"",N(AQ102)+p_road*(N(AR102)+N(AS102)+N(AT102)))</f>
        <v>0.19607619709413</v>
      </c>
      <c r="CJ102" s="16" t="n">
        <f aca="false">IF(CG102&gt;0,CI102*1000/CG102,"")</f>
        <v>4.974028338258</v>
      </c>
      <c r="CK102" s="12" t="n">
        <f aca="false">IF(CH102="",1,MIN(p_idx_max,MAX(p_idx_min,CH102/p_fc_world)))</f>
        <v>0.477178141411245</v>
      </c>
      <c r="CL102" s="12" t="n">
        <f aca="false">IF(CJ102="",1,MIN(p_idx_max,MAX(p_idx_min,CJ102/p_cb_world)))</f>
        <v>0.25</v>
      </c>
      <c r="CM102" s="37" t="n">
        <f aca="false">p_b*(1-p_wb_idx+p_wb_idx*CK102)</f>
        <v>0.0634646928076956</v>
      </c>
      <c r="CN102" s="37" t="n">
        <f aca="false">p_c*(1-p_wc_idx+p_wc_idx*CL102)</f>
        <v>0.03225</v>
      </c>
      <c r="CO102" s="28" t="n">
        <f aca="false">IF(N(BR102)&gt;0,(N(BS102)+N(BT102)+N(BU102))/BR102,"")</f>
        <v>0.997364953886693</v>
      </c>
      <c r="CP102" s="16" t="n">
        <f aca="false">N(BS102)+N(BT102)+N(BU102)</f>
        <v>37.85</v>
      </c>
      <c r="CQ102" s="28" t="n">
        <f aca="false">IF(CP102&gt;0,N(BS102)/CP102,"")</f>
        <v>0</v>
      </c>
      <c r="CR102" s="28" t="n">
        <f aca="false">IF(CP102&gt;0,N(BT102)/CP102,"")</f>
        <v>1</v>
      </c>
      <c r="CS102" s="28" t="n">
        <f aca="false">IF(CP102&gt;0,N(BU102)/CP102,"")</f>
        <v>0</v>
      </c>
      <c r="CT102" s="7" t="n">
        <f aca="false">1000*(p_sh_pv*p_cf_pv/p_capex_pv+(1-p_sh_pv)*p_cf_wind/p_capex_wind)*8760</f>
        <v>2301.28856624319</v>
      </c>
      <c r="CU102" s="13" t="n">
        <f aca="false">IF(AND(ISNUMBER(CO102),ISNUMBER(CQ102),BY102=1),1,0)</f>
        <v>1</v>
      </c>
      <c r="CV102" s="16" t="n">
        <f aca="false">IF(CU102=0,"",CQ102*p_hr_coal*N(AK102)+CR102*p_hr_gas*N(AO102)+CS102*p_hr_oil*N(AH102)/p_gj_l_oil)</f>
        <v>22.665</v>
      </c>
      <c r="CW102" s="37" t="n">
        <f aca="false">IF(CU102=0,"",CQ102*p_hr_coal*p_ef_coal+CR102*p_hr_gas*p_ef_gas+CS102*p_hr_oil*p_ef_oil)</f>
        <v>0.42075</v>
      </c>
      <c r="CX102" s="16" t="n">
        <f aca="false">IF(CU102=0,"",CQ102*p_hr_coal*N(AW102)+CR102*p_hr_gas*N(AX102)+CS102*p_hr_oil*N(AY102)/p_gj_l_oil)</f>
        <v>0.0524925</v>
      </c>
      <c r="CY102" s="37" t="n">
        <f aca="false">IF(CU102=0,"",CO102*CW102)</f>
        <v>0.419641304347826</v>
      </c>
      <c r="CZ102" s="37" t="n">
        <f aca="false">IF(CU102=0,"",CT102*CO102*CV102/1000/1000-p_om_re)</f>
        <v>0.0370212647600841</v>
      </c>
      <c r="DA102" s="37" t="n">
        <f aca="false">IF(CU102=0,"",CT102*CO102*CX102/1000/1000)</f>
        <v>0.000120482075465198</v>
      </c>
      <c r="DB102" s="37" t="n">
        <f aca="false">IF(CU102=0,"",CT102*CO102*CW102/1000)</f>
        <v>0.965715735619032</v>
      </c>
      <c r="DC102" s="13" t="n">
        <f aca="false">IF(AND(CU102=1,ISNUMBER(AD102),ISNUMBER(AV102)),1,0)</f>
        <v>1</v>
      </c>
      <c r="DD102" s="7" t="n">
        <f aca="false">IF(DC102=0,"",p_ev_km*p_ice_l/100*AD102-p_ev_km*p_ev_kwh*AV102+p_ev_km*p_ev_maint)</f>
        <v>788.85</v>
      </c>
      <c r="DE102" s="37" t="n">
        <f aca="false">IF(DC102=0,"",DD102/p_ev_prem)</f>
        <v>0.15777</v>
      </c>
      <c r="DF102" s="37" t="n">
        <f aca="false">IF(DC102=0,"",p_ev_km*p_ice_l/100*N(AZ102)/p_ev_prem)</f>
        <v>0.010667925</v>
      </c>
      <c r="DG102" s="37" t="n">
        <f aca="false">IF(DC102=0,"",1000/p_ev_prem*(p_ev_km*p_ice_l/100*p_gj_l_gso*p_ef_gso-p_ev_km*p_ev_kwh/1000*CY102))</f>
        <v>0.306657195652174</v>
      </c>
      <c r="DH102" s="11" t="str">
        <f aca="false">IFERROR(IF(INDEX(Damodaran!$D:$D,MATCH(A102,Damodaran!$A:$A,0))="","",INDEX(Damodaran!$D:$D,MATCH(A102,Damodaran!$A:$A,0))),"")</f>
        <v/>
      </c>
      <c r="DI102" s="11" t="str">
        <f aca="false">IFERROR(IF(INDEX(Damodaran!$E:$E,MATCH(A102,Damodaran!$A:$A,0))="","",INDEX(Damodaran!$E:$E,MATCH(A102,Damodaran!$A:$A,0))),"")</f>
        <v/>
      </c>
      <c r="DJ102" s="11" t="str">
        <f aca="false">IFERROR(IF(INDEX(Damodaran!$G:$G,MATCH(A102,Damodaran!$A:$A,0))="","",INDEX(Damodaran!$G:$G,MATCH(A102,Damodaran!$A:$A,0))),"")</f>
        <v/>
      </c>
      <c r="DK102" s="11" t="str">
        <f aca="false">IF(ISNUMBER(BG102),(1+BG102/100)*(1+p_infl)-1,"")</f>
        <v/>
      </c>
      <c r="DL102" s="11" t="str">
        <f aca="false">IF(ISNUMBER(BH102),BH102/100,"")</f>
        <v/>
      </c>
      <c r="DM102" s="11" t="str">
        <f aca="false">IF(COUNT(DK102,DL102)=0,"",AVERAGE(DK102,DL102))</f>
        <v/>
      </c>
      <c r="DN102" s="11" t="str">
        <f aca="false">IF(OR(DH102="",DI102=""),"",p_dv*(p_rf+DH102)*(1-IF(DJ102="",p_tax_def,DJ102))+(1-p_dv)*(p_rf+p_beta*p_erp+p_lambda*DI102))</f>
        <v/>
      </c>
      <c r="DO102" s="13" t="n">
        <f aca="false">IF(AND(ISNUMBER(DM102),ISNUMBER(DN102)),1,0)</f>
        <v>0</v>
      </c>
      <c r="DP102" s="11" t="n">
        <f aca="false">IF(DO102=1,DM102,0)</f>
        <v>0</v>
      </c>
      <c r="DQ102" s="11" t="n">
        <f aca="false">IF(DO102=1,DN102,0)</f>
        <v>0</v>
      </c>
      <c r="DR102" s="11" t="str">
        <f aca="false">IF(DN102="","",DN102+p_shift)</f>
        <v/>
      </c>
      <c r="DS102" s="11" t="n">
        <f aca="false">IF(E102="AE",p_r_ae,IF(E102="China",p_r_chn,p_r_emdc))</f>
        <v>0.105</v>
      </c>
      <c r="DT102" s="11" t="n">
        <f aca="false">IF(E102="AE",p_rh_ae,IF(E102="China",p_rh_chn,p_rh_emdc))</f>
        <v>0.15</v>
      </c>
      <c r="DU102" s="11" t="n">
        <f aca="false">IF(AND(p_use_obs=1,ISNUMBER(DM102)),DM102,IF(AND(p_use_dam=1,ISNUMBER(DR102)),DR102,DS102))</f>
        <v>0.105</v>
      </c>
      <c r="DV102" s="6" t="str">
        <f aca="false">IF(AND(p_use_obs=1,ISNUMBER(DM102)),"Observed (IRENA/Steffen)",IF(AND(p_use_dam=1,ISNUMBER(DR102)),"Damodaran (eq. 5)","Group default (IHLEG)"))</f>
        <v>Group default (IHLEG)</v>
      </c>
      <c r="DW102" s="11" t="n">
        <f aca="false">IF(p_basis=1,(1+DU102)/(1+p_infl)-1,DU102)</f>
        <v>0.105</v>
      </c>
      <c r="DX102" s="11" t="n">
        <f aca="false">DW102+(DT102-DS102)</f>
        <v>0.15</v>
      </c>
      <c r="DY102" s="28" t="n">
        <f aca="false">IF(AND(p_use_pefa=1,ISNUMBER(BD102)),p_gap_lic-(BD102-1)/3*(p_gap_lic-p_gap_ae),IF(E102="AE",p_gap_ae,IF(D102="Low income",p_gap_lic,p_gap_em)))*(1-p_reform*p_reform_close)</f>
        <v>0.27</v>
      </c>
      <c r="DZ102" s="6" t="str">
        <f aca="false">IF(AND(p_use_pefa=1,ISNUMBER(BD102)),"PEFA PI-11","Income-group default (IMF 2015)")</f>
        <v>Income-group default (IMF 2015)</v>
      </c>
      <c r="EA102" s="28" t="n">
        <f aca="false">IF(E102="AE",p_ps_ae,IF(E102="China",p_ps_chn,p_ps_emdc))</f>
        <v>0.4</v>
      </c>
      <c r="EB102" s="37" t="n">
        <f aca="false">(1-EA102)+EA102/(1-DY102)</f>
        <v>1.14794520547945</v>
      </c>
      <c r="EC102" s="16" t="n">
        <f aca="false">Results_Country!F102</f>
        <v>5.24666802838117</v>
      </c>
      <c r="ED102" s="16" t="n">
        <f aca="false">IF(CH102="",0,CH102*EC102)</f>
        <v>403.097231181901</v>
      </c>
      <c r="EE102" s="16" t="n">
        <f aca="false">IF(CJ102="",0,CJ102*EC102)</f>
        <v>26.0970754546002</v>
      </c>
      <c r="EF102" s="16" t="n">
        <f aca="false">IF(CH102="",0,EC102)</f>
        <v>5.24666802838117</v>
      </c>
    </row>
    <row r="103" customFormat="false" ht="15" hidden="false" customHeight="false" outlineLevel="0" collapsed="false">
      <c r="A103" s="35" t="s">
        <v>963</v>
      </c>
      <c r="B103" s="35" t="s">
        <v>964</v>
      </c>
      <c r="C103" s="35" t="s">
        <v>762</v>
      </c>
      <c r="D103" s="35" t="s">
        <v>771</v>
      </c>
      <c r="E103" s="35" t="s">
        <v>31</v>
      </c>
      <c r="F103" s="36" t="n">
        <v>46.098</v>
      </c>
      <c r="G103" s="36" t="n">
        <v>138.882</v>
      </c>
      <c r="H103" s="33" t="n">
        <v>5.013</v>
      </c>
      <c r="I103" s="33" t="n">
        <v>4.022</v>
      </c>
      <c r="J103" s="36" t="n">
        <v>17.6388</v>
      </c>
      <c r="K103" s="36" t="n">
        <v>19.274</v>
      </c>
      <c r="L103" s="36" t="n">
        <v>52.807</v>
      </c>
      <c r="M103" s="36" t="n">
        <v>84.516</v>
      </c>
      <c r="N103" s="36" t="n">
        <v>9.77083953791748</v>
      </c>
      <c r="O103" s="36" t="n">
        <v>5.38226241546063</v>
      </c>
      <c r="P103" s="36" t="n">
        <v>0</v>
      </c>
      <c r="Q103" s="31" t="n">
        <v>0</v>
      </c>
      <c r="R103" s="31" t="n">
        <v>0</v>
      </c>
      <c r="S103" s="31" t="n">
        <v>0</v>
      </c>
      <c r="T103" s="31" t="n">
        <v>0</v>
      </c>
      <c r="U103" s="31" t="n">
        <v>0.0236659232600085</v>
      </c>
      <c r="V103" s="31" t="n">
        <v>0</v>
      </c>
      <c r="W103" s="31" t="n">
        <v>0.041452249955017</v>
      </c>
      <c r="X103" s="31" t="n">
        <v>0</v>
      </c>
      <c r="Y103" s="36" t="n">
        <v>1.00793879236316</v>
      </c>
      <c r="Z103" s="36" t="n">
        <v>2.20785455770269</v>
      </c>
      <c r="AA103" s="36" t="n">
        <v>0.753142375903718</v>
      </c>
      <c r="AB103" s="36" t="n">
        <v>0.00153459523788512</v>
      </c>
      <c r="AC103" s="36" t="n">
        <v>0.0791190637533648</v>
      </c>
      <c r="AD103" s="31" t="n">
        <v>0.792</v>
      </c>
      <c r="AE103" s="31" t="n">
        <v>0.750406</v>
      </c>
      <c r="AF103" s="31" t="n">
        <v>0.536659</v>
      </c>
      <c r="AG103" s="31" t="n">
        <v>0.652</v>
      </c>
      <c r="AH103" s="31" t="n">
        <v>0.543345303403777</v>
      </c>
      <c r="AI103" s="31" t="n">
        <v>7.115</v>
      </c>
      <c r="AJ103" s="31" t="n">
        <v>12.5807</v>
      </c>
      <c r="AK103" s="31" t="n">
        <v>4.826</v>
      </c>
      <c r="AL103" s="31" t="n">
        <v>5.65789216876956</v>
      </c>
      <c r="AM103" s="31" t="n">
        <v>13.543</v>
      </c>
      <c r="AN103" s="31" t="n">
        <v>23.6324</v>
      </c>
      <c r="AO103" s="31" t="n">
        <v>12.219</v>
      </c>
      <c r="AP103" s="31" t="n">
        <v>16.4648</v>
      </c>
      <c r="AQ103" s="36" t="n">
        <v>0.255824299020579</v>
      </c>
      <c r="AR103" s="36" t="n">
        <v>0.120106009745992</v>
      </c>
      <c r="AS103" s="36" t="n">
        <v>0.521371399867652</v>
      </c>
      <c r="AT103" s="36" t="n">
        <v>0.280042407336969</v>
      </c>
      <c r="AU103" s="31" t="n">
        <v>0.673280258019963</v>
      </c>
      <c r="AV103" s="36" t="n">
        <v>0.161175</v>
      </c>
      <c r="AW103" s="31" t="n">
        <v>1.944396</v>
      </c>
      <c r="AX103" s="31" t="n">
        <v>0.004283</v>
      </c>
      <c r="AY103" s="31" t="n">
        <v>0.0519106147012307</v>
      </c>
      <c r="AZ103" s="31" t="n">
        <v>0.021588</v>
      </c>
      <c r="BA103" s="33" t="n">
        <v>26.138</v>
      </c>
      <c r="BB103" s="33" t="n">
        <v>1.8</v>
      </c>
      <c r="BC103" s="33"/>
      <c r="BD103" s="33" t="n">
        <v>1.5</v>
      </c>
      <c r="BE103" s="33" t="n">
        <v>2</v>
      </c>
      <c r="BF103" s="33" t="n">
        <v>1</v>
      </c>
      <c r="BG103" s="33"/>
      <c r="BH103" s="33" t="n">
        <v>10</v>
      </c>
      <c r="BI103" s="29" t="n">
        <v>2016</v>
      </c>
      <c r="BJ103" s="33" t="n">
        <v>1</v>
      </c>
      <c r="BK103" s="33"/>
      <c r="BL103" s="33"/>
      <c r="BM103" s="33"/>
      <c r="BN103" s="29" t="n">
        <v>25.816</v>
      </c>
      <c r="BO103" s="33" t="n">
        <v>1.014</v>
      </c>
      <c r="BP103" s="33" t="n">
        <v>0.268</v>
      </c>
      <c r="BQ103" s="29" t="n">
        <v>2025</v>
      </c>
      <c r="BR103" s="36" t="n">
        <v>17.76</v>
      </c>
      <c r="BS103" s="36" t="n">
        <v>10.05</v>
      </c>
      <c r="BT103" s="36"/>
      <c r="BU103" s="36" t="n">
        <v>0.45</v>
      </c>
      <c r="BV103" s="16" t="n">
        <f aca="false">F103*(1+N(H103)/100)*(1+N(I103)/100)^5</f>
        <v>58.9591409284299</v>
      </c>
      <c r="BW103" s="16" t="n">
        <f aca="false">IF(N(G103)&gt;0,G103,F103)</f>
        <v>138.882</v>
      </c>
      <c r="BX103" s="12" t="n">
        <f aca="false">F103/BW103</f>
        <v>0.331922063334341</v>
      </c>
      <c r="BY103" s="13" t="n">
        <f aca="false">IF(ISNUMBER(K103),1,0)</f>
        <v>1</v>
      </c>
      <c r="BZ103" s="16" t="n">
        <f aca="false">IF(BY103=0,"",N(N103)+N(O103)+N(P103))</f>
        <v>15.1531019533781</v>
      </c>
      <c r="CA103" s="37" t="n">
        <f aca="false">IF(BY103=0,"",(N(Y103)*34.2+N(Z103)*38.6)/1000)</f>
        <v>0.119694692626144</v>
      </c>
      <c r="CB103" s="37" t="n">
        <f aca="false">IF(BY103=0,"",N(O103)*0.0036+N(R103)+N(V103)+(N(AA103)*25.3+N(AB103)*37)/1000)</f>
        <v>0.0384874268298241</v>
      </c>
      <c r="CC103" s="37" t="n">
        <f aca="false">IF(BY103=0,"",N(N103)*0.0036+N(Q103)+N(U103)+N(T103)+N(X103)+N(AC103)*38/1000)</f>
        <v>0.0618474700191393</v>
      </c>
      <c r="CD103" s="37" t="n">
        <f aca="false">IF(BY103=0,"",N(Q103)+N(R103)+N(S103)+N(T103)+N(U103)+N(V103)+N(W103)+N(X103)+(N(Y103)*34.2+N(Z103)*38.6+N(AA103)*25.3+N(AB103)*37+N(AC103)*38)/1000)</f>
        <v>0.206930672397963</v>
      </c>
      <c r="CE103" s="16" t="n">
        <f aca="false">IF(BY103=0,"",MAX(0,N(L103)-N(K103))+MAX(0,N(M103)-N(L103)))</f>
        <v>65.242</v>
      </c>
      <c r="CF103" s="16" t="n">
        <f aca="false">IF(BY103=0,"",N(Y103)*N(AD103)+N(Z103)*N(AE103)+N(AA103)*N(AF103)+N(AB103)*N(AG103)+N(AC103)*N(AH103)+N(U103)*N(AI103)+N(V103)*N(AJ103)+N(W103)*N(AK103)+N(X103)*N(AL103)+N(Q103)*N(AM103)+N(R103)*N(AN103)+N(S103)*N(AO103)+N(T103)*N(AP103))</f>
        <v>3.27167659516225</v>
      </c>
      <c r="CG103" s="16" t="n">
        <f aca="false">IF(AND(BY103=1,N(K103)&gt;0),K103,0)</f>
        <v>19.274</v>
      </c>
      <c r="CH103" s="16" t="n">
        <f aca="false">IF(CG103&gt;0,CF103*1000/CG103,"")</f>
        <v>169.745594851212</v>
      </c>
      <c r="CI103" s="16" t="n">
        <f aca="false">IF(BY103=0,"",N(AQ103)+p_road*(N(AR103)+N(AS103)+N(AT103)))</f>
        <v>0.255824299020579</v>
      </c>
      <c r="CJ103" s="16" t="n">
        <f aca="false">IF(CG103&gt;0,CI103*1000/CG103,"")</f>
        <v>13.2730257871007</v>
      </c>
      <c r="CK103" s="12" t="n">
        <f aca="false">IF(CH103="",1,MIN(p_idx_max,MAX(p_idx_min,CH103/p_fc_world)))</f>
        <v>1.05427236983238</v>
      </c>
      <c r="CL103" s="12" t="n">
        <f aca="false">IF(CJ103="",1,MIN(p_idx_max,MAX(p_idx_min,CJ103/p_cb_world)))</f>
        <v>0.252383061594793</v>
      </c>
      <c r="CM103" s="37" t="n">
        <f aca="false">p_b*(1-p_wb_idx+p_wb_idx*CK103)</f>
        <v>0.140218225187706</v>
      </c>
      <c r="CN103" s="37" t="n">
        <f aca="false">p_c*(1-p_wc_idx+p_wc_idx*CL103)</f>
        <v>0.0325574149457283</v>
      </c>
      <c r="CO103" s="28" t="n">
        <f aca="false">IF(N(BR103)&gt;0,(N(BS103)+N(BT103)+N(BU103))/BR103,"")</f>
        <v>0.591216216216216</v>
      </c>
      <c r="CP103" s="16" t="n">
        <f aca="false">N(BS103)+N(BT103)+N(BU103)</f>
        <v>10.5</v>
      </c>
      <c r="CQ103" s="28" t="n">
        <f aca="false">IF(CP103&gt;0,N(BS103)/CP103,"")</f>
        <v>0.957142857142857</v>
      </c>
      <c r="CR103" s="28" t="n">
        <f aca="false">IF(CP103&gt;0,N(BT103)/CP103,"")</f>
        <v>0</v>
      </c>
      <c r="CS103" s="28" t="n">
        <f aca="false">IF(CP103&gt;0,N(BU103)/CP103,"")</f>
        <v>0.0428571428571429</v>
      </c>
      <c r="CT103" s="7" t="n">
        <f aca="false">1000*(p_sh_pv*p_cf_pv/p_capex_pv+(1-p_sh_pv)*p_cf_wind/p_capex_wind)*8760</f>
        <v>2301.28856624319</v>
      </c>
      <c r="CU103" s="13" t="n">
        <f aca="false">IF(AND(ISNUMBER(CO103),ISNUMBER(CQ103),BY103=1),1,0)</f>
        <v>1</v>
      </c>
      <c r="CV103" s="16" t="n">
        <f aca="false">IF(CU103=0,"",CQ103*p_hr_coal*N(AK103)+CR103*p_hr_gas*N(AO103)+CS103*p_hr_oil*N(AH103)/p_gj_l_oil)</f>
        <v>52.5260507243594</v>
      </c>
      <c r="CW103" s="37" t="n">
        <f aca="false">IF(CU103=0,"",CQ103*p_hr_coal*p_ef_coal+CR103*p_hr_gas*p_ef_gas+CS103*p_hr_oil*p_ef_oil)</f>
        <v>0.940287142857143</v>
      </c>
      <c r="CX103" s="16" t="n">
        <f aca="false">IF(CU103=0,"",CQ103*p_hr_coal*N(AW103)+CR103*p_hr_gas*N(AX103)+CS103*p_hr_oil*N(AY103)/p_gj_l_oil)</f>
        <v>19.2158229885599</v>
      </c>
      <c r="CY103" s="37" t="n">
        <f aca="false">IF(CU103=0,"",CO103*CW103)</f>
        <v>0.555913006756757</v>
      </c>
      <c r="CZ103" s="37" t="n">
        <f aca="false">IF(CU103=0,"",CT103*CO103*CV103/1000/1000-p_om_re)</f>
        <v>0.0564647972747591</v>
      </c>
      <c r="DA103" s="37" t="n">
        <f aca="false">IF(CU103=0,"",CT103*CO103*CX103/1000/1000)</f>
        <v>0.026144263187642</v>
      </c>
      <c r="DB103" s="37" t="n">
        <f aca="false">IF(CU103=0,"",CT103*CO103*CW103/1000)</f>
        <v>1.2793162462752</v>
      </c>
      <c r="DC103" s="13" t="n">
        <f aca="false">IF(AND(CU103=1,ISNUMBER(AD103),ISNUMBER(AV103)),1,0)</f>
        <v>1</v>
      </c>
      <c r="DD103" s="7" t="n">
        <f aca="false">IF(DC103=0,"",p_ev_km*p_ice_l/100*AD103-p_ev_km*p_ev_kwh*AV103+p_ev_km*p_ev_maint)</f>
        <v>635.8275</v>
      </c>
      <c r="DE103" s="37" t="n">
        <f aca="false">IF(DC103=0,"",DD103/p_ev_prem)</f>
        <v>0.1271655</v>
      </c>
      <c r="DF103" s="37" t="n">
        <f aca="false">IF(DC103=0,"",p_ev_km*p_ice_l/100*N(AZ103)/p_ev_prem)</f>
        <v>0.0048573</v>
      </c>
      <c r="DG103" s="37" t="n">
        <f aca="false">IF(DC103=0,"",1000/p_ev_prem*(p_ev_km*p_ice_l/100*p_gj_l_gso*p_ef_gso-p_ev_km*p_ev_kwh/1000*CY103))</f>
        <v>0.233070476351351</v>
      </c>
      <c r="DH103" s="11" t="str">
        <f aca="false">IFERROR(IF(INDEX(Damodaran!$D:$D,MATCH(A103,Damodaran!$A:$A,0))="","",INDEX(Damodaran!$D:$D,MATCH(A103,Damodaran!$A:$A,0))),"")</f>
        <v/>
      </c>
      <c r="DI103" s="11" t="str">
        <f aca="false">IFERROR(IF(INDEX(Damodaran!$E:$E,MATCH(A103,Damodaran!$A:$A,0))="","",INDEX(Damodaran!$E:$E,MATCH(A103,Damodaran!$A:$A,0))),"")</f>
        <v/>
      </c>
      <c r="DJ103" s="11" t="str">
        <f aca="false">IFERROR(IF(INDEX(Damodaran!$G:$G,MATCH(A103,Damodaran!$A:$A,0))="","",INDEX(Damodaran!$G:$G,MATCH(A103,Damodaran!$A:$A,0))),"")</f>
        <v/>
      </c>
      <c r="DK103" s="11" t="str">
        <f aca="false">IF(ISNUMBER(BG103),(1+BG103/100)*(1+p_infl)-1,"")</f>
        <v/>
      </c>
      <c r="DL103" s="11" t="n">
        <f aca="false">IF(ISNUMBER(BH103),BH103/100,"")</f>
        <v>0.1</v>
      </c>
      <c r="DM103" s="11" t="n">
        <f aca="false">IF(COUNT(DK103,DL103)=0,"",AVERAGE(DK103,DL103))</f>
        <v>0.1</v>
      </c>
      <c r="DN103" s="11" t="str">
        <f aca="false">IF(OR(DH103="",DI103=""),"",p_dv*(p_rf+DH103)*(1-IF(DJ103="",p_tax_def,DJ103))+(1-p_dv)*(p_rf+p_beta*p_erp+p_lambda*DI103))</f>
        <v/>
      </c>
      <c r="DO103" s="13" t="n">
        <f aca="false">IF(AND(ISNUMBER(DM103),ISNUMBER(DN103)),1,0)</f>
        <v>0</v>
      </c>
      <c r="DP103" s="11" t="n">
        <f aca="false">IF(DO103=1,DM103,0)</f>
        <v>0</v>
      </c>
      <c r="DQ103" s="11" t="n">
        <f aca="false">IF(DO103=1,DN103,0)</f>
        <v>0</v>
      </c>
      <c r="DR103" s="11" t="str">
        <f aca="false">IF(DN103="","",DN103+p_shift)</f>
        <v/>
      </c>
      <c r="DS103" s="11" t="n">
        <f aca="false">IF(E103="AE",p_r_ae,IF(E103="China",p_r_chn,p_r_emdc))</f>
        <v>0.105</v>
      </c>
      <c r="DT103" s="11" t="n">
        <f aca="false">IF(E103="AE",p_rh_ae,IF(E103="China",p_rh_chn,p_rh_emdc))</f>
        <v>0.15</v>
      </c>
      <c r="DU103" s="11" t="n">
        <f aca="false">IF(AND(p_use_obs=1,ISNUMBER(DM103)),DM103,IF(AND(p_use_dam=1,ISNUMBER(DR103)),DR103,DS103))</f>
        <v>0.1</v>
      </c>
      <c r="DV103" s="6" t="str">
        <f aca="false">IF(AND(p_use_obs=1,ISNUMBER(DM103)),"Observed (IRENA/Steffen)",IF(AND(p_use_dam=1,ISNUMBER(DR103)),"Damodaran (eq. 5)","Group default (IHLEG)"))</f>
        <v>Observed (IRENA/Steffen)</v>
      </c>
      <c r="DW103" s="11" t="n">
        <f aca="false">IF(p_basis=1,(1+DU103)/(1+p_infl)-1,DU103)</f>
        <v>0.1</v>
      </c>
      <c r="DX103" s="11" t="n">
        <f aca="false">DW103+(DT103-DS103)</f>
        <v>0.145</v>
      </c>
      <c r="DY103" s="28" t="n">
        <f aca="false">IF(AND(p_use_pefa=1,ISNUMBER(BD103)),p_gap_lic-(BD103-1)/3*(p_gap_lic-p_gap_ae),IF(E103="AE",p_gap_ae,IF(D103="Low income",p_gap_lic,p_gap_em)))*(1-p_reform*p_reform_close)</f>
        <v>0.355</v>
      </c>
      <c r="DZ103" s="6" t="str">
        <f aca="false">IF(AND(p_use_pefa=1,ISNUMBER(BD103)),"PEFA PI-11","Income-group default (IMF 2015)")</f>
        <v>PEFA PI-11</v>
      </c>
      <c r="EA103" s="28" t="n">
        <f aca="false">IF(E103="AE",p_ps_ae,IF(E103="China",p_ps_chn,p_ps_emdc))</f>
        <v>0.4</v>
      </c>
      <c r="EB103" s="37" t="n">
        <f aca="false">(1-EA103)+EA103/(1-DY103)</f>
        <v>1.22015503875969</v>
      </c>
      <c r="EC103" s="16" t="n">
        <f aca="false">Results_Country!F103</f>
        <v>3.96925000689</v>
      </c>
      <c r="ED103" s="16" t="n">
        <f aca="false">IF(CH103="",0,CH103*EC103)</f>
        <v>673.762703532718</v>
      </c>
      <c r="EE103" s="16" t="n">
        <f aca="false">IF(CJ103="",0,CJ103*EC103)</f>
        <v>52.6839576969006</v>
      </c>
      <c r="EF103" s="16" t="n">
        <f aca="false">IF(CH103="",0,EC103)</f>
        <v>3.96925000689</v>
      </c>
    </row>
    <row r="104" customFormat="false" ht="15" hidden="false" customHeight="false" outlineLevel="0" collapsed="false">
      <c r="A104" s="35" t="s">
        <v>965</v>
      </c>
      <c r="B104" s="35" t="s">
        <v>966</v>
      </c>
      <c r="C104" s="35" t="s">
        <v>784</v>
      </c>
      <c r="D104" s="35" t="s">
        <v>763</v>
      </c>
      <c r="E104" s="35" t="s">
        <v>31</v>
      </c>
      <c r="F104" s="36" t="n">
        <v>44.739</v>
      </c>
      <c r="G104" s="36" t="n">
        <v>129.101</v>
      </c>
      <c r="H104" s="33" t="n">
        <v>6</v>
      </c>
      <c r="I104" s="33" t="n">
        <v>4.2</v>
      </c>
      <c r="J104" s="36" t="n">
        <v>6.929153</v>
      </c>
      <c r="K104" s="36" t="n">
        <v>19.121</v>
      </c>
      <c r="L104" s="36" t="n">
        <v>56.773</v>
      </c>
      <c r="M104" s="36" t="n">
        <v>100.565</v>
      </c>
      <c r="N104" s="36" t="n">
        <v>11.1503555528894</v>
      </c>
      <c r="O104" s="36" t="n">
        <v>8.70151266189587</v>
      </c>
      <c r="P104" s="36" t="n">
        <v>0</v>
      </c>
      <c r="Q104" s="31" t="n">
        <v>0</v>
      </c>
      <c r="R104" s="31" t="n">
        <v>0</v>
      </c>
      <c r="S104" s="31" t="n">
        <v>0</v>
      </c>
      <c r="T104" s="31" t="n">
        <v>0</v>
      </c>
      <c r="U104" s="31" t="n">
        <v>2.53446603047533E-005</v>
      </c>
      <c r="V104" s="31" t="n">
        <v>0</v>
      </c>
      <c r="W104" s="31" t="n">
        <v>0</v>
      </c>
      <c r="X104" s="31" t="n">
        <v>0</v>
      </c>
      <c r="Y104" s="36" t="n">
        <v>1.08898787478185</v>
      </c>
      <c r="Z104" s="36" t="n">
        <v>2.01071205842493</v>
      </c>
      <c r="AA104" s="36" t="n">
        <v>0.157570081997609</v>
      </c>
      <c r="AB104" s="36" t="n">
        <v>0.00847223338272116</v>
      </c>
      <c r="AC104" s="36" t="n">
        <v>2.37191446385957</v>
      </c>
      <c r="AD104" s="31" t="n">
        <v>0.831454</v>
      </c>
      <c r="AE104" s="31" t="n">
        <v>0.676479</v>
      </c>
      <c r="AF104" s="31" t="n">
        <v>0.579131</v>
      </c>
      <c r="AG104" s="31" t="n">
        <v>0.605867</v>
      </c>
      <c r="AH104" s="31" t="n">
        <v>0.519462891908447</v>
      </c>
      <c r="AI104" s="31" t="n">
        <v>7.124</v>
      </c>
      <c r="AJ104" s="31" t="n">
        <v>13.4123</v>
      </c>
      <c r="AK104" s="31" t="n">
        <v>5.575</v>
      </c>
      <c r="AL104" s="31" t="n">
        <v>7.124</v>
      </c>
      <c r="AM104" s="31" t="n">
        <v>12.771</v>
      </c>
      <c r="AN104" s="31" t="n">
        <v>22.7832</v>
      </c>
      <c r="AO104" s="31" t="n">
        <v>11.447</v>
      </c>
      <c r="AP104" s="31" t="n">
        <v>15.6670666666667</v>
      </c>
      <c r="AQ104" s="36" t="n">
        <v>0.189936722081222</v>
      </c>
      <c r="AR104" s="36" t="n">
        <v>0.272847039271227</v>
      </c>
      <c r="AS104" s="36" t="n">
        <v>0.457608052001745</v>
      </c>
      <c r="AT104" s="36" t="n">
        <v>0.24797201435404</v>
      </c>
      <c r="AU104" s="31" t="n">
        <v>0.860308380574886</v>
      </c>
      <c r="AV104" s="36" t="n">
        <v>0.187677</v>
      </c>
      <c r="AW104" s="31" t="n">
        <v>1.058418</v>
      </c>
      <c r="AX104" s="31" t="n">
        <v>0.002491</v>
      </c>
      <c r="AY104" s="31" t="n">
        <v>0.0072808802106885</v>
      </c>
      <c r="AZ104" s="31" t="n">
        <v>0.019528</v>
      </c>
      <c r="BA104" s="33" t="n">
        <v>44.633</v>
      </c>
      <c r="BB104" s="33" t="n">
        <v>10.465</v>
      </c>
      <c r="BC104" s="33" t="n">
        <v>89.48</v>
      </c>
      <c r="BD104" s="33" t="n">
        <v>1.5</v>
      </c>
      <c r="BE104" s="33" t="n">
        <v>1</v>
      </c>
      <c r="BF104" s="33" t="n">
        <v>0</v>
      </c>
      <c r="BG104" s="33"/>
      <c r="BH104" s="33"/>
      <c r="BI104" s="29"/>
      <c r="BJ104" s="33"/>
      <c r="BK104" s="33"/>
      <c r="BL104" s="33" t="n">
        <v>0.283</v>
      </c>
      <c r="BM104" s="33" t="n">
        <v>6.933</v>
      </c>
      <c r="BN104" s="29" t="n">
        <v>13.836</v>
      </c>
      <c r="BO104" s="33" t="n">
        <v>0.656</v>
      </c>
      <c r="BP104" s="33" t="n">
        <v>0.126</v>
      </c>
      <c r="BQ104" s="29" t="n">
        <v>2025</v>
      </c>
      <c r="BR104" s="36" t="n">
        <v>45.35</v>
      </c>
      <c r="BS104" s="36" t="n">
        <v>0</v>
      </c>
      <c r="BT104" s="36" t="n">
        <v>0</v>
      </c>
      <c r="BU104" s="36" t="n">
        <v>0</v>
      </c>
      <c r="BV104" s="16" t="n">
        <f aca="false">F104*(1+N(H104)/100)*(1+N(I104)/100)^5</f>
        <v>58.2546681546409</v>
      </c>
      <c r="BW104" s="16" t="n">
        <f aca="false">IF(N(G104)&gt;0,G104,F104)</f>
        <v>129.101</v>
      </c>
      <c r="BX104" s="12" t="n">
        <f aca="false">F104/BW104</f>
        <v>0.34654262941418</v>
      </c>
      <c r="BY104" s="13" t="n">
        <f aca="false">IF(ISNUMBER(K104),1,0)</f>
        <v>1</v>
      </c>
      <c r="BZ104" s="16" t="n">
        <f aca="false">IF(BY104=0,"",N(N104)+N(O104)+N(P104))</f>
        <v>19.8518682147853</v>
      </c>
      <c r="CA104" s="37" t="n">
        <f aca="false">IF(BY104=0,"",(N(Y104)*34.2+N(Z104)*38.6)/1000)</f>
        <v>0.114856870772742</v>
      </c>
      <c r="CB104" s="37" t="n">
        <f aca="false">IF(BY104=0,"",N(O104)*0.0036+N(R104)+N(V104)+(N(AA104)*25.3+N(AB104)*37)/1000)</f>
        <v>0.0356254412925253</v>
      </c>
      <c r="CC104" s="37" t="n">
        <f aca="false">IF(BY104=0,"",N(N104)*0.0036+N(Q104)+N(U104)+N(T104)+N(X104)+N(AC104)*38/1000)</f>
        <v>0.13029937427737</v>
      </c>
      <c r="CD104" s="37" t="n">
        <f aca="false">IF(BY104=0,"",N(Q104)+N(R104)+N(S104)+N(T104)+N(U104)+N(V104)+N(W104)+N(X104)+(N(Y104)*34.2+N(Z104)*38.6+N(AA104)*25.3+N(AB104)*37+N(AC104)*38)/1000)</f>
        <v>0.20931496076941</v>
      </c>
      <c r="CE104" s="16" t="n">
        <f aca="false">IF(BY104=0,"",MAX(0,N(L104)-N(K104))+MAX(0,N(M104)-N(L104)))</f>
        <v>81.444</v>
      </c>
      <c r="CF104" s="16" t="n">
        <f aca="false">IF(BY104=0,"",N(Y104)*N(AD104)+N(Z104)*N(AE104)+N(AA104)*N(AF104)+N(AB104)*N(AG104)+N(AC104)*N(AH104)+N(U104)*N(AI104)+N(V104)*N(AJ104)+N(W104)*N(AK104)+N(X104)*N(AL104)+N(Q104)*N(AM104)+N(R104)*N(AN104)+N(S104)*N(AO104)+N(T104)*N(AP104))</f>
        <v>3.59433667490633</v>
      </c>
      <c r="CG104" s="16" t="n">
        <f aca="false">IF(AND(BY104=1,N(K104)&gt;0),K104,0)</f>
        <v>19.121</v>
      </c>
      <c r="CH104" s="16" t="n">
        <f aca="false">IF(CG104&gt;0,CF104*1000/CG104,"")</f>
        <v>187.978488306382</v>
      </c>
      <c r="CI104" s="16" t="n">
        <f aca="false">IF(BY104=0,"",N(AQ104)+p_road*(N(AR104)+N(AS104)+N(AT104)))</f>
        <v>0.189936722081222</v>
      </c>
      <c r="CJ104" s="16" t="n">
        <f aca="false">IF(CG104&gt;0,CI104*1000/CG104,"")</f>
        <v>9.93340944936051</v>
      </c>
      <c r="CK104" s="12" t="n">
        <f aca="false">IF(CH104="",1,MIN(p_idx_max,MAX(p_idx_min,CH104/p_fc_world)))</f>
        <v>1.16751498922838</v>
      </c>
      <c r="CL104" s="12" t="n">
        <f aca="false">IF(CJ104="",1,MIN(p_idx_max,MAX(p_idx_min,CJ104/p_cb_world)))</f>
        <v>0.25</v>
      </c>
      <c r="CM104" s="37" t="n">
        <f aca="false">p_b*(1-p_wb_idx+p_wb_idx*CK104)</f>
        <v>0.155279493567375</v>
      </c>
      <c r="CN104" s="37" t="n">
        <f aca="false">p_c*(1-p_wc_idx+p_wc_idx*CL104)</f>
        <v>0.03225</v>
      </c>
      <c r="CO104" s="28" t="n">
        <f aca="false">IF(N(BR104)&gt;0,(N(BS104)+N(BT104)+N(BU104))/BR104,"")</f>
        <v>0</v>
      </c>
      <c r="CP104" s="16" t="n">
        <f aca="false">N(BS104)+N(BT104)+N(BU104)</f>
        <v>0</v>
      </c>
      <c r="CQ104" s="28" t="str">
        <f aca="false">IF(CP104&gt;0,N(BS104)/CP104,"")</f>
        <v/>
      </c>
      <c r="CR104" s="28" t="str">
        <f aca="false">IF(CP104&gt;0,N(BT104)/CP104,"")</f>
        <v/>
      </c>
      <c r="CS104" s="28" t="str">
        <f aca="false">IF(CP104&gt;0,N(BU104)/CP104,"")</f>
        <v/>
      </c>
      <c r="CT104" s="7" t="n">
        <f aca="false">1000*(p_sh_pv*p_cf_pv/p_capex_pv+(1-p_sh_pv)*p_cf_wind/p_capex_wind)*8760</f>
        <v>2301.28856624319</v>
      </c>
      <c r="CU104" s="13" t="n">
        <f aca="false">IF(AND(ISNUMBER(CO104),ISNUMBER(CQ104),BY104=1),1,0)</f>
        <v>0</v>
      </c>
      <c r="CV104" s="16" t="str">
        <f aca="false">IF(CU104=0,"",CQ104*p_hr_coal*N(AK104)+CR104*p_hr_gas*N(AO104)+CS104*p_hr_oil*N(AH104)/p_gj_l_oil)</f>
        <v/>
      </c>
      <c r="CW104" s="37" t="str">
        <f aca="false">IF(CU104=0,"",CQ104*p_hr_coal*p_ef_coal+CR104*p_hr_gas*p_ef_gas+CS104*p_hr_oil*p_ef_oil)</f>
        <v/>
      </c>
      <c r="CX104" s="16" t="str">
        <f aca="false">IF(CU104=0,"",CQ104*p_hr_coal*N(AW104)+CR104*p_hr_gas*N(AX104)+CS104*p_hr_oil*N(AY104)/p_gj_l_oil)</f>
        <v/>
      </c>
      <c r="CY104" s="37" t="str">
        <f aca="false">IF(CU104=0,"",CO104*CW104)</f>
        <v/>
      </c>
      <c r="CZ104" s="37" t="str">
        <f aca="false">IF(CU104=0,"",CT104*CO104*CV104/1000/1000-p_om_re)</f>
        <v/>
      </c>
      <c r="DA104" s="37" t="str">
        <f aca="false">IF(CU104=0,"",CT104*CO104*CX104/1000/1000)</f>
        <v/>
      </c>
      <c r="DB104" s="37" t="str">
        <f aca="false">IF(CU104=0,"",CT104*CO104*CW104/1000)</f>
        <v/>
      </c>
      <c r="DC104" s="13" t="n">
        <f aca="false">IF(AND(CU104=1,ISNUMBER(AD104),ISNUMBER(AV104)),1,0)</f>
        <v>0</v>
      </c>
      <c r="DD104" s="7" t="str">
        <f aca="false">IF(DC104=0,"",p_ev_km*p_ice_l/100*AD104-p_ev_km*p_ev_kwh*AV104+p_ev_km*p_ev_maint)</f>
        <v/>
      </c>
      <c r="DE104" s="37" t="str">
        <f aca="false">IF(DC104=0,"",DD104/p_ev_prem)</f>
        <v/>
      </c>
      <c r="DF104" s="37" t="str">
        <f aca="false">IF(DC104=0,"",p_ev_km*p_ice_l/100*N(AZ104)/p_ev_prem)</f>
        <v/>
      </c>
      <c r="DG104" s="37" t="str">
        <f aca="false">IF(DC104=0,"",1000/p_ev_prem*(p_ev_km*p_ice_l/100*p_gj_l_gso*p_ef_gso-p_ev_km*p_ev_kwh/1000*CY104))</f>
        <v/>
      </c>
      <c r="DH104" s="11" t="str">
        <f aca="false">IFERROR(IF(INDEX(Damodaran!$D:$D,MATCH(A104,Damodaran!$A:$A,0))="","",INDEX(Damodaran!$D:$D,MATCH(A104,Damodaran!$A:$A,0))),"")</f>
        <v/>
      </c>
      <c r="DI104" s="11" t="str">
        <f aca="false">IFERROR(IF(INDEX(Damodaran!$E:$E,MATCH(A104,Damodaran!$A:$A,0))="","",INDEX(Damodaran!$E:$E,MATCH(A104,Damodaran!$A:$A,0))),"")</f>
        <v/>
      </c>
      <c r="DJ104" s="11" t="str">
        <f aca="false">IFERROR(IF(INDEX(Damodaran!$G:$G,MATCH(A104,Damodaran!$A:$A,0))="","",INDEX(Damodaran!$G:$G,MATCH(A104,Damodaran!$A:$A,0))),"")</f>
        <v/>
      </c>
      <c r="DK104" s="11" t="str">
        <f aca="false">IF(ISNUMBER(BG104),(1+BG104/100)*(1+p_infl)-1,"")</f>
        <v/>
      </c>
      <c r="DL104" s="11" t="str">
        <f aca="false">IF(ISNUMBER(BH104),BH104/100,"")</f>
        <v/>
      </c>
      <c r="DM104" s="11" t="str">
        <f aca="false">IF(COUNT(DK104,DL104)=0,"",AVERAGE(DK104,DL104))</f>
        <v/>
      </c>
      <c r="DN104" s="11" t="str">
        <f aca="false">IF(OR(DH104="",DI104=""),"",p_dv*(p_rf+DH104)*(1-IF(DJ104="",p_tax_def,DJ104))+(1-p_dv)*(p_rf+p_beta*p_erp+p_lambda*DI104))</f>
        <v/>
      </c>
      <c r="DO104" s="13" t="n">
        <f aca="false">IF(AND(ISNUMBER(DM104),ISNUMBER(DN104)),1,0)</f>
        <v>0</v>
      </c>
      <c r="DP104" s="11" t="n">
        <f aca="false">IF(DO104=1,DM104,0)</f>
        <v>0</v>
      </c>
      <c r="DQ104" s="11" t="n">
        <f aca="false">IF(DO104=1,DN104,0)</f>
        <v>0</v>
      </c>
      <c r="DR104" s="11" t="str">
        <f aca="false">IF(DN104="","",DN104+p_shift)</f>
        <v/>
      </c>
      <c r="DS104" s="11" t="n">
        <f aca="false">IF(E104="AE",p_r_ae,IF(E104="China",p_r_chn,p_r_emdc))</f>
        <v>0.105</v>
      </c>
      <c r="DT104" s="11" t="n">
        <f aca="false">IF(E104="AE",p_rh_ae,IF(E104="China",p_rh_chn,p_rh_emdc))</f>
        <v>0.15</v>
      </c>
      <c r="DU104" s="11" t="n">
        <f aca="false">IF(AND(p_use_obs=1,ISNUMBER(DM104)),DM104,IF(AND(p_use_dam=1,ISNUMBER(DR104)),DR104,DS104))</f>
        <v>0.105</v>
      </c>
      <c r="DV104" s="6" t="str">
        <f aca="false">IF(AND(p_use_obs=1,ISNUMBER(DM104)),"Observed (IRENA/Steffen)",IF(AND(p_use_dam=1,ISNUMBER(DR104)),"Damodaran (eq. 5)","Group default (IHLEG)"))</f>
        <v>Group default (IHLEG)</v>
      </c>
      <c r="DW104" s="11" t="n">
        <f aca="false">IF(p_basis=1,(1+DU104)/(1+p_infl)-1,DU104)</f>
        <v>0.105</v>
      </c>
      <c r="DX104" s="11" t="n">
        <f aca="false">DW104+(DT104-DS104)</f>
        <v>0.15</v>
      </c>
      <c r="DY104" s="28" t="n">
        <f aca="false">IF(AND(p_use_pefa=1,ISNUMBER(BD104)),p_gap_lic-(BD104-1)/3*(p_gap_lic-p_gap_ae),IF(E104="AE",p_gap_ae,IF(D104="Low income",p_gap_lic,p_gap_em)))*(1-p_reform*p_reform_close)</f>
        <v>0.355</v>
      </c>
      <c r="DZ104" s="6" t="str">
        <f aca="false">IF(AND(p_use_pefa=1,ISNUMBER(BD104)),"PEFA PI-11","Income-group default (IMF 2015)")</f>
        <v>PEFA PI-11</v>
      </c>
      <c r="EA104" s="28" t="n">
        <f aca="false">IF(E104="AE",p_ps_ae,IF(E104="China",p_ps_chn,p_ps_emdc))</f>
        <v>0.4</v>
      </c>
      <c r="EB104" s="37" t="n">
        <f aca="false">(1-EA104)+EA104/(1-DY104)</f>
        <v>1.22015503875969</v>
      </c>
      <c r="EC104" s="16" t="n">
        <f aca="false">Results_Country!F104</f>
        <v>4.45995602549204</v>
      </c>
      <c r="ED104" s="16" t="n">
        <f aca="false">IF(CH104="",0,CH104*EC104)</f>
        <v>838.375791584934</v>
      </c>
      <c r="EE104" s="16" t="n">
        <f aca="false">IF(CJ104="",0,CJ104*EC104)</f>
        <v>44.302569327355</v>
      </c>
      <c r="EF104" s="16" t="n">
        <f aca="false">IF(CH104="",0,EC104)</f>
        <v>4.45995602549204</v>
      </c>
    </row>
    <row r="105" customFormat="false" ht="15" hidden="false" customHeight="false" outlineLevel="0" collapsed="false">
      <c r="A105" s="35" t="s">
        <v>967</v>
      </c>
      <c r="B105" s="35" t="s">
        <v>968</v>
      </c>
      <c r="C105" s="35" t="s">
        <v>766</v>
      </c>
      <c r="D105" s="35" t="s">
        <v>760</v>
      </c>
      <c r="E105" s="35" t="s">
        <v>29</v>
      </c>
      <c r="F105" s="36" t="n">
        <v>43.988</v>
      </c>
      <c r="G105" s="36" t="n">
        <v>77.071</v>
      </c>
      <c r="H105" s="33" t="n">
        <v>2.138</v>
      </c>
      <c r="I105" s="33" t="n">
        <v>2.218</v>
      </c>
      <c r="J105" s="36" t="n">
        <v>1.871871</v>
      </c>
      <c r="K105" s="36" t="n">
        <v>7.301</v>
      </c>
      <c r="L105" s="36" t="n">
        <v>10.85</v>
      </c>
      <c r="M105" s="36" t="n">
        <v>12.693</v>
      </c>
      <c r="N105" s="36" t="n">
        <v>4.32421699344532</v>
      </c>
      <c r="O105" s="36" t="n">
        <v>1.65002155210091</v>
      </c>
      <c r="P105" s="36" t="n">
        <v>0.0890285365875741</v>
      </c>
      <c r="Q105" s="31" t="n">
        <v>0.0131183283771966</v>
      </c>
      <c r="R105" s="31" t="n">
        <v>0.0129235783657984</v>
      </c>
      <c r="S105" s="31" t="n">
        <v>0.0121575801981957</v>
      </c>
      <c r="T105" s="31" t="n">
        <v>5.57704529639078E-005</v>
      </c>
      <c r="U105" s="31" t="n">
        <v>0.000657033715577021</v>
      </c>
      <c r="V105" s="31" t="n">
        <v>0.000202933302840543</v>
      </c>
      <c r="W105" s="31" t="n">
        <v>0</v>
      </c>
      <c r="X105" s="31" t="n">
        <v>0</v>
      </c>
      <c r="Y105" s="36" t="n">
        <v>0.211541973958116</v>
      </c>
      <c r="Z105" s="36" t="n">
        <v>1.23924891393159</v>
      </c>
      <c r="AA105" s="36" t="n">
        <v>0.124541098140659</v>
      </c>
      <c r="AB105" s="36" t="n">
        <v>0.000675405642184054</v>
      </c>
      <c r="AC105" s="36" t="n">
        <v>0.00330229287530732</v>
      </c>
      <c r="AD105" s="31" t="n">
        <v>0.870251</v>
      </c>
      <c r="AE105" s="31" t="n">
        <v>0.816702</v>
      </c>
      <c r="AF105" s="31" t="n">
        <v>0.537005</v>
      </c>
      <c r="AG105" s="31" t="n">
        <v>0.591</v>
      </c>
      <c r="AH105" s="31" t="n">
        <v>0.519462891908447</v>
      </c>
      <c r="AI105" s="31" t="n">
        <v>17.287</v>
      </c>
      <c r="AJ105" s="31" t="n">
        <v>15.72637</v>
      </c>
      <c r="AK105" s="31" t="n">
        <v>10.254</v>
      </c>
      <c r="AL105" s="31" t="n">
        <v>16.9187256433918</v>
      </c>
      <c r="AM105" s="31" t="n">
        <v>25.808</v>
      </c>
      <c r="AN105" s="31" t="n">
        <v>31.22768</v>
      </c>
      <c r="AO105" s="31" t="n">
        <v>25.808</v>
      </c>
      <c r="AP105" s="31" t="n">
        <v>27.6415759143933</v>
      </c>
      <c r="AQ105" s="36" t="n">
        <v>0.117396706219828</v>
      </c>
      <c r="AR105" s="36" t="n">
        <v>0.0117127470332672</v>
      </c>
      <c r="AS105" s="36" t="n">
        <v>0.0187076433151505</v>
      </c>
      <c r="AT105" s="36" t="n">
        <v>0.0536982889301533</v>
      </c>
      <c r="AU105" s="31" t="n">
        <v>0.741186670033763</v>
      </c>
      <c r="AV105" s="36" t="n">
        <v>0.263949</v>
      </c>
      <c r="AW105" s="31" t="n">
        <v>1.3E-005</v>
      </c>
      <c r="AX105" s="31" t="n">
        <v>0.034345</v>
      </c>
      <c r="AY105" s="31" t="n">
        <v>0.127803542764982</v>
      </c>
      <c r="AZ105" s="31" t="n">
        <v>0.027942</v>
      </c>
      <c r="BA105" s="33" t="n">
        <v>46.25</v>
      </c>
      <c r="BB105" s="33" t="n">
        <v>2.166</v>
      </c>
      <c r="BC105" s="33"/>
      <c r="BD105" s="33"/>
      <c r="BE105" s="33"/>
      <c r="BF105" s="33" t="n">
        <v>0</v>
      </c>
      <c r="BG105" s="33"/>
      <c r="BH105" s="33" t="n">
        <v>10.59</v>
      </c>
      <c r="BI105" s="29" t="n">
        <v>2019</v>
      </c>
      <c r="BJ105" s="33" t="n">
        <v>1</v>
      </c>
      <c r="BK105" s="33"/>
      <c r="BL105" s="33"/>
      <c r="BM105" s="33"/>
      <c r="BN105" s="29"/>
      <c r="BO105" s="33"/>
      <c r="BP105" s="33"/>
      <c r="BQ105" s="29" t="n">
        <v>2025</v>
      </c>
      <c r="BR105" s="36" t="n">
        <v>6.3</v>
      </c>
      <c r="BS105" s="36" t="n">
        <v>0</v>
      </c>
      <c r="BT105" s="36" t="n">
        <v>1.65</v>
      </c>
      <c r="BU105" s="36" t="n">
        <v>-0.03</v>
      </c>
      <c r="BV105" s="16" t="n">
        <f aca="false">F105*(1+N(H105)/100)*(1+N(I105)/100)^5</f>
        <v>50.1370136693317</v>
      </c>
      <c r="BW105" s="16" t="n">
        <f aca="false">IF(N(G105)&gt;0,G105,F105)</f>
        <v>77.071</v>
      </c>
      <c r="BX105" s="12" t="n">
        <f aca="false">F105/BW105</f>
        <v>0.570746454567866</v>
      </c>
      <c r="BY105" s="13" t="n">
        <f aca="false">IF(ISNUMBER(K105),1,0)</f>
        <v>1</v>
      </c>
      <c r="BZ105" s="16" t="n">
        <f aca="false">IF(BY105=0,"",N(N105)+N(O105)+N(P105))</f>
        <v>6.0632670821338</v>
      </c>
      <c r="CA105" s="37" t="n">
        <f aca="false">IF(BY105=0,"",(N(Y105)*34.2+N(Z105)*38.6)/1000)</f>
        <v>0.0550697435871268</v>
      </c>
      <c r="CB105" s="37" t="n">
        <f aca="false">IF(BY105=0,"",N(O105)*0.0036+N(R105)+N(V105)+(N(AA105)*25.3+N(AB105)*37)/1000)</f>
        <v>0.0222424690479217</v>
      </c>
      <c r="CC105" s="37" t="n">
        <f aca="false">IF(BY105=0,"",N(N105)*0.0036+N(Q105)+N(U105)+N(T105)+N(X105)+N(AC105)*38/1000)</f>
        <v>0.0295238008514023</v>
      </c>
      <c r="CD105" s="37" t="n">
        <f aca="false">IF(BY105=0,"",N(Q105)+N(R105)+N(S105)+N(T105)+N(U105)+N(V105)+N(W105)+N(X105)+(N(Y105)*34.2+N(Z105)*38.6+N(AA105)*25.3+N(AB105)*37+N(AC105)*38)/1000)</f>
        <v>0.0974863349206801</v>
      </c>
      <c r="CE105" s="16" t="n">
        <f aca="false">IF(BY105=0,"",MAX(0,N(L105)-N(K105))+MAX(0,N(M105)-N(L105)))</f>
        <v>5.392</v>
      </c>
      <c r="CF105" s="16" t="n">
        <f aca="false">IF(BY105=0,"",N(Y105)*N(AD105)+N(Z105)*N(AE105)+N(AA105)*N(AF105)+N(AB105)*N(AG105)+N(AC105)*N(AH105)+N(U105)*N(AI105)+N(V105)*N(AJ105)+N(W105)*N(AK105)+N(X105)*N(AL105)+N(Q105)*N(AM105)+N(R105)*N(AN105)+N(S105)*N(AO105)+N(T105)*N(AP105))</f>
        <v>2.33717060406542</v>
      </c>
      <c r="CG105" s="16" t="n">
        <f aca="false">IF(AND(BY105=1,N(K105)&gt;0),K105,0)</f>
        <v>7.301</v>
      </c>
      <c r="CH105" s="16" t="n">
        <f aca="false">IF(CG105&gt;0,CF105*1000/CG105,"")</f>
        <v>320.116505145243</v>
      </c>
      <c r="CI105" s="16" t="n">
        <f aca="false">IF(BY105=0,"",N(AQ105)+p_road*(N(AR105)+N(AS105)+N(AT105)))</f>
        <v>0.117396706219828</v>
      </c>
      <c r="CJ105" s="16" t="n">
        <f aca="false">IF(CG105&gt;0,CI105*1000/CG105,"")</f>
        <v>16.0795379016338</v>
      </c>
      <c r="CK105" s="12" t="n">
        <f aca="false">IF(CH105="",1,MIN(p_idx_max,MAX(p_idx_min,CH105/p_fc_world)))</f>
        <v>1.98821057358076</v>
      </c>
      <c r="CL105" s="12" t="n">
        <f aca="false">IF(CJ105="",1,MIN(p_idx_max,MAX(p_idx_min,CJ105/p_cb_world)))</f>
        <v>0.305748144374719</v>
      </c>
      <c r="CM105" s="37" t="n">
        <f aca="false">p_b*(1-p_wb_idx+p_wb_idx*CK105)</f>
        <v>0.264432006286241</v>
      </c>
      <c r="CN105" s="37" t="n">
        <f aca="false">p_c*(1-p_wc_idx+p_wc_idx*CL105)</f>
        <v>0.0394415106243388</v>
      </c>
      <c r="CO105" s="28" t="n">
        <f aca="false">IF(N(BR105)&gt;0,(N(BS105)+N(BT105)+N(BU105))/BR105,"")</f>
        <v>0.257142857142857</v>
      </c>
      <c r="CP105" s="16" t="n">
        <f aca="false">N(BS105)+N(BT105)+N(BU105)</f>
        <v>1.62</v>
      </c>
      <c r="CQ105" s="28" t="n">
        <f aca="false">IF(CP105&gt;0,N(BS105)/CP105,"")</f>
        <v>0</v>
      </c>
      <c r="CR105" s="28" t="n">
        <f aca="false">IF(CP105&gt;0,N(BT105)/CP105,"")</f>
        <v>1.01851851851852</v>
      </c>
      <c r="CS105" s="28" t="n">
        <f aca="false">IF(CP105&gt;0,N(BU105)/CP105,"")</f>
        <v>-0.0185185185185185</v>
      </c>
      <c r="CT105" s="7" t="n">
        <f aca="false">1000*(p_sh_pv*p_cf_pv/p_capex_pv+(1-p_sh_pv)*p_cf_wind/p_capex_wind)*8760</f>
        <v>2301.28856624319</v>
      </c>
      <c r="CU105" s="13" t="n">
        <f aca="false">IF(AND(ISNUMBER(CO105),ISNUMBER(CQ105),BY105=1),1,0)</f>
        <v>1</v>
      </c>
      <c r="CV105" s="16" t="n">
        <f aca="false">IF(CU105=0,"",CQ105*p_hr_coal*N(AK105)+CR105*p_hr_gas*N(AO105)+CS105*p_hr_oil*N(AH105)/p_gj_l_oil)</f>
        <v>194.527691246863</v>
      </c>
      <c r="CW105" s="37" t="n">
        <f aca="false">IF(CU105=0,"",CQ105*p_hr_coal*p_ef_coal+CR105*p_hr_gas*p_ef_gas+CS105*p_hr_oil*p_ef_oil)</f>
        <v>0.413491666666667</v>
      </c>
      <c r="CX105" s="16" t="n">
        <f aca="false">IF(CU105=0,"",CQ105*p_hr_coal*N(AW105)+CR105*p_hr_gas*N(AX105)+CS105*p_hr_oil*N(AY105)/p_gj_l_oil)</f>
        <v>-0.381442590928953</v>
      </c>
      <c r="CY105" s="37" t="n">
        <f aca="false">IF(CU105=0,"",CO105*CW105)</f>
        <v>0.106326428571429</v>
      </c>
      <c r="CZ105" s="37" t="n">
        <f aca="false">IF(CU105=0,"",CT105*CO105*CV105/1000/1000-p_om_re)</f>
        <v>0.100113690433052</v>
      </c>
      <c r="DA105" s="37" t="n">
        <f aca="false">IF(CU105=0,"",CT105*CO105*CX105/1000/1000)</f>
        <v>-0.000225722435961338</v>
      </c>
      <c r="DB105" s="37" t="n">
        <f aca="false">IF(CU105=0,"",CT105*CO105*CW105/1000)</f>
        <v>0.244687794360902</v>
      </c>
      <c r="DC105" s="13" t="n">
        <f aca="false">IF(AND(CU105=1,ISNUMBER(AD105),ISNUMBER(AV105)),1,0)</f>
        <v>1</v>
      </c>
      <c r="DD105" s="7" t="n">
        <f aca="false">IF(DC105=0,"",p_ev_km*p_ice_l/100*AD105-p_ev_km*p_ev_kwh*AV105+p_ev_km*p_ev_maint)</f>
        <v>446.370075</v>
      </c>
      <c r="DE105" s="37" t="n">
        <f aca="false">IF(DC105=0,"",DD105/p_ev_prem)</f>
        <v>0.089274015</v>
      </c>
      <c r="DF105" s="37" t="n">
        <f aca="false">IF(DC105=0,"",p_ev_km*p_ice_l/100*N(AZ105)/p_ev_prem)</f>
        <v>0.00628695</v>
      </c>
      <c r="DG105" s="37" t="n">
        <f aca="false">IF(DC105=0,"",1000/p_ev_prem*(p_ev_km*p_ice_l/100*p_gj_l_gso*p_ef_gso-p_ev_km*p_ev_kwh/1000*CY105))</f>
        <v>0.475847228571429</v>
      </c>
      <c r="DH105" s="11" t="str">
        <f aca="false">IFERROR(IF(INDEX(Damodaran!$D:$D,MATCH(A105,Damodaran!$A:$A,0))="","",INDEX(Damodaran!$D:$D,MATCH(A105,Damodaran!$A:$A,0))),"")</f>
        <v/>
      </c>
      <c r="DI105" s="11" t="str">
        <f aca="false">IFERROR(IF(INDEX(Damodaran!$E:$E,MATCH(A105,Damodaran!$A:$A,0))="","",INDEX(Damodaran!$E:$E,MATCH(A105,Damodaran!$A:$A,0))),"")</f>
        <v/>
      </c>
      <c r="DJ105" s="11" t="str">
        <f aca="false">IFERROR(IF(INDEX(Damodaran!$G:$G,MATCH(A105,Damodaran!$A:$A,0))="","",INDEX(Damodaran!$G:$G,MATCH(A105,Damodaran!$A:$A,0))),"")</f>
        <v/>
      </c>
      <c r="DK105" s="11" t="str">
        <f aca="false">IF(ISNUMBER(BG105),(1+BG105/100)*(1+p_infl)-1,"")</f>
        <v/>
      </c>
      <c r="DL105" s="11" t="n">
        <f aca="false">IF(ISNUMBER(BH105),BH105/100,"")</f>
        <v>0.1059</v>
      </c>
      <c r="DM105" s="11" t="n">
        <f aca="false">IF(COUNT(DK105,DL105)=0,"",AVERAGE(DK105,DL105))</f>
        <v>0.1059</v>
      </c>
      <c r="DN105" s="11" t="str">
        <f aca="false">IF(OR(DH105="",DI105=""),"",p_dv*(p_rf+DH105)*(1-IF(DJ105="",p_tax_def,DJ105))+(1-p_dv)*(p_rf+p_beta*p_erp+p_lambda*DI105))</f>
        <v/>
      </c>
      <c r="DO105" s="13" t="n">
        <f aca="false">IF(AND(ISNUMBER(DM105),ISNUMBER(DN105)),1,0)</f>
        <v>0</v>
      </c>
      <c r="DP105" s="11" t="n">
        <f aca="false">IF(DO105=1,DM105,0)</f>
        <v>0</v>
      </c>
      <c r="DQ105" s="11" t="n">
        <f aca="false">IF(DO105=1,DN105,0)</f>
        <v>0</v>
      </c>
      <c r="DR105" s="11" t="str">
        <f aca="false">IF(DN105="","",DN105+p_shift)</f>
        <v/>
      </c>
      <c r="DS105" s="11" t="n">
        <f aca="false">IF(E105="AE",p_r_ae,IF(E105="China",p_r_chn,p_r_emdc))</f>
        <v>0.055</v>
      </c>
      <c r="DT105" s="11" t="n">
        <f aca="false">IF(E105="AE",p_rh_ae,IF(E105="China",p_rh_chn,p_rh_emdc))</f>
        <v>0.07</v>
      </c>
      <c r="DU105" s="11" t="n">
        <f aca="false">IF(AND(p_use_obs=1,ISNUMBER(DM105)),DM105,IF(AND(p_use_dam=1,ISNUMBER(DR105)),DR105,DS105))</f>
        <v>0.1059</v>
      </c>
      <c r="DV105" s="6" t="str">
        <f aca="false">IF(AND(p_use_obs=1,ISNUMBER(DM105)),"Observed (IRENA/Steffen)",IF(AND(p_use_dam=1,ISNUMBER(DR105)),"Damodaran (eq. 5)","Group default (IHLEG)"))</f>
        <v>Observed (IRENA/Steffen)</v>
      </c>
      <c r="DW105" s="11" t="n">
        <f aca="false">IF(p_basis=1,(1+DU105)/(1+p_infl)-1,DU105)</f>
        <v>0.1059</v>
      </c>
      <c r="DX105" s="11" t="n">
        <f aca="false">DW105+(DT105-DS105)</f>
        <v>0.1209</v>
      </c>
      <c r="DY105" s="28" t="n">
        <f aca="false">IF(AND(p_use_pefa=1,ISNUMBER(BD105)),p_gap_lic-(BD105-1)/3*(p_gap_lic-p_gap_ae),IF(E105="AE",p_gap_ae,IF(D105="Low income",p_gap_lic,p_gap_em)))*(1-p_reform*p_reform_close)</f>
        <v>0.13</v>
      </c>
      <c r="DZ105" s="6" t="str">
        <f aca="false">IF(AND(p_use_pefa=1,ISNUMBER(BD105)),"PEFA PI-11","Income-group default (IMF 2015)")</f>
        <v>Income-group default (IMF 2015)</v>
      </c>
      <c r="EA105" s="28" t="n">
        <f aca="false">IF(E105="AE",p_ps_ae,IF(E105="China",p_ps_chn,p_ps_emdc))</f>
        <v>0.3</v>
      </c>
      <c r="EB105" s="37" t="n">
        <f aca="false">(1-EA105)+EA105/(1-DY105)</f>
        <v>1.0448275862069</v>
      </c>
      <c r="EC105" s="16" t="n">
        <f aca="false">Results_Country!F105</f>
        <v>1.64397655280878</v>
      </c>
      <c r="ED105" s="16" t="n">
        <f aca="false">IF(CH105="",0,CH105*EC105)</f>
        <v>526.264028625871</v>
      </c>
      <c r="EE105" s="16" t="n">
        <f aca="false">IF(CJ105="",0,CJ105*EC105)</f>
        <v>26.434383290286</v>
      </c>
      <c r="EF105" s="16" t="n">
        <f aca="false">IF(CH105="",0,EC105)</f>
        <v>1.64397655280878</v>
      </c>
    </row>
    <row r="106" customFormat="false" ht="15" hidden="false" customHeight="false" outlineLevel="0" collapsed="false">
      <c r="A106" s="35" t="s">
        <v>969</v>
      </c>
      <c r="B106" s="35" t="s">
        <v>970</v>
      </c>
      <c r="C106" s="35" t="s">
        <v>766</v>
      </c>
      <c r="D106" s="35" t="s">
        <v>760</v>
      </c>
      <c r="E106" s="35" t="s">
        <v>29</v>
      </c>
      <c r="F106" s="36" t="n">
        <v>43.117</v>
      </c>
      <c r="G106" s="36" t="n">
        <v>65.52</v>
      </c>
      <c r="H106" s="33" t="n">
        <v>0.584</v>
      </c>
      <c r="I106" s="33" t="n">
        <v>1.429</v>
      </c>
      <c r="J106" s="36" t="n">
        <v>1.360546</v>
      </c>
      <c r="K106" s="36" t="n">
        <v>9.022</v>
      </c>
      <c r="L106" s="36" t="n">
        <v>11.265</v>
      </c>
      <c r="M106" s="36" t="n">
        <v>13.753</v>
      </c>
      <c r="N106" s="36" t="n">
        <v>4.57044423730208</v>
      </c>
      <c r="O106" s="36" t="n">
        <v>1.88397608950949</v>
      </c>
      <c r="P106" s="36" t="n">
        <v>0.0254817024189622</v>
      </c>
      <c r="Q106" s="31" t="n">
        <v>0.00953488958569459</v>
      </c>
      <c r="R106" s="31" t="n">
        <v>0.0093362340552357</v>
      </c>
      <c r="S106" s="31" t="n">
        <v>0.000388199705398786</v>
      </c>
      <c r="T106" s="31" t="n">
        <v>0.00113588634291322</v>
      </c>
      <c r="U106" s="31" t="n">
        <v>0.00106744542418268</v>
      </c>
      <c r="V106" s="31" t="n">
        <v>9.15817229468974E-005</v>
      </c>
      <c r="W106" s="31" t="n">
        <v>0.0332529986135954</v>
      </c>
      <c r="X106" s="31" t="n">
        <v>0</v>
      </c>
      <c r="Y106" s="36" t="n">
        <v>0.243978787799549</v>
      </c>
      <c r="Z106" s="36" t="n">
        <v>0.761484955143187</v>
      </c>
      <c r="AA106" s="36" t="n">
        <v>0.0345160449467837</v>
      </c>
      <c r="AB106" s="36" t="n">
        <v>0.00217396027941468</v>
      </c>
      <c r="AC106" s="36" t="n">
        <v>0.0273866150965049</v>
      </c>
      <c r="AD106" s="31" t="n">
        <v>0.868042</v>
      </c>
      <c r="AE106" s="31" t="n">
        <v>0.818249</v>
      </c>
      <c r="AF106" s="31" t="n">
        <v>0.531169</v>
      </c>
      <c r="AG106" s="31" t="n">
        <v>0.591</v>
      </c>
      <c r="AH106" s="31" t="n">
        <v>0.519462891908447</v>
      </c>
      <c r="AI106" s="31" t="n">
        <v>3.374</v>
      </c>
      <c r="AJ106" s="31" t="n">
        <v>6.4332</v>
      </c>
      <c r="AK106" s="31" t="n">
        <v>2.051</v>
      </c>
      <c r="AL106" s="31" t="n">
        <v>2.10370133572204</v>
      </c>
      <c r="AM106" s="31" t="n">
        <v>15.644</v>
      </c>
      <c r="AN106" s="31" t="n">
        <v>24.2856</v>
      </c>
      <c r="AO106" s="31" t="n">
        <v>15.644</v>
      </c>
      <c r="AP106" s="31" t="n">
        <v>19.8331399173742</v>
      </c>
      <c r="AQ106" s="36" t="n">
        <v>0.0135924246546117</v>
      </c>
      <c r="AR106" s="36" t="n">
        <v>0.0533873947115663</v>
      </c>
      <c r="AS106" s="36" t="n">
        <v>0.0104912555917579</v>
      </c>
      <c r="AT106" s="36" t="n">
        <v>0.0183429486768743</v>
      </c>
      <c r="AU106" s="31" t="n">
        <v>0.493565423521017</v>
      </c>
      <c r="AV106" s="36" t="n">
        <v>0.212784</v>
      </c>
      <c r="AW106" s="31" t="n">
        <v>0.436291</v>
      </c>
      <c r="AX106" s="31" t="n">
        <v>0.012683</v>
      </c>
      <c r="AY106" s="31" t="n">
        <v>0.173463224988757</v>
      </c>
      <c r="AZ106" s="31" t="n">
        <v>0.00652</v>
      </c>
      <c r="BA106" s="33" t="n">
        <v>23.472</v>
      </c>
      <c r="BB106" s="33" t="n">
        <v>0.656</v>
      </c>
      <c r="BC106" s="33"/>
      <c r="BD106" s="33"/>
      <c r="BE106" s="33"/>
      <c r="BF106" s="33" t="n">
        <v>0</v>
      </c>
      <c r="BG106" s="33"/>
      <c r="BH106" s="33" t="n">
        <v>7.635</v>
      </c>
      <c r="BI106" s="29" t="n">
        <v>2019</v>
      </c>
      <c r="BJ106" s="33" t="n">
        <v>1</v>
      </c>
      <c r="BK106" s="33"/>
      <c r="BL106" s="33"/>
      <c r="BM106" s="33"/>
      <c r="BN106" s="29"/>
      <c r="BO106" s="33"/>
      <c r="BP106" s="33"/>
      <c r="BQ106" s="29" t="n">
        <v>2025</v>
      </c>
      <c r="BR106" s="36" t="n">
        <v>6.19</v>
      </c>
      <c r="BS106" s="36" t="n">
        <v>0</v>
      </c>
      <c r="BT106" s="36" t="n">
        <v>0.08</v>
      </c>
      <c r="BU106" s="36" t="n">
        <v>2.38</v>
      </c>
      <c r="BV106" s="16" t="n">
        <f aca="false">F106*(1+N(H106)/100)*(1+N(I106)/100)^5</f>
        <v>46.5573397517597</v>
      </c>
      <c r="BW106" s="16" t="n">
        <f aca="false">IF(N(G106)&gt;0,G106,F106)</f>
        <v>65.52</v>
      </c>
      <c r="BX106" s="12" t="n">
        <f aca="false">F106/BW106</f>
        <v>0.658073870573871</v>
      </c>
      <c r="BY106" s="13" t="n">
        <f aca="false">IF(ISNUMBER(K106),1,0)</f>
        <v>1</v>
      </c>
      <c r="BZ106" s="16" t="n">
        <f aca="false">IF(BY106=0,"",N(N106)+N(O106)+N(P106))</f>
        <v>6.47990202923053</v>
      </c>
      <c r="CA106" s="37" t="n">
        <f aca="false">IF(BY106=0,"",(N(Y106)*34.2+N(Z106)*38.6)/1000)</f>
        <v>0.0377373938112716</v>
      </c>
      <c r="CB106" s="37" t="n">
        <f aca="false">IF(BY106=0,"",N(O106)*0.0036+N(R106)+N(V106)+(N(AA106)*25.3+N(AB106)*37)/1000)</f>
        <v>0.0171638221679087</v>
      </c>
      <c r="CC106" s="37" t="n">
        <f aca="false">IF(BY106=0,"",N(N106)*0.0036+N(Q106)+N(U106)+N(T106)+N(X106)+N(AC106)*38/1000)</f>
        <v>0.0292325119807452</v>
      </c>
      <c r="CD106" s="37" t="n">
        <f aca="false">IF(BY106=0,"",N(Q106)+N(R106)+N(S106)+N(T106)+N(U106)+N(V106)+N(W106)+N(X106)+(N(Y106)*34.2+N(Z106)*38.6+N(AA106)*25.3+N(AB106)*37+N(AC106)*38)/1000)</f>
        <v>0.094539013102398</v>
      </c>
      <c r="CE106" s="16" t="n">
        <f aca="false">IF(BY106=0,"",MAX(0,N(L106)-N(K106))+MAX(0,N(M106)-N(L106)))</f>
        <v>4.731</v>
      </c>
      <c r="CF106" s="16" t="n">
        <f aca="false">IF(BY106=0,"",N(Y106)*N(AD106)+N(Z106)*N(AE106)+N(AA106)*N(AF106)+N(AB106)*N(AG106)+N(AC106)*N(AH106)+N(U106)*N(AI106)+N(V106)*N(AJ106)+N(W106)*N(AK106)+N(X106)*N(AL106)+N(Q106)*N(AM106)+N(R106)*N(AN106)+N(S106)*N(AO106)+N(T106)*N(AP106))</f>
        <v>1.34560680382981</v>
      </c>
      <c r="CG106" s="16" t="n">
        <f aca="false">IF(AND(BY106=1,N(K106)&gt;0),K106,0)</f>
        <v>9.022</v>
      </c>
      <c r="CH106" s="16" t="n">
        <f aca="false">IF(CG106&gt;0,CF106*1000/CG106,"")</f>
        <v>149.147284840369</v>
      </c>
      <c r="CI106" s="16" t="n">
        <f aca="false">IF(BY106=0,"",N(AQ106)+p_road*(N(AR106)+N(AS106)+N(AT106)))</f>
        <v>0.0135924246546117</v>
      </c>
      <c r="CJ106" s="16" t="n">
        <f aca="false">IF(CG106&gt;0,CI106*1000/CG106,"")</f>
        <v>1.50658663872885</v>
      </c>
      <c r="CK106" s="12" t="n">
        <f aca="false">IF(CH106="",1,MIN(p_idx_max,MAX(p_idx_min,CH106/p_fc_world)))</f>
        <v>0.926338392348554</v>
      </c>
      <c r="CL106" s="12" t="n">
        <f aca="false">IF(CJ106="",1,MIN(p_idx_max,MAX(p_idx_min,CJ106/p_cb_world)))</f>
        <v>0.25</v>
      </c>
      <c r="CM106" s="37" t="n">
        <f aca="false">p_b*(1-p_wb_idx+p_wb_idx*CK106)</f>
        <v>0.123203006182358</v>
      </c>
      <c r="CN106" s="37" t="n">
        <f aca="false">p_c*(1-p_wc_idx+p_wc_idx*CL106)</f>
        <v>0.03225</v>
      </c>
      <c r="CO106" s="28" t="n">
        <f aca="false">IF(N(BR106)&gt;0,(N(BS106)+N(BT106)+N(BU106))/BR106,"")</f>
        <v>0.397415185783522</v>
      </c>
      <c r="CP106" s="16" t="n">
        <f aca="false">N(BS106)+N(BT106)+N(BU106)</f>
        <v>2.46</v>
      </c>
      <c r="CQ106" s="28" t="n">
        <f aca="false">IF(CP106&gt;0,N(BS106)/CP106,"")</f>
        <v>0</v>
      </c>
      <c r="CR106" s="28" t="n">
        <f aca="false">IF(CP106&gt;0,N(BT106)/CP106,"")</f>
        <v>0.032520325203252</v>
      </c>
      <c r="CS106" s="28" t="n">
        <f aca="false">IF(CP106&gt;0,N(BU106)/CP106,"")</f>
        <v>0.967479674796748</v>
      </c>
      <c r="CT106" s="7" t="n">
        <f aca="false">1000*(p_sh_pv*p_cf_pv/p_capex_pv+(1-p_sh_pv)*p_cf_wind/p_capex_wind)*8760</f>
        <v>2301.28856624319</v>
      </c>
      <c r="CU106" s="13" t="n">
        <f aca="false">IF(AND(ISNUMBER(CO106),ISNUMBER(CQ106),BY106=1),1,0)</f>
        <v>1</v>
      </c>
      <c r="CV106" s="16" t="n">
        <f aca="false">IF(CU106=0,"",CQ106*p_hr_coal*N(AK106)+CR106*p_hr_gas*N(AO106)+CS106*p_hr_oil*N(AH106)/p_gj_l_oil)</f>
        <v>140.525008517546</v>
      </c>
      <c r="CW106" s="37" t="n">
        <f aca="false">IF(CU106=0,"",CQ106*p_hr_coal*p_ef_coal+CR106*p_hr_gas*p_ef_gas+CS106*p_hr_oil*p_ef_oil)</f>
        <v>0.799953658536585</v>
      </c>
      <c r="CX106" s="16" t="n">
        <f aca="false">IF(CU106=0,"",CQ106*p_hr_coal*N(AW106)+CR106*p_hr_gas*N(AX106)+CS106*p_hr_oil*N(AY106)/p_gj_l_oil)</f>
        <v>45.6541948981531</v>
      </c>
      <c r="CY106" s="37" t="n">
        <f aca="false">IF(CU106=0,"",CO106*CW106)</f>
        <v>0.317913731825525</v>
      </c>
      <c r="CZ106" s="37" t="n">
        <f aca="false">IF(CU106=0,"",CT106*CO106*CV106/1000/1000-p_om_re)</f>
        <v>0.113519538710296</v>
      </c>
      <c r="DA106" s="37" t="n">
        <f aca="false">IF(CU106=0,"",CT106*CO106*CX106/1000/1000)</f>
        <v>0.0417538211198044</v>
      </c>
      <c r="DB106" s="37" t="n">
        <f aca="false">IF(CU106=0,"",CT106*CO106*CW106/1000)</f>
        <v>0.731611236101786</v>
      </c>
      <c r="DC106" s="13" t="n">
        <f aca="false">IF(AND(CU106=1,ISNUMBER(AD106),ISNUMBER(AV106)),1,0)</f>
        <v>1</v>
      </c>
      <c r="DD106" s="7" t="n">
        <f aca="false">IF(DC106=0,"",p_ev_km*p_ice_l/100*AD106-p_ev_km*p_ev_kwh*AV106+p_ev_km*p_ev_maint)</f>
        <v>582.03045</v>
      </c>
      <c r="DE106" s="37" t="n">
        <f aca="false">IF(DC106=0,"",DD106/p_ev_prem)</f>
        <v>0.11640609</v>
      </c>
      <c r="DF106" s="37" t="n">
        <f aca="false">IF(DC106=0,"",p_ev_km*p_ice_l/100*N(AZ106)/p_ev_prem)</f>
        <v>0.001467</v>
      </c>
      <c r="DG106" s="37" t="n">
        <f aca="false">IF(DC106=0,"",1000/p_ev_prem*(p_ev_km*p_ice_l/100*p_gj_l_gso*p_ef_gso-p_ev_km*p_ev_kwh/1000*CY106))</f>
        <v>0.361590084814217</v>
      </c>
      <c r="DH106" s="11" t="str">
        <f aca="false">IFERROR(IF(INDEX(Damodaran!$D:$D,MATCH(A106,Damodaran!$A:$A,0))="","",INDEX(Damodaran!$D:$D,MATCH(A106,Damodaran!$A:$A,0))),"")</f>
        <v/>
      </c>
      <c r="DI106" s="11" t="str">
        <f aca="false">IFERROR(IF(INDEX(Damodaran!$E:$E,MATCH(A106,Damodaran!$A:$A,0))="","",INDEX(Damodaran!$E:$E,MATCH(A106,Damodaran!$A:$A,0))),"")</f>
        <v/>
      </c>
      <c r="DJ106" s="11" t="str">
        <f aca="false">IFERROR(IF(INDEX(Damodaran!$G:$G,MATCH(A106,Damodaran!$A:$A,0))="","",INDEX(Damodaran!$G:$G,MATCH(A106,Damodaran!$A:$A,0))),"")</f>
        <v/>
      </c>
      <c r="DK106" s="11" t="str">
        <f aca="false">IF(ISNUMBER(BG106),(1+BG106/100)*(1+p_infl)-1,"")</f>
        <v/>
      </c>
      <c r="DL106" s="11" t="n">
        <f aca="false">IF(ISNUMBER(BH106),BH106/100,"")</f>
        <v>0.07635</v>
      </c>
      <c r="DM106" s="11" t="n">
        <f aca="false">IF(COUNT(DK106,DL106)=0,"",AVERAGE(DK106,DL106))</f>
        <v>0.07635</v>
      </c>
      <c r="DN106" s="11" t="str">
        <f aca="false">IF(OR(DH106="",DI106=""),"",p_dv*(p_rf+DH106)*(1-IF(DJ106="",p_tax_def,DJ106))+(1-p_dv)*(p_rf+p_beta*p_erp+p_lambda*DI106))</f>
        <v/>
      </c>
      <c r="DO106" s="13" t="n">
        <f aca="false">IF(AND(ISNUMBER(DM106),ISNUMBER(DN106)),1,0)</f>
        <v>0</v>
      </c>
      <c r="DP106" s="11" t="n">
        <f aca="false">IF(DO106=1,DM106,0)</f>
        <v>0</v>
      </c>
      <c r="DQ106" s="11" t="n">
        <f aca="false">IF(DO106=1,DN106,0)</f>
        <v>0</v>
      </c>
      <c r="DR106" s="11" t="str">
        <f aca="false">IF(DN106="","",DN106+p_shift)</f>
        <v/>
      </c>
      <c r="DS106" s="11" t="n">
        <f aca="false">IF(E106="AE",p_r_ae,IF(E106="China",p_r_chn,p_r_emdc))</f>
        <v>0.055</v>
      </c>
      <c r="DT106" s="11" t="n">
        <f aca="false">IF(E106="AE",p_rh_ae,IF(E106="China",p_rh_chn,p_rh_emdc))</f>
        <v>0.07</v>
      </c>
      <c r="DU106" s="11" t="n">
        <f aca="false">IF(AND(p_use_obs=1,ISNUMBER(DM106)),DM106,IF(AND(p_use_dam=1,ISNUMBER(DR106)),DR106,DS106))</f>
        <v>0.07635</v>
      </c>
      <c r="DV106" s="6" t="str">
        <f aca="false">IF(AND(p_use_obs=1,ISNUMBER(DM106)),"Observed (IRENA/Steffen)",IF(AND(p_use_dam=1,ISNUMBER(DR106)),"Damodaran (eq. 5)","Group default (IHLEG)"))</f>
        <v>Observed (IRENA/Steffen)</v>
      </c>
      <c r="DW106" s="11" t="n">
        <f aca="false">IF(p_basis=1,(1+DU106)/(1+p_infl)-1,DU106)</f>
        <v>0.07635</v>
      </c>
      <c r="DX106" s="11" t="n">
        <f aca="false">DW106+(DT106-DS106)</f>
        <v>0.09135</v>
      </c>
      <c r="DY106" s="28" t="n">
        <f aca="false">IF(AND(p_use_pefa=1,ISNUMBER(BD106)),p_gap_lic-(BD106-1)/3*(p_gap_lic-p_gap_ae),IF(E106="AE",p_gap_ae,IF(D106="Low income",p_gap_lic,p_gap_em)))*(1-p_reform*p_reform_close)</f>
        <v>0.13</v>
      </c>
      <c r="DZ106" s="6" t="str">
        <f aca="false">IF(AND(p_use_pefa=1,ISNUMBER(BD106)),"PEFA PI-11","Income-group default (IMF 2015)")</f>
        <v>Income-group default (IMF 2015)</v>
      </c>
      <c r="EA106" s="28" t="n">
        <f aca="false">IF(E106="AE",p_ps_ae,IF(E106="China",p_ps_chn,p_ps_emdc))</f>
        <v>0.3</v>
      </c>
      <c r="EB106" s="37" t="n">
        <f aca="false">(1-EA106)+EA106/(1-DY106)</f>
        <v>1.0448275862069</v>
      </c>
      <c r="EC106" s="16" t="n">
        <f aca="false">Results_Country!F106</f>
        <v>1.56383786016743</v>
      </c>
      <c r="ED106" s="16" t="n">
        <f aca="false">IF(CH106="",0,CH106*EC106)</f>
        <v>233.242170774544</v>
      </c>
      <c r="EE106" s="16" t="n">
        <f aca="false">IF(CJ106="",0,CJ106*EC106)</f>
        <v>2.35605722526655</v>
      </c>
      <c r="EF106" s="16" t="n">
        <f aca="false">IF(CH106="",0,EC106)</f>
        <v>1.56383786016743</v>
      </c>
    </row>
    <row r="107" customFormat="false" ht="15" hidden="false" customHeight="false" outlineLevel="0" collapsed="false">
      <c r="A107" s="35" t="s">
        <v>971</v>
      </c>
      <c r="B107" s="35" t="s">
        <v>972</v>
      </c>
      <c r="C107" s="35" t="s">
        <v>770</v>
      </c>
      <c r="D107" s="35" t="s">
        <v>771</v>
      </c>
      <c r="E107" s="35" t="s">
        <v>31</v>
      </c>
      <c r="F107" s="36" t="n">
        <v>42.914</v>
      </c>
      <c r="G107" s="36" t="n">
        <v>170.344</v>
      </c>
      <c r="H107" s="33" t="n">
        <v>4.604</v>
      </c>
      <c r="I107" s="33" t="n">
        <v>2.956</v>
      </c>
      <c r="J107" s="36" t="n">
        <v>29.651054</v>
      </c>
      <c r="K107" s="36" t="n">
        <v>17.984</v>
      </c>
      <c r="L107" s="36" t="n">
        <v>59.3</v>
      </c>
      <c r="M107" s="36" t="n">
        <v>61.605</v>
      </c>
      <c r="N107" s="36" t="n">
        <v>6.04478734255968</v>
      </c>
      <c r="O107" s="36" t="n">
        <v>4.93984390862385</v>
      </c>
      <c r="P107" s="36" t="n">
        <v>0.488899009768552</v>
      </c>
      <c r="Q107" s="31" t="n">
        <v>0</v>
      </c>
      <c r="R107" s="31" t="n">
        <v>0</v>
      </c>
      <c r="S107" s="31" t="n">
        <v>0</v>
      </c>
      <c r="T107" s="31" t="n">
        <v>0</v>
      </c>
      <c r="U107" s="31" t="n">
        <v>0.0634709672231607</v>
      </c>
      <c r="V107" s="31" t="n">
        <v>0.000698158530142869</v>
      </c>
      <c r="W107" s="31" t="n">
        <v>0</v>
      </c>
      <c r="X107" s="31" t="n">
        <v>0</v>
      </c>
      <c r="Y107" s="36" t="n">
        <v>0.76977869838144</v>
      </c>
      <c r="Z107" s="36" t="n">
        <v>1.95358495441377</v>
      </c>
      <c r="AA107" s="36" t="n">
        <v>0.981913538143044</v>
      </c>
      <c r="AB107" s="36" t="n">
        <v>0.0466968644864028</v>
      </c>
      <c r="AC107" s="36" t="n">
        <v>0.315555576048154</v>
      </c>
      <c r="AD107" s="31" t="n">
        <v>0.800497</v>
      </c>
      <c r="AE107" s="31" t="n">
        <v>0.759686</v>
      </c>
      <c r="AF107" s="31" t="n">
        <v>0.560897</v>
      </c>
      <c r="AG107" s="31" t="n">
        <v>0.67418</v>
      </c>
      <c r="AH107" s="31" t="n">
        <v>0.543345303403777</v>
      </c>
      <c r="AI107" s="31" t="n">
        <v>7.103</v>
      </c>
      <c r="AJ107" s="31" t="n">
        <v>12.90121</v>
      </c>
      <c r="AK107" s="31" t="n">
        <v>4.817</v>
      </c>
      <c r="AL107" s="31" t="n">
        <v>7.16608438401705</v>
      </c>
      <c r="AM107" s="31" t="n">
        <v>7.785</v>
      </c>
      <c r="AN107" s="31" t="n">
        <v>17.77038</v>
      </c>
      <c r="AO107" s="31" t="n">
        <v>6.461</v>
      </c>
      <c r="AP107" s="31" t="n">
        <v>10.6721266666667</v>
      </c>
      <c r="AQ107" s="36" t="n">
        <v>1.46397852742284</v>
      </c>
      <c r="AR107" s="36" t="n">
        <v>0.0246593596801576</v>
      </c>
      <c r="AS107" s="36" t="n">
        <v>0.655576485776627</v>
      </c>
      <c r="AT107" s="36" t="n">
        <v>0.190851136464184</v>
      </c>
      <c r="AU107" s="31" t="n">
        <v>0.923037830411984</v>
      </c>
      <c r="AV107" s="36" t="n">
        <v>0.06554</v>
      </c>
      <c r="AW107" s="31" t="n">
        <v>1.057979</v>
      </c>
      <c r="AX107" s="31" t="n">
        <v>0.030678</v>
      </c>
      <c r="AY107" s="31" t="n">
        <v>0.0434053073465608</v>
      </c>
      <c r="AZ107" s="31" t="n">
        <v>0.225232</v>
      </c>
      <c r="BA107" s="33" t="n">
        <v>48.333</v>
      </c>
      <c r="BB107" s="33" t="n">
        <v>7.231</v>
      </c>
      <c r="BC107" s="33"/>
      <c r="BD107" s="33" t="n">
        <v>2.5</v>
      </c>
      <c r="BE107" s="33" t="n">
        <v>1</v>
      </c>
      <c r="BF107" s="33" t="n">
        <v>1</v>
      </c>
      <c r="BG107" s="33"/>
      <c r="BH107" s="33"/>
      <c r="BI107" s="29"/>
      <c r="BJ107" s="33"/>
      <c r="BK107" s="33"/>
      <c r="BL107" s="33"/>
      <c r="BM107" s="33"/>
      <c r="BN107" s="29" t="n">
        <v>31.678</v>
      </c>
      <c r="BO107" s="33" t="n">
        <v>0.54</v>
      </c>
      <c r="BP107" s="33" t="n">
        <v>0.405</v>
      </c>
      <c r="BQ107" s="29" t="n">
        <v>2024</v>
      </c>
      <c r="BR107" s="36" t="n">
        <v>11.13</v>
      </c>
      <c r="BS107" s="36" t="n">
        <v>0</v>
      </c>
      <c r="BT107" s="36" t="n">
        <v>0</v>
      </c>
      <c r="BU107" s="36" t="n">
        <v>0</v>
      </c>
      <c r="BV107" s="16" t="n">
        <f aca="false">F107*(1+N(H107)/100)*(1+N(I107)/100)^5</f>
        <v>51.9284781371703</v>
      </c>
      <c r="BW107" s="16" t="n">
        <f aca="false">IF(N(G107)&gt;0,G107,F107)</f>
        <v>170.344</v>
      </c>
      <c r="BX107" s="12" t="n">
        <f aca="false">F107/BW107</f>
        <v>0.251925515427605</v>
      </c>
      <c r="BY107" s="13" t="n">
        <f aca="false">IF(ISNUMBER(K107),1,0)</f>
        <v>1</v>
      </c>
      <c r="BZ107" s="16" t="n">
        <f aca="false">IF(BY107=0,"",N(N107)+N(O107)+N(P107))</f>
        <v>11.4735302609521</v>
      </c>
      <c r="CA107" s="37" t="n">
        <f aca="false">IF(BY107=0,"",(N(Y107)*34.2+N(Z107)*38.6)/1000)</f>
        <v>0.101734810725017</v>
      </c>
      <c r="CB107" s="37" t="n">
        <f aca="false">IF(BY107=0,"",N(O107)*0.0036+N(R107)+N(V107)+(N(AA107)*25.3+N(AB107)*37)/1000)</f>
        <v>0.0450517931022047</v>
      </c>
      <c r="CC107" s="37" t="n">
        <f aca="false">IF(BY107=0,"",N(N107)*0.0036+N(Q107)+N(U107)+N(T107)+N(X107)+N(AC107)*38/1000)</f>
        <v>0.0972233135462054</v>
      </c>
      <c r="CD107" s="37" t="n">
        <f aca="false">IF(BY107=0,"",N(Q107)+N(R107)+N(S107)+N(T107)+N(U107)+N(V107)+N(W107)+N(X107)+(N(Y107)*34.2+N(Z107)*38.6+N(AA107)*25.3+N(AB107)*37+N(AC107)*38)/1000)</f>
        <v>0.204465244869166</v>
      </c>
      <c r="CE107" s="16" t="n">
        <f aca="false">IF(BY107=0,"",MAX(0,N(L107)-N(K107))+MAX(0,N(M107)-N(L107)))</f>
        <v>43.621</v>
      </c>
      <c r="CF107" s="16" t="n">
        <f aca="false">IF(BY107=0,"",N(Y107)*N(AD107)+N(Z107)*N(AE107)+N(AA107)*N(AF107)+N(AB107)*N(AG107)+N(AC107)*N(AH107)+N(U107)*N(AI107)+N(V107)*N(AJ107)+N(W107)*N(AK107)+N(X107)*N(AL107)+N(Q107)*N(AM107)+N(R107)*N(AN107)+N(S107)*N(AO107)+N(T107)*N(AP107))</f>
        <v>3.3138481385057</v>
      </c>
      <c r="CG107" s="16" t="n">
        <f aca="false">IF(AND(BY107=1,N(K107)&gt;0),K107,0)</f>
        <v>17.984</v>
      </c>
      <c r="CH107" s="16" t="n">
        <f aca="false">IF(CG107&gt;0,CF107*1000/CG107,"")</f>
        <v>184.26646677634</v>
      </c>
      <c r="CI107" s="16" t="n">
        <f aca="false">IF(BY107=0,"",N(AQ107)+p_road*(N(AR107)+N(AS107)+N(AT107)))</f>
        <v>1.46397852742284</v>
      </c>
      <c r="CJ107" s="16" t="n">
        <f aca="false">IF(CG107&gt;0,CI107*1000/CG107,"")</f>
        <v>81.4044999679072</v>
      </c>
      <c r="CK107" s="12" t="n">
        <f aca="false">IF(CH107="",1,MIN(p_idx_max,MAX(p_idx_min,CH107/p_fc_world)))</f>
        <v>1.14446000663059</v>
      </c>
      <c r="CL107" s="12" t="n">
        <f aca="false">IF(CJ107="",1,MIN(p_idx_max,MAX(p_idx_min,CJ107/p_cb_world)))</f>
        <v>1.54788495547566</v>
      </c>
      <c r="CM107" s="37" t="n">
        <f aca="false">p_b*(1-p_wb_idx+p_wb_idx*CK107)</f>
        <v>0.152213180881869</v>
      </c>
      <c r="CN107" s="37" t="n">
        <f aca="false">p_c*(1-p_wc_idx+p_wc_idx*CL107)</f>
        <v>0.19967715925636</v>
      </c>
      <c r="CO107" s="28" t="n">
        <f aca="false">IF(N(BR107)&gt;0,(N(BS107)+N(BT107)+N(BU107))/BR107,"")</f>
        <v>0</v>
      </c>
      <c r="CP107" s="16" t="n">
        <f aca="false">N(BS107)+N(BT107)+N(BU107)</f>
        <v>0</v>
      </c>
      <c r="CQ107" s="28" t="str">
        <f aca="false">IF(CP107&gt;0,N(BS107)/CP107,"")</f>
        <v/>
      </c>
      <c r="CR107" s="28" t="str">
        <f aca="false">IF(CP107&gt;0,N(BT107)/CP107,"")</f>
        <v/>
      </c>
      <c r="CS107" s="28" t="str">
        <f aca="false">IF(CP107&gt;0,N(BU107)/CP107,"")</f>
        <v/>
      </c>
      <c r="CT107" s="7" t="n">
        <f aca="false">1000*(p_sh_pv*p_cf_pv/p_capex_pv+(1-p_sh_pv)*p_cf_wind/p_capex_wind)*8760</f>
        <v>2301.28856624319</v>
      </c>
      <c r="CU107" s="13" t="n">
        <f aca="false">IF(AND(ISNUMBER(CO107),ISNUMBER(CQ107),BY107=1),1,0)</f>
        <v>0</v>
      </c>
      <c r="CV107" s="16" t="str">
        <f aca="false">IF(CU107=0,"",CQ107*p_hr_coal*N(AK107)+CR107*p_hr_gas*N(AO107)+CS107*p_hr_oil*N(AH107)/p_gj_l_oil)</f>
        <v/>
      </c>
      <c r="CW107" s="37" t="str">
        <f aca="false">IF(CU107=0,"",CQ107*p_hr_coal*p_ef_coal+CR107*p_hr_gas*p_ef_gas+CS107*p_hr_oil*p_ef_oil)</f>
        <v/>
      </c>
      <c r="CX107" s="16" t="str">
        <f aca="false">IF(CU107=0,"",CQ107*p_hr_coal*N(AW107)+CR107*p_hr_gas*N(AX107)+CS107*p_hr_oil*N(AY107)/p_gj_l_oil)</f>
        <v/>
      </c>
      <c r="CY107" s="37" t="str">
        <f aca="false">IF(CU107=0,"",CO107*CW107)</f>
        <v/>
      </c>
      <c r="CZ107" s="37" t="str">
        <f aca="false">IF(CU107=0,"",CT107*CO107*CV107/1000/1000-p_om_re)</f>
        <v/>
      </c>
      <c r="DA107" s="37" t="str">
        <f aca="false">IF(CU107=0,"",CT107*CO107*CX107/1000/1000)</f>
        <v/>
      </c>
      <c r="DB107" s="37" t="str">
        <f aca="false">IF(CU107=0,"",CT107*CO107*CW107/1000)</f>
        <v/>
      </c>
      <c r="DC107" s="13" t="n">
        <f aca="false">IF(AND(CU107=1,ISNUMBER(AD107),ISNUMBER(AV107)),1,0)</f>
        <v>0</v>
      </c>
      <c r="DD107" s="7" t="str">
        <f aca="false">IF(DC107=0,"",p_ev_km*p_ice_l/100*AD107-p_ev_km*p_ev_kwh*AV107+p_ev_km*p_ev_maint)</f>
        <v/>
      </c>
      <c r="DE107" s="37" t="str">
        <f aca="false">IF(DC107=0,"",DD107/p_ev_prem)</f>
        <v/>
      </c>
      <c r="DF107" s="37" t="str">
        <f aca="false">IF(DC107=0,"",p_ev_km*p_ice_l/100*N(AZ107)/p_ev_prem)</f>
        <v/>
      </c>
      <c r="DG107" s="37" t="str">
        <f aca="false">IF(DC107=0,"",1000/p_ev_prem*(p_ev_km*p_ice_l/100*p_gj_l_gso*p_ef_gso-p_ev_km*p_ev_kwh/1000*CY107))</f>
        <v/>
      </c>
      <c r="DH107" s="11" t="str">
        <f aca="false">IFERROR(IF(INDEX(Damodaran!$D:$D,MATCH(A107,Damodaran!$A:$A,0))="","",INDEX(Damodaran!$D:$D,MATCH(A107,Damodaran!$A:$A,0))),"")</f>
        <v/>
      </c>
      <c r="DI107" s="11" t="str">
        <f aca="false">IFERROR(IF(INDEX(Damodaran!$E:$E,MATCH(A107,Damodaran!$A:$A,0))="","",INDEX(Damodaran!$E:$E,MATCH(A107,Damodaran!$A:$A,0))),"")</f>
        <v/>
      </c>
      <c r="DJ107" s="11" t="str">
        <f aca="false">IFERROR(IF(INDEX(Damodaran!$G:$G,MATCH(A107,Damodaran!$A:$A,0))="","",INDEX(Damodaran!$G:$G,MATCH(A107,Damodaran!$A:$A,0))),"")</f>
        <v/>
      </c>
      <c r="DK107" s="11" t="str">
        <f aca="false">IF(ISNUMBER(BG107),(1+BG107/100)*(1+p_infl)-1,"")</f>
        <v/>
      </c>
      <c r="DL107" s="11" t="str">
        <f aca="false">IF(ISNUMBER(BH107),BH107/100,"")</f>
        <v/>
      </c>
      <c r="DM107" s="11" t="str">
        <f aca="false">IF(COUNT(DK107,DL107)=0,"",AVERAGE(DK107,DL107))</f>
        <v/>
      </c>
      <c r="DN107" s="11" t="str">
        <f aca="false">IF(OR(DH107="",DI107=""),"",p_dv*(p_rf+DH107)*(1-IF(DJ107="",p_tax_def,DJ107))+(1-p_dv)*(p_rf+p_beta*p_erp+p_lambda*DI107))</f>
        <v/>
      </c>
      <c r="DO107" s="13" t="n">
        <f aca="false">IF(AND(ISNUMBER(DM107),ISNUMBER(DN107)),1,0)</f>
        <v>0</v>
      </c>
      <c r="DP107" s="11" t="n">
        <f aca="false">IF(DO107=1,DM107,0)</f>
        <v>0</v>
      </c>
      <c r="DQ107" s="11" t="n">
        <f aca="false">IF(DO107=1,DN107,0)</f>
        <v>0</v>
      </c>
      <c r="DR107" s="11" t="str">
        <f aca="false">IF(DN107="","",DN107+p_shift)</f>
        <v/>
      </c>
      <c r="DS107" s="11" t="n">
        <f aca="false">IF(E107="AE",p_r_ae,IF(E107="China",p_r_chn,p_r_emdc))</f>
        <v>0.105</v>
      </c>
      <c r="DT107" s="11" t="n">
        <f aca="false">IF(E107="AE",p_rh_ae,IF(E107="China",p_rh_chn,p_rh_emdc))</f>
        <v>0.15</v>
      </c>
      <c r="DU107" s="11" t="n">
        <f aca="false">IF(AND(p_use_obs=1,ISNUMBER(DM107)),DM107,IF(AND(p_use_dam=1,ISNUMBER(DR107)),DR107,DS107))</f>
        <v>0.105</v>
      </c>
      <c r="DV107" s="6" t="str">
        <f aca="false">IF(AND(p_use_obs=1,ISNUMBER(DM107)),"Observed (IRENA/Steffen)",IF(AND(p_use_dam=1,ISNUMBER(DR107)),"Damodaran (eq. 5)","Group default (IHLEG)"))</f>
        <v>Group default (IHLEG)</v>
      </c>
      <c r="DW107" s="11" t="n">
        <f aca="false">IF(p_basis=1,(1+DU107)/(1+p_infl)-1,DU107)</f>
        <v>0.105</v>
      </c>
      <c r="DX107" s="11" t="n">
        <f aca="false">DW107+(DT107-DS107)</f>
        <v>0.15</v>
      </c>
      <c r="DY107" s="28" t="n">
        <f aca="false">IF(AND(p_use_pefa=1,ISNUMBER(BD107)),p_gap_lic-(BD107-1)/3*(p_gap_lic-p_gap_ae),IF(E107="AE",p_gap_ae,IF(D107="Low income",p_gap_lic,p_gap_em)))*(1-p_reform*p_reform_close)</f>
        <v>0.265</v>
      </c>
      <c r="DZ107" s="6" t="str">
        <f aca="false">IF(AND(p_use_pefa=1,ISNUMBER(BD107)),"PEFA PI-11","Income-group default (IMF 2015)")</f>
        <v>PEFA PI-11</v>
      </c>
      <c r="EA107" s="28" t="n">
        <f aca="false">IF(E107="AE",p_ps_ae,IF(E107="China",p_ps_chn,p_ps_emdc))</f>
        <v>0.4</v>
      </c>
      <c r="EB107" s="37" t="n">
        <f aca="false">(1-EA107)+EA107/(1-DY107)</f>
        <v>1.14421768707483</v>
      </c>
      <c r="EC107" s="16" t="n">
        <f aca="false">Results_Country!F107</f>
        <v>3.34406388193726</v>
      </c>
      <c r="ED107" s="16" t="n">
        <f aca="false">IF(CH107="",0,CH107*EC107)</f>
        <v>616.198836198952</v>
      </c>
      <c r="EE107" s="16" t="n">
        <f aca="false">IF(CJ107="",0,CJ107*EC107)</f>
        <v>272.221848169841</v>
      </c>
      <c r="EF107" s="16" t="n">
        <f aca="false">IF(CH107="",0,EC107)</f>
        <v>3.34406388193726</v>
      </c>
    </row>
    <row r="108" customFormat="false" ht="15" hidden="false" customHeight="false" outlineLevel="0" collapsed="false">
      <c r="A108" s="35" t="s">
        <v>973</v>
      </c>
      <c r="B108" s="35" t="s">
        <v>974</v>
      </c>
      <c r="C108" s="35" t="s">
        <v>766</v>
      </c>
      <c r="D108" s="35" t="s">
        <v>760</v>
      </c>
      <c r="E108" s="35" t="s">
        <v>29</v>
      </c>
      <c r="F108" s="36" t="n">
        <v>37.623</v>
      </c>
      <c r="G108" s="36" t="n">
        <v>59.677</v>
      </c>
      <c r="H108" s="33" t="n">
        <v>3.767</v>
      </c>
      <c r="I108" s="33" t="n">
        <v>2.953</v>
      </c>
      <c r="J108" s="36" t="n">
        <v>1.358282</v>
      </c>
      <c r="K108" s="36" t="n">
        <v>7.125</v>
      </c>
      <c r="L108" s="36" t="n">
        <v>8.849</v>
      </c>
      <c r="M108" s="36" t="n">
        <v>8.609</v>
      </c>
      <c r="N108" s="36" t="n">
        <v>2.58530947322315</v>
      </c>
      <c r="O108" s="36" t="n">
        <v>1.71778787032074</v>
      </c>
      <c r="P108" s="36" t="n">
        <v>0.0580459262504313</v>
      </c>
      <c r="Q108" s="31" t="n">
        <v>0</v>
      </c>
      <c r="R108" s="31" t="n">
        <v>0</v>
      </c>
      <c r="S108" s="31" t="n">
        <v>0</v>
      </c>
      <c r="T108" s="31" t="n">
        <v>0</v>
      </c>
      <c r="U108" s="31" t="n">
        <v>0.00208706634853459</v>
      </c>
      <c r="V108" s="31" t="n">
        <v>0</v>
      </c>
      <c r="W108" s="31" t="n">
        <v>0</v>
      </c>
      <c r="X108" s="31" t="n">
        <v>0</v>
      </c>
      <c r="Y108" s="36" t="n">
        <v>0.416030084925314</v>
      </c>
      <c r="Z108" s="36" t="n">
        <v>0.531137590078337</v>
      </c>
      <c r="AA108" s="36" t="n">
        <v>0.110950224793903</v>
      </c>
      <c r="AB108" s="36" t="n">
        <v>0.019535961738026</v>
      </c>
      <c r="AC108" s="36" t="n">
        <v>0.926768777937993</v>
      </c>
      <c r="AD108" s="31" t="n">
        <v>0.86156</v>
      </c>
      <c r="AE108" s="31" t="n">
        <v>0.79998</v>
      </c>
      <c r="AF108" s="31" t="n">
        <v>0.572716</v>
      </c>
      <c r="AG108" s="31" t="n">
        <v>0.686337</v>
      </c>
      <c r="AH108" s="31" t="n">
        <v>0.519462891908447</v>
      </c>
      <c r="AI108" s="31" t="n">
        <v>5.149</v>
      </c>
      <c r="AJ108" s="31" t="n">
        <v>10.46843</v>
      </c>
      <c r="AK108" s="31" t="n">
        <v>3.922</v>
      </c>
      <c r="AL108" s="31" t="n">
        <v>5.149</v>
      </c>
      <c r="AM108" s="31" t="n">
        <v>12.815</v>
      </c>
      <c r="AN108" s="31" t="n">
        <v>24.70083</v>
      </c>
      <c r="AO108" s="31" t="n">
        <v>11.492</v>
      </c>
      <c r="AP108" s="31" t="n">
        <v>16.3359433333333</v>
      </c>
      <c r="AQ108" s="36" t="n">
        <v>0.0129096048261097</v>
      </c>
      <c r="AR108" s="36" t="n">
        <v>0.0415217301676584</v>
      </c>
      <c r="AS108" s="36" t="n">
        <v>0.0099160990520335</v>
      </c>
      <c r="AT108" s="36" t="n">
        <v>0.00565261594963704</v>
      </c>
      <c r="AU108" s="31" t="n">
        <v>0.42897818407772</v>
      </c>
      <c r="AV108" s="36" t="n">
        <v>0.256219</v>
      </c>
      <c r="AW108" s="31" t="n">
        <v>0.896289</v>
      </c>
      <c r="AX108" s="31" t="n">
        <v>0.049861</v>
      </c>
      <c r="AY108" s="31" t="n">
        <v>0.0389024451300792</v>
      </c>
      <c r="AZ108" s="31" t="n">
        <v>0.012907</v>
      </c>
      <c r="BA108" s="33" t="n">
        <v>62.836</v>
      </c>
      <c r="BB108" s="33" t="n">
        <v>2.848</v>
      </c>
      <c r="BC108" s="33"/>
      <c r="BD108" s="33"/>
      <c r="BE108" s="33"/>
      <c r="BF108" s="33" t="n">
        <v>0</v>
      </c>
      <c r="BG108" s="33"/>
      <c r="BH108" s="33" t="n">
        <v>5.1</v>
      </c>
      <c r="BI108" s="29" t="n">
        <v>2019</v>
      </c>
      <c r="BJ108" s="33" t="n">
        <v>1</v>
      </c>
      <c r="BK108" s="33"/>
      <c r="BL108" s="33"/>
      <c r="BM108" s="33"/>
      <c r="BN108" s="29"/>
      <c r="BO108" s="33"/>
      <c r="BP108" s="33"/>
      <c r="BQ108" s="29" t="n">
        <v>2025</v>
      </c>
      <c r="BR108" s="36" t="n">
        <v>5.91</v>
      </c>
      <c r="BS108" s="36" t="n">
        <v>0</v>
      </c>
      <c r="BT108" s="36" t="n">
        <v>0</v>
      </c>
      <c r="BU108" s="36" t="n">
        <v>4.27</v>
      </c>
      <c r="BV108" s="16" t="n">
        <f aca="false">F108*(1+N(H108)/100)*(1+N(I108)/100)^5</f>
        <v>45.15519425865</v>
      </c>
      <c r="BW108" s="16" t="n">
        <f aca="false">IF(N(G108)&gt;0,G108,F108)</f>
        <v>59.677</v>
      </c>
      <c r="BX108" s="12" t="n">
        <f aca="false">F108/BW108</f>
        <v>0.630443889605711</v>
      </c>
      <c r="BY108" s="13" t="n">
        <f aca="false">IF(ISNUMBER(K108),1,0)</f>
        <v>1</v>
      </c>
      <c r="BZ108" s="16" t="n">
        <f aca="false">IF(BY108=0,"",N(N108)+N(O108)+N(P108))</f>
        <v>4.36114326979431</v>
      </c>
      <c r="CA108" s="37" t="n">
        <f aca="false">IF(BY108=0,"",(N(Y108)*34.2+N(Z108)*38.6)/1000)</f>
        <v>0.0347301398814695</v>
      </c>
      <c r="CB108" s="37" t="n">
        <f aca="false">IF(BY108=0,"",N(O108)*0.0036+N(R108)+N(V108)+(N(AA108)*25.3+N(AB108)*37)/1000)</f>
        <v>0.00971390760474734</v>
      </c>
      <c r="CC108" s="37" t="n">
        <f aca="false">IF(BY108=0,"",N(N108)*0.0036+N(Q108)+N(U108)+N(T108)+N(X108)+N(AC108)*38/1000)</f>
        <v>0.0466113940137816</v>
      </c>
      <c r="CD108" s="37" t="n">
        <f aca="false">IF(BY108=0,"",N(Q108)+N(R108)+N(S108)+N(T108)+N(U108)+N(V108)+N(W108)+N(X108)+(N(Y108)*34.2+N(Z108)*38.6+N(AA108)*25.3+N(AB108)*37+N(AC108)*38)/1000)</f>
        <v>0.0755642910632405</v>
      </c>
      <c r="CE108" s="16" t="n">
        <f aca="false">IF(BY108=0,"",MAX(0,N(L108)-N(K108))+MAX(0,N(M108)-N(L108)))</f>
        <v>1.724</v>
      </c>
      <c r="CF108" s="16" t="n">
        <f aca="false">IF(BY108=0,"",N(Y108)*N(AD108)+N(Z108)*N(AE108)+N(AA108)*N(AF108)+N(AB108)*N(AG108)+N(AC108)*N(AH108)+N(U108)*N(AI108)+N(V108)*N(AJ108)+N(W108)*N(AK108)+N(X108)*N(AL108)+N(Q108)*N(AM108)+N(R108)*N(AN108)+N(S108)*N(AO108)+N(T108)*N(AP108))</f>
        <v>1.35245384574031</v>
      </c>
      <c r="CG108" s="16" t="n">
        <f aca="false">IF(AND(BY108=1,N(K108)&gt;0),K108,0)</f>
        <v>7.125</v>
      </c>
      <c r="CH108" s="16" t="n">
        <f aca="false">IF(CG108&gt;0,CF108*1000/CG108,"")</f>
        <v>189.818083612675</v>
      </c>
      <c r="CI108" s="16" t="n">
        <f aca="false">IF(BY108=0,"",N(AQ108)+p_road*(N(AR108)+N(AS108)+N(AT108)))</f>
        <v>0.0129096048261097</v>
      </c>
      <c r="CJ108" s="16" t="n">
        <f aca="false">IF(CG108&gt;0,CI108*1000/CG108,"")</f>
        <v>1.81187436155926</v>
      </c>
      <c r="CK108" s="12" t="n">
        <f aca="false">IF(CH108="",1,MIN(p_idx_max,MAX(p_idx_min,CH108/p_fc_world)))</f>
        <v>1.17894052580739</v>
      </c>
      <c r="CL108" s="12" t="n">
        <f aca="false">IF(CJ108="",1,MIN(p_idx_max,MAX(p_idx_min,CJ108/p_cb_world)))</f>
        <v>0.25</v>
      </c>
      <c r="CM108" s="37" t="n">
        <f aca="false">p_b*(1-p_wb_idx+p_wb_idx*CK108)</f>
        <v>0.156799089932383</v>
      </c>
      <c r="CN108" s="37" t="n">
        <f aca="false">p_c*(1-p_wc_idx+p_wc_idx*CL108)</f>
        <v>0.03225</v>
      </c>
      <c r="CO108" s="28" t="n">
        <f aca="false">IF(N(BR108)&gt;0,(N(BS108)+N(BT108)+N(BU108))/BR108,"")</f>
        <v>0.722504230118443</v>
      </c>
      <c r="CP108" s="16" t="n">
        <f aca="false">N(BS108)+N(BT108)+N(BU108)</f>
        <v>4.27</v>
      </c>
      <c r="CQ108" s="28" t="n">
        <f aca="false">IF(CP108&gt;0,N(BS108)/CP108,"")</f>
        <v>0</v>
      </c>
      <c r="CR108" s="28" t="n">
        <f aca="false">IF(CP108&gt;0,N(BT108)/CP108,"")</f>
        <v>0</v>
      </c>
      <c r="CS108" s="28" t="n">
        <f aca="false">IF(CP108&gt;0,N(BU108)/CP108,"")</f>
        <v>1</v>
      </c>
      <c r="CT108" s="7" t="n">
        <f aca="false">1000*(p_sh_pv*p_cf_pv/p_capex_pv+(1-p_sh_pv)*p_cf_wind/p_capex_wind)*8760</f>
        <v>2301.28856624319</v>
      </c>
      <c r="CU108" s="13" t="n">
        <f aca="false">IF(AND(ISNUMBER(CO108),ISNUMBER(CQ108),BY108=1),1,0)</f>
        <v>1</v>
      </c>
      <c r="CV108" s="16" t="n">
        <f aca="false">IF(CU108=0,"",CQ108*p_hr_coal*N(AK108)+CR108*p_hr_gas*N(AO108)+CS108*p_hr_oil*N(AH108)/p_gj_l_oil)</f>
        <v>141.304672669396</v>
      </c>
      <c r="CW108" s="37" t="n">
        <f aca="false">IF(CU108=0,"",CQ108*p_hr_coal*p_ef_coal+CR108*p_hr_gas*p_ef_gas+CS108*p_hr_oil*p_ef_oil)</f>
        <v>0.8127</v>
      </c>
      <c r="CX108" s="16" t="n">
        <f aca="false">IF(CU108=0,"",CQ108*p_hr_coal*N(AW108)+CR108*p_hr_gas*N(AX108)+CS108*p_hr_oil*N(AY108)/p_gj_l_oil)</f>
        <v>10.5822713436744</v>
      </c>
      <c r="CY108" s="37" t="n">
        <f aca="false">IF(CU108=0,"",CO108*CW108)</f>
        <v>0.587179187817259</v>
      </c>
      <c r="CZ108" s="37" t="n">
        <f aca="false">IF(CU108=0,"",CT108*CO108*CV108/1000/1000-p_om_re)</f>
        <v>0.219945968481793</v>
      </c>
      <c r="DA108" s="37" t="n">
        <f aca="false">IF(CU108=0,"",CT108*CO108*CX108/1000/1000)</f>
        <v>0.0175950444002209</v>
      </c>
      <c r="DB108" s="37" t="n">
        <f aca="false">IF(CU108=0,"",CT108*CO108*CW108/1000)</f>
        <v>1.35126875125982</v>
      </c>
      <c r="DC108" s="13" t="n">
        <f aca="false">IF(AND(CU108=1,ISNUMBER(AD108),ISNUMBER(AV108)),1,0)</f>
        <v>1</v>
      </c>
      <c r="DD108" s="7" t="n">
        <f aca="false">IF(DC108=0,"",p_ev_km*p_ice_l/100*AD108-p_ev_km*p_ev_kwh*AV108+p_ev_km*p_ev_maint)</f>
        <v>457.4637</v>
      </c>
      <c r="DE108" s="37" t="n">
        <f aca="false">IF(DC108=0,"",DD108/p_ev_prem)</f>
        <v>0.09149274</v>
      </c>
      <c r="DF108" s="37" t="n">
        <f aca="false">IF(DC108=0,"",p_ev_km*p_ice_l/100*N(AZ108)/p_ev_prem)</f>
        <v>0.002904075</v>
      </c>
      <c r="DG108" s="37" t="n">
        <f aca="false">IF(DC108=0,"",1000/p_ev_prem*(p_ev_km*p_ice_l/100*p_gj_l_gso*p_ef_gso-p_ev_km*p_ev_kwh/1000*CY108))</f>
        <v>0.21618673857868</v>
      </c>
      <c r="DH108" s="11" t="str">
        <f aca="false">IFERROR(IF(INDEX(Damodaran!$D:$D,MATCH(A108,Damodaran!$A:$A,0))="","",INDEX(Damodaran!$D:$D,MATCH(A108,Damodaran!$A:$A,0))),"")</f>
        <v/>
      </c>
      <c r="DI108" s="11" t="str">
        <f aca="false">IFERROR(IF(INDEX(Damodaran!$E:$E,MATCH(A108,Damodaran!$A:$A,0))="","",INDEX(Damodaran!$E:$E,MATCH(A108,Damodaran!$A:$A,0))),"")</f>
        <v/>
      </c>
      <c r="DJ108" s="11" t="str">
        <f aca="false">IFERROR(IF(INDEX(Damodaran!$G:$G,MATCH(A108,Damodaran!$A:$A,0))="","",INDEX(Damodaran!$G:$G,MATCH(A108,Damodaran!$A:$A,0))),"")</f>
        <v/>
      </c>
      <c r="DK108" s="11" t="str">
        <f aca="false">IF(ISNUMBER(BG108),(1+BG108/100)*(1+p_infl)-1,"")</f>
        <v/>
      </c>
      <c r="DL108" s="11" t="n">
        <f aca="false">IF(ISNUMBER(BH108),BH108/100,"")</f>
        <v>0.051</v>
      </c>
      <c r="DM108" s="11" t="n">
        <f aca="false">IF(COUNT(DK108,DL108)=0,"",AVERAGE(DK108,DL108))</f>
        <v>0.051</v>
      </c>
      <c r="DN108" s="11" t="str">
        <f aca="false">IF(OR(DH108="",DI108=""),"",p_dv*(p_rf+DH108)*(1-IF(DJ108="",p_tax_def,DJ108))+(1-p_dv)*(p_rf+p_beta*p_erp+p_lambda*DI108))</f>
        <v/>
      </c>
      <c r="DO108" s="13" t="n">
        <f aca="false">IF(AND(ISNUMBER(DM108),ISNUMBER(DN108)),1,0)</f>
        <v>0</v>
      </c>
      <c r="DP108" s="11" t="n">
        <f aca="false">IF(DO108=1,DM108,0)</f>
        <v>0</v>
      </c>
      <c r="DQ108" s="11" t="n">
        <f aca="false">IF(DO108=1,DN108,0)</f>
        <v>0</v>
      </c>
      <c r="DR108" s="11" t="str">
        <f aca="false">IF(DN108="","",DN108+p_shift)</f>
        <v/>
      </c>
      <c r="DS108" s="11" t="n">
        <f aca="false">IF(E108="AE",p_r_ae,IF(E108="China",p_r_chn,p_r_emdc))</f>
        <v>0.055</v>
      </c>
      <c r="DT108" s="11" t="n">
        <f aca="false">IF(E108="AE",p_rh_ae,IF(E108="China",p_rh_chn,p_rh_emdc))</f>
        <v>0.07</v>
      </c>
      <c r="DU108" s="11" t="n">
        <f aca="false">IF(AND(p_use_obs=1,ISNUMBER(DM108)),DM108,IF(AND(p_use_dam=1,ISNUMBER(DR108)),DR108,DS108))</f>
        <v>0.051</v>
      </c>
      <c r="DV108" s="6" t="str">
        <f aca="false">IF(AND(p_use_obs=1,ISNUMBER(DM108)),"Observed (IRENA/Steffen)",IF(AND(p_use_dam=1,ISNUMBER(DR108)),"Damodaran (eq. 5)","Group default (IHLEG)"))</f>
        <v>Observed (IRENA/Steffen)</v>
      </c>
      <c r="DW108" s="11" t="n">
        <f aca="false">IF(p_basis=1,(1+DU108)/(1+p_infl)-1,DU108)</f>
        <v>0.051</v>
      </c>
      <c r="DX108" s="11" t="n">
        <f aca="false">DW108+(DT108-DS108)</f>
        <v>0.066</v>
      </c>
      <c r="DY108" s="28" t="n">
        <f aca="false">IF(AND(p_use_pefa=1,ISNUMBER(BD108)),p_gap_lic-(BD108-1)/3*(p_gap_lic-p_gap_ae),IF(E108="AE",p_gap_ae,IF(D108="Low income",p_gap_lic,p_gap_em)))*(1-p_reform*p_reform_close)</f>
        <v>0.13</v>
      </c>
      <c r="DZ108" s="6" t="str">
        <f aca="false">IF(AND(p_use_pefa=1,ISNUMBER(BD108)),"PEFA PI-11","Income-group default (IMF 2015)")</f>
        <v>Income-group default (IMF 2015)</v>
      </c>
      <c r="EA108" s="28" t="n">
        <f aca="false">IF(E108="AE",p_ps_ae,IF(E108="China",p_ps_chn,p_ps_emdc))</f>
        <v>0.3</v>
      </c>
      <c r="EB108" s="37" t="n">
        <f aca="false">(1-EA108)+EA108/(1-DY108)</f>
        <v>1.0448275862069</v>
      </c>
      <c r="EC108" s="16" t="n">
        <f aca="false">Results_Country!F108</f>
        <v>1.28650182852676</v>
      </c>
      <c r="ED108" s="16" t="n">
        <f aca="false">IF(CH108="",0,CH108*EC108)</f>
        <v>244.201311655151</v>
      </c>
      <c r="EE108" s="16" t="n">
        <f aca="false">IF(CJ108="",0,CJ108*EC108)</f>
        <v>2.33097967920674</v>
      </c>
      <c r="EF108" s="16" t="n">
        <f aca="false">IF(CH108="",0,EC108)</f>
        <v>1.28650182852676</v>
      </c>
    </row>
    <row r="109" customFormat="false" ht="15" hidden="false" customHeight="false" outlineLevel="0" collapsed="false">
      <c r="A109" s="35" t="s">
        <v>975</v>
      </c>
      <c r="B109" s="35" t="s">
        <v>976</v>
      </c>
      <c r="C109" s="35" t="s">
        <v>784</v>
      </c>
      <c r="D109" s="35" t="s">
        <v>771</v>
      </c>
      <c r="E109" s="35" t="s">
        <v>31</v>
      </c>
      <c r="F109" s="36" t="n">
        <v>37.1</v>
      </c>
      <c r="G109" s="36" t="n">
        <v>81.159</v>
      </c>
      <c r="H109" s="33" t="n">
        <v>3.7</v>
      </c>
      <c r="I109" s="33" t="n">
        <v>3.3</v>
      </c>
      <c r="J109" s="36" t="n">
        <v>10.825704</v>
      </c>
      <c r="K109" s="36" t="n">
        <v>12.467</v>
      </c>
      <c r="L109" s="36" t="n">
        <v>26.03</v>
      </c>
      <c r="M109" s="36" t="n">
        <v>33.489</v>
      </c>
      <c r="N109" s="36" t="n">
        <v>5.47714396383151</v>
      </c>
      <c r="O109" s="36" t="n">
        <v>3.47378839726059</v>
      </c>
      <c r="P109" s="36" t="n">
        <v>0</v>
      </c>
      <c r="Q109" s="31" t="n">
        <v>0</v>
      </c>
      <c r="R109" s="31" t="n">
        <v>0</v>
      </c>
      <c r="S109" s="31" t="n">
        <v>0</v>
      </c>
      <c r="T109" s="31" t="n">
        <v>0</v>
      </c>
      <c r="U109" s="31" t="n">
        <v>0</v>
      </c>
      <c r="V109" s="31" t="n">
        <v>0</v>
      </c>
      <c r="W109" s="31" t="n">
        <v>0.0424962974811871</v>
      </c>
      <c r="X109" s="31" t="n">
        <v>0</v>
      </c>
      <c r="Y109" s="36" t="n">
        <v>1.10538843332751</v>
      </c>
      <c r="Z109" s="36" t="n">
        <v>1.18244419886535</v>
      </c>
      <c r="AA109" s="36" t="n">
        <v>0.344251172428218</v>
      </c>
      <c r="AB109" s="36" t="n">
        <v>0.0352195311429004</v>
      </c>
      <c r="AC109" s="36" t="n">
        <v>0.353406852829395</v>
      </c>
      <c r="AD109" s="31" t="n">
        <v>0.86323</v>
      </c>
      <c r="AE109" s="31" t="n">
        <v>0.659589</v>
      </c>
      <c r="AF109" s="31" t="n">
        <v>0.564576</v>
      </c>
      <c r="AG109" s="31" t="n">
        <v>0.639654</v>
      </c>
      <c r="AH109" s="31" t="n">
        <v>0.519462891908447</v>
      </c>
      <c r="AI109" s="31" t="n">
        <v>7.124</v>
      </c>
      <c r="AJ109" s="31" t="n">
        <v>14.02195</v>
      </c>
      <c r="AK109" s="31" t="n">
        <v>5.575</v>
      </c>
      <c r="AL109" s="31" t="n">
        <v>5.575</v>
      </c>
      <c r="AM109" s="31" t="n">
        <v>6.283</v>
      </c>
      <c r="AN109" s="31" t="n">
        <v>16.35875</v>
      </c>
      <c r="AO109" s="31" t="n">
        <v>4.96</v>
      </c>
      <c r="AP109" s="31" t="n">
        <v>9.20058333333333</v>
      </c>
      <c r="AQ109" s="36" t="n">
        <v>0.122250554683309</v>
      </c>
      <c r="AR109" s="36" t="n">
        <v>0.566320864568112</v>
      </c>
      <c r="AS109" s="36" t="n">
        <v>0.272309168596988</v>
      </c>
      <c r="AT109" s="36" t="n">
        <v>0.123799413304775</v>
      </c>
      <c r="AU109" s="31" t="n">
        <v>0.677290125366428</v>
      </c>
      <c r="AV109" s="36" t="n">
        <v>0.185239</v>
      </c>
      <c r="AW109" s="31" t="n">
        <v>0.000237</v>
      </c>
      <c r="AX109" s="31" t="n">
        <v>0.003943</v>
      </c>
      <c r="AY109" s="31" t="n">
        <v>0.0798782840970417</v>
      </c>
      <c r="AZ109" s="31" t="n">
        <v>0.016016</v>
      </c>
      <c r="BA109" s="33" t="n">
        <v>41.503</v>
      </c>
      <c r="BB109" s="33" t="n">
        <v>3.064</v>
      </c>
      <c r="BC109" s="33" t="n">
        <v>82.578</v>
      </c>
      <c r="BD109" s="33"/>
      <c r="BE109" s="33"/>
      <c r="BF109" s="33" t="n">
        <v>1</v>
      </c>
      <c r="BG109" s="33" t="n">
        <v>4.6</v>
      </c>
      <c r="BH109" s="33"/>
      <c r="BI109" s="29"/>
      <c r="BJ109" s="33" t="n">
        <v>1</v>
      </c>
      <c r="BK109" s="33"/>
      <c r="BL109" s="33" t="n">
        <v>3.27</v>
      </c>
      <c r="BM109" s="33" t="n">
        <v>8.625</v>
      </c>
      <c r="BN109" s="29" t="n">
        <v>19.19</v>
      </c>
      <c r="BO109" s="33" t="n">
        <v>1.05</v>
      </c>
      <c r="BP109" s="33" t="n">
        <v>0.312</v>
      </c>
      <c r="BQ109" s="29" t="n">
        <v>2024</v>
      </c>
      <c r="BR109" s="36" t="n">
        <v>12.48</v>
      </c>
      <c r="BS109" s="36" t="n">
        <v>0.06</v>
      </c>
      <c r="BT109" s="36" t="n">
        <v>0</v>
      </c>
      <c r="BU109" s="36" t="n">
        <v>5.5</v>
      </c>
      <c r="BV109" s="16" t="n">
        <f aca="false">F109*(1+N(H109)/100)*(1+N(I109)/100)^5</f>
        <v>45.2537187707575</v>
      </c>
      <c r="BW109" s="16" t="n">
        <f aca="false">IF(N(G109)&gt;0,G109,F109)</f>
        <v>81.159</v>
      </c>
      <c r="BX109" s="12" t="n">
        <f aca="false">F109/BW109</f>
        <v>0.457127367266723</v>
      </c>
      <c r="BY109" s="13" t="n">
        <f aca="false">IF(ISNUMBER(K109),1,0)</f>
        <v>1</v>
      </c>
      <c r="BZ109" s="16" t="n">
        <f aca="false">IF(BY109=0,"",N(N109)+N(O109)+N(P109))</f>
        <v>8.9509323610921</v>
      </c>
      <c r="CA109" s="37" t="n">
        <f aca="false">IF(BY109=0,"",(N(Y109)*34.2+N(Z109)*38.6)/1000)</f>
        <v>0.0834466304960034</v>
      </c>
      <c r="CB109" s="37" t="n">
        <f aca="false">IF(BY109=0,"",N(O109)*0.0036+N(R109)+N(V109)+(N(AA109)*25.3+N(AB109)*37)/1000)</f>
        <v>0.0225183155448594</v>
      </c>
      <c r="CC109" s="37" t="n">
        <f aca="false">IF(BY109=0,"",N(N109)*0.0036+N(Q109)+N(U109)+N(T109)+N(X109)+N(AC109)*38/1000)</f>
        <v>0.0331471786773104</v>
      </c>
      <c r="CD109" s="37" t="n">
        <f aca="false">IF(BY109=0,"",N(Q109)+N(R109)+N(S109)+N(T109)+N(U109)+N(V109)+N(W109)+N(X109)+(N(Y109)*34.2+N(Z109)*38.6+N(AA109)*25.3+N(AB109)*37+N(AC109)*38)/1000)</f>
        <v>0.149385065699429</v>
      </c>
      <c r="CE109" s="16" t="n">
        <f aca="false">IF(BY109=0,"",MAX(0,N(L109)-N(K109))+MAX(0,N(M109)-N(L109)))</f>
        <v>21.022</v>
      </c>
      <c r="CF109" s="16" t="n">
        <f aca="false">IF(BY109=0,"",N(Y109)*N(AD109)+N(Z109)*N(AE109)+N(AA109)*N(AF109)+N(AB109)*N(AG109)+N(AC109)*N(AH109)+N(U109)*N(AI109)+N(V109)*N(AJ109)+N(W109)*N(AK109)+N(X109)*N(AL109)+N(Q109)*N(AM109)+N(R109)*N(AN109)+N(S109)*N(AO109)+N(T109)*N(AP109))</f>
        <v>2.37151451213386</v>
      </c>
      <c r="CG109" s="16" t="n">
        <f aca="false">IF(AND(BY109=1,N(K109)&gt;0),K109,0)</f>
        <v>12.467</v>
      </c>
      <c r="CH109" s="16" t="n">
        <f aca="false">IF(CG109&gt;0,CF109*1000/CG109,"")</f>
        <v>190.223350616336</v>
      </c>
      <c r="CI109" s="16" t="n">
        <f aca="false">IF(BY109=0,"",N(AQ109)+p_road*(N(AR109)+N(AS109)+N(AT109)))</f>
        <v>0.122250554683309</v>
      </c>
      <c r="CJ109" s="16" t="n">
        <f aca="false">IF(CG109&gt;0,CI109*1000/CG109,"")</f>
        <v>9.80593203523771</v>
      </c>
      <c r="CK109" s="12" t="n">
        <f aca="false">IF(CH109="",1,MIN(p_idx_max,MAX(p_idx_min,CH109/p_fc_world)))</f>
        <v>1.18145759733869</v>
      </c>
      <c r="CL109" s="12" t="n">
        <f aca="false">IF(CJ109="",1,MIN(p_idx_max,MAX(p_idx_min,CJ109/p_cb_world)))</f>
        <v>0.25</v>
      </c>
      <c r="CM109" s="37" t="n">
        <f aca="false">p_b*(1-p_wb_idx+p_wb_idx*CK109)</f>
        <v>0.157133860446046</v>
      </c>
      <c r="CN109" s="37" t="n">
        <f aca="false">p_c*(1-p_wc_idx+p_wc_idx*CL109)</f>
        <v>0.03225</v>
      </c>
      <c r="CO109" s="28" t="n">
        <f aca="false">IF(N(BR109)&gt;0,(N(BS109)+N(BT109)+N(BU109))/BR109,"")</f>
        <v>0.445512820512821</v>
      </c>
      <c r="CP109" s="16" t="n">
        <f aca="false">N(BS109)+N(BT109)+N(BU109)</f>
        <v>5.56</v>
      </c>
      <c r="CQ109" s="28" t="n">
        <f aca="false">IF(CP109&gt;0,N(BS109)/CP109,"")</f>
        <v>0.0107913669064748</v>
      </c>
      <c r="CR109" s="28" t="n">
        <f aca="false">IF(CP109&gt;0,N(BT109)/CP109,"")</f>
        <v>0</v>
      </c>
      <c r="CS109" s="28" t="n">
        <f aca="false">IF(CP109&gt;0,N(BU109)/CP109,"")</f>
        <v>0.989208633093525</v>
      </c>
      <c r="CT109" s="7" t="n">
        <f aca="false">1000*(p_sh_pv*p_cf_pv/p_capex_pv+(1-p_sh_pv)*p_cf_wind/p_capex_wind)*8760</f>
        <v>2301.28856624319</v>
      </c>
      <c r="CU109" s="13" t="n">
        <f aca="false">IF(AND(ISNUMBER(CO109),ISNUMBER(CQ109),BY109=1),1,0)</f>
        <v>1</v>
      </c>
      <c r="CV109" s="16" t="n">
        <f aca="false">IF(CU109=0,"",CQ109*p_hr_coal*N(AK109)+CR109*p_hr_gas*N(AO109)+CS109*p_hr_oil*N(AH109)/p_gj_l_oil)</f>
        <v>140.381420806057</v>
      </c>
      <c r="CW109" s="37" t="n">
        <f aca="false">IF(CU109=0,"",CQ109*p_hr_coal*p_ef_coal+CR109*p_hr_gas*p_ef_gas+CS109*p_hr_oil*p_ef_oil)</f>
        <v>0.814138489208633</v>
      </c>
      <c r="CX109" s="16" t="n">
        <f aca="false">IF(CU109=0,"",CQ109*p_hr_coal*N(AW109)+CR109*p_hr_gas*N(AX109)+CS109*p_hr_oil*N(AY109)/p_gj_l_oil)</f>
        <v>21.4940936161524</v>
      </c>
      <c r="CY109" s="37" t="n">
        <f aca="false">IF(CU109=0,"",CO109*CW109)</f>
        <v>0.362709134615385</v>
      </c>
      <c r="CZ109" s="37" t="n">
        <f aca="false">IF(CU109=0,"",CT109*CO109*CV109/1000/1000-p_om_re)</f>
        <v>0.128926551433781</v>
      </c>
      <c r="DA109" s="37" t="n">
        <f aca="false">IF(CU109=0,"",CT109*CO109*CX109/1000/1000)</f>
        <v>0.0220368959980933</v>
      </c>
      <c r="DB109" s="37" t="n">
        <f aca="false">IF(CU109=0,"",CT109*CO109*CW109/1000)</f>
        <v>0.834698384362348</v>
      </c>
      <c r="DC109" s="13" t="n">
        <f aca="false">IF(AND(CU109=1,ISNUMBER(AD109),ISNUMBER(AV109)),1,0)</f>
        <v>1</v>
      </c>
      <c r="DD109" s="7" t="n">
        <f aca="false">IF(DC109=0,"",p_ev_km*p_ice_l/100*AD109-p_ev_km*p_ev_kwh*AV109+p_ev_km*p_ev_maint)</f>
        <v>650.98845</v>
      </c>
      <c r="DE109" s="37" t="n">
        <f aca="false">IF(DC109=0,"",DD109/p_ev_prem)</f>
        <v>0.13019769</v>
      </c>
      <c r="DF109" s="37" t="n">
        <f aca="false">IF(DC109=0,"",p_ev_km*p_ice_l/100*N(AZ109)/p_ev_prem)</f>
        <v>0.0036036</v>
      </c>
      <c r="DG109" s="37" t="n">
        <f aca="false">IF(DC109=0,"",1000/p_ev_prem*(p_ev_km*p_ice_l/100*p_gj_l_gso*p_ef_gso-p_ev_km*p_ev_kwh/1000*CY109))</f>
        <v>0.337400567307692</v>
      </c>
      <c r="DH109" s="11" t="str">
        <f aca="false">IFERROR(IF(INDEX(Damodaran!$D:$D,MATCH(A109,Damodaran!$A:$A,0))="","",INDEX(Damodaran!$D:$D,MATCH(A109,Damodaran!$A:$A,0))),"")</f>
        <v/>
      </c>
      <c r="DI109" s="11" t="str">
        <f aca="false">IFERROR(IF(INDEX(Damodaran!$E:$E,MATCH(A109,Damodaran!$A:$A,0))="","",INDEX(Damodaran!$E:$E,MATCH(A109,Damodaran!$A:$A,0))),"")</f>
        <v/>
      </c>
      <c r="DJ109" s="11" t="str">
        <f aca="false">IFERROR(IF(INDEX(Damodaran!$G:$G,MATCH(A109,Damodaran!$A:$A,0))="","",INDEX(Damodaran!$G:$G,MATCH(A109,Damodaran!$A:$A,0))),"")</f>
        <v/>
      </c>
      <c r="DK109" s="11" t="n">
        <f aca="false">IF(ISNUMBER(BG109),(1+BG109/100)*(1+p_infl)-1,"")</f>
        <v>0.0669200000000001</v>
      </c>
      <c r="DL109" s="11" t="str">
        <f aca="false">IF(ISNUMBER(BH109),BH109/100,"")</f>
        <v/>
      </c>
      <c r="DM109" s="11" t="n">
        <f aca="false">IF(COUNT(DK109,DL109)=0,"",AVERAGE(DK109,DL109))</f>
        <v>0.0669200000000001</v>
      </c>
      <c r="DN109" s="11" t="str">
        <f aca="false">IF(OR(DH109="",DI109=""),"",p_dv*(p_rf+DH109)*(1-IF(DJ109="",p_tax_def,DJ109))+(1-p_dv)*(p_rf+p_beta*p_erp+p_lambda*DI109))</f>
        <v/>
      </c>
      <c r="DO109" s="13" t="n">
        <f aca="false">IF(AND(ISNUMBER(DM109),ISNUMBER(DN109)),1,0)</f>
        <v>0</v>
      </c>
      <c r="DP109" s="11" t="n">
        <f aca="false">IF(DO109=1,DM109,0)</f>
        <v>0</v>
      </c>
      <c r="DQ109" s="11" t="n">
        <f aca="false">IF(DO109=1,DN109,0)</f>
        <v>0</v>
      </c>
      <c r="DR109" s="11" t="str">
        <f aca="false">IF(DN109="","",DN109+p_shift)</f>
        <v/>
      </c>
      <c r="DS109" s="11" t="n">
        <f aca="false">IF(E109="AE",p_r_ae,IF(E109="China",p_r_chn,p_r_emdc))</f>
        <v>0.105</v>
      </c>
      <c r="DT109" s="11" t="n">
        <f aca="false">IF(E109="AE",p_rh_ae,IF(E109="China",p_rh_chn,p_rh_emdc))</f>
        <v>0.15</v>
      </c>
      <c r="DU109" s="11" t="n">
        <f aca="false">IF(AND(p_use_obs=1,ISNUMBER(DM109)),DM109,IF(AND(p_use_dam=1,ISNUMBER(DR109)),DR109,DS109))</f>
        <v>0.0669200000000001</v>
      </c>
      <c r="DV109" s="6" t="str">
        <f aca="false">IF(AND(p_use_obs=1,ISNUMBER(DM109)),"Observed (IRENA/Steffen)",IF(AND(p_use_dam=1,ISNUMBER(DR109)),"Damodaran (eq. 5)","Group default (IHLEG)"))</f>
        <v>Observed (IRENA/Steffen)</v>
      </c>
      <c r="DW109" s="11" t="n">
        <f aca="false">IF(p_basis=1,(1+DU109)/(1+p_infl)-1,DU109)</f>
        <v>0.0669200000000001</v>
      </c>
      <c r="DX109" s="11" t="n">
        <f aca="false">DW109+(DT109-DS109)</f>
        <v>0.11192</v>
      </c>
      <c r="DY109" s="28" t="n">
        <f aca="false">IF(AND(p_use_pefa=1,ISNUMBER(BD109)),p_gap_lic-(BD109-1)/3*(p_gap_lic-p_gap_ae),IF(E109="AE",p_gap_ae,IF(D109="Low income",p_gap_lic,p_gap_em)))*(1-p_reform*p_reform_close)</f>
        <v>0.27</v>
      </c>
      <c r="DZ109" s="6" t="str">
        <f aca="false">IF(AND(p_use_pefa=1,ISNUMBER(BD109)),"PEFA PI-11","Income-group default (IMF 2015)")</f>
        <v>Income-group default (IMF 2015)</v>
      </c>
      <c r="EA109" s="28" t="n">
        <f aca="false">IF(E109="AE",p_ps_ae,IF(E109="China",p_ps_chn,p_ps_emdc))</f>
        <v>0.4</v>
      </c>
      <c r="EB109" s="37" t="n">
        <f aca="false">(1-EA109)+EA109/(1-DY109)</f>
        <v>1.14794520547945</v>
      </c>
      <c r="EC109" s="16" t="n">
        <f aca="false">Results_Country!F109</f>
        <v>2.49505186995777</v>
      </c>
      <c r="ED109" s="16" t="n">
        <f aca="false">IF(CH109="",0,CH109*EC109)</f>
        <v>474.617126664921</v>
      </c>
      <c r="EE109" s="16" t="n">
        <f aca="false">IF(CJ109="",0,CJ109*EC109)</f>
        <v>24.4663090611986</v>
      </c>
      <c r="EF109" s="16" t="n">
        <f aca="false">IF(CH109="",0,EC109)</f>
        <v>2.49505186995777</v>
      </c>
    </row>
    <row r="110" customFormat="false" ht="15" hidden="false" customHeight="false" outlineLevel="0" collapsed="false">
      <c r="A110" s="35" t="s">
        <v>977</v>
      </c>
      <c r="B110" s="35" t="s">
        <v>978</v>
      </c>
      <c r="C110" s="35" t="s">
        <v>784</v>
      </c>
      <c r="D110" s="35" t="s">
        <v>763</v>
      </c>
      <c r="E110" s="35" t="s">
        <v>31</v>
      </c>
      <c r="F110" s="36" t="n">
        <v>35.365</v>
      </c>
      <c r="G110" s="36" t="n">
        <v>84.192</v>
      </c>
      <c r="H110" s="33" t="n">
        <v>3.7</v>
      </c>
      <c r="I110" s="33" t="n">
        <v>3.3</v>
      </c>
      <c r="J110" s="36" t="n">
        <v>6.338193</v>
      </c>
      <c r="K110" s="36" t="n">
        <v>9.461</v>
      </c>
      <c r="L110" s="36" t="n">
        <v>14.79</v>
      </c>
      <c r="M110" s="36" t="n">
        <v>15.819</v>
      </c>
      <c r="N110" s="36" t="n">
        <v>6.12179404531769</v>
      </c>
      <c r="O110" s="36" t="n">
        <v>3.5006748989693</v>
      </c>
      <c r="P110" s="36" t="n">
        <v>0.626967700307956</v>
      </c>
      <c r="Q110" s="31" t="n">
        <v>0</v>
      </c>
      <c r="R110" s="31" t="n">
        <v>0</v>
      </c>
      <c r="S110" s="31" t="n">
        <v>0</v>
      </c>
      <c r="T110" s="31" t="n">
        <v>0</v>
      </c>
      <c r="U110" s="31" t="n">
        <v>1.69313836697183E-005</v>
      </c>
      <c r="V110" s="31" t="n">
        <v>0</v>
      </c>
      <c r="W110" s="31" t="n">
        <v>0</v>
      </c>
      <c r="X110" s="31" t="n">
        <v>0</v>
      </c>
      <c r="Y110" s="36" t="n">
        <v>1.1343049576745</v>
      </c>
      <c r="Z110" s="36" t="n">
        <v>1.00071179059168</v>
      </c>
      <c r="AA110" s="36" t="n">
        <v>0.624749583721551</v>
      </c>
      <c r="AB110" s="36" t="n">
        <v>9.49390524635224E-005</v>
      </c>
      <c r="AC110" s="36" t="n">
        <v>0.695554669370279</v>
      </c>
      <c r="AD110" s="31" t="n">
        <v>0.85428</v>
      </c>
      <c r="AE110" s="31" t="n">
        <v>0.673086</v>
      </c>
      <c r="AF110" s="31" t="n">
        <v>0.580803</v>
      </c>
      <c r="AG110" s="31" t="n">
        <v>0.597164</v>
      </c>
      <c r="AH110" s="31" t="n">
        <v>0.519462891908447</v>
      </c>
      <c r="AI110" s="31" t="n">
        <v>7.124</v>
      </c>
      <c r="AJ110" s="31" t="n">
        <v>13.77809</v>
      </c>
      <c r="AK110" s="31" t="n">
        <v>5.575</v>
      </c>
      <c r="AL110" s="31" t="n">
        <v>7.124</v>
      </c>
      <c r="AM110" s="31" t="n">
        <v>12.771</v>
      </c>
      <c r="AN110" s="31" t="n">
        <v>23.40456</v>
      </c>
      <c r="AO110" s="31" t="n">
        <v>11.447</v>
      </c>
      <c r="AP110" s="31" t="n">
        <v>15.8741866666667</v>
      </c>
      <c r="AQ110" s="36" t="n">
        <v>0.270455372489321</v>
      </c>
      <c r="AR110" s="36" t="n">
        <v>0.318112047669238</v>
      </c>
      <c r="AS110" s="36" t="n">
        <v>0.388011706509547</v>
      </c>
      <c r="AT110" s="36" t="n">
        <v>0.0944373691436329</v>
      </c>
      <c r="AU110" s="31" t="n">
        <v>0.739387627916959</v>
      </c>
      <c r="AV110" s="36" t="n">
        <v>0.232238</v>
      </c>
      <c r="AW110" s="31" t="n">
        <v>1.22407</v>
      </c>
      <c r="AX110" s="31" t="n">
        <v>0.009369</v>
      </c>
      <c r="AY110" s="31" t="n">
        <v>0.170738097222463</v>
      </c>
      <c r="AZ110" s="31" t="n">
        <v>0.026041</v>
      </c>
      <c r="BA110" s="33" t="n">
        <v>87.369</v>
      </c>
      <c r="BB110" s="33" t="n">
        <v>17.093</v>
      </c>
      <c r="BC110" s="33" t="n">
        <v>52.336</v>
      </c>
      <c r="BD110" s="33" t="n">
        <v>2.5</v>
      </c>
      <c r="BE110" s="33" t="n">
        <v>1</v>
      </c>
      <c r="BF110" s="33" t="n">
        <v>0</v>
      </c>
      <c r="BG110" s="33"/>
      <c r="BH110" s="33" t="n">
        <v>4.8</v>
      </c>
      <c r="BI110" s="29" t="n">
        <v>2014</v>
      </c>
      <c r="BJ110" s="33" t="n">
        <v>1</v>
      </c>
      <c r="BK110" s="33"/>
      <c r="BL110" s="33" t="n">
        <v>2.449</v>
      </c>
      <c r="BM110" s="33" t="n">
        <v>8.851</v>
      </c>
      <c r="BN110" s="29" t="n">
        <v>18.867</v>
      </c>
      <c r="BO110" s="33" t="n">
        <v>1.295</v>
      </c>
      <c r="BP110" s="33" t="n">
        <v>0.019</v>
      </c>
      <c r="BQ110" s="29" t="n">
        <v>2025</v>
      </c>
      <c r="BR110" s="36" t="n">
        <v>6.745</v>
      </c>
      <c r="BS110" s="36"/>
      <c r="BT110" s="36"/>
      <c r="BU110" s="36" t="n">
        <v>0.605</v>
      </c>
      <c r="BV110" s="16" t="n">
        <f aca="false">F110*(1+N(H110)/100)*(1+N(I110)/100)^5</f>
        <v>43.1374060465725</v>
      </c>
      <c r="BW110" s="16" t="n">
        <f aca="false">IF(N(G110)&gt;0,G110,F110)</f>
        <v>84.192</v>
      </c>
      <c r="BX110" s="12" t="n">
        <f aca="false">F110/BW110</f>
        <v>0.420051786393007</v>
      </c>
      <c r="BY110" s="13" t="n">
        <f aca="false">IF(ISNUMBER(K110),1,0)</f>
        <v>1</v>
      </c>
      <c r="BZ110" s="16" t="n">
        <f aca="false">IF(BY110=0,"",N(N110)+N(O110)+N(P110))</f>
        <v>10.249436644595</v>
      </c>
      <c r="CA110" s="37" t="n">
        <f aca="false">IF(BY110=0,"",(N(Y110)*34.2+N(Z110)*38.6)/1000)</f>
        <v>0.0774207046693069</v>
      </c>
      <c r="CB110" s="37" t="n">
        <f aca="false">IF(BY110=0,"",N(O110)*0.0036+N(R110)+N(V110)+(N(AA110)*25.3+N(AB110)*37)/1000)</f>
        <v>0.0284121068493859</v>
      </c>
      <c r="CC110" s="37" t="n">
        <f aca="false">IF(BY110=0,"",N(N110)*0.0036+N(Q110)+N(U110)+N(T110)+N(X110)+N(AC110)*38/1000)</f>
        <v>0.048486467382884</v>
      </c>
      <c r="CD110" s="37" t="n">
        <f aca="false">IF(BY110=0,"",N(Q110)+N(R110)+N(S110)+N(T110)+N(U110)+N(V110)+N(W110)+N(X110)+(N(Y110)*34.2+N(Z110)*38.6+N(AA110)*25.3+N(AB110)*37+N(AC110)*38)/1000)</f>
        <v>0.119678390702144</v>
      </c>
      <c r="CE110" s="16" t="n">
        <f aca="false">IF(BY110=0,"",MAX(0,N(L110)-N(K110))+MAX(0,N(M110)-N(L110)))</f>
        <v>6.358</v>
      </c>
      <c r="CF110" s="16" t="n">
        <f aca="false">IF(BY110=0,"",N(Y110)*N(AD110)+N(Z110)*N(AE110)+N(AA110)*N(AF110)+N(AB110)*N(AG110)+N(AC110)*N(AH110)+N(U110)*N(AI110)+N(V110)*N(AJ110)+N(W110)*N(AK110)+N(X110)*N(AL110)+N(Q110)*N(AM110)+N(R110)*N(AN110)+N(S110)*N(AO110)+N(T110)*N(AP110))</f>
        <v>2.36692772139169</v>
      </c>
      <c r="CG110" s="16" t="n">
        <f aca="false">IF(AND(BY110=1,N(K110)&gt;0),K110,0)</f>
        <v>9.461</v>
      </c>
      <c r="CH110" s="16" t="n">
        <f aca="false">IF(CG110&gt;0,CF110*1000/CG110,"")</f>
        <v>250.177330239054</v>
      </c>
      <c r="CI110" s="16" t="n">
        <f aca="false">IF(BY110=0,"",N(AQ110)+p_road*(N(AR110)+N(AS110)+N(AT110)))</f>
        <v>0.270455372489321</v>
      </c>
      <c r="CJ110" s="16" t="n">
        <f aca="false">IF(CG110&gt;0,CI110*1000/CG110,"")</f>
        <v>28.5863410304746</v>
      </c>
      <c r="CK110" s="12" t="n">
        <f aca="false">IF(CH110="",1,MIN(p_idx_max,MAX(p_idx_min,CH110/p_fc_world)))</f>
        <v>1.55382557680308</v>
      </c>
      <c r="CL110" s="12" t="n">
        <f aca="false">IF(CJ110="",1,MIN(p_idx_max,MAX(p_idx_min,CJ110/p_cb_world)))</f>
        <v>0.543561685540881</v>
      </c>
      <c r="CM110" s="37" t="n">
        <f aca="false">p_b*(1-p_wb_idx+p_wb_idx*CK110)</f>
        <v>0.206658801714809</v>
      </c>
      <c r="CN110" s="37" t="n">
        <f aca="false">p_c*(1-p_wc_idx+p_wc_idx*CL110)</f>
        <v>0.0701194574347736</v>
      </c>
      <c r="CO110" s="28" t="n">
        <f aca="false">IF(N(BR110)&gt;0,(N(BS110)+N(BT110)+N(BU110))/BR110,"")</f>
        <v>0.0896960711638251</v>
      </c>
      <c r="CP110" s="16" t="n">
        <f aca="false">N(BS110)+N(BT110)+N(BU110)</f>
        <v>0.605</v>
      </c>
      <c r="CQ110" s="28" t="n">
        <f aca="false">IF(CP110&gt;0,N(BS110)/CP110,"")</f>
        <v>0</v>
      </c>
      <c r="CR110" s="28" t="n">
        <f aca="false">IF(CP110&gt;0,N(BT110)/CP110,"")</f>
        <v>0</v>
      </c>
      <c r="CS110" s="28" t="n">
        <f aca="false">IF(CP110&gt;0,N(BU110)/CP110,"")</f>
        <v>1</v>
      </c>
      <c r="CT110" s="7" t="n">
        <f aca="false">1000*(p_sh_pv*p_cf_pv/p_capex_pv+(1-p_sh_pv)*p_cf_wind/p_capex_wind)*8760</f>
        <v>2301.28856624319</v>
      </c>
      <c r="CU110" s="13" t="n">
        <f aca="false">IF(AND(ISNUMBER(CO110),ISNUMBER(CQ110),BY110=1),1,0)</f>
        <v>1</v>
      </c>
      <c r="CV110" s="16" t="n">
        <f aca="false">IF(CU110=0,"",CQ110*p_hr_coal*N(AK110)+CR110*p_hr_gas*N(AO110)+CS110*p_hr_oil*N(AH110)/p_gj_l_oil)</f>
        <v>141.304672669396</v>
      </c>
      <c r="CW110" s="37" t="n">
        <f aca="false">IF(CU110=0,"",CQ110*p_hr_coal*p_ef_coal+CR110*p_hr_gas*p_ef_gas+CS110*p_hr_oil*p_ef_oil)</f>
        <v>0.8127</v>
      </c>
      <c r="CX110" s="16" t="n">
        <f aca="false">IF(CU110=0,"",CQ110*p_hr_coal*N(AW110)+CR110*p_hr_gas*N(AX110)+CS110*p_hr_oil*N(AY110)/p_gj_l_oil)</f>
        <v>46.4443010579237</v>
      </c>
      <c r="CY110" s="37" t="n">
        <f aca="false">IF(CU110=0,"",CO110*CW110)</f>
        <v>0.0728959970348406</v>
      </c>
      <c r="CZ110" s="37" t="n">
        <f aca="false">IF(CU110=0,"",CT110*CO110*CV110/1000/1000-p_om_re)</f>
        <v>0.014167622043046</v>
      </c>
      <c r="DA110" s="37" t="n">
        <f aca="false">IF(CU110=0,"",CT110*CO110*CX110/1000/1000)</f>
        <v>0.00958687206671797</v>
      </c>
      <c r="DB110" s="37" t="n">
        <f aca="false">IF(CU110=0,"",CT110*CO110*CW110/1000)</f>
        <v>0.167754724501176</v>
      </c>
      <c r="DC110" s="13" t="n">
        <f aca="false">IF(AND(CU110=1,ISNUMBER(AD110),ISNUMBER(AV110)),1,0)</f>
        <v>1</v>
      </c>
      <c r="DD110" s="7" t="n">
        <f aca="false">IF(DC110=0,"",p_ev_km*p_ice_l/100*AD110-p_ev_km*p_ev_kwh*AV110+p_ev_km*p_ev_maint)</f>
        <v>514.0224</v>
      </c>
      <c r="DE110" s="37" t="n">
        <f aca="false">IF(DC110=0,"",DD110/p_ev_prem)</f>
        <v>0.10280448</v>
      </c>
      <c r="DF110" s="37" t="n">
        <f aca="false">IF(DC110=0,"",p_ev_km*p_ice_l/100*N(AZ110)/p_ev_prem)</f>
        <v>0.005859225</v>
      </c>
      <c r="DG110" s="37" t="n">
        <f aca="false">IF(DC110=0,"",1000/p_ev_prem*(p_ev_km*p_ice_l/100*p_gj_l_gso*p_ef_gso-p_ev_km*p_ev_kwh/1000*CY110))</f>
        <v>0.493899661601186</v>
      </c>
      <c r="DH110" s="11" t="str">
        <f aca="false">IFERROR(IF(INDEX(Damodaran!$D:$D,MATCH(A110,Damodaran!$A:$A,0))="","",INDEX(Damodaran!$D:$D,MATCH(A110,Damodaran!$A:$A,0))),"")</f>
        <v/>
      </c>
      <c r="DI110" s="11" t="str">
        <f aca="false">IFERROR(IF(INDEX(Damodaran!$E:$E,MATCH(A110,Damodaran!$A:$A,0))="","",INDEX(Damodaran!$E:$E,MATCH(A110,Damodaran!$A:$A,0))),"")</f>
        <v/>
      </c>
      <c r="DJ110" s="11" t="str">
        <f aca="false">IFERROR(IF(INDEX(Damodaran!$G:$G,MATCH(A110,Damodaran!$A:$A,0))="","",INDEX(Damodaran!$G:$G,MATCH(A110,Damodaran!$A:$A,0))),"")</f>
        <v/>
      </c>
      <c r="DK110" s="11" t="str">
        <f aca="false">IF(ISNUMBER(BG110),(1+BG110/100)*(1+p_infl)-1,"")</f>
        <v/>
      </c>
      <c r="DL110" s="11" t="n">
        <f aca="false">IF(ISNUMBER(BH110),BH110/100,"")</f>
        <v>0.048</v>
      </c>
      <c r="DM110" s="11" t="n">
        <f aca="false">IF(COUNT(DK110,DL110)=0,"",AVERAGE(DK110,DL110))</f>
        <v>0.048</v>
      </c>
      <c r="DN110" s="11" t="str">
        <f aca="false">IF(OR(DH110="",DI110=""),"",p_dv*(p_rf+DH110)*(1-IF(DJ110="",p_tax_def,DJ110))+(1-p_dv)*(p_rf+p_beta*p_erp+p_lambda*DI110))</f>
        <v/>
      </c>
      <c r="DO110" s="13" t="n">
        <f aca="false">IF(AND(ISNUMBER(DM110),ISNUMBER(DN110)),1,0)</f>
        <v>0</v>
      </c>
      <c r="DP110" s="11" t="n">
        <f aca="false">IF(DO110=1,DM110,0)</f>
        <v>0</v>
      </c>
      <c r="DQ110" s="11" t="n">
        <f aca="false">IF(DO110=1,DN110,0)</f>
        <v>0</v>
      </c>
      <c r="DR110" s="11" t="str">
        <f aca="false">IF(DN110="","",DN110+p_shift)</f>
        <v/>
      </c>
      <c r="DS110" s="11" t="n">
        <f aca="false">IF(E110="AE",p_r_ae,IF(E110="China",p_r_chn,p_r_emdc))</f>
        <v>0.105</v>
      </c>
      <c r="DT110" s="11" t="n">
        <f aca="false">IF(E110="AE",p_rh_ae,IF(E110="China",p_rh_chn,p_rh_emdc))</f>
        <v>0.15</v>
      </c>
      <c r="DU110" s="11" t="n">
        <f aca="false">IF(AND(p_use_obs=1,ISNUMBER(DM110)),DM110,IF(AND(p_use_dam=1,ISNUMBER(DR110)),DR110,DS110))</f>
        <v>0.048</v>
      </c>
      <c r="DV110" s="6" t="str">
        <f aca="false">IF(AND(p_use_obs=1,ISNUMBER(DM110)),"Observed (IRENA/Steffen)",IF(AND(p_use_dam=1,ISNUMBER(DR110)),"Damodaran (eq. 5)","Group default (IHLEG)"))</f>
        <v>Observed (IRENA/Steffen)</v>
      </c>
      <c r="DW110" s="11" t="n">
        <f aca="false">IF(p_basis=1,(1+DU110)/(1+p_infl)-1,DU110)</f>
        <v>0.048</v>
      </c>
      <c r="DX110" s="11" t="n">
        <f aca="false">DW110+(DT110-DS110)</f>
        <v>0.093</v>
      </c>
      <c r="DY110" s="28" t="n">
        <f aca="false">IF(AND(p_use_pefa=1,ISNUMBER(BD110)),p_gap_lic-(BD110-1)/3*(p_gap_lic-p_gap_ae),IF(E110="AE",p_gap_ae,IF(D110="Low income",p_gap_lic,p_gap_em)))*(1-p_reform*p_reform_close)</f>
        <v>0.265</v>
      </c>
      <c r="DZ110" s="6" t="str">
        <f aca="false">IF(AND(p_use_pefa=1,ISNUMBER(BD110)),"PEFA PI-11","Income-group default (IMF 2015)")</f>
        <v>PEFA PI-11</v>
      </c>
      <c r="EA110" s="28" t="n">
        <f aca="false">IF(E110="AE",p_ps_ae,IF(E110="China",p_ps_chn,p_ps_emdc))</f>
        <v>0.4</v>
      </c>
      <c r="EB110" s="37" t="n">
        <f aca="false">(1-EA110)+EA110/(1-DY110)</f>
        <v>1.14421768707483</v>
      </c>
      <c r="EC110" s="16" t="n">
        <f aca="false">Results_Country!F110</f>
        <v>2.27830059724726</v>
      </c>
      <c r="ED110" s="16" t="n">
        <f aca="false">IF(CH110="",0,CH110*EC110)</f>
        <v>569.979160901362</v>
      </c>
      <c r="EE110" s="16" t="n">
        <f aca="false">IF(CJ110="",0,CJ110*EC110)</f>
        <v>65.1282778428442</v>
      </c>
      <c r="EF110" s="16" t="n">
        <f aca="false">IF(CH110="",0,EC110)</f>
        <v>2.27830059724726</v>
      </c>
    </row>
    <row r="111" customFormat="false" ht="15" hidden="false" customHeight="false" outlineLevel="0" collapsed="false">
      <c r="A111" s="35" t="s">
        <v>979</v>
      </c>
      <c r="B111" s="35" t="s">
        <v>980</v>
      </c>
      <c r="C111" s="35" t="s">
        <v>766</v>
      </c>
      <c r="D111" s="35" t="s">
        <v>763</v>
      </c>
      <c r="E111" s="35" t="s">
        <v>31</v>
      </c>
      <c r="F111" s="36" t="n">
        <v>34.191</v>
      </c>
      <c r="G111" s="36" t="n">
        <v>104.795</v>
      </c>
      <c r="H111" s="33" t="n">
        <v>7.462</v>
      </c>
      <c r="I111" s="33" t="n">
        <v>5.306</v>
      </c>
      <c r="J111" s="36" t="n">
        <v>3.80767</v>
      </c>
      <c r="K111" s="36" t="n">
        <v>12.73</v>
      </c>
      <c r="L111" s="36" t="n">
        <v>18.976</v>
      </c>
      <c r="M111" s="36" t="n">
        <v>18.98</v>
      </c>
      <c r="N111" s="36" t="n">
        <v>8.32110748439202</v>
      </c>
      <c r="O111" s="36" t="n">
        <v>2.96872036081933</v>
      </c>
      <c r="P111" s="36" t="n">
        <v>3.57267209315983</v>
      </c>
      <c r="Q111" s="31" t="n">
        <v>0.0172065283484819</v>
      </c>
      <c r="R111" s="31" t="n">
        <v>0.0581578564627464</v>
      </c>
      <c r="S111" s="31" t="n">
        <v>0.018979108564722</v>
      </c>
      <c r="T111" s="31" t="n">
        <v>0.00475083395592632</v>
      </c>
      <c r="U111" s="31" t="n">
        <v>0.0101808020647291</v>
      </c>
      <c r="V111" s="31" t="n">
        <v>9.10748146095251E-005</v>
      </c>
      <c r="W111" s="31" t="n">
        <v>0</v>
      </c>
      <c r="X111" s="31" t="n">
        <v>0</v>
      </c>
      <c r="Y111" s="36" t="n">
        <v>0.764513288473678</v>
      </c>
      <c r="Z111" s="36" t="n">
        <v>0.729342712043838</v>
      </c>
      <c r="AA111" s="36" t="n">
        <v>0.069926309493203</v>
      </c>
      <c r="AB111" s="36" t="n">
        <v>0.000726463165233779</v>
      </c>
      <c r="AC111" s="36" t="n">
        <v>0.000927937988468598</v>
      </c>
      <c r="AD111" s="31" t="n">
        <v>0.854171</v>
      </c>
      <c r="AE111" s="31" t="n">
        <v>0.80075</v>
      </c>
      <c r="AF111" s="31" t="n">
        <v>0.532037</v>
      </c>
      <c r="AG111" s="31" t="n">
        <v>0.591</v>
      </c>
      <c r="AH111" s="31" t="n">
        <v>0.519462891908447</v>
      </c>
      <c r="AI111" s="31" t="n">
        <v>5.933</v>
      </c>
      <c r="AJ111" s="31" t="n">
        <v>10.84184</v>
      </c>
      <c r="AK111" s="31" t="n">
        <v>3.62</v>
      </c>
      <c r="AL111" s="31" t="n">
        <v>5.97652385627276</v>
      </c>
      <c r="AM111" s="31" t="n">
        <v>6.272</v>
      </c>
      <c r="AN111" s="31" t="n">
        <v>16.74774</v>
      </c>
      <c r="AO111" s="31" t="n">
        <v>4.952</v>
      </c>
      <c r="AP111" s="31" t="n">
        <v>12.464204030729</v>
      </c>
      <c r="AQ111" s="36" t="n">
        <v>0.603817144194015</v>
      </c>
      <c r="AR111" s="36" t="n">
        <v>0.0924839602665726</v>
      </c>
      <c r="AS111" s="36" t="n">
        <v>0.24684170718803</v>
      </c>
      <c r="AT111" s="36" t="n">
        <v>0.104212169890553</v>
      </c>
      <c r="AU111" s="31" t="n">
        <v>0.823198012798744</v>
      </c>
      <c r="AV111" s="36" t="n">
        <v>0.073538</v>
      </c>
      <c r="AW111" s="31" t="n">
        <v>0</v>
      </c>
      <c r="AX111" s="31" t="n">
        <v>0</v>
      </c>
      <c r="AY111" s="31" t="n">
        <v>0</v>
      </c>
      <c r="AZ111" s="31" t="n">
        <v>0.220576</v>
      </c>
      <c r="BA111" s="33" t="n">
        <v>35.656</v>
      </c>
      <c r="BB111" s="33" t="n">
        <v>5.774</v>
      </c>
      <c r="BC111" s="33" t="n">
        <v>93.941</v>
      </c>
      <c r="BD111" s="33" t="n">
        <v>4</v>
      </c>
      <c r="BE111" s="33" t="n">
        <v>2</v>
      </c>
      <c r="BF111" s="33" t="n">
        <v>1</v>
      </c>
      <c r="BG111" s="33"/>
      <c r="BH111" s="33"/>
      <c r="BI111" s="29"/>
      <c r="BJ111" s="33"/>
      <c r="BK111" s="33"/>
      <c r="BL111" s="33" t="n">
        <v>0.867</v>
      </c>
      <c r="BM111" s="33" t="n">
        <v>3.375</v>
      </c>
      <c r="BN111" s="29" t="n">
        <v>16.695</v>
      </c>
      <c r="BO111" s="33" t="n">
        <v>2.793</v>
      </c>
      <c r="BP111" s="33" t="n">
        <v>0.152</v>
      </c>
      <c r="BQ111" s="29" t="n">
        <v>2025</v>
      </c>
      <c r="BR111" s="36" t="n">
        <v>13.5</v>
      </c>
      <c r="BS111" s="36" t="n">
        <v>0</v>
      </c>
      <c r="BT111" s="36" t="n">
        <v>2.75</v>
      </c>
      <c r="BU111" s="36" t="n">
        <v>0</v>
      </c>
      <c r="BV111" s="16" t="n">
        <f aca="false">F111*(1+N(H111)/100)*(1+N(I111)/100)^5</f>
        <v>47.5808619342698</v>
      </c>
      <c r="BW111" s="16" t="n">
        <f aca="false">IF(N(G111)&gt;0,G111,F111)</f>
        <v>104.795</v>
      </c>
      <c r="BX111" s="12" t="n">
        <f aca="false">F111/BW111</f>
        <v>0.326265566105253</v>
      </c>
      <c r="BY111" s="13" t="n">
        <f aca="false">IF(ISNUMBER(K111),1,0)</f>
        <v>1</v>
      </c>
      <c r="BZ111" s="16" t="n">
        <f aca="false">IF(BY111=0,"",N(N111)+N(O111)+N(P111))</f>
        <v>14.8624999383712</v>
      </c>
      <c r="CA111" s="37" t="n">
        <f aca="false">IF(BY111=0,"",(N(Y111)*34.2+N(Z111)*38.6)/1000)</f>
        <v>0.0542989831506919</v>
      </c>
      <c r="CB111" s="37" t="n">
        <f aca="false">IF(BY111=0,"",N(O111)*0.0036+N(R111)+N(V111)+(N(AA111)*25.3+N(AB111)*37)/1000)</f>
        <v>0.0707323393435973</v>
      </c>
      <c r="CC111" s="37" t="n">
        <f aca="false">IF(BY111=0,"",N(N111)*0.0036+N(Q111)+N(U111)+N(T111)+N(X111)+N(AC111)*38/1000)</f>
        <v>0.0621294129565105</v>
      </c>
      <c r="CD111" s="37" t="n">
        <f aca="false">IF(BY111=0,"",N(Q111)+N(R111)+N(S111)+N(T111)+N(U111)+N(V111)+N(W111)+N(X111)+(N(Y111)*34.2+N(Z111)*38.6+N(AA111)*25.3+N(AB111)*37+N(AC111)*38)/1000)</f>
        <v>0.165496463772761</v>
      </c>
      <c r="CE111" s="16" t="n">
        <f aca="false">IF(BY111=0,"",MAX(0,N(L111)-N(K111))+MAX(0,N(M111)-N(L111)))</f>
        <v>6.25</v>
      </c>
      <c r="CF111" s="16" t="n">
        <f aca="false">IF(BY111=0,"",N(Y111)*N(AD111)+N(Z111)*N(AE111)+N(AA111)*N(AF111)+N(AB111)*N(AG111)+N(AC111)*N(AH111)+N(U111)*N(AI111)+N(V111)*N(AJ111)+N(W111)*N(AK111)+N(X111)*N(AL111)+N(Q111)*N(AM111)+N(R111)*N(AN111)+N(S111)*N(AO111)+N(T111)*N(AP111))</f>
        <v>2.57168304117387</v>
      </c>
      <c r="CG111" s="16" t="n">
        <f aca="false">IF(AND(BY111=1,N(K111)&gt;0),K111,0)</f>
        <v>12.73</v>
      </c>
      <c r="CH111" s="16" t="n">
        <f aca="false">IF(CG111&gt;0,CF111*1000/CG111,"")</f>
        <v>202.01752090918</v>
      </c>
      <c r="CI111" s="16" t="n">
        <f aca="false">IF(BY111=0,"",N(AQ111)+p_road*(N(AR111)+N(AS111)+N(AT111)))</f>
        <v>0.603817144194015</v>
      </c>
      <c r="CJ111" s="16" t="n">
        <f aca="false">IF(CG111&gt;0,CI111*1000/CG111,"")</f>
        <v>47.4326114842117</v>
      </c>
      <c r="CK111" s="12" t="n">
        <f aca="false">IF(CH111="",1,MIN(p_idx_max,MAX(p_idx_min,CH111/p_fc_world)))</f>
        <v>1.25470997172722</v>
      </c>
      <c r="CL111" s="12" t="n">
        <f aca="false">IF(CJ111="",1,MIN(p_idx_max,MAX(p_idx_min,CJ111/p_cb_world)))</f>
        <v>0.901918514876676</v>
      </c>
      <c r="CM111" s="37" t="n">
        <f aca="false">p_b*(1-p_wb_idx+p_wb_idx*CK111)</f>
        <v>0.16687642623972</v>
      </c>
      <c r="CN111" s="37" t="n">
        <f aca="false">p_c*(1-p_wc_idx+p_wc_idx*CL111)</f>
        <v>0.116347488419091</v>
      </c>
      <c r="CO111" s="28" t="n">
        <f aca="false">IF(N(BR111)&gt;0,(N(BS111)+N(BT111)+N(BU111))/BR111,"")</f>
        <v>0.203703703703704</v>
      </c>
      <c r="CP111" s="16" t="n">
        <f aca="false">N(BS111)+N(BT111)+N(BU111)</f>
        <v>2.75</v>
      </c>
      <c r="CQ111" s="28" t="n">
        <f aca="false">IF(CP111&gt;0,N(BS111)/CP111,"")</f>
        <v>0</v>
      </c>
      <c r="CR111" s="28" t="n">
        <f aca="false">IF(CP111&gt;0,N(BT111)/CP111,"")</f>
        <v>1</v>
      </c>
      <c r="CS111" s="28" t="n">
        <f aca="false">IF(CP111&gt;0,N(BU111)/CP111,"")</f>
        <v>0</v>
      </c>
      <c r="CT111" s="7" t="n">
        <f aca="false">1000*(p_sh_pv*p_cf_pv/p_capex_pv+(1-p_sh_pv)*p_cf_wind/p_capex_wind)*8760</f>
        <v>2301.28856624319</v>
      </c>
      <c r="CU111" s="13" t="n">
        <f aca="false">IF(AND(ISNUMBER(CO111),ISNUMBER(CQ111),BY111=1),1,0)</f>
        <v>1</v>
      </c>
      <c r="CV111" s="16" t="n">
        <f aca="false">IF(CU111=0,"",CQ111*p_hr_coal*N(AK111)+CR111*p_hr_gas*N(AO111)+CS111*p_hr_oil*N(AH111)/p_gj_l_oil)</f>
        <v>37.14</v>
      </c>
      <c r="CW111" s="37" t="n">
        <f aca="false">IF(CU111=0,"",CQ111*p_hr_coal*p_ef_coal+CR111*p_hr_gas*p_ef_gas+CS111*p_hr_oil*p_ef_oil)</f>
        <v>0.42075</v>
      </c>
      <c r="CX111" s="16" t="n">
        <f aca="false">IF(CU111=0,"",CQ111*p_hr_coal*N(AW111)+CR111*p_hr_gas*N(AX111)+CS111*p_hr_oil*N(AY111)/p_gj_l_oil)</f>
        <v>0</v>
      </c>
      <c r="CY111" s="37" t="n">
        <f aca="false">IF(CU111=0,"",CO111*CW111)</f>
        <v>0.0857083333333333</v>
      </c>
      <c r="CZ111" s="37" t="n">
        <f aca="false">IF(CU111=0,"",CT111*CO111*CV111/1000/1000-p_om_re)</f>
        <v>0.00241052649727767</v>
      </c>
      <c r="DA111" s="37" t="n">
        <f aca="false">IF(CU111=0,"",CT111*CO111*CX111/1000/1000)</f>
        <v>0</v>
      </c>
      <c r="DB111" s="37" t="n">
        <f aca="false">IF(CU111=0,"",CT111*CO111*CW111/1000)</f>
        <v>0.19723960753176</v>
      </c>
      <c r="DC111" s="13" t="n">
        <f aca="false">IF(AND(CU111=1,ISNUMBER(AD111),ISNUMBER(AV111)),1,0)</f>
        <v>1</v>
      </c>
      <c r="DD111" s="7" t="n">
        <f aca="false">IF(DC111=0,"",p_ev_km*p_ice_l/100*AD111-p_ev_km*p_ev_kwh*AV111+p_ev_km*p_ev_maint)</f>
        <v>942.389775</v>
      </c>
      <c r="DE111" s="37" t="n">
        <f aca="false">IF(DC111=0,"",DD111/p_ev_prem)</f>
        <v>0.188477955</v>
      </c>
      <c r="DF111" s="37" t="n">
        <f aca="false">IF(DC111=0,"",p_ev_km*p_ice_l/100*N(AZ111)/p_ev_prem)</f>
        <v>0.0496296</v>
      </c>
      <c r="DG111" s="37" t="n">
        <f aca="false">IF(DC111=0,"",1000/p_ev_prem*(p_ev_km*p_ice_l/100*p_gj_l_gso*p_ef_gso-p_ev_km*p_ev_kwh/1000*CY111))</f>
        <v>0.486981</v>
      </c>
      <c r="DH111" s="11" t="str">
        <f aca="false">IFERROR(IF(INDEX(Damodaran!$D:$D,MATCH(A111,Damodaran!$A:$A,0))="","",INDEX(Damodaran!$D:$D,MATCH(A111,Damodaran!$A:$A,0))),"")</f>
        <v/>
      </c>
      <c r="DI111" s="11" t="str">
        <f aca="false">IFERROR(IF(INDEX(Damodaran!$E:$E,MATCH(A111,Damodaran!$A:$A,0))="","",INDEX(Damodaran!$E:$E,MATCH(A111,Damodaran!$A:$A,0))),"")</f>
        <v/>
      </c>
      <c r="DJ111" s="11" t="str">
        <f aca="false">IFERROR(IF(INDEX(Damodaran!$G:$G,MATCH(A111,Damodaran!$A:$A,0))="","",INDEX(Damodaran!$G:$G,MATCH(A111,Damodaran!$A:$A,0))),"")</f>
        <v/>
      </c>
      <c r="DK111" s="11" t="str">
        <f aca="false">IF(ISNUMBER(BG111),(1+BG111/100)*(1+p_infl)-1,"")</f>
        <v/>
      </c>
      <c r="DL111" s="11" t="str">
        <f aca="false">IF(ISNUMBER(BH111),BH111/100,"")</f>
        <v/>
      </c>
      <c r="DM111" s="11" t="str">
        <f aca="false">IF(COUNT(DK111,DL111)=0,"",AVERAGE(DK111,DL111))</f>
        <v/>
      </c>
      <c r="DN111" s="11" t="str">
        <f aca="false">IF(OR(DH111="",DI111=""),"",p_dv*(p_rf+DH111)*(1-IF(DJ111="",p_tax_def,DJ111))+(1-p_dv)*(p_rf+p_beta*p_erp+p_lambda*DI111))</f>
        <v/>
      </c>
      <c r="DO111" s="13" t="n">
        <f aca="false">IF(AND(ISNUMBER(DM111),ISNUMBER(DN111)),1,0)</f>
        <v>0</v>
      </c>
      <c r="DP111" s="11" t="n">
        <f aca="false">IF(DO111=1,DM111,0)</f>
        <v>0</v>
      </c>
      <c r="DQ111" s="11" t="n">
        <f aca="false">IF(DO111=1,DN111,0)</f>
        <v>0</v>
      </c>
      <c r="DR111" s="11" t="str">
        <f aca="false">IF(DN111="","",DN111+p_shift)</f>
        <v/>
      </c>
      <c r="DS111" s="11" t="n">
        <f aca="false">IF(E111="AE",p_r_ae,IF(E111="China",p_r_chn,p_r_emdc))</f>
        <v>0.105</v>
      </c>
      <c r="DT111" s="11" t="n">
        <f aca="false">IF(E111="AE",p_rh_ae,IF(E111="China",p_rh_chn,p_rh_emdc))</f>
        <v>0.15</v>
      </c>
      <c r="DU111" s="11" t="n">
        <f aca="false">IF(AND(p_use_obs=1,ISNUMBER(DM111)),DM111,IF(AND(p_use_dam=1,ISNUMBER(DR111)),DR111,DS111))</f>
        <v>0.105</v>
      </c>
      <c r="DV111" s="6" t="str">
        <f aca="false">IF(AND(p_use_obs=1,ISNUMBER(DM111)),"Observed (IRENA/Steffen)",IF(AND(p_use_dam=1,ISNUMBER(DR111)),"Damodaran (eq. 5)","Group default (IHLEG)"))</f>
        <v>Group default (IHLEG)</v>
      </c>
      <c r="DW111" s="11" t="n">
        <f aca="false">IF(p_basis=1,(1+DU111)/(1+p_infl)-1,DU111)</f>
        <v>0.105</v>
      </c>
      <c r="DX111" s="11" t="n">
        <f aca="false">DW111+(DT111-DS111)</f>
        <v>0.15</v>
      </c>
      <c r="DY111" s="28" t="n">
        <f aca="false">IF(AND(p_use_pefa=1,ISNUMBER(BD111)),p_gap_lic-(BD111-1)/3*(p_gap_lic-p_gap_ae),IF(E111="AE",p_gap_ae,IF(D111="Low income",p_gap_lic,p_gap_em)))*(1-p_reform*p_reform_close)</f>
        <v>0.13</v>
      </c>
      <c r="DZ111" s="6" t="str">
        <f aca="false">IF(AND(p_use_pefa=1,ISNUMBER(BD111)),"PEFA PI-11","Income-group default (IMF 2015)")</f>
        <v>PEFA PI-11</v>
      </c>
      <c r="EA111" s="28" t="n">
        <f aca="false">IF(E111="AE",p_ps_ae,IF(E111="China",p_ps_chn,p_ps_emdc))</f>
        <v>0.4</v>
      </c>
      <c r="EB111" s="37" t="n">
        <f aca="false">(1-EA111)+EA111/(1-DY111)</f>
        <v>1.05977011494253</v>
      </c>
      <c r="EC111" s="16" t="n">
        <f aca="false">Results_Country!F111</f>
        <v>2.58373729767571</v>
      </c>
      <c r="ED111" s="16" t="n">
        <f aca="false">IF(CH111="",0,CH111*EC111)</f>
        <v>521.960203557031</v>
      </c>
      <c r="EE111" s="16" t="n">
        <f aca="false">IF(CJ111="",0,CJ111*EC111)</f>
        <v>122.553407417919</v>
      </c>
      <c r="EF111" s="16" t="n">
        <f aca="false">IF(CH111="",0,EC111)</f>
        <v>2.58373729767571</v>
      </c>
    </row>
    <row r="112" customFormat="false" ht="15" hidden="false" customHeight="false" outlineLevel="0" collapsed="false">
      <c r="A112" s="35" t="s">
        <v>981</v>
      </c>
      <c r="B112" s="35" t="s">
        <v>982</v>
      </c>
      <c r="C112" s="35" t="s">
        <v>766</v>
      </c>
      <c r="D112" s="35" t="s">
        <v>760</v>
      </c>
      <c r="E112" s="35" t="s">
        <v>29</v>
      </c>
      <c r="F112" s="36" t="n">
        <v>33.187</v>
      </c>
      <c r="G112" s="36" t="n">
        <v>30.161</v>
      </c>
      <c r="H112" s="33" t="n">
        <v>1.279</v>
      </c>
      <c r="I112" s="33" t="n">
        <v>1.902</v>
      </c>
      <c r="J112" s="36" t="n">
        <v>0.393395</v>
      </c>
      <c r="K112" s="36" t="n">
        <v>3.726</v>
      </c>
      <c r="L112" s="36" t="n">
        <v>4.939</v>
      </c>
      <c r="M112" s="36" t="n">
        <v>13.867</v>
      </c>
      <c r="N112" s="36" t="n">
        <v>20.0109279362713</v>
      </c>
      <c r="O112" s="36" t="n">
        <v>1.0127735672548</v>
      </c>
      <c r="P112" s="36" t="n">
        <v>0.0757927008840479</v>
      </c>
      <c r="Q112" s="31" t="n">
        <v>0</v>
      </c>
      <c r="R112" s="31" t="n">
        <v>0</v>
      </c>
      <c r="S112" s="31" t="n">
        <v>0</v>
      </c>
      <c r="T112" s="31" t="n">
        <v>0</v>
      </c>
      <c r="U112" s="31" t="n">
        <v>0</v>
      </c>
      <c r="V112" s="31" t="n">
        <v>0</v>
      </c>
      <c r="W112" s="31" t="n">
        <v>0</v>
      </c>
      <c r="X112" s="31" t="n">
        <v>0</v>
      </c>
      <c r="Y112" s="36" t="n">
        <v>0.117785998451131</v>
      </c>
      <c r="Z112" s="36" t="n">
        <v>0.501078011171995</v>
      </c>
      <c r="AA112" s="36" t="n">
        <v>0.00533953716052116</v>
      </c>
      <c r="AB112" s="36" t="n">
        <v>0.00881851936129056</v>
      </c>
      <c r="AC112" s="36" t="n">
        <v>0.00395087699459125</v>
      </c>
      <c r="AD112" s="31" t="n">
        <v>0.89776</v>
      </c>
      <c r="AE112" s="31" t="n">
        <v>0.794426</v>
      </c>
      <c r="AF112" s="31" t="n">
        <v>0.564917</v>
      </c>
      <c r="AG112" s="31" t="n">
        <v>0.591</v>
      </c>
      <c r="AH112" s="31" t="n">
        <v>0.519462891908447</v>
      </c>
      <c r="AI112" s="31" t="n">
        <v>7.124</v>
      </c>
      <c r="AJ112" s="31" t="n">
        <v>14.83536</v>
      </c>
      <c r="AK112" s="31" t="n">
        <v>5.346</v>
      </c>
      <c r="AL112" s="31" t="n">
        <v>9.10178666666667</v>
      </c>
      <c r="AM112" s="31" t="n">
        <v>11.404</v>
      </c>
      <c r="AN112" s="31" t="n">
        <v>23.9878</v>
      </c>
      <c r="AO112" s="31" t="n">
        <v>10.08</v>
      </c>
      <c r="AP112" s="31" t="n">
        <v>15.1572666666667</v>
      </c>
      <c r="AQ112" s="36" t="n">
        <v>0.000106601074958823</v>
      </c>
      <c r="AR112" s="36" t="n">
        <v>0.0313019199985999</v>
      </c>
      <c r="AS112" s="36" t="n">
        <v>0.00186060725802904</v>
      </c>
      <c r="AT112" s="36" t="n">
        <v>0</v>
      </c>
      <c r="AU112" s="31" t="n">
        <v>0.999934842708224</v>
      </c>
      <c r="AV112" s="36" t="n">
        <v>0.175336</v>
      </c>
      <c r="AW112" s="31" t="n">
        <v>0.035918</v>
      </c>
      <c r="AX112" s="31" t="n">
        <v>0.010677</v>
      </c>
      <c r="AY112" s="31" t="n">
        <v>0.0592863987640464</v>
      </c>
      <c r="AZ112" s="31" t="n">
        <v>0.002446</v>
      </c>
      <c r="BA112" s="33" t="n">
        <v>60.449</v>
      </c>
      <c r="BB112" s="33" t="n">
        <v>7.227</v>
      </c>
      <c r="BC112" s="33"/>
      <c r="BD112" s="33"/>
      <c r="BE112" s="33"/>
      <c r="BF112" s="33" t="n">
        <v>0</v>
      </c>
      <c r="BG112" s="33"/>
      <c r="BH112" s="33"/>
      <c r="BI112" s="29"/>
      <c r="BJ112" s="33"/>
      <c r="BK112" s="33"/>
      <c r="BL112" s="33"/>
      <c r="BM112" s="33"/>
      <c r="BN112" s="29"/>
      <c r="BO112" s="33"/>
      <c r="BP112" s="33"/>
      <c r="BQ112" s="29" t="n">
        <v>2024</v>
      </c>
      <c r="BR112" s="36" t="n">
        <v>19.05</v>
      </c>
      <c r="BS112" s="36" t="n">
        <v>0</v>
      </c>
      <c r="BT112" s="36" t="n">
        <v>0</v>
      </c>
      <c r="BU112" s="36" t="n">
        <v>0</v>
      </c>
      <c r="BV112" s="16" t="n">
        <f aca="false">F112*(1+N(H112)/100)*(1+N(I112)/100)^5</f>
        <v>36.931839474415</v>
      </c>
      <c r="BW112" s="16" t="n">
        <f aca="false">IF(N(G112)&gt;0,G112,F112)</f>
        <v>30.161</v>
      </c>
      <c r="BX112" s="12" t="n">
        <f aca="false">F112/BW112</f>
        <v>1.10032823845363</v>
      </c>
      <c r="BY112" s="13" t="n">
        <f aca="false">IF(ISNUMBER(K112),1,0)</f>
        <v>1</v>
      </c>
      <c r="BZ112" s="16" t="n">
        <f aca="false">IF(BY112=0,"",N(N112)+N(O112)+N(P112))</f>
        <v>21.0994942044101</v>
      </c>
      <c r="CA112" s="37" t="n">
        <f aca="false">IF(BY112=0,"",(N(Y112)*34.2+N(Z112)*38.6)/1000)</f>
        <v>0.0233698923782677</v>
      </c>
      <c r="CB112" s="37" t="n">
        <f aca="false">IF(BY112=0,"",N(O112)*0.0036+N(R112)+N(V112)+(N(AA112)*25.3+N(AB112)*37)/1000)</f>
        <v>0.00410736034864622</v>
      </c>
      <c r="CC112" s="37" t="n">
        <f aca="false">IF(BY112=0,"",N(N112)*0.0036+N(Q112)+N(U112)+N(T112)+N(X112)+N(AC112)*38/1000)</f>
        <v>0.0721894738963711</v>
      </c>
      <c r="CD112" s="37" t="n">
        <f aca="false">IF(BY112=0,"",N(Q112)+N(R112)+N(S112)+N(T112)+N(U112)+N(V112)+N(W112)+N(X112)+(N(Y112)*34.2+N(Z112)*38.6+N(AA112)*25.3+N(AB112)*37+N(AC112)*38)/1000)</f>
        <v>0.0239814012105911</v>
      </c>
      <c r="CE112" s="16" t="n">
        <f aca="false">IF(BY112=0,"",MAX(0,N(L112)-N(K112))+MAX(0,N(M112)-N(L112)))</f>
        <v>10.141</v>
      </c>
      <c r="CF112" s="16" t="n">
        <f aca="false">IF(BY112=0,"",N(Y112)*N(AD112)+N(Z112)*N(AE112)+N(AA112)*N(AF112)+N(AB112)*N(AG112)+N(AC112)*N(AH112)+N(U112)*N(AI112)+N(V112)*N(AJ112)+N(W112)*N(AK112)+N(X112)*N(AL112)+N(Q112)*N(AM112)+N(R112)*N(AN112)+N(S112)*N(AO112)+N(T112)*N(AP112))</f>
        <v>0.514093432318629</v>
      </c>
      <c r="CG112" s="16" t="n">
        <f aca="false">IF(AND(BY112=1,N(K112)&gt;0),K112,0)</f>
        <v>3.726</v>
      </c>
      <c r="CH112" s="16" t="n">
        <f aca="false">IF(CG112&gt;0,CF112*1000/CG112,"")</f>
        <v>137.97461951654</v>
      </c>
      <c r="CI112" s="16" t="n">
        <f aca="false">IF(BY112=0,"",N(AQ112)+p_road*(N(AR112)+N(AS112)+N(AT112)))</f>
        <v>0.000106601074958823</v>
      </c>
      <c r="CJ112" s="16" t="n">
        <f aca="false">IF(CG112&gt;0,CI112*1000/CG112,"")</f>
        <v>0.0286100576915788</v>
      </c>
      <c r="CK112" s="12" t="n">
        <f aca="false">IF(CH112="",1,MIN(p_idx_max,MAX(p_idx_min,CH112/p_fc_world)))</f>
        <v>0.856946121175794</v>
      </c>
      <c r="CL112" s="12" t="n">
        <f aca="false">IF(CJ112="",1,MIN(p_idx_max,MAX(p_idx_min,CJ112/p_cb_world)))</f>
        <v>0.25</v>
      </c>
      <c r="CM112" s="37" t="n">
        <f aca="false">p_b*(1-p_wb_idx+p_wb_idx*CK112)</f>
        <v>0.113973834116381</v>
      </c>
      <c r="CN112" s="37" t="n">
        <f aca="false">p_c*(1-p_wc_idx+p_wc_idx*CL112)</f>
        <v>0.03225</v>
      </c>
      <c r="CO112" s="28" t="n">
        <f aca="false">IF(N(BR112)&gt;0,(N(BS112)+N(BT112)+N(BU112))/BR112,"")</f>
        <v>0</v>
      </c>
      <c r="CP112" s="16" t="n">
        <f aca="false">N(BS112)+N(BT112)+N(BU112)</f>
        <v>0</v>
      </c>
      <c r="CQ112" s="28" t="str">
        <f aca="false">IF(CP112&gt;0,N(BS112)/CP112,"")</f>
        <v/>
      </c>
      <c r="CR112" s="28" t="str">
        <f aca="false">IF(CP112&gt;0,N(BT112)/CP112,"")</f>
        <v/>
      </c>
      <c r="CS112" s="28" t="str">
        <f aca="false">IF(CP112&gt;0,N(BU112)/CP112,"")</f>
        <v/>
      </c>
      <c r="CT112" s="7" t="n">
        <f aca="false">1000*(p_sh_pv*p_cf_pv/p_capex_pv+(1-p_sh_pv)*p_cf_wind/p_capex_wind)*8760</f>
        <v>2301.28856624319</v>
      </c>
      <c r="CU112" s="13" t="n">
        <f aca="false">IF(AND(ISNUMBER(CO112),ISNUMBER(CQ112),BY112=1),1,0)</f>
        <v>0</v>
      </c>
      <c r="CV112" s="16" t="str">
        <f aca="false">IF(CU112=0,"",CQ112*p_hr_coal*N(AK112)+CR112*p_hr_gas*N(AO112)+CS112*p_hr_oil*N(AH112)/p_gj_l_oil)</f>
        <v/>
      </c>
      <c r="CW112" s="37" t="str">
        <f aca="false">IF(CU112=0,"",CQ112*p_hr_coal*p_ef_coal+CR112*p_hr_gas*p_ef_gas+CS112*p_hr_oil*p_ef_oil)</f>
        <v/>
      </c>
      <c r="CX112" s="16" t="str">
        <f aca="false">IF(CU112=0,"",CQ112*p_hr_coal*N(AW112)+CR112*p_hr_gas*N(AX112)+CS112*p_hr_oil*N(AY112)/p_gj_l_oil)</f>
        <v/>
      </c>
      <c r="CY112" s="37" t="str">
        <f aca="false">IF(CU112=0,"",CO112*CW112)</f>
        <v/>
      </c>
      <c r="CZ112" s="37" t="str">
        <f aca="false">IF(CU112=0,"",CT112*CO112*CV112/1000/1000-p_om_re)</f>
        <v/>
      </c>
      <c r="DA112" s="37" t="str">
        <f aca="false">IF(CU112=0,"",CT112*CO112*CX112/1000/1000)</f>
        <v/>
      </c>
      <c r="DB112" s="37" t="str">
        <f aca="false">IF(CU112=0,"",CT112*CO112*CW112/1000)</f>
        <v/>
      </c>
      <c r="DC112" s="13" t="n">
        <f aca="false">IF(AND(CU112=1,ISNUMBER(AD112),ISNUMBER(AV112)),1,0)</f>
        <v>0</v>
      </c>
      <c r="DD112" s="7" t="str">
        <f aca="false">IF(DC112=0,"",p_ev_km*p_ice_l/100*AD112-p_ev_km*p_ev_kwh*AV112+p_ev_km*p_ev_maint)</f>
        <v/>
      </c>
      <c r="DE112" s="37" t="str">
        <f aca="false">IF(DC112=0,"",DD112/p_ev_prem)</f>
        <v/>
      </c>
      <c r="DF112" s="37" t="str">
        <f aca="false">IF(DC112=0,"",p_ev_km*p_ice_l/100*N(AZ112)/p_ev_prem)</f>
        <v/>
      </c>
      <c r="DG112" s="37" t="str">
        <f aca="false">IF(DC112=0,"",1000/p_ev_prem*(p_ev_km*p_ice_l/100*p_gj_l_gso*p_ef_gso-p_ev_km*p_ev_kwh/1000*CY112))</f>
        <v/>
      </c>
      <c r="DH112" s="11" t="str">
        <f aca="false">IFERROR(IF(INDEX(Damodaran!$D:$D,MATCH(A112,Damodaran!$A:$A,0))="","",INDEX(Damodaran!$D:$D,MATCH(A112,Damodaran!$A:$A,0))),"")</f>
        <v/>
      </c>
      <c r="DI112" s="11" t="str">
        <f aca="false">IFERROR(IF(INDEX(Damodaran!$E:$E,MATCH(A112,Damodaran!$A:$A,0))="","",INDEX(Damodaran!$E:$E,MATCH(A112,Damodaran!$A:$A,0))),"")</f>
        <v/>
      </c>
      <c r="DJ112" s="11" t="str">
        <f aca="false">IFERROR(IF(INDEX(Damodaran!$G:$G,MATCH(A112,Damodaran!$A:$A,0))="","",INDEX(Damodaran!$G:$G,MATCH(A112,Damodaran!$A:$A,0))),"")</f>
        <v/>
      </c>
      <c r="DK112" s="11" t="str">
        <f aca="false">IF(ISNUMBER(BG112),(1+BG112/100)*(1+p_infl)-1,"")</f>
        <v/>
      </c>
      <c r="DL112" s="11" t="str">
        <f aca="false">IF(ISNUMBER(BH112),BH112/100,"")</f>
        <v/>
      </c>
      <c r="DM112" s="11" t="str">
        <f aca="false">IF(COUNT(DK112,DL112)=0,"",AVERAGE(DK112,DL112))</f>
        <v/>
      </c>
      <c r="DN112" s="11" t="str">
        <f aca="false">IF(OR(DH112="",DI112=""),"",p_dv*(p_rf+DH112)*(1-IF(DJ112="",p_tax_def,DJ112))+(1-p_dv)*(p_rf+p_beta*p_erp+p_lambda*DI112))</f>
        <v/>
      </c>
      <c r="DO112" s="13" t="n">
        <f aca="false">IF(AND(ISNUMBER(DM112),ISNUMBER(DN112)),1,0)</f>
        <v>0</v>
      </c>
      <c r="DP112" s="11" t="n">
        <f aca="false">IF(DO112=1,DM112,0)</f>
        <v>0</v>
      </c>
      <c r="DQ112" s="11" t="n">
        <f aca="false">IF(DO112=1,DN112,0)</f>
        <v>0</v>
      </c>
      <c r="DR112" s="11" t="str">
        <f aca="false">IF(DN112="","",DN112+p_shift)</f>
        <v/>
      </c>
      <c r="DS112" s="11" t="n">
        <f aca="false">IF(E112="AE",p_r_ae,IF(E112="China",p_r_chn,p_r_emdc))</f>
        <v>0.055</v>
      </c>
      <c r="DT112" s="11" t="n">
        <f aca="false">IF(E112="AE",p_rh_ae,IF(E112="China",p_rh_chn,p_rh_emdc))</f>
        <v>0.07</v>
      </c>
      <c r="DU112" s="11" t="n">
        <f aca="false">IF(AND(p_use_obs=1,ISNUMBER(DM112)),DM112,IF(AND(p_use_dam=1,ISNUMBER(DR112)),DR112,DS112))</f>
        <v>0.055</v>
      </c>
      <c r="DV112" s="6" t="str">
        <f aca="false">IF(AND(p_use_obs=1,ISNUMBER(DM112)),"Observed (IRENA/Steffen)",IF(AND(p_use_dam=1,ISNUMBER(DR112)),"Damodaran (eq. 5)","Group default (IHLEG)"))</f>
        <v>Group default (IHLEG)</v>
      </c>
      <c r="DW112" s="11" t="n">
        <f aca="false">IF(p_basis=1,(1+DU112)/(1+p_infl)-1,DU112)</f>
        <v>0.055</v>
      </c>
      <c r="DX112" s="11" t="n">
        <f aca="false">DW112+(DT112-DS112)</f>
        <v>0.07</v>
      </c>
      <c r="DY112" s="28" t="n">
        <f aca="false">IF(AND(p_use_pefa=1,ISNUMBER(BD112)),p_gap_lic-(BD112-1)/3*(p_gap_lic-p_gap_ae),IF(E112="AE",p_gap_ae,IF(D112="Low income",p_gap_lic,p_gap_em)))*(1-p_reform*p_reform_close)</f>
        <v>0.13</v>
      </c>
      <c r="DZ112" s="6" t="str">
        <f aca="false">IF(AND(p_use_pefa=1,ISNUMBER(BD112)),"PEFA PI-11","Income-group default (IMF 2015)")</f>
        <v>Income-group default (IMF 2015)</v>
      </c>
      <c r="EA112" s="28" t="n">
        <f aca="false">IF(E112="AE",p_ps_ae,IF(E112="China",p_ps_chn,p_ps_emdc))</f>
        <v>0.3</v>
      </c>
      <c r="EB112" s="37" t="n">
        <f aca="false">(1-EA112)+EA112/(1-DY112)</f>
        <v>1.0448275862069</v>
      </c>
      <c r="EC112" s="16" t="n">
        <f aca="false">Results_Country!F112</f>
        <v>2.55011043198816</v>
      </c>
      <c r="ED112" s="16" t="n">
        <f aca="false">IF(CH112="",0,CH112*EC112)</f>
        <v>351.850516578726</v>
      </c>
      <c r="EE112" s="16" t="n">
        <f aca="false">IF(CJ112="",0,CJ112*EC112)</f>
        <v>0.0729588065790781</v>
      </c>
      <c r="EF112" s="16" t="n">
        <f aca="false">IF(CH112="",0,EC112)</f>
        <v>2.55011043198816</v>
      </c>
    </row>
    <row r="113" customFormat="false" ht="15" hidden="false" customHeight="false" outlineLevel="0" collapsed="false">
      <c r="A113" s="35" t="s">
        <v>983</v>
      </c>
      <c r="B113" s="35" t="s">
        <v>984</v>
      </c>
      <c r="C113" s="35" t="s">
        <v>847</v>
      </c>
      <c r="D113" s="35" t="s">
        <v>771</v>
      </c>
      <c r="E113" s="35" t="s">
        <v>31</v>
      </c>
      <c r="F113" s="36" t="n">
        <v>32.829</v>
      </c>
      <c r="G113" s="36" t="n">
        <v>94.026</v>
      </c>
      <c r="H113" s="33" t="n">
        <v>7.881</v>
      </c>
      <c r="I113" s="33" t="n">
        <v>2.173</v>
      </c>
      <c r="J113" s="36" t="n">
        <v>18.501984</v>
      </c>
      <c r="K113" s="36" t="n">
        <v>12.667</v>
      </c>
      <c r="L113" s="36" t="n">
        <v>32.036</v>
      </c>
      <c r="M113" s="36" t="n">
        <v>36.347</v>
      </c>
      <c r="N113" s="36" t="n">
        <v>3.56016802967981</v>
      </c>
      <c r="O113" s="36" t="n">
        <v>3.05570849458564</v>
      </c>
      <c r="P113" s="36" t="n">
        <v>0</v>
      </c>
      <c r="Q113" s="31" t="n">
        <v>0</v>
      </c>
      <c r="R113" s="31" t="n">
        <v>0</v>
      </c>
      <c r="S113" s="31" t="n">
        <v>0.0447752058858001</v>
      </c>
      <c r="T113" s="31" t="n">
        <v>0</v>
      </c>
      <c r="U113" s="31" t="n">
        <v>0.0161074766194125</v>
      </c>
      <c r="V113" s="31" t="n">
        <v>0</v>
      </c>
      <c r="W113" s="31" t="n">
        <v>0.0119597517821696</v>
      </c>
      <c r="X113" s="31" t="n">
        <v>0</v>
      </c>
      <c r="Y113" s="36" t="n">
        <v>0.560469359646836</v>
      </c>
      <c r="Z113" s="36" t="n">
        <v>1.20503050290235</v>
      </c>
      <c r="AA113" s="36" t="n">
        <v>0.380961537490594</v>
      </c>
      <c r="AB113" s="36" t="n">
        <v>0.0100716999325299</v>
      </c>
      <c r="AC113" s="36" t="n">
        <v>0.255747946281701</v>
      </c>
      <c r="AD113" s="31" t="n">
        <v>0.829188</v>
      </c>
      <c r="AE113" s="31" t="n">
        <v>0.834818</v>
      </c>
      <c r="AF113" s="31" t="n">
        <v>0.59803</v>
      </c>
      <c r="AG113" s="31" t="n">
        <v>0.69738</v>
      </c>
      <c r="AH113" s="31" t="n">
        <v>0.519462891908447</v>
      </c>
      <c r="AI113" s="31" t="n">
        <v>7.124</v>
      </c>
      <c r="AJ113" s="31" t="n">
        <v>14.38774</v>
      </c>
      <c r="AK113" s="31" t="n">
        <v>5.575</v>
      </c>
      <c r="AL113" s="31" t="n">
        <v>6.46395422542197</v>
      </c>
      <c r="AM113" s="31" t="n">
        <v>6.274</v>
      </c>
      <c r="AN113" s="31" t="n">
        <v>12.0891</v>
      </c>
      <c r="AO113" s="31" t="n">
        <v>5.613</v>
      </c>
      <c r="AP113" s="31" t="n">
        <v>5.613</v>
      </c>
      <c r="AQ113" s="36" t="n">
        <v>0.00687206174617841</v>
      </c>
      <c r="AR113" s="36" t="n">
        <v>0.0620944001246706</v>
      </c>
      <c r="AS113" s="36" t="n">
        <v>0.321081828645933</v>
      </c>
      <c r="AT113" s="36" t="n">
        <v>0.110681526587583</v>
      </c>
      <c r="AU113" s="31" t="n">
        <v>0.283993625939489</v>
      </c>
      <c r="AV113" s="36" t="n">
        <v>0.174852</v>
      </c>
      <c r="AW113" s="31" t="n">
        <v>6.1E-005</v>
      </c>
      <c r="AX113" s="31" t="n">
        <v>0</v>
      </c>
      <c r="AY113" s="31" t="n">
        <v>0.00477985032772136</v>
      </c>
      <c r="AZ113" s="31" t="n">
        <v>0.001562</v>
      </c>
      <c r="BA113" s="33" t="n">
        <v>132.395</v>
      </c>
      <c r="BB113" s="33" t="n">
        <v>20.532</v>
      </c>
      <c r="BC113" s="33" t="n">
        <v>100</v>
      </c>
      <c r="BD113" s="33" t="n">
        <v>1.5</v>
      </c>
      <c r="BE113" s="33" t="n">
        <v>1</v>
      </c>
      <c r="BF113" s="33" t="n">
        <v>0</v>
      </c>
      <c r="BG113" s="33" t="n">
        <v>4.3</v>
      </c>
      <c r="BH113" s="33" t="n">
        <v>9</v>
      </c>
      <c r="BI113" s="29" t="n">
        <v>2022</v>
      </c>
      <c r="BJ113" s="33" t="n">
        <v>3</v>
      </c>
      <c r="BK113" s="33" t="n">
        <v>1</v>
      </c>
      <c r="BL113" s="33" t="n">
        <v>3.959</v>
      </c>
      <c r="BM113" s="33" t="n">
        <v>6.367</v>
      </c>
      <c r="BN113" s="29" t="n">
        <v>11.857</v>
      </c>
      <c r="BO113" s="33" t="n">
        <v>2.18</v>
      </c>
      <c r="BP113" s="33" t="n">
        <v>1.365</v>
      </c>
      <c r="BQ113" s="29" t="n">
        <v>2024</v>
      </c>
      <c r="BR113" s="36" t="n">
        <v>7.63</v>
      </c>
      <c r="BS113" s="36" t="n">
        <v>0.1</v>
      </c>
      <c r="BT113" s="36" t="n">
        <v>0.02</v>
      </c>
      <c r="BU113" s="36" t="n">
        <v>6</v>
      </c>
      <c r="BV113" s="16" t="n">
        <f aca="false">F113*(1+N(H113)/100)*(1+N(I113)/100)^5</f>
        <v>39.4351360946718</v>
      </c>
      <c r="BW113" s="16" t="n">
        <f aca="false">IF(N(G113)&gt;0,G113,F113)</f>
        <v>94.026</v>
      </c>
      <c r="BX113" s="12" t="n">
        <f aca="false">F113/BW113</f>
        <v>0.349148107970136</v>
      </c>
      <c r="BY113" s="13" t="n">
        <f aca="false">IF(ISNUMBER(K113),1,0)</f>
        <v>1</v>
      </c>
      <c r="BZ113" s="16" t="n">
        <f aca="false">IF(BY113=0,"",N(N113)+N(O113)+N(P113))</f>
        <v>6.61587652426545</v>
      </c>
      <c r="CA113" s="37" t="n">
        <f aca="false">IF(BY113=0,"",(N(Y113)*34.2+N(Z113)*38.6)/1000)</f>
        <v>0.0656822295119524</v>
      </c>
      <c r="CB113" s="37" t="n">
        <f aca="false">IF(BY113=0,"",N(O113)*0.0036+N(R113)+N(V113)+(N(AA113)*25.3+N(AB113)*37)/1000)</f>
        <v>0.0210115303765239</v>
      </c>
      <c r="CC113" s="37" t="n">
        <f aca="false">IF(BY113=0,"",N(N113)*0.0036+N(Q113)+N(U113)+N(T113)+N(X113)+N(AC113)*38/1000)</f>
        <v>0.0386425034849645</v>
      </c>
      <c r="CD113" s="37" t="n">
        <f aca="false">IF(BY113=0,"",N(Q113)+N(R113)+N(S113)+N(T113)+N(U113)+N(V113)+N(W113)+N(X113)+(N(Y113)*34.2+N(Z113)*38.6+N(AA113)*25.3+N(AB113)*37+N(AC113)*38)/1000)</f>
        <v>0.158254065554055</v>
      </c>
      <c r="CE113" s="16" t="n">
        <f aca="false">IF(BY113=0,"",MAX(0,N(L113)-N(K113))+MAX(0,N(M113)-N(L113)))</f>
        <v>23.68</v>
      </c>
      <c r="CF113" s="16" t="n">
        <f aca="false">IF(BY113=0,"",N(Y113)*N(AD113)+N(Z113)*N(AE113)+N(AA113)*N(AF113)+N(AB113)*N(AG113)+N(AC113)*N(AH113)+N(U113)*N(AI113)+N(V113)*N(AJ113)+N(W113)*N(AK113)+N(X113)*N(AL113)+N(Q113)*N(AM113)+N(R113)*N(AN113)+N(S113)*N(AO113)+N(T113)*N(AP113))</f>
        <v>2.27116593015764</v>
      </c>
      <c r="CG113" s="16" t="n">
        <f aca="false">IF(AND(BY113=1,N(K113)&gt;0),K113,0)</f>
        <v>12.667</v>
      </c>
      <c r="CH113" s="16" t="n">
        <f aca="false">IF(CG113&gt;0,CF113*1000/CG113,"")</f>
        <v>179.297855068891</v>
      </c>
      <c r="CI113" s="16" t="n">
        <f aca="false">IF(BY113=0,"",N(AQ113)+p_road*(N(AR113)+N(AS113)+N(AT113)))</f>
        <v>0.00687206174617841</v>
      </c>
      <c r="CJ113" s="16" t="n">
        <f aca="false">IF(CG113&gt;0,CI113*1000/CG113,"")</f>
        <v>0.542516913726881</v>
      </c>
      <c r="CK113" s="12" t="n">
        <f aca="false">IF(CH113="",1,MIN(p_idx_max,MAX(p_idx_min,CH113/p_fc_world)))</f>
        <v>1.11360047213616</v>
      </c>
      <c r="CL113" s="12" t="n">
        <f aca="false">IF(CJ113="",1,MIN(p_idx_max,MAX(p_idx_min,CJ113/p_cb_world)))</f>
        <v>0.25</v>
      </c>
      <c r="CM113" s="37" t="n">
        <f aca="false">p_b*(1-p_wb_idx+p_wb_idx*CK113)</f>
        <v>0.148108862794109</v>
      </c>
      <c r="CN113" s="37" t="n">
        <f aca="false">p_c*(1-p_wc_idx+p_wc_idx*CL113)</f>
        <v>0.03225</v>
      </c>
      <c r="CO113" s="28" t="n">
        <f aca="false">IF(N(BR113)&gt;0,(N(BS113)+N(BT113)+N(BU113))/BR113,"")</f>
        <v>0.802096985583224</v>
      </c>
      <c r="CP113" s="16" t="n">
        <f aca="false">N(BS113)+N(BT113)+N(BU113)</f>
        <v>6.12</v>
      </c>
      <c r="CQ113" s="28" t="n">
        <f aca="false">IF(CP113&gt;0,N(BS113)/CP113,"")</f>
        <v>0.0163398692810458</v>
      </c>
      <c r="CR113" s="28" t="n">
        <f aca="false">IF(CP113&gt;0,N(BT113)/CP113,"")</f>
        <v>0.00326797385620915</v>
      </c>
      <c r="CS113" s="28" t="n">
        <f aca="false">IF(CP113&gt;0,N(BU113)/CP113,"")</f>
        <v>0.980392156862745</v>
      </c>
      <c r="CT113" s="7" t="n">
        <f aca="false">1000*(p_sh_pv*p_cf_pv/p_capex_pv+(1-p_sh_pv)*p_cf_wind/p_capex_wind)*8760</f>
        <v>2301.28856624319</v>
      </c>
      <c r="CU113" s="13" t="n">
        <f aca="false">IF(AND(ISNUMBER(CO113),ISNUMBER(CQ113),BY113=1),1,0)</f>
        <v>1</v>
      </c>
      <c r="CV113" s="16" t="n">
        <f aca="false">IF(CU113=0,"",CQ113*p_hr_coal*N(AK113)+CR113*p_hr_gas*N(AO113)+CS113*p_hr_oil*N(AH113)/p_gj_l_oil)</f>
        <v>139.582514054963</v>
      </c>
      <c r="CW113" s="37" t="n">
        <f aca="false">IF(CU113=0,"",CQ113*p_hr_coal*p_ef_coal+CR113*p_hr_gas*p_ef_gas+CS113*p_hr_oil*p_ef_oil)</f>
        <v>0.813597222222222</v>
      </c>
      <c r="CX113" s="16" t="n">
        <f aca="false">IF(CU113=0,"",CQ113*p_hr_coal*N(AW113)+CR113*p_hr_gas*N(AX113)+CS113*p_hr_oil*N(AY113)/p_gj_l_oil)</f>
        <v>1.2747338431984</v>
      </c>
      <c r="CY113" s="37" t="n">
        <f aca="false">IF(CU113=0,"",CO113*CW113)</f>
        <v>0.652583879423329</v>
      </c>
      <c r="CZ113" s="37" t="n">
        <f aca="false">IF(CU113=0,"",CT113*CO113*CV113/1000/1000-p_om_re)</f>
        <v>0.2426493078755</v>
      </c>
      <c r="DA113" s="37" t="n">
        <f aca="false">IF(CU113=0,"",CT113*CO113*CX113/1000/1000)</f>
        <v>0.00235297590567983</v>
      </c>
      <c r="DB113" s="37" t="n">
        <f aca="false">IF(CU113=0,"",CT113*CO113*CW113/1000)</f>
        <v>1.50178382023153</v>
      </c>
      <c r="DC113" s="13" t="n">
        <f aca="false">IF(AND(CU113=1,ISNUMBER(AD113),ISNUMBER(AV113)),1,0)</f>
        <v>1</v>
      </c>
      <c r="DD113" s="7" t="n">
        <f aca="false">IF(DC113=0,"",p_ev_km*p_ice_l/100*AD113-p_ev_km*p_ev_kwh*AV113+p_ev_km*p_ev_maint)</f>
        <v>640.7361</v>
      </c>
      <c r="DE113" s="37" t="n">
        <f aca="false">IF(DC113=0,"",DD113/p_ev_prem)</f>
        <v>0.12814722</v>
      </c>
      <c r="DF113" s="37" t="n">
        <f aca="false">IF(DC113=0,"",p_ev_km*p_ice_l/100*N(AZ113)/p_ev_prem)</f>
        <v>0.00035145</v>
      </c>
      <c r="DG113" s="37" t="n">
        <f aca="false">IF(DC113=0,"",1000/p_ev_prem*(p_ev_km*p_ice_l/100*p_gj_l_gso*p_ef_gso-p_ev_km*p_ev_kwh/1000*CY113))</f>
        <v>0.180868205111402</v>
      </c>
      <c r="DH113" s="11" t="str">
        <f aca="false">IFERROR(IF(INDEX(Damodaran!$D:$D,MATCH(A113,Damodaran!$A:$A,0))="","",INDEX(Damodaran!$D:$D,MATCH(A113,Damodaran!$A:$A,0))),"")</f>
        <v/>
      </c>
      <c r="DI113" s="11" t="str">
        <f aca="false">IFERROR(IF(INDEX(Damodaran!$E:$E,MATCH(A113,Damodaran!$A:$A,0))="","",INDEX(Damodaran!$E:$E,MATCH(A113,Damodaran!$A:$A,0))),"")</f>
        <v/>
      </c>
      <c r="DJ113" s="11" t="str">
        <f aca="false">IFERROR(IF(INDEX(Damodaran!$G:$G,MATCH(A113,Damodaran!$A:$A,0))="","",INDEX(Damodaran!$G:$G,MATCH(A113,Damodaran!$A:$A,0))),"")</f>
        <v/>
      </c>
      <c r="DK113" s="11" t="n">
        <f aca="false">IF(ISNUMBER(BG113),(1+BG113/100)*(1+p_infl)-1,"")</f>
        <v>0.06386</v>
      </c>
      <c r="DL113" s="11" t="n">
        <f aca="false">IF(ISNUMBER(BH113),BH113/100,"")</f>
        <v>0.09</v>
      </c>
      <c r="DM113" s="11" t="n">
        <f aca="false">IF(COUNT(DK113,DL113)=0,"",AVERAGE(DK113,DL113))</f>
        <v>0.07693</v>
      </c>
      <c r="DN113" s="11" t="str">
        <f aca="false">IF(OR(DH113="",DI113=""),"",p_dv*(p_rf+DH113)*(1-IF(DJ113="",p_tax_def,DJ113))+(1-p_dv)*(p_rf+p_beta*p_erp+p_lambda*DI113))</f>
        <v/>
      </c>
      <c r="DO113" s="13" t="n">
        <f aca="false">IF(AND(ISNUMBER(DM113),ISNUMBER(DN113)),1,0)</f>
        <v>0</v>
      </c>
      <c r="DP113" s="11" t="n">
        <f aca="false">IF(DO113=1,DM113,0)</f>
        <v>0</v>
      </c>
      <c r="DQ113" s="11" t="n">
        <f aca="false">IF(DO113=1,DN113,0)</f>
        <v>0</v>
      </c>
      <c r="DR113" s="11" t="str">
        <f aca="false">IF(DN113="","",DN113+p_shift)</f>
        <v/>
      </c>
      <c r="DS113" s="11" t="n">
        <f aca="false">IF(E113="AE",p_r_ae,IF(E113="China",p_r_chn,p_r_emdc))</f>
        <v>0.105</v>
      </c>
      <c r="DT113" s="11" t="n">
        <f aca="false">IF(E113="AE",p_rh_ae,IF(E113="China",p_rh_chn,p_rh_emdc))</f>
        <v>0.15</v>
      </c>
      <c r="DU113" s="11" t="n">
        <f aca="false">IF(AND(p_use_obs=1,ISNUMBER(DM113)),DM113,IF(AND(p_use_dam=1,ISNUMBER(DR113)),DR113,DS113))</f>
        <v>0.07693</v>
      </c>
      <c r="DV113" s="6" t="str">
        <f aca="false">IF(AND(p_use_obs=1,ISNUMBER(DM113)),"Observed (IRENA/Steffen)",IF(AND(p_use_dam=1,ISNUMBER(DR113)),"Damodaran (eq. 5)","Group default (IHLEG)"))</f>
        <v>Observed (IRENA/Steffen)</v>
      </c>
      <c r="DW113" s="11" t="n">
        <f aca="false">IF(p_basis=1,(1+DU113)/(1+p_infl)-1,DU113)</f>
        <v>0.07693</v>
      </c>
      <c r="DX113" s="11" t="n">
        <f aca="false">DW113+(DT113-DS113)</f>
        <v>0.12193</v>
      </c>
      <c r="DY113" s="28" t="n">
        <f aca="false">IF(AND(p_use_pefa=1,ISNUMBER(BD113)),p_gap_lic-(BD113-1)/3*(p_gap_lic-p_gap_ae),IF(E113="AE",p_gap_ae,IF(D113="Low income",p_gap_lic,p_gap_em)))*(1-p_reform*p_reform_close)</f>
        <v>0.355</v>
      </c>
      <c r="DZ113" s="6" t="str">
        <f aca="false">IF(AND(p_use_pefa=1,ISNUMBER(BD113)),"PEFA PI-11","Income-group default (IMF 2015)")</f>
        <v>PEFA PI-11</v>
      </c>
      <c r="EA113" s="28" t="n">
        <f aca="false">IF(E113="AE",p_ps_ae,IF(E113="China",p_ps_chn,p_ps_emdc))</f>
        <v>0.4</v>
      </c>
      <c r="EB113" s="37" t="n">
        <f aca="false">(1-EA113)+EA113/(1-DY113)</f>
        <v>1.22015503875969</v>
      </c>
      <c r="EC113" s="16" t="n">
        <f aca="false">Results_Country!F113</f>
        <v>2.20287106504952</v>
      </c>
      <c r="ED113" s="16" t="n">
        <f aca="false">IF(CH113="",0,CH113*EC113)</f>
        <v>394.970056956703</v>
      </c>
      <c r="EE113" s="16" t="n">
        <f aca="false">IF(CJ113="",0,CJ113*EC113)</f>
        <v>1.19509481154891</v>
      </c>
      <c r="EF113" s="16" t="n">
        <f aca="false">IF(CH113="",0,EC113)</f>
        <v>2.20287106504952</v>
      </c>
    </row>
    <row r="114" customFormat="false" ht="15" hidden="false" customHeight="false" outlineLevel="0" collapsed="false">
      <c r="A114" s="35" t="s">
        <v>985</v>
      </c>
      <c r="B114" s="35" t="s">
        <v>986</v>
      </c>
      <c r="C114" s="35" t="s">
        <v>762</v>
      </c>
      <c r="D114" s="35" t="s">
        <v>771</v>
      </c>
      <c r="E114" s="35" t="s">
        <v>31</v>
      </c>
      <c r="F114" s="36" t="n">
        <v>30.756</v>
      </c>
      <c r="G114" s="36" t="n">
        <v>44.942</v>
      </c>
      <c r="H114" s="33" t="n">
        <v>5.637</v>
      </c>
      <c r="I114" s="33" t="n">
        <v>3.753</v>
      </c>
      <c r="J114" s="36" t="n">
        <v>10.576501</v>
      </c>
      <c r="K114" s="36" t="n">
        <v>4.547</v>
      </c>
      <c r="L114" s="36" t="n">
        <v>8.857</v>
      </c>
      <c r="M114" s="36" t="n">
        <v>41.144</v>
      </c>
      <c r="N114" s="36" t="n">
        <v>4.37442129983808</v>
      </c>
      <c r="O114" s="36" t="n">
        <v>0.586559297627125</v>
      </c>
      <c r="P114" s="36" t="n">
        <v>0</v>
      </c>
      <c r="Q114" s="31" t="n">
        <v>0.0277003585545979</v>
      </c>
      <c r="R114" s="31" t="n">
        <v>0</v>
      </c>
      <c r="S114" s="31" t="n">
        <v>0.0264578526840806</v>
      </c>
      <c r="T114" s="31" t="n">
        <v>0</v>
      </c>
      <c r="U114" s="31" t="n">
        <v>0</v>
      </c>
      <c r="V114" s="31" t="n">
        <v>0</v>
      </c>
      <c r="W114" s="31" t="n">
        <v>0</v>
      </c>
      <c r="X114" s="31" t="n">
        <v>0</v>
      </c>
      <c r="Y114" s="36" t="n">
        <v>0.137060505408142</v>
      </c>
      <c r="Z114" s="36" t="n">
        <v>1.21685831152344</v>
      </c>
      <c r="AA114" s="36" t="n">
        <v>0.0099839786245564</v>
      </c>
      <c r="AB114" s="36" t="n">
        <v>0.17307323998803</v>
      </c>
      <c r="AC114" s="36" t="n">
        <v>0.141817757026915</v>
      </c>
      <c r="AD114" s="31" t="n">
        <v>0.792</v>
      </c>
      <c r="AE114" s="31" t="n">
        <v>0.740025</v>
      </c>
      <c r="AF114" s="31" t="n">
        <v>0.5355</v>
      </c>
      <c r="AG114" s="31" t="n">
        <v>0.690033</v>
      </c>
      <c r="AH114" s="31" t="n">
        <v>0.543345303403777</v>
      </c>
      <c r="AI114" s="31" t="n">
        <v>7.124</v>
      </c>
      <c r="AJ114" s="31" t="n">
        <v>12.5961</v>
      </c>
      <c r="AK114" s="31" t="n">
        <v>4.833</v>
      </c>
      <c r="AL114" s="31" t="n">
        <v>8.18436666666667</v>
      </c>
      <c r="AM114" s="31" t="n">
        <v>13.196</v>
      </c>
      <c r="AN114" s="31" t="n">
        <v>23.2507</v>
      </c>
      <c r="AO114" s="31" t="n">
        <v>11.872</v>
      </c>
      <c r="AP114" s="31" t="n">
        <v>12.549187704089</v>
      </c>
      <c r="AQ114" s="36" t="n">
        <v>0.0003377319033789</v>
      </c>
      <c r="AR114" s="36" t="n">
        <v>0.000615276766896607</v>
      </c>
      <c r="AS114" s="36" t="n">
        <v>0.000366484439466576</v>
      </c>
      <c r="AT114" s="36" t="n">
        <v>0.0101054663655106</v>
      </c>
      <c r="AU114" s="31" t="n">
        <v>0.444185215346881</v>
      </c>
      <c r="AV114" s="36" t="n">
        <v>0.222153</v>
      </c>
      <c r="AW114" s="31" t="n">
        <v>0.002521</v>
      </c>
      <c r="AX114" s="31" t="n">
        <v>0.001512</v>
      </c>
      <c r="AY114" s="31" t="n">
        <v>0.000653388499318629</v>
      </c>
      <c r="AZ114" s="31" t="n">
        <v>0.000501</v>
      </c>
      <c r="BA114" s="33" t="n">
        <v>53.335</v>
      </c>
      <c r="BB114" s="33" t="n">
        <v>14.173</v>
      </c>
      <c r="BC114" s="33" t="n">
        <v>71.654</v>
      </c>
      <c r="BD114" s="33"/>
      <c r="BE114" s="33"/>
      <c r="BF114" s="33" t="n">
        <v>0</v>
      </c>
      <c r="BG114" s="33"/>
      <c r="BH114" s="33"/>
      <c r="BI114" s="29"/>
      <c r="BJ114" s="33"/>
      <c r="BK114" s="33"/>
      <c r="BL114" s="33" t="n">
        <v>2.443</v>
      </c>
      <c r="BM114" s="33" t="n">
        <v>6.882</v>
      </c>
      <c r="BN114" s="29" t="n">
        <v>21.555</v>
      </c>
      <c r="BO114" s="33" t="n">
        <v>1.337</v>
      </c>
      <c r="BP114" s="33" t="n">
        <v>0.001</v>
      </c>
      <c r="BQ114" s="29" t="n">
        <v>2024</v>
      </c>
      <c r="BR114" s="36" t="n">
        <v>4.73</v>
      </c>
      <c r="BS114" s="36" t="n">
        <v>0</v>
      </c>
      <c r="BT114" s="36" t="n">
        <v>0.91</v>
      </c>
      <c r="BU114" s="36" t="n">
        <v>2.7</v>
      </c>
      <c r="BV114" s="16" t="n">
        <f aca="false">F114*(1+N(H114)/100)*(1+N(I114)/100)^5</f>
        <v>39.0615279110619</v>
      </c>
      <c r="BW114" s="16" t="n">
        <f aca="false">IF(N(G114)&gt;0,G114,F114)</f>
        <v>44.942</v>
      </c>
      <c r="BX114" s="12" t="n">
        <f aca="false">F114/BW114</f>
        <v>0.684348716123003</v>
      </c>
      <c r="BY114" s="13" t="n">
        <f aca="false">IF(ISNUMBER(K114),1,0)</f>
        <v>1</v>
      </c>
      <c r="BZ114" s="16" t="n">
        <f aca="false">IF(BY114=0,"",N(N114)+N(O114)+N(P114))</f>
        <v>4.96098059746521</v>
      </c>
      <c r="CA114" s="37" t="n">
        <f aca="false">IF(BY114=0,"",(N(Y114)*34.2+N(Z114)*38.6)/1000)</f>
        <v>0.0516582001097634</v>
      </c>
      <c r="CB114" s="37" t="n">
        <f aca="false">IF(BY114=0,"",N(O114)*0.0036+N(R114)+N(V114)+(N(AA114)*25.3+N(AB114)*37)/1000)</f>
        <v>0.00876791801021605</v>
      </c>
      <c r="CC114" s="37" t="n">
        <f aca="false">IF(BY114=0,"",N(N114)*0.0036+N(Q114)+N(U114)+N(T114)+N(X114)+N(AC114)*38/1000)</f>
        <v>0.0488373500010378</v>
      </c>
      <c r="CD114" s="37" t="n">
        <f aca="false">IF(BY114=0,"",N(Q114)+N(R114)+N(S114)+N(T114)+N(U114)+N(V114)+N(W114)+N(X114)+(N(Y114)*34.2+N(Z114)*38.6+N(AA114)*25.3+N(AB114)*37+N(AC114)*38)/1000)</f>
        <v>0.117861790654223</v>
      </c>
      <c r="CE114" s="16" t="n">
        <f aca="false">IF(BY114=0,"",MAX(0,N(L114)-N(K114))+MAX(0,N(M114)-N(L114)))</f>
        <v>36.597</v>
      </c>
      <c r="CF114" s="16" t="n">
        <f aca="false">IF(BY114=0,"",N(Y114)*N(AD114)+N(Z114)*N(AE114)+N(AA114)*N(AF114)+N(AB114)*N(AG114)+N(AC114)*N(AH114)+N(U114)*N(AI114)+N(V114)*N(AJ114)+N(W114)*N(AK114)+N(X114)*N(AL114)+N(Q114)*N(AM114)+N(R114)*N(AN114)+N(S114)*N(AO114)+N(T114)*N(AP114))</f>
        <v>1.89052773060221</v>
      </c>
      <c r="CG114" s="16" t="n">
        <f aca="false">IF(AND(BY114=1,N(K114)&gt;0),K114,0)</f>
        <v>4.547</v>
      </c>
      <c r="CH114" s="16" t="n">
        <f aca="false">IF(CG114&gt;0,CF114*1000/CG114,"")</f>
        <v>415.774737321796</v>
      </c>
      <c r="CI114" s="16" t="n">
        <f aca="false">IF(BY114=0,"",N(AQ114)+p_road*(N(AR114)+N(AS114)+N(AT114)))</f>
        <v>0.0003377319033789</v>
      </c>
      <c r="CJ114" s="16" t="n">
        <f aca="false">IF(CG114&gt;0,CI114*1000/CG114,"")</f>
        <v>0.0742757649832637</v>
      </c>
      <c r="CK114" s="12" t="n">
        <f aca="false">IF(CH114="",1,MIN(p_idx_max,MAX(p_idx_min,CH114/p_fc_world)))</f>
        <v>2.5823339805484</v>
      </c>
      <c r="CL114" s="12" t="n">
        <f aca="false">IF(CJ114="",1,MIN(p_idx_max,MAX(p_idx_min,CJ114/p_cb_world)))</f>
        <v>0.25</v>
      </c>
      <c r="CM114" s="37" t="n">
        <f aca="false">p_b*(1-p_wb_idx+p_wb_idx*CK114)</f>
        <v>0.343450419412937</v>
      </c>
      <c r="CN114" s="37" t="n">
        <f aca="false">p_c*(1-p_wc_idx+p_wc_idx*CL114)</f>
        <v>0.03225</v>
      </c>
      <c r="CO114" s="28" t="n">
        <f aca="false">IF(N(BR114)&gt;0,(N(BS114)+N(BT114)+N(BU114))/BR114,"")</f>
        <v>0.763213530655391</v>
      </c>
      <c r="CP114" s="16" t="n">
        <f aca="false">N(BS114)+N(BT114)+N(BU114)</f>
        <v>3.61</v>
      </c>
      <c r="CQ114" s="28" t="n">
        <f aca="false">IF(CP114&gt;0,N(BS114)/CP114,"")</f>
        <v>0</v>
      </c>
      <c r="CR114" s="28" t="n">
        <f aca="false">IF(CP114&gt;0,N(BT114)/CP114,"")</f>
        <v>0.25207756232687</v>
      </c>
      <c r="CS114" s="28" t="n">
        <f aca="false">IF(CP114&gt;0,N(BU114)/CP114,"")</f>
        <v>0.74792243767313</v>
      </c>
      <c r="CT114" s="7" t="n">
        <f aca="false">1000*(p_sh_pv*p_cf_pv/p_capex_pv+(1-p_sh_pv)*p_cf_wind/p_capex_wind)*8760</f>
        <v>2301.28856624319</v>
      </c>
      <c r="CU114" s="13" t="n">
        <f aca="false">IF(AND(ISNUMBER(CO114),ISNUMBER(CQ114),BY114=1),1,0)</f>
        <v>1</v>
      </c>
      <c r="CV114" s="16" t="n">
        <f aca="false">IF(CU114=0,"",CQ114*p_hr_coal*N(AK114)+CR114*p_hr_gas*N(AO114)+CS114*p_hr_oil*N(AH114)/p_gj_l_oil)</f>
        <v>132.988807655025</v>
      </c>
      <c r="CW114" s="37" t="n">
        <f aca="false">IF(CU114=0,"",CQ114*p_hr_coal*p_ef_coal+CR114*p_hr_gas*p_ef_gas+CS114*p_hr_oil*p_ef_oil)</f>
        <v>0.713898199445983</v>
      </c>
      <c r="CX114" s="16" t="n">
        <f aca="false">IF(CU114=0,"",CQ114*p_hr_coal*N(AW114)+CR114*p_hr_gas*N(AX114)+CS114*p_hr_oil*N(AY114)/p_gj_l_oil)</f>
        <v>0.135790713731884</v>
      </c>
      <c r="CY114" s="37" t="n">
        <f aca="false">IF(CU114=0,"",CO114*CW114)</f>
        <v>0.544856765327695</v>
      </c>
      <c r="CZ114" s="37" t="n">
        <f aca="false">IF(CU114=0,"",CT114*CO114*CV114/1000/1000-p_om_re)</f>
        <v>0.218578160085902</v>
      </c>
      <c r="DA114" s="37" t="n">
        <f aca="false">IF(CU114=0,"",CT114*CO114*CX114/1000/1000)</f>
        <v>0.000238499356671587</v>
      </c>
      <c r="DB114" s="37" t="n">
        <f aca="false">IF(CU114=0,"",CT114*CO114*CW114/1000)</f>
        <v>1.25387264428888</v>
      </c>
      <c r="DC114" s="13" t="n">
        <f aca="false">IF(AND(CU114=1,ISNUMBER(AD114),ISNUMBER(AV114)),1,0)</f>
        <v>1</v>
      </c>
      <c r="DD114" s="7" t="n">
        <f aca="false">IF(DC114=0,"",p_ev_km*p_ice_l/100*AD114-p_ev_km*p_ev_kwh*AV114+p_ev_km*p_ev_maint)</f>
        <v>471.1869</v>
      </c>
      <c r="DE114" s="37" t="n">
        <f aca="false">IF(DC114=0,"",DD114/p_ev_prem)</f>
        <v>0.09423738</v>
      </c>
      <c r="DF114" s="37" t="n">
        <f aca="false">IF(DC114=0,"",p_ev_km*p_ice_l/100*N(AZ114)/p_ev_prem)</f>
        <v>0.000112725</v>
      </c>
      <c r="DG114" s="37" t="n">
        <f aca="false">IF(DC114=0,"",1000/p_ev_prem*(p_ev_km*p_ice_l/100*p_gj_l_gso*p_ef_gso-p_ev_km*p_ev_kwh/1000*CY114))</f>
        <v>0.239040846723044</v>
      </c>
      <c r="DH114" s="11" t="str">
        <f aca="false">IFERROR(IF(INDEX(Damodaran!$D:$D,MATCH(A114,Damodaran!$A:$A,0))="","",INDEX(Damodaran!$D:$D,MATCH(A114,Damodaran!$A:$A,0))),"")</f>
        <v/>
      </c>
      <c r="DI114" s="11" t="str">
        <f aca="false">IFERROR(IF(INDEX(Damodaran!$E:$E,MATCH(A114,Damodaran!$A:$A,0))="","",INDEX(Damodaran!$E:$E,MATCH(A114,Damodaran!$A:$A,0))),"")</f>
        <v/>
      </c>
      <c r="DJ114" s="11" t="str">
        <f aca="false">IFERROR(IF(INDEX(Damodaran!$G:$G,MATCH(A114,Damodaran!$A:$A,0))="","",INDEX(Damodaran!$G:$G,MATCH(A114,Damodaran!$A:$A,0))),"")</f>
        <v/>
      </c>
      <c r="DK114" s="11" t="str">
        <f aca="false">IF(ISNUMBER(BG114),(1+BG114/100)*(1+p_infl)-1,"")</f>
        <v/>
      </c>
      <c r="DL114" s="11" t="str">
        <f aca="false">IF(ISNUMBER(BH114),BH114/100,"")</f>
        <v/>
      </c>
      <c r="DM114" s="11" t="str">
        <f aca="false">IF(COUNT(DK114,DL114)=0,"",AVERAGE(DK114,DL114))</f>
        <v/>
      </c>
      <c r="DN114" s="11" t="str">
        <f aca="false">IF(OR(DH114="",DI114=""),"",p_dv*(p_rf+DH114)*(1-IF(DJ114="",p_tax_def,DJ114))+(1-p_dv)*(p_rf+p_beta*p_erp+p_lambda*DI114))</f>
        <v/>
      </c>
      <c r="DO114" s="13" t="n">
        <f aca="false">IF(AND(ISNUMBER(DM114),ISNUMBER(DN114)),1,0)</f>
        <v>0</v>
      </c>
      <c r="DP114" s="11" t="n">
        <f aca="false">IF(DO114=1,DM114,0)</f>
        <v>0</v>
      </c>
      <c r="DQ114" s="11" t="n">
        <f aca="false">IF(DO114=1,DN114,0)</f>
        <v>0</v>
      </c>
      <c r="DR114" s="11" t="str">
        <f aca="false">IF(DN114="","",DN114+p_shift)</f>
        <v/>
      </c>
      <c r="DS114" s="11" t="n">
        <f aca="false">IF(E114="AE",p_r_ae,IF(E114="China",p_r_chn,p_r_emdc))</f>
        <v>0.105</v>
      </c>
      <c r="DT114" s="11" t="n">
        <f aca="false">IF(E114="AE",p_rh_ae,IF(E114="China",p_rh_chn,p_rh_emdc))</f>
        <v>0.15</v>
      </c>
      <c r="DU114" s="11" t="n">
        <f aca="false">IF(AND(p_use_obs=1,ISNUMBER(DM114)),DM114,IF(AND(p_use_dam=1,ISNUMBER(DR114)),DR114,DS114))</f>
        <v>0.105</v>
      </c>
      <c r="DV114" s="6" t="str">
        <f aca="false">IF(AND(p_use_obs=1,ISNUMBER(DM114)),"Observed (IRENA/Steffen)",IF(AND(p_use_dam=1,ISNUMBER(DR114)),"Damodaran (eq. 5)","Group default (IHLEG)"))</f>
        <v>Group default (IHLEG)</v>
      </c>
      <c r="DW114" s="11" t="n">
        <f aca="false">IF(p_basis=1,(1+DU114)/(1+p_infl)-1,DU114)</f>
        <v>0.105</v>
      </c>
      <c r="DX114" s="11" t="n">
        <f aca="false">DW114+(DT114-DS114)</f>
        <v>0.15</v>
      </c>
      <c r="DY114" s="28" t="n">
        <f aca="false">IF(AND(p_use_pefa=1,ISNUMBER(BD114)),p_gap_lic-(BD114-1)/3*(p_gap_lic-p_gap_ae),IF(E114="AE",p_gap_ae,IF(D114="Low income",p_gap_lic,p_gap_em)))*(1-p_reform*p_reform_close)</f>
        <v>0.27</v>
      </c>
      <c r="DZ114" s="6" t="str">
        <f aca="false">IF(AND(p_use_pefa=1,ISNUMBER(BD114)),"PEFA PI-11","Income-group default (IMF 2015)")</f>
        <v>Income-group default (IMF 2015)</v>
      </c>
      <c r="EA114" s="28" t="n">
        <f aca="false">IF(E114="AE",p_ps_ae,IF(E114="China",p_ps_chn,p_ps_emdc))</f>
        <v>0.4</v>
      </c>
      <c r="EB114" s="37" t="n">
        <f aca="false">(1-EA114)+EA114/(1-DY114)</f>
        <v>1.14794520547945</v>
      </c>
      <c r="EC114" s="16" t="n">
        <f aca="false">Results_Country!F114</f>
        <v>2.25736192550568</v>
      </c>
      <c r="ED114" s="16" t="n">
        <f aca="false">IF(CH114="",0,CH114*EC114)</f>
        <v>938.554061617347</v>
      </c>
      <c r="EE114" s="16" t="n">
        <f aca="false">IF(CJ114="",0,CJ114*EC114)</f>
        <v>0.167667283861028</v>
      </c>
      <c r="EF114" s="16" t="n">
        <f aca="false">IF(CH114="",0,EC114)</f>
        <v>2.25736192550568</v>
      </c>
    </row>
    <row r="115" customFormat="false" ht="15" hidden="false" customHeight="false" outlineLevel="0" collapsed="false">
      <c r="A115" s="35" t="s">
        <v>987</v>
      </c>
      <c r="B115" s="35" t="s">
        <v>988</v>
      </c>
      <c r="C115" s="35" t="s">
        <v>766</v>
      </c>
      <c r="D115" s="35" t="s">
        <v>763</v>
      </c>
      <c r="E115" s="35" t="s">
        <v>31</v>
      </c>
      <c r="F115" s="36" t="n">
        <v>29.738</v>
      </c>
      <c r="G115" s="36" t="n">
        <v>75.17</v>
      </c>
      <c r="H115" s="33" t="n">
        <v>2</v>
      </c>
      <c r="I115" s="33" t="n">
        <v>2.2</v>
      </c>
      <c r="J115" s="36" t="n">
        <v>3.164253</v>
      </c>
      <c r="K115" s="36" t="n">
        <v>23.486</v>
      </c>
      <c r="L115" s="36" t="n">
        <v>31.12</v>
      </c>
      <c r="M115" s="36" t="n">
        <v>29.481</v>
      </c>
      <c r="N115" s="36" t="n">
        <v>7.48402048417133</v>
      </c>
      <c r="O115" s="36" t="n">
        <v>6.2164641522204</v>
      </c>
      <c r="P115" s="36" t="n">
        <v>0.0694293864334878</v>
      </c>
      <c r="Q115" s="31" t="n">
        <v>0.00565417497030018</v>
      </c>
      <c r="R115" s="31" t="n">
        <v>0.0040016788474019</v>
      </c>
      <c r="S115" s="31" t="n">
        <v>0</v>
      </c>
      <c r="T115" s="31" t="n">
        <v>0.000248432584935943</v>
      </c>
      <c r="U115" s="31" t="n">
        <v>0.0197427307805179</v>
      </c>
      <c r="V115" s="31" t="n">
        <v>0.00466989571387152</v>
      </c>
      <c r="W115" s="31" t="n">
        <v>0.127783237813481</v>
      </c>
      <c r="X115" s="31" t="n">
        <v>0</v>
      </c>
      <c r="Y115" s="36" t="n">
        <v>0.242476069116936</v>
      </c>
      <c r="Z115" s="36" t="n">
        <v>1.65208894626866</v>
      </c>
      <c r="AA115" s="36" t="n">
        <v>0.196235182869737</v>
      </c>
      <c r="AB115" s="36" t="n">
        <v>1.11919397480909E-006</v>
      </c>
      <c r="AC115" s="36" t="n">
        <v>0.147309563264801</v>
      </c>
      <c r="AD115" s="31" t="n">
        <v>0.84375</v>
      </c>
      <c r="AE115" s="31" t="n">
        <v>0.812445</v>
      </c>
      <c r="AF115" s="31" t="n">
        <v>0.518534</v>
      </c>
      <c r="AG115" s="31" t="n">
        <v>0.591</v>
      </c>
      <c r="AH115" s="31" t="n">
        <v>0.519462891908447</v>
      </c>
      <c r="AI115" s="31" t="n">
        <v>4.194</v>
      </c>
      <c r="AJ115" s="31" t="n">
        <v>7.70562</v>
      </c>
      <c r="AK115" s="31" t="n">
        <v>2.553</v>
      </c>
      <c r="AL115" s="31" t="n">
        <v>2.92396947095637</v>
      </c>
      <c r="AM115" s="31" t="n">
        <v>15.707</v>
      </c>
      <c r="AN115" s="31" t="n">
        <v>23.96043</v>
      </c>
      <c r="AO115" s="31" t="n">
        <v>15.707</v>
      </c>
      <c r="AP115" s="31" t="n">
        <v>19.127471858114</v>
      </c>
      <c r="AQ115" s="36" t="n">
        <v>0.898161029688578</v>
      </c>
      <c r="AR115" s="36" t="n">
        <v>0.0418371039949856</v>
      </c>
      <c r="AS115" s="36" t="n">
        <v>0.0637974567679955</v>
      </c>
      <c r="AT115" s="36" t="n">
        <v>0.133260964182528</v>
      </c>
      <c r="AU115" s="31" t="n">
        <v>0.502232426025078</v>
      </c>
      <c r="AV115" s="36" t="n">
        <v>0.091085</v>
      </c>
      <c r="AW115" s="31" t="n">
        <v>2.149669</v>
      </c>
      <c r="AX115" s="31" t="n">
        <v>0.10075</v>
      </c>
      <c r="AY115" s="31" t="n">
        <v>0.0614332940396186</v>
      </c>
      <c r="AZ115" s="31" t="n">
        <v>0.012199</v>
      </c>
      <c r="BA115" s="33" t="n">
        <v>29.403</v>
      </c>
      <c r="BB115" s="33" t="n">
        <v>2.381</v>
      </c>
      <c r="BC115" s="33"/>
      <c r="BD115" s="33" t="n">
        <v>1.5</v>
      </c>
      <c r="BE115" s="33" t="n">
        <v>2</v>
      </c>
      <c r="BF115" s="33" t="n">
        <v>0</v>
      </c>
      <c r="BG115" s="33" t="n">
        <v>10.4</v>
      </c>
      <c r="BH115" s="33"/>
      <c r="BI115" s="29"/>
      <c r="BJ115" s="33" t="n">
        <v>1</v>
      </c>
      <c r="BK115" s="33"/>
      <c r="BL115" s="33" t="n">
        <v>0.421</v>
      </c>
      <c r="BM115" s="33" t="n">
        <v>4.75</v>
      </c>
      <c r="BN115" s="29" t="n">
        <v>21.233</v>
      </c>
      <c r="BO115" s="33" t="n">
        <v>0.674</v>
      </c>
      <c r="BP115" s="33" t="n">
        <v>0.386</v>
      </c>
      <c r="BQ115" s="29" t="n">
        <v>2025</v>
      </c>
      <c r="BR115" s="36" t="n">
        <v>14.52</v>
      </c>
      <c r="BS115" s="36" t="n">
        <v>8.08</v>
      </c>
      <c r="BT115" s="36" t="n">
        <v>0</v>
      </c>
      <c r="BU115" s="36" t="n">
        <v>0.15</v>
      </c>
      <c r="BV115" s="16" t="n">
        <f aca="false">F115*(1+N(H115)/100)*(1+N(I115)/100)^5</f>
        <v>33.8194396751638</v>
      </c>
      <c r="BW115" s="16" t="n">
        <f aca="false">IF(N(G115)&gt;0,G115,F115)</f>
        <v>75.17</v>
      </c>
      <c r="BX115" s="12" t="n">
        <f aca="false">F115/BW115</f>
        <v>0.395609950778236</v>
      </c>
      <c r="BY115" s="13" t="n">
        <f aca="false">IF(ISNUMBER(K115),1,0)</f>
        <v>1</v>
      </c>
      <c r="BZ115" s="16" t="n">
        <f aca="false">IF(BY115=0,"",N(N115)+N(O115)+N(P115))</f>
        <v>13.7699140228252</v>
      </c>
      <c r="CA115" s="37" t="n">
        <f aca="false">IF(BY115=0,"",(N(Y115)*34.2+N(Z115)*38.6)/1000)</f>
        <v>0.0720633148897693</v>
      </c>
      <c r="CB115" s="37" t="n">
        <f aca="false">IF(BY115=0,"",N(O115)*0.0036+N(R115)+N(V115)+(N(AA115)*25.3+N(AB115)*37)/1000)</f>
        <v>0.0360156370460483</v>
      </c>
      <c r="CC115" s="37" t="n">
        <f aca="false">IF(BY115=0,"",N(N115)*0.0036+N(Q115)+N(U115)+N(T115)+N(X115)+N(AC115)*38/1000)</f>
        <v>0.0581855754828332</v>
      </c>
      <c r="CD115" s="37" t="n">
        <f aca="false">IF(BY115=0,"",N(Q115)+N(R115)+N(S115)+N(T115)+N(U115)+N(V115)+N(W115)+N(X115)+(N(Y115)*34.2+N(Z115)*38.6+N(AA115)*25.3+N(AB115)*37+N(AC115)*38)/1000)</f>
        <v>0.244726020541122</v>
      </c>
      <c r="CE115" s="16" t="n">
        <f aca="false">IF(BY115=0,"",MAX(0,N(L115)-N(K115))+MAX(0,N(M115)-N(L115)))</f>
        <v>7.634</v>
      </c>
      <c r="CF115" s="16" t="n">
        <f aca="false">IF(BY115=0,"",N(Y115)*N(AD115)+N(Z115)*N(AE115)+N(AA115)*N(AF115)+N(AB115)*N(AG115)+N(AC115)*N(AH115)+N(U115)*N(AI115)+N(V115)*N(AJ115)+N(W115)*N(AK115)+N(X115)*N(AL115)+N(Q115)*N(AM115)+N(R115)*N(AN115)+N(S115)*N(AO115)+N(T115)*N(AP115))</f>
        <v>2.35955773504896</v>
      </c>
      <c r="CG115" s="16" t="n">
        <f aca="false">IF(AND(BY115=1,N(K115)&gt;0),K115,0)</f>
        <v>23.486</v>
      </c>
      <c r="CH115" s="16" t="n">
        <f aca="false">IF(CG115&gt;0,CF115*1000/CG115,"")</f>
        <v>100.466564551178</v>
      </c>
      <c r="CI115" s="16" t="n">
        <f aca="false">IF(BY115=0,"",N(AQ115)+p_road*(N(AR115)+N(AS115)+N(AT115)))</f>
        <v>0.898161029688578</v>
      </c>
      <c r="CJ115" s="16" t="n">
        <f aca="false">IF(CG115&gt;0,CI115*1000/CG115,"")</f>
        <v>38.2424009915941</v>
      </c>
      <c r="CK115" s="12" t="n">
        <f aca="false">IF(CH115="",1,MIN(p_idx_max,MAX(p_idx_min,CH115/p_fc_world)))</f>
        <v>0.623987463068659</v>
      </c>
      <c r="CL115" s="12" t="n">
        <f aca="false">IF(CJ115="",1,MIN(p_idx_max,MAX(p_idx_min,CJ115/p_cb_world)))</f>
        <v>0.727169102193279</v>
      </c>
      <c r="CM115" s="37" t="n">
        <f aca="false">p_b*(1-p_wb_idx+p_wb_idx*CK115)</f>
        <v>0.0829903325881316</v>
      </c>
      <c r="CN115" s="37" t="n">
        <f aca="false">p_c*(1-p_wc_idx+p_wc_idx*CL115)</f>
        <v>0.093804814182933</v>
      </c>
      <c r="CO115" s="28" t="n">
        <f aca="false">IF(N(BR115)&gt;0,(N(BS115)+N(BT115)+N(BU115))/BR115,"")</f>
        <v>0.566804407713499</v>
      </c>
      <c r="CP115" s="16" t="n">
        <f aca="false">N(BS115)+N(BT115)+N(BU115)</f>
        <v>8.23</v>
      </c>
      <c r="CQ115" s="28" t="n">
        <f aca="false">IF(CP115&gt;0,N(BS115)/CP115,"")</f>
        <v>0.981773997569866</v>
      </c>
      <c r="CR115" s="28" t="n">
        <f aca="false">IF(CP115&gt;0,N(BT115)/CP115,"")</f>
        <v>0</v>
      </c>
      <c r="CS115" s="28" t="n">
        <f aca="false">IF(CP115&gt;0,N(BU115)/CP115,"")</f>
        <v>0.0182260024301337</v>
      </c>
      <c r="CT115" s="7" t="n">
        <f aca="false">1000*(p_sh_pv*p_cf_pv/p_capex_pv+(1-p_sh_pv)*p_cf_wind/p_capex_wind)*8760</f>
        <v>2301.28856624319</v>
      </c>
      <c r="CU115" s="13" t="n">
        <f aca="false">IF(AND(ISNUMBER(CO115),ISNUMBER(CQ115),BY115=1),1,0)</f>
        <v>1</v>
      </c>
      <c r="CV115" s="16" t="n">
        <f aca="false">IF(CU115=0,"",CQ115*p_hr_coal*N(AK115)+CR115*p_hr_gas*N(AO115)+CS115*p_hr_oil*N(AH115)/p_gj_l_oil)</f>
        <v>27.6401094654203</v>
      </c>
      <c r="CW115" s="37" t="n">
        <f aca="false">IF(CU115=0,"",CQ115*p_hr_coal*p_ef_coal+CR115*p_hr_gas*p_ef_gas+CS115*p_hr_oil*p_ef_oil)</f>
        <v>0.943570473876063</v>
      </c>
      <c r="CX115" s="16" t="n">
        <f aca="false">IF(CU115=0,"",CQ115*p_hr_coal*N(AW115)+CR115*p_hr_gas*N(AX115)+CS115*p_hr_oil*N(AY115)/p_gj_l_oil)</f>
        <v>21.4094683573694</v>
      </c>
      <c r="CY115" s="37" t="n">
        <f aca="false">IF(CU115=0,"",CO115*CW115)</f>
        <v>0.534819903581267</v>
      </c>
      <c r="CZ115" s="37" t="n">
        <f aca="false">IF(CU115=0,"",CT115*CO115*CV115/1000/1000-p_om_re)</f>
        <v>0.0210532198810487</v>
      </c>
      <c r="DA115" s="37" t="n">
        <f aca="false">IF(CU115=0,"",CT115*CO115*CX115/1000/1000)</f>
        <v>0.0279260930999665</v>
      </c>
      <c r="DB115" s="37" t="n">
        <f aca="false">IF(CU115=0,"",CT115*CO115*CW115/1000)</f>
        <v>1.23077492911086</v>
      </c>
      <c r="DC115" s="13" t="n">
        <f aca="false">IF(AND(CU115=1,ISNUMBER(AD115),ISNUMBER(AV115)),1,0)</f>
        <v>1</v>
      </c>
      <c r="DD115" s="7" t="n">
        <f aca="false">IF(DC115=0,"",p_ev_km*p_ice_l/100*AD115-p_ev_km*p_ev_kwh*AV115+p_ev_km*p_ev_maint)</f>
        <v>883.28925</v>
      </c>
      <c r="DE115" s="37" t="n">
        <f aca="false">IF(DC115=0,"",DD115/p_ev_prem)</f>
        <v>0.17665785</v>
      </c>
      <c r="DF115" s="37" t="n">
        <f aca="false">IF(DC115=0,"",p_ev_km*p_ice_l/100*N(AZ115)/p_ev_prem)</f>
        <v>0.002744775</v>
      </c>
      <c r="DG115" s="37" t="n">
        <f aca="false">IF(DC115=0,"",1000/p_ev_prem*(p_ev_km*p_ice_l/100*p_gj_l_gso*p_ef_gso-p_ev_km*p_ev_kwh/1000*CY115))</f>
        <v>0.244460752066116</v>
      </c>
      <c r="DH115" s="11" t="str">
        <f aca="false">IFERROR(IF(INDEX(Damodaran!$D:$D,MATCH(A115,Damodaran!$A:$A,0))="","",INDEX(Damodaran!$D:$D,MATCH(A115,Damodaran!$A:$A,0))),"")</f>
        <v/>
      </c>
      <c r="DI115" s="11" t="str">
        <f aca="false">IFERROR(IF(INDEX(Damodaran!$E:$E,MATCH(A115,Damodaran!$A:$A,0))="","",INDEX(Damodaran!$E:$E,MATCH(A115,Damodaran!$A:$A,0))),"")</f>
        <v/>
      </c>
      <c r="DJ115" s="11" t="str">
        <f aca="false">IFERROR(IF(INDEX(Damodaran!$G:$G,MATCH(A115,Damodaran!$A:$A,0))="","",INDEX(Damodaran!$G:$G,MATCH(A115,Damodaran!$A:$A,0))),"")</f>
        <v/>
      </c>
      <c r="DK115" s="11" t="n">
        <f aca="false">IF(ISNUMBER(BG115),(1+BG115/100)*(1+p_infl)-1,"")</f>
        <v>0.12608</v>
      </c>
      <c r="DL115" s="11" t="str">
        <f aca="false">IF(ISNUMBER(BH115),BH115/100,"")</f>
        <v/>
      </c>
      <c r="DM115" s="11" t="n">
        <f aca="false">IF(COUNT(DK115,DL115)=0,"",AVERAGE(DK115,DL115))</f>
        <v>0.12608</v>
      </c>
      <c r="DN115" s="11" t="str">
        <f aca="false">IF(OR(DH115="",DI115=""),"",p_dv*(p_rf+DH115)*(1-IF(DJ115="",p_tax_def,DJ115))+(1-p_dv)*(p_rf+p_beta*p_erp+p_lambda*DI115))</f>
        <v/>
      </c>
      <c r="DO115" s="13" t="n">
        <f aca="false">IF(AND(ISNUMBER(DM115),ISNUMBER(DN115)),1,0)</f>
        <v>0</v>
      </c>
      <c r="DP115" s="11" t="n">
        <f aca="false">IF(DO115=1,DM115,0)</f>
        <v>0</v>
      </c>
      <c r="DQ115" s="11" t="n">
        <f aca="false">IF(DO115=1,DN115,0)</f>
        <v>0</v>
      </c>
      <c r="DR115" s="11" t="str">
        <f aca="false">IF(DN115="","",DN115+p_shift)</f>
        <v/>
      </c>
      <c r="DS115" s="11" t="n">
        <f aca="false">IF(E115="AE",p_r_ae,IF(E115="China",p_r_chn,p_r_emdc))</f>
        <v>0.105</v>
      </c>
      <c r="DT115" s="11" t="n">
        <f aca="false">IF(E115="AE",p_rh_ae,IF(E115="China",p_rh_chn,p_rh_emdc))</f>
        <v>0.15</v>
      </c>
      <c r="DU115" s="11" t="n">
        <f aca="false">IF(AND(p_use_obs=1,ISNUMBER(DM115)),DM115,IF(AND(p_use_dam=1,ISNUMBER(DR115)),DR115,DS115))</f>
        <v>0.12608</v>
      </c>
      <c r="DV115" s="6" t="str">
        <f aca="false">IF(AND(p_use_obs=1,ISNUMBER(DM115)),"Observed (IRENA/Steffen)",IF(AND(p_use_dam=1,ISNUMBER(DR115)),"Damodaran (eq. 5)","Group default (IHLEG)"))</f>
        <v>Observed (IRENA/Steffen)</v>
      </c>
      <c r="DW115" s="11" t="n">
        <f aca="false">IF(p_basis=1,(1+DU115)/(1+p_infl)-1,DU115)</f>
        <v>0.12608</v>
      </c>
      <c r="DX115" s="11" t="n">
        <f aca="false">DW115+(DT115-DS115)</f>
        <v>0.17108</v>
      </c>
      <c r="DY115" s="28" t="n">
        <f aca="false">IF(AND(p_use_pefa=1,ISNUMBER(BD115)),p_gap_lic-(BD115-1)/3*(p_gap_lic-p_gap_ae),IF(E115="AE",p_gap_ae,IF(D115="Low income",p_gap_lic,p_gap_em)))*(1-p_reform*p_reform_close)</f>
        <v>0.355</v>
      </c>
      <c r="DZ115" s="6" t="str">
        <f aca="false">IF(AND(p_use_pefa=1,ISNUMBER(BD115)),"PEFA PI-11","Income-group default (IMF 2015)")</f>
        <v>PEFA PI-11</v>
      </c>
      <c r="EA115" s="28" t="n">
        <f aca="false">IF(E115="AE",p_ps_ae,IF(E115="China",p_ps_chn,p_ps_emdc))</f>
        <v>0.4</v>
      </c>
      <c r="EB115" s="37" t="n">
        <f aca="false">(1-EA115)+EA115/(1-DY115)</f>
        <v>1.22015503875969</v>
      </c>
      <c r="EC115" s="16" t="n">
        <f aca="false">Results_Country!F115</f>
        <v>2.38351584140615</v>
      </c>
      <c r="ED115" s="16" t="n">
        <f aca="false">IF(CH115="",0,CH115*EC115)</f>
        <v>239.463648139386</v>
      </c>
      <c r="EE115" s="16" t="n">
        <f aca="false">IF(CJ115="",0,CJ115*EC115)</f>
        <v>91.1513685768707</v>
      </c>
      <c r="EF115" s="16" t="n">
        <f aca="false">IF(CH115="",0,EC115)</f>
        <v>2.38351584140615</v>
      </c>
    </row>
    <row r="116" customFormat="false" ht="15" hidden="false" customHeight="false" outlineLevel="0" collapsed="false">
      <c r="A116" s="35" t="s">
        <v>989</v>
      </c>
      <c r="B116" s="35" t="s">
        <v>990</v>
      </c>
      <c r="C116" s="35" t="s">
        <v>799</v>
      </c>
      <c r="D116" s="35" t="s">
        <v>771</v>
      </c>
      <c r="E116" s="35" t="s">
        <v>31</v>
      </c>
      <c r="F116" s="36" t="n">
        <v>29.339</v>
      </c>
      <c r="G116" s="36" t="n">
        <v>65.627</v>
      </c>
      <c r="H116" s="33" t="n">
        <v>4</v>
      </c>
      <c r="I116" s="33"/>
      <c r="J116" s="36" t="n">
        <v>5.805961</v>
      </c>
      <c r="K116" s="36" t="n">
        <v>37.724</v>
      </c>
      <c r="L116" s="36" t="n">
        <v>46.29</v>
      </c>
      <c r="M116" s="36" t="n">
        <v>46.211</v>
      </c>
      <c r="N116" s="36" t="n">
        <v>9.55039813556362</v>
      </c>
      <c r="O116" s="36" t="n">
        <v>8.4250543078381</v>
      </c>
      <c r="P116" s="36" t="n">
        <v>4.171093445833</v>
      </c>
      <c r="Q116" s="31" t="n">
        <v>0</v>
      </c>
      <c r="R116" s="31" t="n">
        <v>0</v>
      </c>
      <c r="S116" s="31" t="n">
        <v>0</v>
      </c>
      <c r="T116" s="31" t="n">
        <v>0</v>
      </c>
      <c r="U116" s="31" t="n">
        <v>0.00551818678103814</v>
      </c>
      <c r="V116" s="31" t="n">
        <v>0</v>
      </c>
      <c r="W116" s="31" t="n">
        <v>0</v>
      </c>
      <c r="X116" s="31" t="n">
        <v>0</v>
      </c>
      <c r="Y116" s="36" t="n">
        <v>2.84870929368655</v>
      </c>
      <c r="Z116" s="36" t="n">
        <v>0.616976264069882</v>
      </c>
      <c r="AA116" s="36" t="n">
        <v>0.464586483811869</v>
      </c>
      <c r="AB116" s="36" t="n">
        <v>1.13319516834989E-006</v>
      </c>
      <c r="AC116" s="36" t="n">
        <v>5.4660031728621</v>
      </c>
      <c r="AD116" s="31" t="n">
        <v>0.7992</v>
      </c>
      <c r="AE116" s="31" t="n">
        <v>0.739431</v>
      </c>
      <c r="AF116" s="31" t="n">
        <v>0.5661</v>
      </c>
      <c r="AG116" s="31" t="n">
        <v>0.652</v>
      </c>
      <c r="AH116" s="31" t="n">
        <v>0.543345303403777</v>
      </c>
      <c r="AI116" s="31" t="n">
        <v>7.124</v>
      </c>
      <c r="AJ116" s="31" t="n">
        <v>13.53423</v>
      </c>
      <c r="AK116" s="31" t="n">
        <v>5.575</v>
      </c>
      <c r="AL116" s="31" t="n">
        <v>7.124</v>
      </c>
      <c r="AM116" s="31" t="n">
        <v>11.815</v>
      </c>
      <c r="AN116" s="31" t="n">
        <v>21.93027</v>
      </c>
      <c r="AO116" s="31" t="n">
        <v>10.492</v>
      </c>
      <c r="AP116" s="31" t="n">
        <v>14.7457566666667</v>
      </c>
      <c r="AQ116" s="36" t="n">
        <v>0</v>
      </c>
      <c r="AR116" s="36" t="n">
        <v>0.488931780519593</v>
      </c>
      <c r="AS116" s="36" t="n">
        <v>0.083797966405647</v>
      </c>
      <c r="AT116" s="36" t="n">
        <v>0.166643332929761</v>
      </c>
      <c r="AU116" s="31" t="n">
        <v>0.157270300997775</v>
      </c>
      <c r="AV116" s="36" t="n">
        <v>0.24403</v>
      </c>
      <c r="AW116" s="31" t="n">
        <v>0</v>
      </c>
      <c r="AX116" s="31" t="n">
        <v>0</v>
      </c>
      <c r="AY116" s="31" t="n">
        <v>0</v>
      </c>
      <c r="AZ116" s="31" t="n">
        <v>0</v>
      </c>
      <c r="BA116" s="33" t="n">
        <v>157.852</v>
      </c>
      <c r="BB116" s="33" t="n">
        <v>4.1</v>
      </c>
      <c r="BC116" s="33" t="n">
        <v>23.219</v>
      </c>
      <c r="BD116" s="33"/>
      <c r="BE116" s="33"/>
      <c r="BF116" s="33" t="n">
        <v>0</v>
      </c>
      <c r="BG116" s="33" t="n">
        <v>21</v>
      </c>
      <c r="BH116" s="33"/>
      <c r="BI116" s="29"/>
      <c r="BJ116" s="33" t="n">
        <v>1</v>
      </c>
      <c r="BK116" s="33"/>
      <c r="BL116" s="33" t="n">
        <v>5.217</v>
      </c>
      <c r="BM116" s="33" t="n">
        <v>11.75</v>
      </c>
      <c r="BN116" s="29" t="n">
        <v>22.958</v>
      </c>
      <c r="BO116" s="33" t="n">
        <v>1.044</v>
      </c>
      <c r="BP116" s="33"/>
      <c r="BQ116" s="29" t="n">
        <v>2024</v>
      </c>
      <c r="BR116" s="36" t="n">
        <v>5.34</v>
      </c>
      <c r="BS116" s="36" t="n">
        <v>0</v>
      </c>
      <c r="BT116" s="36" t="n">
        <v>0</v>
      </c>
      <c r="BU116" s="36" t="n">
        <v>3</v>
      </c>
      <c r="BV116" s="16" t="n">
        <f aca="false">F116*(1+N(H116)/100)*(1+N(I116)/100)^5</f>
        <v>30.51256</v>
      </c>
      <c r="BW116" s="16" t="n">
        <f aca="false">IF(N(G116)&gt;0,G116,F116)</f>
        <v>65.627</v>
      </c>
      <c r="BX116" s="12" t="n">
        <f aca="false">F116/BW116</f>
        <v>0.447056851600713</v>
      </c>
      <c r="BY116" s="13" t="n">
        <f aca="false">IF(ISNUMBER(K116),1,0)</f>
        <v>1</v>
      </c>
      <c r="BZ116" s="16" t="n">
        <f aca="false">IF(BY116=0,"",N(N116)+N(O116)+N(P116))</f>
        <v>22.1465458892347</v>
      </c>
      <c r="CA116" s="37" t="n">
        <f aca="false">IF(BY116=0,"",(N(Y116)*34.2+N(Z116)*38.6)/1000)</f>
        <v>0.121241141637177</v>
      </c>
      <c r="CB116" s="37" t="n">
        <f aca="false">IF(BY116=0,"",N(O116)*0.0036+N(R116)+N(V116)+(N(AA116)*25.3+N(AB116)*37)/1000)</f>
        <v>0.0420842754768787</v>
      </c>
      <c r="CC116" s="37" t="n">
        <f aca="false">IF(BY116=0,"",N(N116)*0.0036+N(Q116)+N(U116)+N(T116)+N(X116)+N(AC116)*38/1000)</f>
        <v>0.247607740637827</v>
      </c>
      <c r="CD116" s="37" t="n">
        <f aca="false">IF(BY116=0,"",N(Q116)+N(R116)+N(S116)+N(T116)+N(U116)+N(V116)+N(W116)+N(X116)+(N(Y116)*34.2+N(Z116)*38.6+N(AA116)*25.3+N(AB116)*37+N(AC116)*38)/1000)</f>
        <v>0.346221528955637</v>
      </c>
      <c r="CE116" s="16" t="n">
        <f aca="false">IF(BY116=0,"",MAX(0,N(L116)-N(K116))+MAX(0,N(M116)-N(L116)))</f>
        <v>8.566</v>
      </c>
      <c r="CF116" s="16" t="n">
        <f aca="false">IF(BY116=0,"",N(Y116)*N(AD116)+N(Z116)*N(AE116)+N(AA116)*N(AF116)+N(AB116)*N(AG116)+N(AC116)*N(AH116)+N(U116)*N(AI116)+N(V116)*N(AJ116)+N(W116)*N(AK116)+N(X116)*N(AL116)+N(Q116)*N(AM116)+N(R116)*N(AN116)+N(S116)*N(AO116)+N(T116)*N(AP116))</f>
        <v>6.00514170575378</v>
      </c>
      <c r="CG116" s="16" t="n">
        <f aca="false">IF(AND(BY116=1,N(K116)&gt;0),K116,0)</f>
        <v>37.724</v>
      </c>
      <c r="CH116" s="16" t="n">
        <f aca="false">IF(CG116&gt;0,CF116*1000/CG116,"")</f>
        <v>159.186239681735</v>
      </c>
      <c r="CI116" s="16" t="n">
        <f aca="false">IF(BY116=0,"",N(AQ116)+p_road*(N(AR116)+N(AS116)+N(AT116)))</f>
        <v>0</v>
      </c>
      <c r="CJ116" s="16" t="n">
        <f aca="false">IF(CG116&gt;0,CI116*1000/CG116,"")</f>
        <v>0</v>
      </c>
      <c r="CK116" s="12" t="n">
        <f aca="false">IF(CH116="",1,MIN(p_idx_max,MAX(p_idx_min,CH116/p_fc_world)))</f>
        <v>0.988689304727309</v>
      </c>
      <c r="CL116" s="12" t="n">
        <f aca="false">IF(CJ116="",1,MIN(p_idx_max,MAX(p_idx_min,CJ116/p_cb_world)))</f>
        <v>0.25</v>
      </c>
      <c r="CM116" s="37" t="n">
        <f aca="false">p_b*(1-p_wb_idx+p_wb_idx*CK116)</f>
        <v>0.131495677528732</v>
      </c>
      <c r="CN116" s="37" t="n">
        <f aca="false">p_c*(1-p_wc_idx+p_wc_idx*CL116)</f>
        <v>0.03225</v>
      </c>
      <c r="CO116" s="28" t="n">
        <f aca="false">IF(N(BR116)&gt;0,(N(BS116)+N(BT116)+N(BU116))/BR116,"")</f>
        <v>0.561797752808989</v>
      </c>
      <c r="CP116" s="16" t="n">
        <f aca="false">N(BS116)+N(BT116)+N(BU116)</f>
        <v>3</v>
      </c>
      <c r="CQ116" s="28" t="n">
        <f aca="false">IF(CP116&gt;0,N(BS116)/CP116,"")</f>
        <v>0</v>
      </c>
      <c r="CR116" s="28" t="n">
        <f aca="false">IF(CP116&gt;0,N(BT116)/CP116,"")</f>
        <v>0</v>
      </c>
      <c r="CS116" s="28" t="n">
        <f aca="false">IF(CP116&gt;0,N(BU116)/CP116,"")</f>
        <v>1</v>
      </c>
      <c r="CT116" s="7" t="n">
        <f aca="false">1000*(p_sh_pv*p_cf_pv/p_capex_pv+(1-p_sh_pv)*p_cf_wind/p_capex_wind)*8760</f>
        <v>2301.28856624319</v>
      </c>
      <c r="CU116" s="13" t="n">
        <f aca="false">IF(AND(ISNUMBER(CO116),ISNUMBER(CQ116),BY116=1),1,0)</f>
        <v>1</v>
      </c>
      <c r="CV116" s="16" t="n">
        <f aca="false">IF(CU116=0,"",CQ116*p_hr_coal*N(AK116)+CR116*p_hr_gas*N(AO116)+CS116*p_hr_oil*N(AH116)/p_gj_l_oil)</f>
        <v>147.801183568385</v>
      </c>
      <c r="CW116" s="37" t="n">
        <f aca="false">IF(CU116=0,"",CQ116*p_hr_coal*p_ef_coal+CR116*p_hr_gas*p_ef_gas+CS116*p_hr_oil*p_ef_oil)</f>
        <v>0.8127</v>
      </c>
      <c r="CX116" s="16" t="n">
        <f aca="false">IF(CU116=0,"",CQ116*p_hr_coal*N(AW116)+CR116*p_hr_gas*N(AX116)+CS116*p_hr_oil*N(AY116)/p_gj_l_oil)</f>
        <v>0</v>
      </c>
      <c r="CY116" s="37" t="n">
        <f aca="false">IF(CU116=0,"",CO116*CW116)</f>
        <v>0.456573033707865</v>
      </c>
      <c r="CZ116" s="37" t="n">
        <f aca="false">IF(CU116=0,"",CT116*CO116*CV116/1000/1000-p_om_re)</f>
        <v>0.176086052709627</v>
      </c>
      <c r="DA116" s="37" t="n">
        <f aca="false">IF(CU116=0,"",CT116*CO116*CX116/1000/1000)</f>
        <v>0</v>
      </c>
      <c r="DB116" s="37" t="n">
        <f aca="false">IF(CU116=0,"",CT116*CO116*CW116/1000)</f>
        <v>1.05070630212688</v>
      </c>
      <c r="DC116" s="13" t="n">
        <f aca="false">IF(AND(CU116=1,ISNUMBER(AD116),ISNUMBER(AV116)),1,0)</f>
        <v>1</v>
      </c>
      <c r="DD116" s="7" t="n">
        <f aca="false">IF(DC116=0,"",p_ev_km*p_ice_l/100*AD116-p_ev_km*p_ev_kwh*AV116+p_ev_km*p_ev_maint)</f>
        <v>420.219</v>
      </c>
      <c r="DE116" s="37" t="n">
        <f aca="false">IF(DC116=0,"",DD116/p_ev_prem)</f>
        <v>0.0840438</v>
      </c>
      <c r="DF116" s="37" t="n">
        <f aca="false">IF(DC116=0,"",p_ev_km*p_ice_l/100*N(AZ116)/p_ev_prem)</f>
        <v>0</v>
      </c>
      <c r="DG116" s="37" t="n">
        <f aca="false">IF(DC116=0,"",1000/p_ev_prem*(p_ev_km*p_ice_l/100*p_gj_l_gso*p_ef_gso-p_ev_km*p_ev_kwh/1000*CY116))</f>
        <v>0.286714061797753</v>
      </c>
      <c r="DH116" s="11" t="str">
        <f aca="false">IFERROR(IF(INDEX(Damodaran!$D:$D,MATCH(A116,Damodaran!$A:$A,0))="","",INDEX(Damodaran!$D:$D,MATCH(A116,Damodaran!$A:$A,0))),"")</f>
        <v/>
      </c>
      <c r="DI116" s="11" t="str">
        <f aca="false">IFERROR(IF(INDEX(Damodaran!$E:$E,MATCH(A116,Damodaran!$A:$A,0))="","",INDEX(Damodaran!$E:$E,MATCH(A116,Damodaran!$A:$A,0))),"")</f>
        <v/>
      </c>
      <c r="DJ116" s="11" t="str">
        <f aca="false">IFERROR(IF(INDEX(Damodaran!$G:$G,MATCH(A116,Damodaran!$A:$A,0))="","",INDEX(Damodaran!$G:$G,MATCH(A116,Damodaran!$A:$A,0))),"")</f>
        <v/>
      </c>
      <c r="DK116" s="11" t="n">
        <f aca="false">IF(ISNUMBER(BG116),(1+BG116/100)*(1+p_infl)-1,"")</f>
        <v>0.2342</v>
      </c>
      <c r="DL116" s="11" t="str">
        <f aca="false">IF(ISNUMBER(BH116),BH116/100,"")</f>
        <v/>
      </c>
      <c r="DM116" s="11" t="n">
        <f aca="false">IF(COUNT(DK116,DL116)=0,"",AVERAGE(DK116,DL116))</f>
        <v>0.2342</v>
      </c>
      <c r="DN116" s="11" t="str">
        <f aca="false">IF(OR(DH116="",DI116=""),"",p_dv*(p_rf+DH116)*(1-IF(DJ116="",p_tax_def,DJ116))+(1-p_dv)*(p_rf+p_beta*p_erp+p_lambda*DI116))</f>
        <v/>
      </c>
      <c r="DO116" s="13" t="n">
        <f aca="false">IF(AND(ISNUMBER(DM116),ISNUMBER(DN116)),1,0)</f>
        <v>0</v>
      </c>
      <c r="DP116" s="11" t="n">
        <f aca="false">IF(DO116=1,DM116,0)</f>
        <v>0</v>
      </c>
      <c r="DQ116" s="11" t="n">
        <f aca="false">IF(DO116=1,DN116,0)</f>
        <v>0</v>
      </c>
      <c r="DR116" s="11" t="str">
        <f aca="false">IF(DN116="","",DN116+p_shift)</f>
        <v/>
      </c>
      <c r="DS116" s="11" t="n">
        <f aca="false">IF(E116="AE",p_r_ae,IF(E116="China",p_r_chn,p_r_emdc))</f>
        <v>0.105</v>
      </c>
      <c r="DT116" s="11" t="n">
        <f aca="false">IF(E116="AE",p_rh_ae,IF(E116="China",p_rh_chn,p_rh_emdc))</f>
        <v>0.15</v>
      </c>
      <c r="DU116" s="11" t="n">
        <f aca="false">IF(AND(p_use_obs=1,ISNUMBER(DM116)),DM116,IF(AND(p_use_dam=1,ISNUMBER(DR116)),DR116,DS116))</f>
        <v>0.2342</v>
      </c>
      <c r="DV116" s="6" t="str">
        <f aca="false">IF(AND(p_use_obs=1,ISNUMBER(DM116)),"Observed (IRENA/Steffen)",IF(AND(p_use_dam=1,ISNUMBER(DR116)),"Damodaran (eq. 5)","Group default (IHLEG)"))</f>
        <v>Observed (IRENA/Steffen)</v>
      </c>
      <c r="DW116" s="11" t="n">
        <f aca="false">IF(p_basis=1,(1+DU116)/(1+p_infl)-1,DU116)</f>
        <v>0.2342</v>
      </c>
      <c r="DX116" s="11" t="n">
        <f aca="false">DW116+(DT116-DS116)</f>
        <v>0.2792</v>
      </c>
      <c r="DY116" s="28" t="n">
        <f aca="false">IF(AND(p_use_pefa=1,ISNUMBER(BD116)),p_gap_lic-(BD116-1)/3*(p_gap_lic-p_gap_ae),IF(E116="AE",p_gap_ae,IF(D116="Low income",p_gap_lic,p_gap_em)))*(1-p_reform*p_reform_close)</f>
        <v>0.27</v>
      </c>
      <c r="DZ116" s="6" t="str">
        <f aca="false">IF(AND(p_use_pefa=1,ISNUMBER(BD116)),"PEFA PI-11","Income-group default (IMF 2015)")</f>
        <v>Income-group default (IMF 2015)</v>
      </c>
      <c r="EA116" s="28" t="n">
        <f aca="false">IF(E116="AE",p_ps_ae,IF(E116="China",p_ps_chn,p_ps_emdc))</f>
        <v>0.4</v>
      </c>
      <c r="EB116" s="37" t="n">
        <f aca="false">(1-EA116)+EA116/(1-DY116)</f>
        <v>1.14794520547945</v>
      </c>
      <c r="EC116" s="16" t="n">
        <f aca="false">Results_Country!F116</f>
        <v>3.32052480827429</v>
      </c>
      <c r="ED116" s="16" t="n">
        <f aca="false">IF(CH116="",0,CH116*EC116)</f>
        <v>528.581857999099</v>
      </c>
      <c r="EE116" s="16" t="n">
        <f aca="false">IF(CJ116="",0,CJ116*EC116)</f>
        <v>0</v>
      </c>
      <c r="EF116" s="16" t="n">
        <f aca="false">IF(CH116="",0,EC116)</f>
        <v>3.32052480827429</v>
      </c>
    </row>
    <row r="117" customFormat="false" ht="15" hidden="false" customHeight="false" outlineLevel="0" collapsed="false">
      <c r="A117" s="35" t="s">
        <v>991</v>
      </c>
      <c r="B117" s="35" t="s">
        <v>992</v>
      </c>
      <c r="C117" s="35" t="s">
        <v>847</v>
      </c>
      <c r="D117" s="35" t="s">
        <v>888</v>
      </c>
      <c r="E117" s="35" t="s">
        <v>31</v>
      </c>
      <c r="F117" s="36" t="n">
        <v>29.156</v>
      </c>
      <c r="G117" s="36" t="n">
        <v>115.292</v>
      </c>
      <c r="H117" s="33" t="n">
        <v>3.225</v>
      </c>
      <c r="I117" s="33" t="n">
        <v>0.713</v>
      </c>
      <c r="J117" s="36" t="n">
        <v>50.448962</v>
      </c>
      <c r="K117" s="36" t="n">
        <v>21.145</v>
      </c>
      <c r="L117" s="36" t="n">
        <v>143.551</v>
      </c>
      <c r="M117" s="36" t="n">
        <v>163.544</v>
      </c>
      <c r="N117" s="36" t="n">
        <v>3.43382080015341</v>
      </c>
      <c r="O117" s="36" t="n">
        <v>6.96095553115952</v>
      </c>
      <c r="P117" s="36" t="n">
        <v>0.57707179568031</v>
      </c>
      <c r="Q117" s="31" t="n">
        <v>0</v>
      </c>
      <c r="R117" s="31" t="n">
        <v>0</v>
      </c>
      <c r="S117" s="31" t="n">
        <v>0</v>
      </c>
      <c r="T117" s="31" t="n">
        <v>0</v>
      </c>
      <c r="U117" s="31" t="n">
        <v>0</v>
      </c>
      <c r="V117" s="31" t="n">
        <v>0</v>
      </c>
      <c r="W117" s="31" t="n">
        <v>0</v>
      </c>
      <c r="X117" s="31" t="n">
        <v>0</v>
      </c>
      <c r="Y117" s="36" t="n">
        <v>1.65281758405148</v>
      </c>
      <c r="Z117" s="36" t="n">
        <v>3.37366571085905</v>
      </c>
      <c r="AA117" s="36" t="n">
        <v>0.575893793828348</v>
      </c>
      <c r="AB117" s="36" t="n">
        <v>0.0513014035970818</v>
      </c>
      <c r="AC117" s="36" t="n">
        <v>1.15521375593489</v>
      </c>
      <c r="AD117" s="31" t="n">
        <v>0.84708</v>
      </c>
      <c r="AE117" s="31" t="n">
        <v>0.813935</v>
      </c>
      <c r="AF117" s="31" t="n">
        <v>0.556301</v>
      </c>
      <c r="AG117" s="31" t="n">
        <v>0.69147</v>
      </c>
      <c r="AH117" s="31" t="n">
        <v>0.519462891908447</v>
      </c>
      <c r="AI117" s="31" t="n">
        <v>7.124</v>
      </c>
      <c r="AJ117" s="31" t="n">
        <v>14.26581</v>
      </c>
      <c r="AK117" s="31" t="n">
        <v>5.575</v>
      </c>
      <c r="AL117" s="31" t="n">
        <v>8.98827</v>
      </c>
      <c r="AM117" s="31" t="n">
        <v>12.442</v>
      </c>
      <c r="AN117" s="31" t="n">
        <v>23.84928</v>
      </c>
      <c r="AO117" s="31" t="n">
        <v>11.119</v>
      </c>
      <c r="AP117" s="31" t="n">
        <v>15.8034266666667</v>
      </c>
      <c r="AQ117" s="36" t="n">
        <v>0.200309008088601</v>
      </c>
      <c r="AR117" s="36" t="n">
        <v>0.0517917332544003</v>
      </c>
      <c r="AS117" s="36" t="n">
        <v>0.541448454520261</v>
      </c>
      <c r="AT117" s="36" t="n">
        <v>0.534229343794466</v>
      </c>
      <c r="AU117" s="31" t="n">
        <v>0.778390494970897</v>
      </c>
      <c r="AV117" s="36" t="n">
        <v>0.159238</v>
      </c>
      <c r="AW117" s="31" t="n">
        <v>0.123093</v>
      </c>
      <c r="AX117" s="31" t="n">
        <v>0.004772</v>
      </c>
      <c r="AY117" s="31" t="n">
        <v>0.0740519913535796</v>
      </c>
      <c r="AZ117" s="31" t="n">
        <v>0.009413</v>
      </c>
      <c r="BA117" s="33" t="n">
        <v>262.573</v>
      </c>
      <c r="BB117" s="33" t="n">
        <v>4.841</v>
      </c>
      <c r="BC117" s="33"/>
      <c r="BD117" s="33"/>
      <c r="BE117" s="33"/>
      <c r="BF117" s="33" t="n">
        <v>0</v>
      </c>
      <c r="BG117" s="33"/>
      <c r="BH117" s="33"/>
      <c r="BI117" s="29"/>
      <c r="BJ117" s="33"/>
      <c r="BK117" s="33"/>
      <c r="BL117" s="33"/>
      <c r="BM117" s="33"/>
      <c r="BN117" s="29" t="n">
        <v>24.372</v>
      </c>
      <c r="BO117" s="33" t="n">
        <v>0.13</v>
      </c>
      <c r="BP117" s="33"/>
      <c r="BQ117" s="29" t="n">
        <v>2024</v>
      </c>
      <c r="BR117" s="36" t="n">
        <v>14.77</v>
      </c>
      <c r="BS117" s="36" t="n">
        <v>0</v>
      </c>
      <c r="BT117" s="36" t="n">
        <v>0</v>
      </c>
      <c r="BU117" s="36" t="n">
        <v>3</v>
      </c>
      <c r="BV117" s="16" t="n">
        <f aca="false">F117*(1+N(H117)/100)*(1+N(I117)/100)^5</f>
        <v>31.184622912499</v>
      </c>
      <c r="BW117" s="16" t="n">
        <f aca="false">IF(N(G117)&gt;0,G117,F117)</f>
        <v>115.292</v>
      </c>
      <c r="BX117" s="12" t="n">
        <f aca="false">F117/BW117</f>
        <v>0.252888318356868</v>
      </c>
      <c r="BY117" s="13" t="n">
        <f aca="false">IF(ISNUMBER(K117),1,0)</f>
        <v>1</v>
      </c>
      <c r="BZ117" s="16" t="n">
        <f aca="false">IF(BY117=0,"",N(N117)+N(O117)+N(P117))</f>
        <v>10.9718481269932</v>
      </c>
      <c r="CA117" s="37" t="n">
        <f aca="false">IF(BY117=0,"",(N(Y117)*34.2+N(Z117)*38.6)/1000)</f>
        <v>0.18674985781372</v>
      </c>
      <c r="CB117" s="37" t="n">
        <f aca="false">IF(BY117=0,"",N(O117)*0.0036+N(R117)+N(V117)+(N(AA117)*25.3+N(AB117)*37)/1000)</f>
        <v>0.0415277048291235</v>
      </c>
      <c r="CC117" s="37" t="n">
        <f aca="false">IF(BY117=0,"",N(N117)*0.0036+N(Q117)+N(U117)+N(T117)+N(X117)+N(AC117)*38/1000)</f>
        <v>0.0562598776060781</v>
      </c>
      <c r="CD117" s="37" t="n">
        <f aca="false">IF(BY117=0,"",N(Q117)+N(R117)+N(S117)+N(T117)+N(U117)+N(V117)+N(W117)+N(X117)+(N(Y117)*34.2+N(Z117)*38.6+N(AA117)*25.3+N(AB117)*37+N(AC117)*38)/1000)</f>
        <v>0.247116245456195</v>
      </c>
      <c r="CE117" s="16" t="n">
        <f aca="false">IF(BY117=0,"",MAX(0,N(L117)-N(K117))+MAX(0,N(M117)-N(L117)))</f>
        <v>142.399</v>
      </c>
      <c r="CF117" s="16" t="n">
        <f aca="false">IF(BY117=0,"",N(Y117)*N(AD117)+N(Z117)*N(AE117)+N(AA117)*N(AF117)+N(AB117)*N(AG117)+N(AC117)*N(AH117)+N(U117)*N(AI117)+N(V117)*N(AJ117)+N(W117)*N(AK117)+N(X117)*N(AL117)+N(Q117)*N(AM117)+N(R117)*N(AN117)+N(S117)*N(AO117)+N(T117)*N(AP117))</f>
        <v>5.10194767284252</v>
      </c>
      <c r="CG117" s="16" t="n">
        <f aca="false">IF(AND(BY117=1,N(K117)&gt;0),K117,0)</f>
        <v>21.145</v>
      </c>
      <c r="CH117" s="16" t="n">
        <f aca="false">IF(CG117&gt;0,CF117*1000/CG117,"")</f>
        <v>241.283881430245</v>
      </c>
      <c r="CI117" s="16" t="n">
        <f aca="false">IF(BY117=0,"",N(AQ117)+p_road*(N(AR117)+N(AS117)+N(AT117)))</f>
        <v>0.200309008088601</v>
      </c>
      <c r="CJ117" s="16" t="n">
        <f aca="false">IF(CG117&gt;0,CI117*1000/CG117,"")</f>
        <v>9.4731145939277</v>
      </c>
      <c r="CK117" s="12" t="n">
        <f aca="false">IF(CH117="",1,MIN(p_idx_max,MAX(p_idx_min,CH117/p_fc_world)))</f>
        <v>1.49858928416252</v>
      </c>
      <c r="CL117" s="12" t="n">
        <f aca="false">IF(CJ117="",1,MIN(p_idx_max,MAX(p_idx_min,CJ117/p_cb_world)))</f>
        <v>0.25</v>
      </c>
      <c r="CM117" s="37" t="n">
        <f aca="false">p_b*(1-p_wb_idx+p_wb_idx*CK117)</f>
        <v>0.199312374793615</v>
      </c>
      <c r="CN117" s="37" t="n">
        <f aca="false">p_c*(1-p_wc_idx+p_wc_idx*CL117)</f>
        <v>0.03225</v>
      </c>
      <c r="CO117" s="28" t="n">
        <f aca="false">IF(N(BR117)&gt;0,(N(BS117)+N(BT117)+N(BU117))/BR117,"")</f>
        <v>0.2031144211239</v>
      </c>
      <c r="CP117" s="16" t="n">
        <f aca="false">N(BS117)+N(BT117)+N(BU117)</f>
        <v>3</v>
      </c>
      <c r="CQ117" s="28" t="n">
        <f aca="false">IF(CP117&gt;0,N(BS117)/CP117,"")</f>
        <v>0</v>
      </c>
      <c r="CR117" s="28" t="n">
        <f aca="false">IF(CP117&gt;0,N(BT117)/CP117,"")</f>
        <v>0</v>
      </c>
      <c r="CS117" s="28" t="n">
        <f aca="false">IF(CP117&gt;0,N(BU117)/CP117,"")</f>
        <v>1</v>
      </c>
      <c r="CT117" s="7" t="n">
        <f aca="false">1000*(p_sh_pv*p_cf_pv/p_capex_pv+(1-p_sh_pv)*p_cf_wind/p_capex_wind)*8760</f>
        <v>2301.28856624319</v>
      </c>
      <c r="CU117" s="13" t="n">
        <f aca="false">IF(AND(ISNUMBER(CO117),ISNUMBER(CQ117),BY117=1),1,0)</f>
        <v>1</v>
      </c>
      <c r="CV117" s="16" t="n">
        <f aca="false">IF(CU117=0,"",CQ117*p_hr_coal*N(AK117)+CR117*p_hr_gas*N(AO117)+CS117*p_hr_oil*N(AH117)/p_gj_l_oil)</f>
        <v>141.304672669396</v>
      </c>
      <c r="CW117" s="37" t="n">
        <f aca="false">IF(CU117=0,"",CQ117*p_hr_coal*p_ef_coal+CR117*p_hr_gas*p_ef_gas+CS117*p_hr_oil*p_ef_oil)</f>
        <v>0.8127</v>
      </c>
      <c r="CX117" s="16" t="n">
        <f aca="false">IF(CU117=0,"",CQ117*p_hr_coal*N(AW117)+CR117*p_hr_gas*N(AX117)+CS117*p_hr_oil*N(AY117)/p_gj_l_oil)</f>
        <v>20.1436764044711</v>
      </c>
      <c r="CY117" s="37" t="n">
        <f aca="false">IF(CU117=0,"",CO117*CW117)</f>
        <v>0.165071090047393</v>
      </c>
      <c r="CZ117" s="37" t="n">
        <f aca="false">IF(CU117=0,"",CT117*CO117*CV117/1000/1000-p_om_re)</f>
        <v>0.0510493217814797</v>
      </c>
      <c r="DA117" s="37" t="n">
        <f aca="false">IF(CU117=0,"",CT117*CO117*CX117/1000/1000)</f>
        <v>0.00941565582770051</v>
      </c>
      <c r="DB117" s="37" t="n">
        <f aca="false">IF(CU117=0,"",CT117*CO117*CW117/1000)</f>
        <v>0.379876212143367</v>
      </c>
      <c r="DC117" s="13" t="n">
        <f aca="false">IF(AND(CU117=1,ISNUMBER(AD117),ISNUMBER(AV117)),1,0)</f>
        <v>1</v>
      </c>
      <c r="DD117" s="7" t="n">
        <f aca="false">IF(DC117=0,"",p_ev_km*p_ice_l/100*AD117-p_ev_km*p_ev_kwh*AV117+p_ev_km*p_ev_maint)</f>
        <v>703.0224</v>
      </c>
      <c r="DE117" s="37" t="n">
        <f aca="false">IF(DC117=0,"",DD117/p_ev_prem)</f>
        <v>0.14060448</v>
      </c>
      <c r="DF117" s="37" t="n">
        <f aca="false">IF(DC117=0,"",p_ev_km*p_ice_l/100*N(AZ117)/p_ev_prem)</f>
        <v>0.002117925</v>
      </c>
      <c r="DG117" s="37" t="n">
        <f aca="false">IF(DC117=0,"",1000/p_ev_prem*(p_ev_km*p_ice_l/100*p_gj_l_gso*p_ef_gso-p_ev_km*p_ev_kwh/1000*CY117))</f>
        <v>0.444125111374408</v>
      </c>
      <c r="DH117" s="11" t="str">
        <f aca="false">IFERROR(IF(INDEX(Damodaran!$D:$D,MATCH(A117,Damodaran!$A:$A,0))="","",INDEX(Damodaran!$D:$D,MATCH(A117,Damodaran!$A:$A,0))),"")</f>
        <v/>
      </c>
      <c r="DI117" s="11" t="str">
        <f aca="false">IFERROR(IF(INDEX(Damodaran!$E:$E,MATCH(A117,Damodaran!$A:$A,0))="","",INDEX(Damodaran!$E:$E,MATCH(A117,Damodaran!$A:$A,0))),"")</f>
        <v/>
      </c>
      <c r="DJ117" s="11" t="str">
        <f aca="false">IFERROR(IF(INDEX(Damodaran!$G:$G,MATCH(A117,Damodaran!$A:$A,0))="","",INDEX(Damodaran!$G:$G,MATCH(A117,Damodaran!$A:$A,0))),"")</f>
        <v/>
      </c>
      <c r="DK117" s="11" t="str">
        <f aca="false">IF(ISNUMBER(BG117),(1+BG117/100)*(1+p_infl)-1,"")</f>
        <v/>
      </c>
      <c r="DL117" s="11" t="str">
        <f aca="false">IF(ISNUMBER(BH117),BH117/100,"")</f>
        <v/>
      </c>
      <c r="DM117" s="11" t="str">
        <f aca="false">IF(COUNT(DK117,DL117)=0,"",AVERAGE(DK117,DL117))</f>
        <v/>
      </c>
      <c r="DN117" s="11" t="str">
        <f aca="false">IF(OR(DH117="",DI117=""),"",p_dv*(p_rf+DH117)*(1-IF(DJ117="",p_tax_def,DJ117))+(1-p_dv)*(p_rf+p_beta*p_erp+p_lambda*DI117))</f>
        <v/>
      </c>
      <c r="DO117" s="13" t="n">
        <f aca="false">IF(AND(ISNUMBER(DM117),ISNUMBER(DN117)),1,0)</f>
        <v>0</v>
      </c>
      <c r="DP117" s="11" t="n">
        <f aca="false">IF(DO117=1,DM117,0)</f>
        <v>0</v>
      </c>
      <c r="DQ117" s="11" t="n">
        <f aca="false">IF(DO117=1,DN117,0)</f>
        <v>0</v>
      </c>
      <c r="DR117" s="11" t="str">
        <f aca="false">IF(DN117="","",DN117+p_shift)</f>
        <v/>
      </c>
      <c r="DS117" s="11" t="n">
        <f aca="false">IF(E117="AE",p_r_ae,IF(E117="China",p_r_chn,p_r_emdc))</f>
        <v>0.105</v>
      </c>
      <c r="DT117" s="11" t="n">
        <f aca="false">IF(E117="AE",p_rh_ae,IF(E117="China",p_rh_chn,p_rh_emdc))</f>
        <v>0.15</v>
      </c>
      <c r="DU117" s="11" t="n">
        <f aca="false">IF(AND(p_use_obs=1,ISNUMBER(DM117)),DM117,IF(AND(p_use_dam=1,ISNUMBER(DR117)),DR117,DS117))</f>
        <v>0.105</v>
      </c>
      <c r="DV117" s="6" t="str">
        <f aca="false">IF(AND(p_use_obs=1,ISNUMBER(DM117)),"Observed (IRENA/Steffen)",IF(AND(p_use_dam=1,ISNUMBER(DR117)),"Damodaran (eq. 5)","Group default (IHLEG)"))</f>
        <v>Group default (IHLEG)</v>
      </c>
      <c r="DW117" s="11" t="n">
        <f aca="false">IF(p_basis=1,(1+DU117)/(1+p_infl)-1,DU117)</f>
        <v>0.105</v>
      </c>
      <c r="DX117" s="11" t="n">
        <f aca="false">DW117+(DT117-DS117)</f>
        <v>0.15</v>
      </c>
      <c r="DY117" s="28" t="n">
        <f aca="false">IF(AND(p_use_pefa=1,ISNUMBER(BD117)),p_gap_lic-(BD117-1)/3*(p_gap_lic-p_gap_ae),IF(E117="AE",p_gap_ae,IF(D117="Low income",p_gap_lic,p_gap_em)))*(1-p_reform*p_reform_close)</f>
        <v>0.4</v>
      </c>
      <c r="DZ117" s="6" t="str">
        <f aca="false">IF(AND(p_use_pefa=1,ISNUMBER(BD117)),"PEFA PI-11","Income-group default (IMF 2015)")</f>
        <v>Income-group default (IMF 2015)</v>
      </c>
      <c r="EA117" s="28" t="n">
        <f aca="false">IF(E117="AE",p_ps_ae,IF(E117="China",p_ps_chn,p_ps_emdc))</f>
        <v>0.4</v>
      </c>
      <c r="EB117" s="37" t="n">
        <f aca="false">(1-EA117)+EA117/(1-DY117)</f>
        <v>1.26666666666667</v>
      </c>
      <c r="EC117" s="16" t="n">
        <f aca="false">Results_Country!F117</f>
        <v>4.15576767716351</v>
      </c>
      <c r="ED117" s="16" t="n">
        <f aca="false">IF(CH117="",0,CH117*EC117)</f>
        <v>1002.71975546836</v>
      </c>
      <c r="EE117" s="16" t="n">
        <f aca="false">IF(CJ117="",0,CJ117*EC117)</f>
        <v>39.3680634315106</v>
      </c>
      <c r="EF117" s="16" t="n">
        <f aca="false">IF(CH117="",0,EC117)</f>
        <v>4.15576767716351</v>
      </c>
    </row>
    <row r="118" customFormat="false" ht="15" hidden="false" customHeight="false" outlineLevel="0" collapsed="false">
      <c r="A118" s="35" t="s">
        <v>993</v>
      </c>
      <c r="B118" s="35" t="s">
        <v>994</v>
      </c>
      <c r="C118" s="35" t="s">
        <v>766</v>
      </c>
      <c r="D118" s="35" t="s">
        <v>763</v>
      </c>
      <c r="E118" s="35" t="s">
        <v>31</v>
      </c>
      <c r="F118" s="36" t="n">
        <v>27.084</v>
      </c>
      <c r="G118" s="36" t="n">
        <v>59.384</v>
      </c>
      <c r="H118" s="33" t="n">
        <v>3.705</v>
      </c>
      <c r="I118" s="33" t="n">
        <v>3.409</v>
      </c>
      <c r="J118" s="36" t="n">
        <v>2.791765</v>
      </c>
      <c r="K118" s="36" t="n">
        <v>4.479</v>
      </c>
      <c r="L118" s="36" t="n">
        <v>8.074</v>
      </c>
      <c r="M118" s="36" t="n">
        <v>7.828</v>
      </c>
      <c r="N118" s="36" t="n">
        <v>3.53419429042131</v>
      </c>
      <c r="O118" s="36" t="n">
        <v>3.89745711275469</v>
      </c>
      <c r="P118" s="36" t="n">
        <v>0.00621179565808664</v>
      </c>
      <c r="Q118" s="31" t="n">
        <v>0.001615326743173</v>
      </c>
      <c r="R118" s="31" t="n">
        <v>0.000276937947836834</v>
      </c>
      <c r="S118" s="31" t="n">
        <v>0</v>
      </c>
      <c r="T118" s="31" t="n">
        <v>0</v>
      </c>
      <c r="U118" s="31" t="n">
        <v>0.00997487854267697</v>
      </c>
      <c r="V118" s="31" t="n">
        <v>0.000148804118247981</v>
      </c>
      <c r="W118" s="31" t="n">
        <v>0</v>
      </c>
      <c r="X118" s="31" t="n">
        <v>0</v>
      </c>
      <c r="Y118" s="36" t="n">
        <v>0.104476707536567</v>
      </c>
      <c r="Z118" s="36" t="n">
        <v>0.646639306668172</v>
      </c>
      <c r="AA118" s="36" t="n">
        <v>0.354050126141261</v>
      </c>
      <c r="AB118" s="36" t="n">
        <v>1.11919397480909E-006</v>
      </c>
      <c r="AC118" s="36" t="n">
        <v>0.128468734216015</v>
      </c>
      <c r="AD118" s="31" t="n">
        <v>0.836993</v>
      </c>
      <c r="AE118" s="31" t="n">
        <v>0.805353</v>
      </c>
      <c r="AF118" s="31" t="n">
        <v>0.573985</v>
      </c>
      <c r="AG118" s="31" t="n">
        <v>0.591</v>
      </c>
      <c r="AH118" s="31" t="n">
        <v>0.519462891908447</v>
      </c>
      <c r="AI118" s="31" t="n">
        <v>5.333</v>
      </c>
      <c r="AJ118" s="31" t="n">
        <v>9.9468</v>
      </c>
      <c r="AK118" s="31" t="n">
        <v>3.252</v>
      </c>
      <c r="AL118" s="31" t="n">
        <v>5.40081647190725</v>
      </c>
      <c r="AM118" s="31" t="n">
        <v>6.853</v>
      </c>
      <c r="AN118" s="31" t="n">
        <v>12.9876</v>
      </c>
      <c r="AO118" s="31" t="n">
        <v>6.191</v>
      </c>
      <c r="AP118" s="31" t="n">
        <v>7.75081495309369</v>
      </c>
      <c r="AQ118" s="36" t="n">
        <v>0.173051805409087</v>
      </c>
      <c r="AR118" s="36" t="n">
        <v>0.00588457289073832</v>
      </c>
      <c r="AS118" s="36" t="n">
        <v>0.0167970180173581</v>
      </c>
      <c r="AT118" s="36" t="n">
        <v>0.034740131056651</v>
      </c>
      <c r="AU118" s="31" t="n">
        <v>1</v>
      </c>
      <c r="AV118" s="36" t="n">
        <v>0.11808</v>
      </c>
      <c r="AW118" s="31" t="n">
        <v>0.895432</v>
      </c>
      <c r="AX118" s="31" t="n">
        <v>0.090351</v>
      </c>
      <c r="AY118" s="31" t="n">
        <v>0.346162203576622</v>
      </c>
      <c r="AZ118" s="31" t="n">
        <v>0.047657</v>
      </c>
      <c r="BA118" s="33" t="n">
        <v>54.505</v>
      </c>
      <c r="BB118" s="33" t="n">
        <v>7.667</v>
      </c>
      <c r="BC118" s="33" t="n">
        <v>100.792</v>
      </c>
      <c r="BD118" s="33" t="n">
        <v>3</v>
      </c>
      <c r="BE118" s="33" t="n">
        <v>2</v>
      </c>
      <c r="BF118" s="33" t="n">
        <v>0</v>
      </c>
      <c r="BG118" s="33"/>
      <c r="BH118" s="33"/>
      <c r="BI118" s="29"/>
      <c r="BJ118" s="33"/>
      <c r="BK118" s="33"/>
      <c r="BL118" s="33" t="n">
        <v>1.982</v>
      </c>
      <c r="BM118" s="33" t="n">
        <v>5.9</v>
      </c>
      <c r="BN118" s="29" t="n">
        <v>18.669</v>
      </c>
      <c r="BO118" s="33" t="n">
        <v>1.349</v>
      </c>
      <c r="BP118" s="33" t="n">
        <v>0.23</v>
      </c>
      <c r="BQ118" s="29" t="n">
        <v>2025</v>
      </c>
      <c r="BR118" s="36" t="n">
        <v>7.111</v>
      </c>
      <c r="BS118" s="36" t="n">
        <v>0</v>
      </c>
      <c r="BT118" s="36" t="n">
        <v>0</v>
      </c>
      <c r="BU118" s="36" t="n">
        <v>0</v>
      </c>
      <c r="BV118" s="16" t="n">
        <f aca="false">F118*(1+N(H118)/100)*(1+N(I118)/100)^5</f>
        <v>33.2127007773801</v>
      </c>
      <c r="BW118" s="16" t="n">
        <f aca="false">IF(N(G118)&gt;0,G118,F118)</f>
        <v>59.384</v>
      </c>
      <c r="BX118" s="12" t="n">
        <f aca="false">F118/BW118</f>
        <v>0.456082446450222</v>
      </c>
      <c r="BY118" s="13" t="n">
        <f aca="false">IF(ISNUMBER(K118),1,0)</f>
        <v>1</v>
      </c>
      <c r="BZ118" s="16" t="n">
        <f aca="false">IF(BY118=0,"",N(N118)+N(O118)+N(P118))</f>
        <v>7.43786319883408</v>
      </c>
      <c r="CA118" s="37" t="n">
        <f aca="false">IF(BY118=0,"",(N(Y118)*34.2+N(Z118)*38.6)/1000)</f>
        <v>0.028533380635142</v>
      </c>
      <c r="CB118" s="37" t="n">
        <f aca="false">IF(BY118=0,"",N(O118)*0.0036+N(R118)+N(V118)+(N(AA118)*25.3+N(AB118)*37)/1000)</f>
        <v>0.0234140972735527</v>
      </c>
      <c r="CC118" s="37" t="n">
        <f aca="false">IF(BY118=0,"",N(N118)*0.0036+N(Q118)+N(U118)+N(T118)+N(X118)+N(AC118)*38/1000)</f>
        <v>0.0291951166315753</v>
      </c>
      <c r="CD118" s="37" t="n">
        <f aca="false">IF(BY118=0,"",N(Q118)+N(R118)+N(S118)+N(T118)+N(U118)+N(V118)+N(W118)+N(X118)+(N(Y118)*34.2+N(Z118)*38.6+N(AA118)*25.3+N(AB118)*37+N(AC118)*38)/1000)</f>
        <v>0.0543886494888364</v>
      </c>
      <c r="CE118" s="16" t="n">
        <f aca="false">IF(BY118=0,"",MAX(0,N(L118)-N(K118))+MAX(0,N(M118)-N(L118)))</f>
        <v>3.595</v>
      </c>
      <c r="CF118" s="16" t="n">
        <f aca="false">IF(BY118=0,"",N(Y118)*N(AD118)+N(Z118)*N(AE118)+N(AA118)*N(AF118)+N(AB118)*N(AG118)+N(AC118)*N(AH118)+N(U118)*N(AI118)+N(V118)*N(AJ118)+N(W118)*N(AK118)+N(X118)*N(AL118)+N(Q118)*N(AM118)+N(R118)*N(AN118)+N(S118)*N(AO118)+N(T118)*N(AP118))</f>
        <v>0.947516787240561</v>
      </c>
      <c r="CG118" s="16" t="n">
        <f aca="false">IF(AND(BY118=1,N(K118)&gt;0),K118,0)</f>
        <v>4.479</v>
      </c>
      <c r="CH118" s="16" t="n">
        <f aca="false">IF(CG118&gt;0,CF118*1000/CG118,"")</f>
        <v>211.546503067774</v>
      </c>
      <c r="CI118" s="16" t="n">
        <f aca="false">IF(BY118=0,"",N(AQ118)+p_road*(N(AR118)+N(AS118)+N(AT118)))</f>
        <v>0.173051805409087</v>
      </c>
      <c r="CJ118" s="16" t="n">
        <f aca="false">IF(CG118&gt;0,CI118*1000/CG118,"")</f>
        <v>38.6362593009794</v>
      </c>
      <c r="CK118" s="12" t="n">
        <f aca="false">IF(CH118="",1,MIN(p_idx_max,MAX(p_idx_min,CH118/p_fc_world)))</f>
        <v>1.31389349640859</v>
      </c>
      <c r="CL118" s="12" t="n">
        <f aca="false">IF(CJ118="",1,MIN(p_idx_max,MAX(p_idx_min,CJ118/p_cb_world)))</f>
        <v>0.734658213384023</v>
      </c>
      <c r="CM118" s="37" t="n">
        <f aca="false">p_b*(1-p_wb_idx+p_wb_idx*CK118)</f>
        <v>0.174747835022343</v>
      </c>
      <c r="CN118" s="37" t="n">
        <f aca="false">p_c*(1-p_wc_idx+p_wc_idx*CL118)</f>
        <v>0.0947709095265389</v>
      </c>
      <c r="CO118" s="28" t="n">
        <f aca="false">IF(N(BR118)&gt;0,(N(BS118)+N(BT118)+N(BU118))/BR118,"")</f>
        <v>0</v>
      </c>
      <c r="CP118" s="16" t="n">
        <f aca="false">N(BS118)+N(BT118)+N(BU118)</f>
        <v>0</v>
      </c>
      <c r="CQ118" s="28" t="str">
        <f aca="false">IF(CP118&gt;0,N(BS118)/CP118,"")</f>
        <v/>
      </c>
      <c r="CR118" s="28" t="str">
        <f aca="false">IF(CP118&gt;0,N(BT118)/CP118,"")</f>
        <v/>
      </c>
      <c r="CS118" s="28" t="str">
        <f aca="false">IF(CP118&gt;0,N(BU118)/CP118,"")</f>
        <v/>
      </c>
      <c r="CT118" s="7" t="n">
        <f aca="false">1000*(p_sh_pv*p_cf_pv/p_capex_pv+(1-p_sh_pv)*p_cf_wind/p_capex_wind)*8760</f>
        <v>2301.28856624319</v>
      </c>
      <c r="CU118" s="13" t="n">
        <f aca="false">IF(AND(ISNUMBER(CO118),ISNUMBER(CQ118),BY118=1),1,0)</f>
        <v>0</v>
      </c>
      <c r="CV118" s="16" t="str">
        <f aca="false">IF(CU118=0,"",CQ118*p_hr_coal*N(AK118)+CR118*p_hr_gas*N(AO118)+CS118*p_hr_oil*N(AH118)/p_gj_l_oil)</f>
        <v/>
      </c>
      <c r="CW118" s="37" t="str">
        <f aca="false">IF(CU118=0,"",CQ118*p_hr_coal*p_ef_coal+CR118*p_hr_gas*p_ef_gas+CS118*p_hr_oil*p_ef_oil)</f>
        <v/>
      </c>
      <c r="CX118" s="16" t="str">
        <f aca="false">IF(CU118=0,"",CQ118*p_hr_coal*N(AW118)+CR118*p_hr_gas*N(AX118)+CS118*p_hr_oil*N(AY118)/p_gj_l_oil)</f>
        <v/>
      </c>
      <c r="CY118" s="37" t="str">
        <f aca="false">IF(CU118=0,"",CO118*CW118)</f>
        <v/>
      </c>
      <c r="CZ118" s="37" t="str">
        <f aca="false">IF(CU118=0,"",CT118*CO118*CV118/1000/1000-p_om_re)</f>
        <v/>
      </c>
      <c r="DA118" s="37" t="str">
        <f aca="false">IF(CU118=0,"",CT118*CO118*CX118/1000/1000)</f>
        <v/>
      </c>
      <c r="DB118" s="37" t="str">
        <f aca="false">IF(CU118=0,"",CT118*CO118*CW118/1000)</f>
        <v/>
      </c>
      <c r="DC118" s="13" t="n">
        <f aca="false">IF(AND(CU118=1,ISNUMBER(AD118),ISNUMBER(AV118)),1,0)</f>
        <v>0</v>
      </c>
      <c r="DD118" s="7" t="str">
        <f aca="false">IF(DC118=0,"",p_ev_km*p_ice_l/100*AD118-p_ev_km*p_ev_kwh*AV118+p_ev_km*p_ev_maint)</f>
        <v/>
      </c>
      <c r="DE118" s="37" t="str">
        <f aca="false">IF(DC118=0,"",DD118/p_ev_prem)</f>
        <v/>
      </c>
      <c r="DF118" s="37" t="str">
        <f aca="false">IF(DC118=0,"",p_ev_km*p_ice_l/100*N(AZ118)/p_ev_prem)</f>
        <v/>
      </c>
      <c r="DG118" s="37" t="str">
        <f aca="false">IF(DC118=0,"",1000/p_ev_prem*(p_ev_km*p_ice_l/100*p_gj_l_gso*p_ef_gso-p_ev_km*p_ev_kwh/1000*CY118))</f>
        <v/>
      </c>
      <c r="DH118" s="11" t="str">
        <f aca="false">IFERROR(IF(INDEX(Damodaran!$D:$D,MATCH(A118,Damodaran!$A:$A,0))="","",INDEX(Damodaran!$D:$D,MATCH(A118,Damodaran!$A:$A,0))),"")</f>
        <v/>
      </c>
      <c r="DI118" s="11" t="str">
        <f aca="false">IFERROR(IF(INDEX(Damodaran!$E:$E,MATCH(A118,Damodaran!$A:$A,0))="","",INDEX(Damodaran!$E:$E,MATCH(A118,Damodaran!$A:$A,0))),"")</f>
        <v/>
      </c>
      <c r="DJ118" s="11" t="str">
        <f aca="false">IFERROR(IF(INDEX(Damodaran!$G:$G,MATCH(A118,Damodaran!$A:$A,0))="","",INDEX(Damodaran!$G:$G,MATCH(A118,Damodaran!$A:$A,0))),"")</f>
        <v/>
      </c>
      <c r="DK118" s="11" t="str">
        <f aca="false">IF(ISNUMBER(BG118),(1+BG118/100)*(1+p_infl)-1,"")</f>
        <v/>
      </c>
      <c r="DL118" s="11" t="str">
        <f aca="false">IF(ISNUMBER(BH118),BH118/100,"")</f>
        <v/>
      </c>
      <c r="DM118" s="11" t="str">
        <f aca="false">IF(COUNT(DK118,DL118)=0,"",AVERAGE(DK118,DL118))</f>
        <v/>
      </c>
      <c r="DN118" s="11" t="str">
        <f aca="false">IF(OR(DH118="",DI118=""),"",p_dv*(p_rf+DH118)*(1-IF(DJ118="",p_tax_def,DJ118))+(1-p_dv)*(p_rf+p_beta*p_erp+p_lambda*DI118))</f>
        <v/>
      </c>
      <c r="DO118" s="13" t="n">
        <f aca="false">IF(AND(ISNUMBER(DM118),ISNUMBER(DN118)),1,0)</f>
        <v>0</v>
      </c>
      <c r="DP118" s="11" t="n">
        <f aca="false">IF(DO118=1,DM118,0)</f>
        <v>0</v>
      </c>
      <c r="DQ118" s="11" t="n">
        <f aca="false">IF(DO118=1,DN118,0)</f>
        <v>0</v>
      </c>
      <c r="DR118" s="11" t="str">
        <f aca="false">IF(DN118="","",DN118+p_shift)</f>
        <v/>
      </c>
      <c r="DS118" s="11" t="n">
        <f aca="false">IF(E118="AE",p_r_ae,IF(E118="China",p_r_chn,p_r_emdc))</f>
        <v>0.105</v>
      </c>
      <c r="DT118" s="11" t="n">
        <f aca="false">IF(E118="AE",p_rh_ae,IF(E118="China",p_rh_chn,p_rh_emdc))</f>
        <v>0.15</v>
      </c>
      <c r="DU118" s="11" t="n">
        <f aca="false">IF(AND(p_use_obs=1,ISNUMBER(DM118)),DM118,IF(AND(p_use_dam=1,ISNUMBER(DR118)),DR118,DS118))</f>
        <v>0.105</v>
      </c>
      <c r="DV118" s="6" t="str">
        <f aca="false">IF(AND(p_use_obs=1,ISNUMBER(DM118)),"Observed (IRENA/Steffen)",IF(AND(p_use_dam=1,ISNUMBER(DR118)),"Damodaran (eq. 5)","Group default (IHLEG)"))</f>
        <v>Group default (IHLEG)</v>
      </c>
      <c r="DW118" s="11" t="n">
        <f aca="false">IF(p_basis=1,(1+DU118)/(1+p_infl)-1,DU118)</f>
        <v>0.105</v>
      </c>
      <c r="DX118" s="11" t="n">
        <f aca="false">DW118+(DT118-DS118)</f>
        <v>0.15</v>
      </c>
      <c r="DY118" s="28" t="n">
        <f aca="false">IF(AND(p_use_pefa=1,ISNUMBER(BD118)),p_gap_lic-(BD118-1)/3*(p_gap_lic-p_gap_ae),IF(E118="AE",p_gap_ae,IF(D118="Low income",p_gap_lic,p_gap_em)))*(1-p_reform*p_reform_close)</f>
        <v>0.22</v>
      </c>
      <c r="DZ118" s="6" t="str">
        <f aca="false">IF(AND(p_use_pefa=1,ISNUMBER(BD118)),"PEFA PI-11","Income-group default (IMF 2015)")</f>
        <v>PEFA PI-11</v>
      </c>
      <c r="EA118" s="28" t="n">
        <f aca="false">IF(E118="AE",p_ps_ae,IF(E118="China",p_ps_chn,p_ps_emdc))</f>
        <v>0.4</v>
      </c>
      <c r="EB118" s="37" t="n">
        <f aca="false">(1-EA118)+EA118/(1-DY118)</f>
        <v>1.11282051282051</v>
      </c>
      <c r="EC118" s="16" t="n">
        <f aca="false">Results_Country!F118</f>
        <v>1.58405922981968</v>
      </c>
      <c r="ED118" s="16" t="n">
        <f aca="false">IF(CH118="",0,CH118*EC118)</f>
        <v>335.102190720585</v>
      </c>
      <c r="EE118" s="16" t="n">
        <f aca="false">IF(CJ118="",0,CJ118*EC118)</f>
        <v>61.2021231514228</v>
      </c>
      <c r="EF118" s="16" t="n">
        <f aca="false">IF(CH118="",0,EC118)</f>
        <v>1.58405922981968</v>
      </c>
    </row>
    <row r="119" customFormat="false" ht="15" hidden="false" customHeight="false" outlineLevel="0" collapsed="false">
      <c r="A119" s="35" t="s">
        <v>995</v>
      </c>
      <c r="B119" s="35" t="s">
        <v>996</v>
      </c>
      <c r="C119" s="35" t="s">
        <v>847</v>
      </c>
      <c r="D119" s="35" t="s">
        <v>888</v>
      </c>
      <c r="E119" s="35" t="s">
        <v>31</v>
      </c>
      <c r="F119" s="36" t="n">
        <v>26.777</v>
      </c>
      <c r="G119" s="36" t="n">
        <v>81.454</v>
      </c>
      <c r="H119" s="33" t="n">
        <v>4.9</v>
      </c>
      <c r="I119" s="33" t="n">
        <v>5.5</v>
      </c>
      <c r="J119" s="36" t="n">
        <v>24.478596</v>
      </c>
      <c r="K119" s="36" t="n">
        <v>6.997</v>
      </c>
      <c r="L119" s="36" t="n">
        <v>50.869</v>
      </c>
      <c r="M119" s="36" t="n">
        <v>50.873</v>
      </c>
      <c r="N119" s="36" t="n">
        <v>2.34848756071972</v>
      </c>
      <c r="O119" s="36" t="n">
        <v>1.5732501191835</v>
      </c>
      <c r="P119" s="36" t="n">
        <v>0.0579106003958869</v>
      </c>
      <c r="Q119" s="31" t="n">
        <v>0</v>
      </c>
      <c r="R119" s="31" t="n">
        <v>0</v>
      </c>
      <c r="S119" s="31" t="n">
        <v>0</v>
      </c>
      <c r="T119" s="31" t="n">
        <v>0</v>
      </c>
      <c r="U119" s="31" t="n">
        <v>0.00264662938189282</v>
      </c>
      <c r="V119" s="31" t="n">
        <v>0</v>
      </c>
      <c r="W119" s="31" t="n">
        <v>0</v>
      </c>
      <c r="X119" s="31" t="n">
        <v>0</v>
      </c>
      <c r="Y119" s="36" t="n">
        <v>0.841296968413699</v>
      </c>
      <c r="Z119" s="36" t="n">
        <v>1.09467332374404</v>
      </c>
      <c r="AA119" s="36" t="n">
        <v>0.0383783509139349</v>
      </c>
      <c r="AB119" s="36" t="n">
        <v>0.00191650359070719</v>
      </c>
      <c r="AC119" s="36" t="n">
        <v>0.696939391684415</v>
      </c>
      <c r="AD119" s="31" t="n">
        <v>0.787859</v>
      </c>
      <c r="AE119" s="31" t="n">
        <v>0.720616</v>
      </c>
      <c r="AF119" s="31" t="n">
        <v>0.551409</v>
      </c>
      <c r="AG119" s="31" t="n">
        <v>0.526</v>
      </c>
      <c r="AH119" s="31" t="n">
        <v>0.481547912584282</v>
      </c>
      <c r="AI119" s="31" t="n">
        <v>6.987</v>
      </c>
      <c r="AJ119" s="31" t="n">
        <v>14.38774</v>
      </c>
      <c r="AK119" s="31" t="n">
        <v>5.362</v>
      </c>
      <c r="AL119" s="31" t="n">
        <v>6.987</v>
      </c>
      <c r="AM119" s="31" t="n">
        <v>12.815</v>
      </c>
      <c r="AN119" s="31" t="n">
        <v>24.49326</v>
      </c>
      <c r="AO119" s="31" t="n">
        <v>11.492</v>
      </c>
      <c r="AP119" s="31" t="n">
        <v>16.2667533333333</v>
      </c>
      <c r="AQ119" s="36" t="n">
        <v>0.000142622541930591</v>
      </c>
      <c r="AR119" s="36" t="n">
        <v>0.000247598383167738</v>
      </c>
      <c r="AS119" s="36" t="n">
        <v>0.00211373933217799</v>
      </c>
      <c r="AT119" s="36" t="n">
        <v>0.00900499638033126</v>
      </c>
      <c r="AU119" s="31" t="n">
        <v>0.473187306827237</v>
      </c>
      <c r="AV119" s="36" t="n">
        <v>0.370216</v>
      </c>
      <c r="AW119" s="31" t="n">
        <v>0.033555</v>
      </c>
      <c r="AX119" s="31" t="n">
        <v>0.000137</v>
      </c>
      <c r="AY119" s="31" t="n">
        <v>0.00610769288853465</v>
      </c>
      <c r="AZ119" s="31" t="n">
        <v>0.000451</v>
      </c>
      <c r="BA119" s="33" t="n">
        <v>44.027</v>
      </c>
      <c r="BB119" s="33" t="n">
        <v>7.439</v>
      </c>
      <c r="BC119" s="33" t="n">
        <v>60.247</v>
      </c>
      <c r="BD119" s="33" t="n">
        <v>2.5</v>
      </c>
      <c r="BE119" s="33" t="n">
        <v>1</v>
      </c>
      <c r="BF119" s="33" t="n">
        <v>0</v>
      </c>
      <c r="BG119" s="33"/>
      <c r="BH119" s="33"/>
      <c r="BI119" s="29"/>
      <c r="BJ119" s="33"/>
      <c r="BK119" s="33"/>
      <c r="BL119" s="33"/>
      <c r="BM119" s="33"/>
      <c r="BN119" s="29" t="n">
        <v>43.402</v>
      </c>
      <c r="BO119" s="33" t="n">
        <v>0.527</v>
      </c>
      <c r="BP119" s="33" t="n">
        <v>0.137</v>
      </c>
      <c r="BQ119" s="29" t="n">
        <v>2024</v>
      </c>
      <c r="BR119" s="36" t="n">
        <v>5.96</v>
      </c>
      <c r="BS119" s="36" t="n">
        <v>0</v>
      </c>
      <c r="BT119" s="36" t="n">
        <v>0</v>
      </c>
      <c r="BU119" s="36" t="n">
        <v>4.8</v>
      </c>
      <c r="BV119" s="16" t="n">
        <f aca="false">F119*(1+N(H119)/100)*(1+N(I119)/100)^5</f>
        <v>36.7112950281134</v>
      </c>
      <c r="BW119" s="16" t="n">
        <f aca="false">IF(N(G119)&gt;0,G119,F119)</f>
        <v>81.454</v>
      </c>
      <c r="BX119" s="12" t="n">
        <f aca="false">F119/BW119</f>
        <v>0.328737692439905</v>
      </c>
      <c r="BY119" s="13" t="n">
        <f aca="false">IF(ISNUMBER(K119),1,0)</f>
        <v>1</v>
      </c>
      <c r="BZ119" s="16" t="n">
        <f aca="false">IF(BY119=0,"",N(N119)+N(O119)+N(P119))</f>
        <v>3.97964828029911</v>
      </c>
      <c r="CA119" s="37" t="n">
        <f aca="false">IF(BY119=0,"",(N(Y119)*34.2+N(Z119)*38.6)/1000)</f>
        <v>0.0710267466162685</v>
      </c>
      <c r="CB119" s="37" t="n">
        <f aca="false">IF(BY119=0,"",N(O119)*0.0036+N(R119)+N(V119)+(N(AA119)*25.3+N(AB119)*37)/1000)</f>
        <v>0.00670558334003931</v>
      </c>
      <c r="CC119" s="37" t="n">
        <f aca="false">IF(BY119=0,"",N(N119)*0.0036+N(Q119)+N(U119)+N(T119)+N(X119)+N(AC119)*38/1000)</f>
        <v>0.0375848814844916</v>
      </c>
      <c r="CD119" s="37" t="n">
        <f aca="false">IF(BY119=0,"",N(Q119)+N(R119)+N(S119)+N(T119)+N(U119)+N(V119)+N(W119)+N(X119)+(N(Y119)*34.2+N(Z119)*38.6+N(AA119)*25.3+N(AB119)*37+N(AC119)*38)/1000)</f>
        <v>0.101198955793148</v>
      </c>
      <c r="CE119" s="16" t="n">
        <f aca="false">IF(BY119=0,"",MAX(0,N(L119)-N(K119))+MAX(0,N(M119)-N(L119)))</f>
        <v>43.876</v>
      </c>
      <c r="CF119" s="16" t="n">
        <f aca="false">IF(BY119=0,"",N(Y119)*N(AD119)+N(Z119)*N(AE119)+N(AA119)*N(AF119)+N(AB119)*N(AG119)+N(AC119)*N(AH119)+N(U119)*N(AI119)+N(V119)*N(AJ119)+N(W119)*N(AK119)+N(X119)*N(AL119)+N(Q119)*N(AM119)+N(R119)*N(AN119)+N(S119)*N(AO119)+N(T119)*N(AP119))</f>
        <v>1.82793445784307</v>
      </c>
      <c r="CG119" s="16" t="n">
        <f aca="false">IF(AND(BY119=1,N(K119)&gt;0),K119,0)</f>
        <v>6.997</v>
      </c>
      <c r="CH119" s="16" t="n">
        <f aca="false">IF(CG119&gt;0,CF119*1000/CG119,"")</f>
        <v>261.245456316003</v>
      </c>
      <c r="CI119" s="16" t="n">
        <f aca="false">IF(BY119=0,"",N(AQ119)+p_road*(N(AR119)+N(AS119)+N(AT119)))</f>
        <v>0.000142622541930591</v>
      </c>
      <c r="CJ119" s="16" t="n">
        <f aca="false">IF(CG119&gt;0,CI119*1000/CG119,"")</f>
        <v>0.0203833845834774</v>
      </c>
      <c r="CK119" s="12" t="n">
        <f aca="false">IF(CH119="",1,MIN(p_idx_max,MAX(p_idx_min,CH119/p_fc_world)))</f>
        <v>1.62256856550318</v>
      </c>
      <c r="CL119" s="12" t="n">
        <f aca="false">IF(CJ119="",1,MIN(p_idx_max,MAX(p_idx_min,CJ119/p_cb_world)))</f>
        <v>0.25</v>
      </c>
      <c r="CM119" s="37" t="n">
        <f aca="false">p_b*(1-p_wb_idx+p_wb_idx*CK119)</f>
        <v>0.215801619211922</v>
      </c>
      <c r="CN119" s="37" t="n">
        <f aca="false">p_c*(1-p_wc_idx+p_wc_idx*CL119)</f>
        <v>0.03225</v>
      </c>
      <c r="CO119" s="28" t="n">
        <f aca="false">IF(N(BR119)&gt;0,(N(BS119)+N(BT119)+N(BU119))/BR119,"")</f>
        <v>0.805369127516779</v>
      </c>
      <c r="CP119" s="16" t="n">
        <f aca="false">N(BS119)+N(BT119)+N(BU119)</f>
        <v>4.8</v>
      </c>
      <c r="CQ119" s="28" t="n">
        <f aca="false">IF(CP119&gt;0,N(BS119)/CP119,"")</f>
        <v>0</v>
      </c>
      <c r="CR119" s="28" t="n">
        <f aca="false">IF(CP119&gt;0,N(BT119)/CP119,"")</f>
        <v>0</v>
      </c>
      <c r="CS119" s="28" t="n">
        <f aca="false">IF(CP119&gt;0,N(BU119)/CP119,"")</f>
        <v>1</v>
      </c>
      <c r="CT119" s="7" t="n">
        <f aca="false">1000*(p_sh_pv*p_cf_pv/p_capex_pv+(1-p_sh_pv)*p_cf_wind/p_capex_wind)*8760</f>
        <v>2301.28856624319</v>
      </c>
      <c r="CU119" s="13" t="n">
        <f aca="false">IF(AND(ISNUMBER(CO119),ISNUMBER(CQ119),BY119=1),1,0)</f>
        <v>1</v>
      </c>
      <c r="CV119" s="16" t="n">
        <f aca="false">IF(CU119=0,"",CQ119*p_hr_coal*N(AK119)+CR119*p_hr_gas*N(AO119)+CS119*p_hr_oil*N(AH119)/p_gj_l_oil)</f>
        <v>130.991012490543</v>
      </c>
      <c r="CW119" s="37" t="n">
        <f aca="false">IF(CU119=0,"",CQ119*p_hr_coal*p_ef_coal+CR119*p_hr_gas*p_ef_gas+CS119*p_hr_oil*p_ef_oil)</f>
        <v>0.8127</v>
      </c>
      <c r="CX119" s="16" t="n">
        <f aca="false">IF(CU119=0,"",CQ119*p_hr_coal*N(AW119)+CR119*p_hr_gas*N(AX119)+CS119*p_hr_oil*N(AY119)/p_gj_l_oil)</f>
        <v>1.66141904999</v>
      </c>
      <c r="CY119" s="37" t="n">
        <f aca="false">IF(CU119=0,"",CO119*CW119)</f>
        <v>0.654523489932886</v>
      </c>
      <c r="CZ119" s="37" t="n">
        <f aca="false">IF(CU119=0,"",CT119*CO119*CV119/1000/1000-p_om_re)</f>
        <v>0.227777008852434</v>
      </c>
      <c r="DA119" s="37" t="n">
        <f aca="false">IF(CU119=0,"",CT119*CO119*CX119/1000/1000)</f>
        <v>0.00307925207797096</v>
      </c>
      <c r="DB119" s="37" t="n">
        <f aca="false">IF(CU119=0,"",CT119*CO119*CW119/1000)</f>
        <v>1.50624742372014</v>
      </c>
      <c r="DC119" s="13" t="n">
        <f aca="false">IF(AND(CU119=1,ISNUMBER(AD119),ISNUMBER(AV119)),1,0)</f>
        <v>1</v>
      </c>
      <c r="DD119" s="7" t="n">
        <f aca="false">IF(DC119=0,"",p_ev_km*p_ice_l/100*AD119-p_ev_km*p_ev_kwh*AV119+p_ev_km*p_ev_maint)</f>
        <v>66.7581750000001</v>
      </c>
      <c r="DE119" s="37" t="n">
        <f aca="false">IF(DC119=0,"",DD119/p_ev_prem)</f>
        <v>0.013351635</v>
      </c>
      <c r="DF119" s="37" t="n">
        <f aca="false">IF(DC119=0,"",p_ev_km*p_ice_l/100*N(AZ119)/p_ev_prem)</f>
        <v>0.000101475</v>
      </c>
      <c r="DG119" s="37" t="n">
        <f aca="false">IF(DC119=0,"",1000/p_ev_prem*(p_ev_km*p_ice_l/100*p_gj_l_gso*p_ef_gso-p_ev_km*p_ev_kwh/1000*CY119))</f>
        <v>0.179820815436242</v>
      </c>
      <c r="DH119" s="11" t="str">
        <f aca="false">IFERROR(IF(INDEX(Damodaran!$D:$D,MATCH(A119,Damodaran!$A:$A,0))="","",INDEX(Damodaran!$D:$D,MATCH(A119,Damodaran!$A:$A,0))),"")</f>
        <v/>
      </c>
      <c r="DI119" s="11" t="str">
        <f aca="false">IFERROR(IF(INDEX(Damodaran!$E:$E,MATCH(A119,Damodaran!$A:$A,0))="","",INDEX(Damodaran!$E:$E,MATCH(A119,Damodaran!$A:$A,0))),"")</f>
        <v/>
      </c>
      <c r="DJ119" s="11" t="str">
        <f aca="false">IFERROR(IF(INDEX(Damodaran!$G:$G,MATCH(A119,Damodaran!$A:$A,0))="","",INDEX(Damodaran!$G:$G,MATCH(A119,Damodaran!$A:$A,0))),"")</f>
        <v/>
      </c>
      <c r="DK119" s="11" t="str">
        <f aca="false">IF(ISNUMBER(BG119),(1+BG119/100)*(1+p_infl)-1,"")</f>
        <v/>
      </c>
      <c r="DL119" s="11" t="str">
        <f aca="false">IF(ISNUMBER(BH119),BH119/100,"")</f>
        <v/>
      </c>
      <c r="DM119" s="11" t="str">
        <f aca="false">IF(COUNT(DK119,DL119)=0,"",AVERAGE(DK119,DL119))</f>
        <v/>
      </c>
      <c r="DN119" s="11" t="str">
        <f aca="false">IF(OR(DH119="",DI119=""),"",p_dv*(p_rf+DH119)*(1-IF(DJ119="",p_tax_def,DJ119))+(1-p_dv)*(p_rf+p_beta*p_erp+p_lambda*DI119))</f>
        <v/>
      </c>
      <c r="DO119" s="13" t="n">
        <f aca="false">IF(AND(ISNUMBER(DM119),ISNUMBER(DN119)),1,0)</f>
        <v>0</v>
      </c>
      <c r="DP119" s="11" t="n">
        <f aca="false">IF(DO119=1,DM119,0)</f>
        <v>0</v>
      </c>
      <c r="DQ119" s="11" t="n">
        <f aca="false">IF(DO119=1,DN119,0)</f>
        <v>0</v>
      </c>
      <c r="DR119" s="11" t="str">
        <f aca="false">IF(DN119="","",DN119+p_shift)</f>
        <v/>
      </c>
      <c r="DS119" s="11" t="n">
        <f aca="false">IF(E119="AE",p_r_ae,IF(E119="China",p_r_chn,p_r_emdc))</f>
        <v>0.105</v>
      </c>
      <c r="DT119" s="11" t="n">
        <f aca="false">IF(E119="AE",p_rh_ae,IF(E119="China",p_rh_chn,p_rh_emdc))</f>
        <v>0.15</v>
      </c>
      <c r="DU119" s="11" t="n">
        <f aca="false">IF(AND(p_use_obs=1,ISNUMBER(DM119)),DM119,IF(AND(p_use_dam=1,ISNUMBER(DR119)),DR119,DS119))</f>
        <v>0.105</v>
      </c>
      <c r="DV119" s="6" t="str">
        <f aca="false">IF(AND(p_use_obs=1,ISNUMBER(DM119)),"Observed (IRENA/Steffen)",IF(AND(p_use_dam=1,ISNUMBER(DR119)),"Damodaran (eq. 5)","Group default (IHLEG)"))</f>
        <v>Group default (IHLEG)</v>
      </c>
      <c r="DW119" s="11" t="n">
        <f aca="false">IF(p_basis=1,(1+DU119)/(1+p_infl)-1,DU119)</f>
        <v>0.105</v>
      </c>
      <c r="DX119" s="11" t="n">
        <f aca="false">DW119+(DT119-DS119)</f>
        <v>0.15</v>
      </c>
      <c r="DY119" s="28" t="n">
        <f aca="false">IF(AND(p_use_pefa=1,ISNUMBER(BD119)),p_gap_lic-(BD119-1)/3*(p_gap_lic-p_gap_ae),IF(E119="AE",p_gap_ae,IF(D119="Low income",p_gap_lic,p_gap_em)))*(1-p_reform*p_reform_close)</f>
        <v>0.265</v>
      </c>
      <c r="DZ119" s="6" t="str">
        <f aca="false">IF(AND(p_use_pefa=1,ISNUMBER(BD119)),"PEFA PI-11","Income-group default (IMF 2015)")</f>
        <v>PEFA PI-11</v>
      </c>
      <c r="EA119" s="28" t="n">
        <f aca="false">IF(E119="AE",p_ps_ae,IF(E119="China",p_ps_chn,p_ps_emdc))</f>
        <v>0.4</v>
      </c>
      <c r="EB119" s="37" t="n">
        <f aca="false">(1-EA119)+EA119/(1-DY119)</f>
        <v>1.14421768707483</v>
      </c>
      <c r="EC119" s="16" t="n">
        <f aca="false">Results_Country!F119</f>
        <v>2.08424096762527</v>
      </c>
      <c r="ED119" s="16" t="n">
        <f aca="false">IF(CH119="",0,CH119*EC119)</f>
        <v>544.498482659772</v>
      </c>
      <c r="EE119" s="16" t="n">
        <f aca="false">IF(CJ119="",0,CJ119*EC119)</f>
        <v>0.042483885207745</v>
      </c>
      <c r="EF119" s="16" t="n">
        <f aca="false">IF(CH119="",0,EC119)</f>
        <v>2.08424096762527</v>
      </c>
    </row>
    <row r="120" customFormat="false" ht="15" hidden="false" customHeight="false" outlineLevel="0" collapsed="false">
      <c r="A120" s="35" t="s">
        <v>997</v>
      </c>
      <c r="B120" s="35" t="s">
        <v>998</v>
      </c>
      <c r="C120" s="35" t="s">
        <v>766</v>
      </c>
      <c r="D120" s="35" t="s">
        <v>763</v>
      </c>
      <c r="E120" s="35" t="s">
        <v>31</v>
      </c>
      <c r="F120" s="36" t="n">
        <v>25.955</v>
      </c>
      <c r="G120" s="36" t="n">
        <v>69.317</v>
      </c>
      <c r="H120" s="33" t="n">
        <v>7.162</v>
      </c>
      <c r="I120" s="33" t="n">
        <v>5.3</v>
      </c>
      <c r="J120" s="36" t="n">
        <v>2.973841</v>
      </c>
      <c r="K120" s="36" t="n">
        <v>6.321</v>
      </c>
      <c r="L120" s="36" t="n">
        <v>9.564</v>
      </c>
      <c r="M120" s="36" t="n">
        <v>9.609</v>
      </c>
      <c r="N120" s="36" t="n">
        <v>2.07969077255246</v>
      </c>
      <c r="O120" s="36" t="n">
        <v>2.01555521261418</v>
      </c>
      <c r="P120" s="36" t="n">
        <v>2.00297365487736</v>
      </c>
      <c r="Q120" s="31" t="n">
        <v>0.005738199495564</v>
      </c>
      <c r="R120" s="31" t="n">
        <v>0.0307325984602606</v>
      </c>
      <c r="S120" s="31" t="n">
        <v>0.0272888381198715</v>
      </c>
      <c r="T120" s="31" t="n">
        <v>0.0221341033076987</v>
      </c>
      <c r="U120" s="31" t="n">
        <v>0</v>
      </c>
      <c r="V120" s="31" t="n">
        <v>0.000438152335086524</v>
      </c>
      <c r="W120" s="31" t="n">
        <v>0</v>
      </c>
      <c r="X120" s="31" t="n">
        <v>0</v>
      </c>
      <c r="Y120" s="36" t="n">
        <v>0.239533839137758</v>
      </c>
      <c r="Z120" s="36" t="n">
        <v>0.202654409003337</v>
      </c>
      <c r="AA120" s="36" t="n">
        <v>0.128523489003376</v>
      </c>
      <c r="AB120" s="36" t="n">
        <v>1.11919397480909E-006</v>
      </c>
      <c r="AC120" s="36" t="n">
        <v>7.31661903658799E-005</v>
      </c>
      <c r="AD120" s="31" t="n">
        <v>0.867894</v>
      </c>
      <c r="AE120" s="31" t="n">
        <v>0.84256</v>
      </c>
      <c r="AF120" s="31" t="n">
        <v>0.513478</v>
      </c>
      <c r="AG120" s="31" t="n">
        <v>0.591</v>
      </c>
      <c r="AH120" s="31" t="n">
        <v>0.519462891908447</v>
      </c>
      <c r="AI120" s="31" t="n">
        <v>7.123</v>
      </c>
      <c r="AJ120" s="31" t="n">
        <v>13.1604</v>
      </c>
      <c r="AK120" s="31" t="n">
        <v>4.35</v>
      </c>
      <c r="AL120" s="31" t="n">
        <v>13.1604</v>
      </c>
      <c r="AM120" s="31" t="n">
        <v>3.922</v>
      </c>
      <c r="AN120" s="31" t="n">
        <v>14.2368</v>
      </c>
      <c r="AO120" s="31" t="n">
        <v>2.599</v>
      </c>
      <c r="AP120" s="31" t="n">
        <v>8.32756896265565</v>
      </c>
      <c r="AQ120" s="36" t="n">
        <v>0.337332346556691</v>
      </c>
      <c r="AR120" s="36" t="n">
        <v>0.0189187700547974</v>
      </c>
      <c r="AS120" s="36" t="n">
        <v>0.118774799634387</v>
      </c>
      <c r="AT120" s="36" t="n">
        <v>0.0295881841496612</v>
      </c>
      <c r="AU120" s="31" t="n">
        <v>0.349385924700555</v>
      </c>
      <c r="AV120" s="36" t="n">
        <v>0.10656</v>
      </c>
      <c r="AW120" s="31" t="n">
        <v>0</v>
      </c>
      <c r="AX120" s="31" t="n">
        <v>0</v>
      </c>
      <c r="AY120" s="31" t="n">
        <v>0</v>
      </c>
      <c r="AZ120" s="31" t="n">
        <v>0.380101</v>
      </c>
      <c r="BA120" s="33" t="n">
        <v>49.961</v>
      </c>
      <c r="BB120" s="33" t="n">
        <v>12.158</v>
      </c>
      <c r="BC120" s="33" t="n">
        <v>107.426</v>
      </c>
      <c r="BD120" s="33" t="n">
        <v>1</v>
      </c>
      <c r="BE120" s="33" t="n">
        <v>2</v>
      </c>
      <c r="BF120" s="33" t="n">
        <v>1</v>
      </c>
      <c r="BG120" s="33"/>
      <c r="BH120" s="33"/>
      <c r="BI120" s="29"/>
      <c r="BJ120" s="33"/>
      <c r="BK120" s="33"/>
      <c r="BL120" s="33" t="n">
        <v>-0.421</v>
      </c>
      <c r="BM120" s="33" t="n">
        <v>3.6</v>
      </c>
      <c r="BN120" s="29" t="n">
        <v>21.977</v>
      </c>
      <c r="BO120" s="33" t="n">
        <v>1.203</v>
      </c>
      <c r="BP120" s="33" t="n">
        <v>0.089</v>
      </c>
      <c r="BQ120" s="29" t="n">
        <v>2025</v>
      </c>
      <c r="BR120" s="36" t="n">
        <v>8.62</v>
      </c>
      <c r="BS120" s="36" t="n">
        <v>0</v>
      </c>
      <c r="BT120" s="36" t="n">
        <v>3.31</v>
      </c>
      <c r="BU120" s="36" t="n">
        <v>0</v>
      </c>
      <c r="BV120" s="16" t="n">
        <f aca="false">F120*(1+N(H120)/100)*(1+N(I120)/100)^5</f>
        <v>36.008389653404</v>
      </c>
      <c r="BW120" s="16" t="n">
        <f aca="false">IF(N(G120)&gt;0,G120,F120)</f>
        <v>69.317</v>
      </c>
      <c r="BX120" s="12" t="n">
        <f aca="false">F120/BW120</f>
        <v>0.37443917076619</v>
      </c>
      <c r="BY120" s="13" t="n">
        <f aca="false">IF(ISNUMBER(K120),1,0)</f>
        <v>1</v>
      </c>
      <c r="BZ120" s="16" t="n">
        <f aca="false">IF(BY120=0,"",N(N120)+N(O120)+N(P120))</f>
        <v>6.09821964004399</v>
      </c>
      <c r="CA120" s="37" t="n">
        <f aca="false">IF(BY120=0,"",(N(Y120)*34.2+N(Z120)*38.6)/1000)</f>
        <v>0.0160145174860401</v>
      </c>
      <c r="CB120" s="37" t="n">
        <f aca="false">IF(BY120=0,"",N(O120)*0.0036+N(R120)+N(V120)+(N(AA120)*25.3+N(AB120)*37)/1000)</f>
        <v>0.0416784352427206</v>
      </c>
      <c r="CC120" s="37" t="n">
        <f aca="false">IF(BY120=0,"",N(N120)*0.0036+N(Q120)+N(U120)+N(T120)+N(X120)+N(AC120)*38/1000)</f>
        <v>0.0353619698996855</v>
      </c>
      <c r="CD120" s="37" t="n">
        <f aca="false">IF(BY120=0,"",N(Q120)+N(R120)+N(S120)+N(T120)+N(U120)+N(V120)+N(W120)+N(X120)+(N(Y120)*34.2+N(Z120)*38.6+N(AA120)*25.3+N(AB120)*37+N(AC120)*38)/1000)</f>
        <v>0.105600875201718</v>
      </c>
      <c r="CE120" s="16" t="n">
        <f aca="false">IF(BY120=0,"",MAX(0,N(L120)-N(K120))+MAX(0,N(M120)-N(L120)))</f>
        <v>3.288</v>
      </c>
      <c r="CF120" s="16" t="n">
        <f aca="false">IF(BY120=0,"",N(Y120)*N(AD120)+N(Z120)*N(AE120)+N(AA120)*N(AF120)+N(AB120)*N(AG120)+N(AC120)*N(AH120)+N(U120)*N(AI120)+N(V120)*N(AJ120)+N(W120)*N(AK120)+N(X120)*N(AL120)+N(Q120)*N(AM120)+N(R120)*N(AN120)+N(S120)*N(AO120)+N(T120)*N(AP120))</f>
        <v>1.16572343145169</v>
      </c>
      <c r="CG120" s="16" t="n">
        <f aca="false">IF(AND(BY120=1,N(K120)&gt;0),K120,0)</f>
        <v>6.321</v>
      </c>
      <c r="CH120" s="16" t="n">
        <f aca="false">IF(CG120&gt;0,CF120*1000/CG120,"")</f>
        <v>184.420729544644</v>
      </c>
      <c r="CI120" s="16" t="n">
        <f aca="false">IF(BY120=0,"",N(AQ120)+p_road*(N(AR120)+N(AS120)+N(AT120)))</f>
        <v>0.337332346556691</v>
      </c>
      <c r="CJ120" s="16" t="n">
        <f aca="false">IF(CG120&gt;0,CI120*1000/CG120,"")</f>
        <v>53.3669271565718</v>
      </c>
      <c r="CK120" s="12" t="n">
        <f aca="false">IF(CH120="",1,MIN(p_idx_max,MAX(p_idx_min,CH120/p_fc_world)))</f>
        <v>1.14541811676275</v>
      </c>
      <c r="CL120" s="12" t="n">
        <f aca="false">IF(CJ120="",1,MIN(p_idx_max,MAX(p_idx_min,CJ120/p_cb_world)))</f>
        <v>1.01475795193373</v>
      </c>
      <c r="CM120" s="37" t="n">
        <f aca="false">p_b*(1-p_wb_idx+p_wb_idx*CK120)</f>
        <v>0.152340609529446</v>
      </c>
      <c r="CN120" s="37" t="n">
        <f aca="false">p_c*(1-p_wc_idx+p_wc_idx*CL120)</f>
        <v>0.130903775799451</v>
      </c>
      <c r="CO120" s="28" t="n">
        <f aca="false">IF(N(BR120)&gt;0,(N(BS120)+N(BT120)+N(BU120))/BR120,"")</f>
        <v>0.383990719257541</v>
      </c>
      <c r="CP120" s="16" t="n">
        <f aca="false">N(BS120)+N(BT120)+N(BU120)</f>
        <v>3.31</v>
      </c>
      <c r="CQ120" s="28" t="n">
        <f aca="false">IF(CP120&gt;0,N(BS120)/CP120,"")</f>
        <v>0</v>
      </c>
      <c r="CR120" s="28" t="n">
        <f aca="false">IF(CP120&gt;0,N(BT120)/CP120,"")</f>
        <v>1</v>
      </c>
      <c r="CS120" s="28" t="n">
        <f aca="false">IF(CP120&gt;0,N(BU120)/CP120,"")</f>
        <v>0</v>
      </c>
      <c r="CT120" s="7" t="n">
        <f aca="false">1000*(p_sh_pv*p_cf_pv/p_capex_pv+(1-p_sh_pv)*p_cf_wind/p_capex_wind)*8760</f>
        <v>2301.28856624319</v>
      </c>
      <c r="CU120" s="13" t="n">
        <f aca="false">IF(AND(ISNUMBER(CO120),ISNUMBER(CQ120),BY120=1),1,0)</f>
        <v>1</v>
      </c>
      <c r="CV120" s="16" t="n">
        <f aca="false">IF(CU120=0,"",CQ120*p_hr_coal*N(AK120)+CR120*p_hr_gas*N(AO120)+CS120*p_hr_oil*N(AH120)/p_gj_l_oil)</f>
        <v>19.4925</v>
      </c>
      <c r="CW120" s="37" t="n">
        <f aca="false">IF(CU120=0,"",CQ120*p_hr_coal*p_ef_coal+CR120*p_hr_gas*p_ef_gas+CS120*p_hr_oil*p_ef_oil)</f>
        <v>0.42075</v>
      </c>
      <c r="CX120" s="16" t="n">
        <f aca="false">IF(CU120=0,"",CQ120*p_hr_coal*N(AW120)+CR120*p_hr_gas*N(AX120)+CS120*p_hr_oil*N(AY120)/p_gj_l_oil)</f>
        <v>0</v>
      </c>
      <c r="CY120" s="37" t="n">
        <f aca="false">IF(CU120=0,"",CO120*CW120)</f>
        <v>0.16156409512761</v>
      </c>
      <c r="CZ120" s="37" t="n">
        <f aca="false">IF(CU120=0,"",CT120*CO120*CV120/1000/1000-p_om_re)</f>
        <v>0.00222500475864385</v>
      </c>
      <c r="DA120" s="37" t="n">
        <f aca="false">IF(CU120=0,"",CT120*CO120*CX120/1000/1000)</f>
        <v>0</v>
      </c>
      <c r="DB120" s="37" t="n">
        <f aca="false">IF(CU120=0,"",CT120*CO120*CW120/1000)</f>
        <v>0.371805604832597</v>
      </c>
      <c r="DC120" s="13" t="n">
        <f aca="false">IF(AND(CU120=1,ISNUMBER(AD120),ISNUMBER(AV120)),1,0)</f>
        <v>1</v>
      </c>
      <c r="DD120" s="7" t="n">
        <f aca="false">IF(DC120=0,"",p_ev_km*p_ice_l/100*AD120-p_ev_km*p_ev_kwh*AV120+p_ev_km*p_ev_maint)</f>
        <v>868.66875</v>
      </c>
      <c r="DE120" s="37" t="n">
        <f aca="false">IF(DC120=0,"",DD120/p_ev_prem)</f>
        <v>0.17373375</v>
      </c>
      <c r="DF120" s="37" t="n">
        <f aca="false">IF(DC120=0,"",p_ev_km*p_ice_l/100*N(AZ120)/p_ev_prem)</f>
        <v>0.085522725</v>
      </c>
      <c r="DG120" s="37" t="n">
        <f aca="false">IF(DC120=0,"",1000/p_ev_prem*(p_ev_km*p_ice_l/100*p_gj_l_gso*p_ef_gso-p_ev_km*p_ev_kwh/1000*CY120))</f>
        <v>0.44601888863109</v>
      </c>
      <c r="DH120" s="11" t="str">
        <f aca="false">IFERROR(IF(INDEX(Damodaran!$D:$D,MATCH(A120,Damodaran!$A:$A,0))="","",INDEX(Damodaran!$D:$D,MATCH(A120,Damodaran!$A:$A,0))),"")</f>
        <v/>
      </c>
      <c r="DI120" s="11" t="str">
        <f aca="false">IFERROR(IF(INDEX(Damodaran!$E:$E,MATCH(A120,Damodaran!$A:$A,0))="","",INDEX(Damodaran!$E:$E,MATCH(A120,Damodaran!$A:$A,0))),"")</f>
        <v/>
      </c>
      <c r="DJ120" s="11" t="str">
        <f aca="false">IFERROR(IF(INDEX(Damodaran!$G:$G,MATCH(A120,Damodaran!$A:$A,0))="","",INDEX(Damodaran!$G:$G,MATCH(A120,Damodaran!$A:$A,0))),"")</f>
        <v/>
      </c>
      <c r="DK120" s="11" t="str">
        <f aca="false">IF(ISNUMBER(BG120),(1+BG120/100)*(1+p_infl)-1,"")</f>
        <v/>
      </c>
      <c r="DL120" s="11" t="str">
        <f aca="false">IF(ISNUMBER(BH120),BH120/100,"")</f>
        <v/>
      </c>
      <c r="DM120" s="11" t="str">
        <f aca="false">IF(COUNT(DK120,DL120)=0,"",AVERAGE(DK120,DL120))</f>
        <v/>
      </c>
      <c r="DN120" s="11" t="str">
        <f aca="false">IF(OR(DH120="",DI120=""),"",p_dv*(p_rf+DH120)*(1-IF(DJ120="",p_tax_def,DJ120))+(1-p_dv)*(p_rf+p_beta*p_erp+p_lambda*DI120))</f>
        <v/>
      </c>
      <c r="DO120" s="13" t="n">
        <f aca="false">IF(AND(ISNUMBER(DM120),ISNUMBER(DN120)),1,0)</f>
        <v>0</v>
      </c>
      <c r="DP120" s="11" t="n">
        <f aca="false">IF(DO120=1,DM120,0)</f>
        <v>0</v>
      </c>
      <c r="DQ120" s="11" t="n">
        <f aca="false">IF(DO120=1,DN120,0)</f>
        <v>0</v>
      </c>
      <c r="DR120" s="11" t="str">
        <f aca="false">IF(DN120="","",DN120+p_shift)</f>
        <v/>
      </c>
      <c r="DS120" s="11" t="n">
        <f aca="false">IF(E120="AE",p_r_ae,IF(E120="China",p_r_chn,p_r_emdc))</f>
        <v>0.105</v>
      </c>
      <c r="DT120" s="11" t="n">
        <f aca="false">IF(E120="AE",p_rh_ae,IF(E120="China",p_rh_chn,p_rh_emdc))</f>
        <v>0.15</v>
      </c>
      <c r="DU120" s="11" t="n">
        <f aca="false">IF(AND(p_use_obs=1,ISNUMBER(DM120)),DM120,IF(AND(p_use_dam=1,ISNUMBER(DR120)),DR120,DS120))</f>
        <v>0.105</v>
      </c>
      <c r="DV120" s="6" t="str">
        <f aca="false">IF(AND(p_use_obs=1,ISNUMBER(DM120)),"Observed (IRENA/Steffen)",IF(AND(p_use_dam=1,ISNUMBER(DR120)),"Damodaran (eq. 5)","Group default (IHLEG)"))</f>
        <v>Group default (IHLEG)</v>
      </c>
      <c r="DW120" s="11" t="n">
        <f aca="false">IF(p_basis=1,(1+DU120)/(1+p_infl)-1,DU120)</f>
        <v>0.105</v>
      </c>
      <c r="DX120" s="11" t="n">
        <f aca="false">DW120+(DT120-DS120)</f>
        <v>0.15</v>
      </c>
      <c r="DY120" s="28" t="n">
        <f aca="false">IF(AND(p_use_pefa=1,ISNUMBER(BD120)),p_gap_lic-(BD120-1)/3*(p_gap_lic-p_gap_ae),IF(E120="AE",p_gap_ae,IF(D120="Low income",p_gap_lic,p_gap_em)))*(1-p_reform*p_reform_close)</f>
        <v>0.4</v>
      </c>
      <c r="DZ120" s="6" t="str">
        <f aca="false">IF(AND(p_use_pefa=1,ISNUMBER(BD120)),"PEFA PI-11","Income-group default (IMF 2015)")</f>
        <v>PEFA PI-11</v>
      </c>
      <c r="EA120" s="28" t="n">
        <f aca="false">IF(E120="AE",p_ps_ae,IF(E120="China",p_ps_chn,p_ps_emdc))</f>
        <v>0.4</v>
      </c>
      <c r="EB120" s="37" t="n">
        <f aca="false">(1-EA120)+EA120/(1-DY120)</f>
        <v>1.26666666666667</v>
      </c>
      <c r="EC120" s="16" t="n">
        <f aca="false">Results_Country!F120</f>
        <v>1.52598753437405</v>
      </c>
      <c r="ED120" s="16" t="n">
        <f aca="false">IF(CH120="",0,CH120*EC120)</f>
        <v>281.423734365295</v>
      </c>
      <c r="EE120" s="16" t="n">
        <f aca="false">IF(CJ120="",0,CJ120*EC120)</f>
        <v>81.4372655887767</v>
      </c>
      <c r="EF120" s="16" t="n">
        <f aca="false">IF(CH120="",0,EC120)</f>
        <v>1.52598753437405</v>
      </c>
    </row>
    <row r="121" customFormat="false" ht="15" hidden="false" customHeight="false" outlineLevel="0" collapsed="false">
      <c r="A121" s="35" t="s">
        <v>999</v>
      </c>
      <c r="B121" s="35" t="s">
        <v>1000</v>
      </c>
      <c r="C121" s="35" t="s">
        <v>784</v>
      </c>
      <c r="D121" s="35" t="s">
        <v>760</v>
      </c>
      <c r="E121" s="35" t="s">
        <v>31</v>
      </c>
      <c r="F121" s="36" t="n">
        <v>25.634</v>
      </c>
      <c r="G121" s="36" t="n">
        <v>49.782</v>
      </c>
      <c r="H121" s="33" t="n">
        <v>0.782</v>
      </c>
      <c r="I121" s="33" t="n">
        <v>0.766</v>
      </c>
      <c r="J121" s="36" t="n">
        <v>1.507782</v>
      </c>
      <c r="K121" s="36" t="n">
        <v>29.133</v>
      </c>
      <c r="L121" s="36" t="n">
        <v>45.697</v>
      </c>
      <c r="M121" s="36" t="n">
        <v>45.816</v>
      </c>
      <c r="N121" s="36" t="n">
        <v>6.24092989916101</v>
      </c>
      <c r="O121" s="36" t="n">
        <v>2.49935016410084</v>
      </c>
      <c r="P121" s="36" t="n">
        <v>0</v>
      </c>
      <c r="Q121" s="31" t="n">
        <v>0.0886404582320777</v>
      </c>
      <c r="R121" s="31" t="n">
        <v>0.00314103553211526</v>
      </c>
      <c r="S121" s="31" t="n">
        <v>0.0838071502259802</v>
      </c>
      <c r="T121" s="31" t="n">
        <v>0</v>
      </c>
      <c r="U121" s="31" t="n">
        <v>0</v>
      </c>
      <c r="V121" s="31" t="n">
        <v>0</v>
      </c>
      <c r="W121" s="31" t="n">
        <v>0</v>
      </c>
      <c r="X121" s="31" t="n">
        <v>0</v>
      </c>
      <c r="Y121" s="36" t="n">
        <v>0.518401519111305</v>
      </c>
      <c r="Z121" s="36" t="n">
        <v>0.40049922382636</v>
      </c>
      <c r="AA121" s="36" t="n">
        <v>0.135311818352957</v>
      </c>
      <c r="AB121" s="36" t="n">
        <v>0.0571156768074086</v>
      </c>
      <c r="AC121" s="36" t="n">
        <v>0.0246747341813195</v>
      </c>
      <c r="AD121" s="31" t="n">
        <v>0.847764</v>
      </c>
      <c r="AE121" s="31" t="n">
        <v>0.677584</v>
      </c>
      <c r="AF121" s="31" t="n">
        <v>0.598019</v>
      </c>
      <c r="AG121" s="31" t="n">
        <v>0.589801</v>
      </c>
      <c r="AH121" s="31" t="n">
        <v>0.519462891908447</v>
      </c>
      <c r="AI121" s="31" t="n">
        <v>7.124</v>
      </c>
      <c r="AJ121" s="31" t="n">
        <v>13.717125</v>
      </c>
      <c r="AK121" s="31" t="n">
        <v>5.575</v>
      </c>
      <c r="AL121" s="31" t="n">
        <v>8.805375</v>
      </c>
      <c r="AM121" s="31" t="n">
        <v>8.922</v>
      </c>
      <c r="AN121" s="31" t="n">
        <v>14.5035</v>
      </c>
      <c r="AO121" s="31" t="n">
        <v>8.26</v>
      </c>
      <c r="AP121" s="31" t="n">
        <v>8.70587757451319</v>
      </c>
      <c r="AQ121" s="36" t="n">
        <v>0.0619143126171611</v>
      </c>
      <c r="AR121" s="36" t="n">
        <v>0.0359836869718117</v>
      </c>
      <c r="AS121" s="36" t="n">
        <v>0.0573504855999899</v>
      </c>
      <c r="AT121" s="36" t="n">
        <v>0.0852716163875419</v>
      </c>
      <c r="AU121" s="31" t="n">
        <v>0.0853854684334287</v>
      </c>
      <c r="AV121" s="36" t="n">
        <v>0.099</v>
      </c>
      <c r="AW121" s="31" t="n">
        <v>2.077475</v>
      </c>
      <c r="AX121" s="31" t="n">
        <v>0.061928</v>
      </c>
      <c r="AY121" s="31" t="n">
        <v>0.021618767827647</v>
      </c>
      <c r="AZ121" s="31" t="n">
        <v>0.012735</v>
      </c>
      <c r="BA121" s="33" t="n">
        <v>81.786</v>
      </c>
      <c r="BB121" s="33" t="n">
        <v>13.989</v>
      </c>
      <c r="BC121" s="33" t="n">
        <v>75.968</v>
      </c>
      <c r="BD121" s="33"/>
      <c r="BE121" s="33"/>
      <c r="BF121" s="33" t="n">
        <v>0</v>
      </c>
      <c r="BG121" s="33"/>
      <c r="BH121" s="33"/>
      <c r="BI121" s="29"/>
      <c r="BJ121" s="33"/>
      <c r="BK121" s="33"/>
      <c r="BL121" s="33"/>
      <c r="BM121" s="33"/>
      <c r="BN121" s="29"/>
      <c r="BO121" s="33"/>
      <c r="BP121" s="33"/>
      <c r="BQ121" s="29" t="n">
        <v>2024</v>
      </c>
      <c r="BR121" s="36" t="n">
        <v>9.55</v>
      </c>
      <c r="BS121" s="36" t="n">
        <v>0</v>
      </c>
      <c r="BT121" s="36" t="n">
        <v>9.5</v>
      </c>
      <c r="BU121" s="36" t="n">
        <v>0.04</v>
      </c>
      <c r="BV121" s="16" t="n">
        <f aca="false">F121*(1+N(H121)/100)*(1+N(I121)/100)^5</f>
        <v>26.8391926996583</v>
      </c>
      <c r="BW121" s="16" t="n">
        <f aca="false">IF(N(G121)&gt;0,G121,F121)</f>
        <v>49.782</v>
      </c>
      <c r="BX121" s="12" t="n">
        <f aca="false">F121/BW121</f>
        <v>0.514925073319674</v>
      </c>
      <c r="BY121" s="13" t="n">
        <f aca="false">IF(ISNUMBER(K121),1,0)</f>
        <v>1</v>
      </c>
      <c r="BZ121" s="16" t="n">
        <f aca="false">IF(BY121=0,"",N(N121)+N(O121)+N(P121))</f>
        <v>8.74028006326185</v>
      </c>
      <c r="CA121" s="37" t="n">
        <f aca="false">IF(BY121=0,"",(N(Y121)*34.2+N(Z121)*38.6)/1000)</f>
        <v>0.0331886019933041</v>
      </c>
      <c r="CB121" s="37" t="n">
        <f aca="false">IF(BY121=0,"",N(O121)*0.0036+N(R121)+N(V121)+(N(AA121)*25.3+N(AB121)*37)/1000)</f>
        <v>0.0176753651690822</v>
      </c>
      <c r="CC121" s="37" t="n">
        <f aca="false">IF(BY121=0,"",N(N121)*0.0036+N(Q121)+N(U121)+N(T121)+N(X121)+N(AC121)*38/1000)</f>
        <v>0.112045445767947</v>
      </c>
      <c r="CD121" s="37" t="n">
        <f aca="false">IF(BY121=0,"",N(Q121)+N(R121)+N(S121)+N(T121)+N(U121)+N(V121)+N(W121)+N(X121)+(N(Y121)*34.2+N(Z121)*38.6+N(AA121)*25.3+N(AB121)*37+N(AC121)*38)/1000)</f>
        <v>0.215251554928571</v>
      </c>
      <c r="CE121" s="16" t="n">
        <f aca="false">IF(BY121=0,"",MAX(0,N(L121)-N(K121))+MAX(0,N(M121)-N(L121)))</f>
        <v>16.683</v>
      </c>
      <c r="CF121" s="16" t="n">
        <f aca="false">IF(BY121=0,"",N(Y121)*N(AD121)+N(Z121)*N(AE121)+N(AA121)*N(AF121)+N(AB121)*N(AG121)+N(AC121)*N(AH121)+N(U121)*N(AI121)+N(V121)*N(AJ121)+N(W121)*N(AK121)+N(X121)*N(AL121)+N(Q121)*N(AM121)+N(R121)*N(AN121)+N(S121)*N(AO121)+N(T121)*N(AP121))</f>
        <v>2.36693077994947</v>
      </c>
      <c r="CG121" s="16" t="n">
        <f aca="false">IF(AND(BY121=1,N(K121)&gt;0),K121,0)</f>
        <v>29.133</v>
      </c>
      <c r="CH121" s="16" t="n">
        <f aca="false">IF(CG121&gt;0,CF121*1000/CG121,"")</f>
        <v>81.2456931984165</v>
      </c>
      <c r="CI121" s="16" t="n">
        <f aca="false">IF(BY121=0,"",N(AQ121)+p_road*(N(AR121)+N(AS121)+N(AT121)))</f>
        <v>0.0619143126171611</v>
      </c>
      <c r="CJ121" s="16" t="n">
        <f aca="false">IF(CG121&gt;0,CI121*1000/CG121,"")</f>
        <v>2.12522955470295</v>
      </c>
      <c r="CK121" s="12" t="n">
        <f aca="false">IF(CH121="",1,MIN(p_idx_max,MAX(p_idx_min,CH121/p_fc_world)))</f>
        <v>0.50460861492193</v>
      </c>
      <c r="CL121" s="12" t="n">
        <f aca="false">IF(CJ121="",1,MIN(p_idx_max,MAX(p_idx_min,CJ121/p_cb_world)))</f>
        <v>0.25</v>
      </c>
      <c r="CM121" s="37" t="n">
        <f aca="false">p_b*(1-p_wb_idx+p_wb_idx*CK121)</f>
        <v>0.0671129457846166</v>
      </c>
      <c r="CN121" s="37" t="n">
        <f aca="false">p_c*(1-p_wc_idx+p_wc_idx*CL121)</f>
        <v>0.03225</v>
      </c>
      <c r="CO121" s="28" t="n">
        <f aca="false">IF(N(BR121)&gt;0,(N(BS121)+N(BT121)+N(BU121))/BR121,"")</f>
        <v>0.998952879581152</v>
      </c>
      <c r="CP121" s="16" t="n">
        <f aca="false">N(BS121)+N(BT121)+N(BU121)</f>
        <v>9.54</v>
      </c>
      <c r="CQ121" s="28" t="n">
        <f aca="false">IF(CP121&gt;0,N(BS121)/CP121,"")</f>
        <v>0</v>
      </c>
      <c r="CR121" s="28" t="n">
        <f aca="false">IF(CP121&gt;0,N(BT121)/CP121,"")</f>
        <v>0.9958071278826</v>
      </c>
      <c r="CS121" s="28" t="n">
        <f aca="false">IF(CP121&gt;0,N(BU121)/CP121,"")</f>
        <v>0.00419287211740042</v>
      </c>
      <c r="CT121" s="7" t="n">
        <f aca="false">1000*(p_sh_pv*p_cf_pv/p_capex_pv+(1-p_sh_pv)*p_cf_wind/p_capex_wind)*8760</f>
        <v>2301.28856624319</v>
      </c>
      <c r="CU121" s="13" t="n">
        <f aca="false">IF(AND(ISNUMBER(CO121),ISNUMBER(CQ121),BY121=1),1,0)</f>
        <v>1</v>
      </c>
      <c r="CV121" s="16" t="n">
        <f aca="false">IF(CU121=0,"",CQ121*p_hr_coal*N(AK121)+CR121*p_hr_gas*N(AO121)+CS121*p_hr_oil*N(AH121)/p_gj_l_oil)</f>
        <v>62.282723994421</v>
      </c>
      <c r="CW121" s="37" t="n">
        <f aca="false">IF(CU121=0,"",CQ121*p_hr_coal*p_ef_coal+CR121*p_hr_gas*p_ef_gas+CS121*p_hr_oil*p_ef_oil)</f>
        <v>0.422393396226415</v>
      </c>
      <c r="CX121" s="16" t="n">
        <f aca="false">IF(CU121=0,"",CQ121*p_hr_coal*N(AW121)+CR121*p_hr_gas*N(AX121)+CS121*p_hr_oil*N(AY121)/p_gj_l_oil)</f>
        <v>0.487169823507272</v>
      </c>
      <c r="CY121" s="37" t="n">
        <f aca="false">IF(CU121=0,"",CO121*CW121)</f>
        <v>0.42195109947644</v>
      </c>
      <c r="CZ121" s="37" t="n">
        <f aca="false">IF(CU121=0,"",CT121*CO121*CV121/1000/1000-p_om_re)</f>
        <v>0.128180436288074</v>
      </c>
      <c r="DA121" s="37" t="n">
        <f aca="false">IF(CU121=0,"",CT121*CO121*CX121/1000/1000)</f>
        <v>0.00111994439874536</v>
      </c>
      <c r="DB121" s="37" t="n">
        <f aca="false">IF(CU121=0,"",CT121*CO121*CW121/1000)</f>
        <v>0.971031240738875</v>
      </c>
      <c r="DC121" s="13" t="n">
        <f aca="false">IF(AND(CU121=1,ISNUMBER(AD121),ISNUMBER(AV121)),1,0)</f>
        <v>1</v>
      </c>
      <c r="DD121" s="7" t="n">
        <f aca="false">IF(DC121=0,"",p_ev_km*p_ice_l/100*AD121-p_ev_km*p_ev_kwh*AV121+p_ev_km*p_ev_maint)</f>
        <v>866.4345</v>
      </c>
      <c r="DE121" s="37" t="n">
        <f aca="false">IF(DC121=0,"",DD121/p_ev_prem)</f>
        <v>0.1732869</v>
      </c>
      <c r="DF121" s="37" t="n">
        <f aca="false">IF(DC121=0,"",p_ev_km*p_ice_l/100*N(AZ121)/p_ev_prem)</f>
        <v>0.002865375</v>
      </c>
      <c r="DG121" s="37" t="n">
        <f aca="false">IF(DC121=0,"",1000/p_ev_prem*(p_ev_km*p_ice_l/100*p_gj_l_gso*p_ef_gso-p_ev_km*p_ev_kwh/1000*CY121))</f>
        <v>0.305409906282723</v>
      </c>
      <c r="DH121" s="11" t="str">
        <f aca="false">IFERROR(IF(INDEX(Damodaran!$D:$D,MATCH(A121,Damodaran!$A:$A,0))="","",INDEX(Damodaran!$D:$D,MATCH(A121,Damodaran!$A:$A,0))),"")</f>
        <v/>
      </c>
      <c r="DI121" s="11" t="str">
        <f aca="false">IFERROR(IF(INDEX(Damodaran!$E:$E,MATCH(A121,Damodaran!$A:$A,0))="","",INDEX(Damodaran!$E:$E,MATCH(A121,Damodaran!$A:$A,0))),"")</f>
        <v/>
      </c>
      <c r="DJ121" s="11" t="str">
        <f aca="false">IFERROR(IF(INDEX(Damodaran!$G:$G,MATCH(A121,Damodaran!$A:$A,0))="","",INDEX(Damodaran!$G:$G,MATCH(A121,Damodaran!$A:$A,0))),"")</f>
        <v/>
      </c>
      <c r="DK121" s="11" t="str">
        <f aca="false">IF(ISNUMBER(BG121),(1+BG121/100)*(1+p_infl)-1,"")</f>
        <v/>
      </c>
      <c r="DL121" s="11" t="str">
        <f aca="false">IF(ISNUMBER(BH121),BH121/100,"")</f>
        <v/>
      </c>
      <c r="DM121" s="11" t="str">
        <f aca="false">IF(COUNT(DK121,DL121)=0,"",AVERAGE(DK121,DL121))</f>
        <v/>
      </c>
      <c r="DN121" s="11" t="str">
        <f aca="false">IF(OR(DH121="",DI121=""),"",p_dv*(p_rf+DH121)*(1-IF(DJ121="",p_tax_def,DJ121))+(1-p_dv)*(p_rf+p_beta*p_erp+p_lambda*DI121))</f>
        <v/>
      </c>
      <c r="DO121" s="13" t="n">
        <f aca="false">IF(AND(ISNUMBER(DM121),ISNUMBER(DN121)),1,0)</f>
        <v>0</v>
      </c>
      <c r="DP121" s="11" t="n">
        <f aca="false">IF(DO121=1,DM121,0)</f>
        <v>0</v>
      </c>
      <c r="DQ121" s="11" t="n">
        <f aca="false">IF(DO121=1,DN121,0)</f>
        <v>0</v>
      </c>
      <c r="DR121" s="11" t="str">
        <f aca="false">IF(DN121="","",DN121+p_shift)</f>
        <v/>
      </c>
      <c r="DS121" s="11" t="n">
        <f aca="false">IF(E121="AE",p_r_ae,IF(E121="China",p_r_chn,p_r_emdc))</f>
        <v>0.105</v>
      </c>
      <c r="DT121" s="11" t="n">
        <f aca="false">IF(E121="AE",p_rh_ae,IF(E121="China",p_rh_chn,p_rh_emdc))</f>
        <v>0.15</v>
      </c>
      <c r="DU121" s="11" t="n">
        <f aca="false">IF(AND(p_use_obs=1,ISNUMBER(DM121)),DM121,IF(AND(p_use_dam=1,ISNUMBER(DR121)),DR121,DS121))</f>
        <v>0.105</v>
      </c>
      <c r="DV121" s="6" t="str">
        <f aca="false">IF(AND(p_use_obs=1,ISNUMBER(DM121)),"Observed (IRENA/Steffen)",IF(AND(p_use_dam=1,ISNUMBER(DR121)),"Damodaran (eq. 5)","Group default (IHLEG)"))</f>
        <v>Group default (IHLEG)</v>
      </c>
      <c r="DW121" s="11" t="n">
        <f aca="false">IF(p_basis=1,(1+DU121)/(1+p_infl)-1,DU121)</f>
        <v>0.105</v>
      </c>
      <c r="DX121" s="11" t="n">
        <f aca="false">DW121+(DT121-DS121)</f>
        <v>0.15</v>
      </c>
      <c r="DY121" s="28" t="n">
        <f aca="false">IF(AND(p_use_pefa=1,ISNUMBER(BD121)),p_gap_lic-(BD121-1)/3*(p_gap_lic-p_gap_ae),IF(E121="AE",p_gap_ae,IF(D121="Low income",p_gap_lic,p_gap_em)))*(1-p_reform*p_reform_close)</f>
        <v>0.27</v>
      </c>
      <c r="DZ121" s="6" t="str">
        <f aca="false">IF(AND(p_use_pefa=1,ISNUMBER(BD121)),"PEFA PI-11","Income-group default (IMF 2015)")</f>
        <v>Income-group default (IMF 2015)</v>
      </c>
      <c r="EA121" s="28" t="n">
        <f aca="false">IF(E121="AE",p_ps_ae,IF(E121="China",p_ps_chn,p_ps_emdc))</f>
        <v>0.4</v>
      </c>
      <c r="EB121" s="37" t="n">
        <f aca="false">(1-EA121)+EA121/(1-DY121)</f>
        <v>1.14794520547945</v>
      </c>
      <c r="EC121" s="16" t="n">
        <f aca="false">Results_Country!F121</f>
        <v>2.00219816404127</v>
      </c>
      <c r="ED121" s="16" t="n">
        <f aca="false">IF(CH121="",0,CH121*EC121)</f>
        <v>162.66997775813</v>
      </c>
      <c r="EE121" s="16" t="n">
        <f aca="false">IF(CJ121="",0,CJ121*EC121)</f>
        <v>4.2551307125925</v>
      </c>
      <c r="EF121" s="16" t="n">
        <f aca="false">IF(CH121="",0,EC121)</f>
        <v>2.00219816404127</v>
      </c>
    </row>
    <row r="122" customFormat="false" ht="15" hidden="false" customHeight="false" outlineLevel="0" collapsed="false">
      <c r="A122" s="35" t="s">
        <v>1001</v>
      </c>
      <c r="B122" s="35" t="s">
        <v>1002</v>
      </c>
      <c r="C122" s="35" t="s">
        <v>847</v>
      </c>
      <c r="D122" s="35" t="s">
        <v>771</v>
      </c>
      <c r="E122" s="35" t="s">
        <v>31</v>
      </c>
      <c r="F122" s="36" t="n">
        <v>25.303</v>
      </c>
      <c r="G122" s="36" t="n">
        <v>89.971</v>
      </c>
      <c r="H122" s="33" t="n">
        <v>3.758</v>
      </c>
      <c r="I122" s="33" t="n">
        <v>4.287</v>
      </c>
      <c r="J122" s="36" t="n">
        <v>21.314956</v>
      </c>
      <c r="K122" s="36" t="n">
        <v>11.83</v>
      </c>
      <c r="L122" s="36" t="n">
        <v>34.276</v>
      </c>
      <c r="M122" s="36" t="n">
        <v>82.986</v>
      </c>
      <c r="N122" s="36" t="n">
        <v>10.712040253484</v>
      </c>
      <c r="O122" s="36" t="n">
        <v>5.76987973447541</v>
      </c>
      <c r="P122" s="36" t="n">
        <v>0.120123012523567</v>
      </c>
      <c r="Q122" s="31" t="n">
        <v>0</v>
      </c>
      <c r="R122" s="31" t="n">
        <v>0</v>
      </c>
      <c r="S122" s="31" t="n">
        <v>0</v>
      </c>
      <c r="T122" s="31" t="n">
        <v>0</v>
      </c>
      <c r="U122" s="31" t="n">
        <v>0.016240398298202</v>
      </c>
      <c r="V122" s="31" t="n">
        <v>0</v>
      </c>
      <c r="W122" s="31" t="n">
        <v>0.0429389159121947</v>
      </c>
      <c r="X122" s="31" t="n">
        <v>0</v>
      </c>
      <c r="Y122" s="36" t="n">
        <v>0.545676043515044</v>
      </c>
      <c r="Z122" s="36" t="n">
        <v>1.42014506290453</v>
      </c>
      <c r="AA122" s="36" t="n">
        <v>0.0153617251023549</v>
      </c>
      <c r="AB122" s="36" t="n">
        <v>0.00328224911153258</v>
      </c>
      <c r="AC122" s="36" t="n">
        <v>0.0229821284281424</v>
      </c>
      <c r="AD122" s="31" t="n">
        <v>0.829864</v>
      </c>
      <c r="AE122" s="31" t="n">
        <v>0.777532</v>
      </c>
      <c r="AF122" s="31" t="n">
        <v>0.517413</v>
      </c>
      <c r="AG122" s="31" t="n">
        <v>0.591</v>
      </c>
      <c r="AH122" s="31" t="n">
        <v>0.519462891908447</v>
      </c>
      <c r="AI122" s="31" t="n">
        <v>3.767</v>
      </c>
      <c r="AJ122" s="31" t="n">
        <v>7.04932</v>
      </c>
      <c r="AK122" s="31" t="n">
        <v>2.42</v>
      </c>
      <c r="AL122" s="31" t="n">
        <v>2.78965309246242</v>
      </c>
      <c r="AM122" s="31" t="n">
        <v>10.611</v>
      </c>
      <c r="AN122" s="31" t="n">
        <v>21.52032</v>
      </c>
      <c r="AO122" s="31" t="n">
        <v>9.287</v>
      </c>
      <c r="AP122" s="31" t="n">
        <v>13.8061066666667</v>
      </c>
      <c r="AQ122" s="36" t="n">
        <v>0.00421097036703626</v>
      </c>
      <c r="AR122" s="36" t="n">
        <v>0.00470828799121274</v>
      </c>
      <c r="AS122" s="36" t="n">
        <v>0.0643346789791299</v>
      </c>
      <c r="AT122" s="36" t="n">
        <v>0.0380872957076712</v>
      </c>
      <c r="AU122" s="31" t="n">
        <v>0.87957878262077</v>
      </c>
      <c r="AV122" s="36" t="n">
        <v>0.13093</v>
      </c>
      <c r="AW122" s="31" t="n">
        <v>0.021069</v>
      </c>
      <c r="AX122" s="31" t="n">
        <v>0.000114</v>
      </c>
      <c r="AY122" s="31" t="n">
        <v>0.00166447037595669</v>
      </c>
      <c r="AZ122" s="31" t="n">
        <v>0.001087</v>
      </c>
      <c r="BA122" s="33" t="n">
        <v>125.203</v>
      </c>
      <c r="BB122" s="33" t="n">
        <v>28.236</v>
      </c>
      <c r="BC122" s="33"/>
      <c r="BD122" s="33" t="n">
        <v>2.5</v>
      </c>
      <c r="BE122" s="33" t="n">
        <v>2</v>
      </c>
      <c r="BF122" s="33" t="n">
        <v>0</v>
      </c>
      <c r="BG122" s="33"/>
      <c r="BH122" s="33" t="n">
        <v>3.8</v>
      </c>
      <c r="BI122" s="29" t="n">
        <v>2016</v>
      </c>
      <c r="BJ122" s="33" t="n">
        <v>1</v>
      </c>
      <c r="BK122" s="33"/>
      <c r="BL122" s="33" t="n">
        <v>6.215</v>
      </c>
      <c r="BM122" s="33" t="n">
        <v>9.85</v>
      </c>
      <c r="BN122" s="29" t="n">
        <v>25.027</v>
      </c>
      <c r="BO122" s="33" t="n">
        <v>1.543</v>
      </c>
      <c r="BP122" s="33" t="n">
        <v>0.351</v>
      </c>
      <c r="BQ122" s="29" t="n">
        <v>2024</v>
      </c>
      <c r="BR122" s="36" t="n">
        <v>19.72</v>
      </c>
      <c r="BS122" s="36" t="n">
        <v>2.13</v>
      </c>
      <c r="BT122" s="36" t="n">
        <v>0</v>
      </c>
      <c r="BU122" s="36" t="n">
        <v>0.34</v>
      </c>
      <c r="BV122" s="16" t="n">
        <f aca="false">F122*(1+N(H122)/100)*(1+N(I122)/100)^5</f>
        <v>32.3850430940525</v>
      </c>
      <c r="BW122" s="16" t="n">
        <f aca="false">IF(N(G122)&gt;0,G122,F122)</f>
        <v>89.971</v>
      </c>
      <c r="BX122" s="12" t="n">
        <f aca="false">F122/BW122</f>
        <v>0.281235064631937</v>
      </c>
      <c r="BY122" s="13" t="n">
        <f aca="false">IF(ISNUMBER(K122),1,0)</f>
        <v>1</v>
      </c>
      <c r="BZ122" s="16" t="n">
        <f aca="false">IF(BY122=0,"",N(N122)+N(O122)+N(P122))</f>
        <v>16.6020430004829</v>
      </c>
      <c r="CA122" s="37" t="n">
        <f aca="false">IF(BY122=0,"",(N(Y122)*34.2+N(Z122)*38.6)/1000)</f>
        <v>0.0734797201163292</v>
      </c>
      <c r="CB122" s="37" t="n">
        <f aca="false">IF(BY122=0,"",N(O122)*0.0036+N(R122)+N(V122)+(N(AA122)*25.3+N(AB122)*37)/1000)</f>
        <v>0.0212816619063278</v>
      </c>
      <c r="CC122" s="37" t="n">
        <f aca="false">IF(BY122=0,"",N(N122)*0.0036+N(Q122)+N(U122)+N(T122)+N(X122)+N(AC122)*38/1000)</f>
        <v>0.0556770640910137</v>
      </c>
      <c r="CD122" s="37" t="n">
        <f aca="false">IF(BY122=0,"",N(Q122)+N(R122)+N(S122)+N(T122)+N(U122)+N(V122)+N(W122)+N(X122)+(N(Y122)*34.2+N(Z122)*38.6+N(AA122)*25.3+N(AB122)*37+N(AC122)*38)/1000)</f>
        <v>0.134042450069212</v>
      </c>
      <c r="CE122" s="16" t="n">
        <f aca="false">IF(BY122=0,"",MAX(0,N(L122)-N(K122))+MAX(0,N(M122)-N(L122)))</f>
        <v>71.156</v>
      </c>
      <c r="CF122" s="16" t="n">
        <f aca="false">IF(BY122=0,"",N(Y122)*N(AD122)+N(Z122)*N(AE122)+N(AA122)*N(AF122)+N(AB122)*N(AG122)+N(AC122)*N(AH122)+N(U122)*N(AI122)+N(V122)*N(AJ122)+N(W122)*N(AK122)+N(X122)*N(AL122)+N(Q122)*N(AM122)+N(R122)*N(AN122)+N(S122)*N(AO122)+N(T122)*N(AP122))</f>
        <v>1.74396142051348</v>
      </c>
      <c r="CG122" s="16" t="n">
        <f aca="false">IF(AND(BY122=1,N(K122)&gt;0),K122,0)</f>
        <v>11.83</v>
      </c>
      <c r="CH122" s="16" t="n">
        <f aca="false">IF(CG122&gt;0,CF122*1000/CG122,"")</f>
        <v>147.418547803338</v>
      </c>
      <c r="CI122" s="16" t="n">
        <f aca="false">IF(BY122=0,"",N(AQ122)+p_road*(N(AR122)+N(AS122)+N(AT122)))</f>
        <v>0.00421097036703626</v>
      </c>
      <c r="CJ122" s="16" t="n">
        <f aca="false">IF(CG122&gt;0,CI122*1000/CG122,"")</f>
        <v>0.35595692029047</v>
      </c>
      <c r="CK122" s="12" t="n">
        <f aca="false">IF(CH122="",1,MIN(p_idx_max,MAX(p_idx_min,CH122/p_fc_world)))</f>
        <v>0.915601385038023</v>
      </c>
      <c r="CL122" s="12" t="n">
        <f aca="false">IF(CJ122="",1,MIN(p_idx_max,MAX(p_idx_min,CJ122/p_cb_world)))</f>
        <v>0.25</v>
      </c>
      <c r="CM122" s="37" t="n">
        <f aca="false">p_b*(1-p_wb_idx+p_wb_idx*CK122)</f>
        <v>0.121774984210057</v>
      </c>
      <c r="CN122" s="37" t="n">
        <f aca="false">p_c*(1-p_wc_idx+p_wc_idx*CL122)</f>
        <v>0.03225</v>
      </c>
      <c r="CO122" s="28" t="n">
        <f aca="false">IF(N(BR122)&gt;0,(N(BS122)+N(BT122)+N(BU122))/BR122,"")</f>
        <v>0.12525354969574</v>
      </c>
      <c r="CP122" s="16" t="n">
        <f aca="false">N(BS122)+N(BT122)+N(BU122)</f>
        <v>2.47</v>
      </c>
      <c r="CQ122" s="28" t="n">
        <f aca="false">IF(CP122&gt;0,N(BS122)/CP122,"")</f>
        <v>0.862348178137652</v>
      </c>
      <c r="CR122" s="28" t="n">
        <f aca="false">IF(CP122&gt;0,N(BT122)/CP122,"")</f>
        <v>0</v>
      </c>
      <c r="CS122" s="28" t="n">
        <f aca="false">IF(CP122&gt;0,N(BU122)/CP122,"")</f>
        <v>0.137651821862348</v>
      </c>
      <c r="CT122" s="7" t="n">
        <f aca="false">1000*(p_sh_pv*p_cf_pv/p_capex_pv+(1-p_sh_pv)*p_cf_wind/p_capex_wind)*8760</f>
        <v>2301.28856624319</v>
      </c>
      <c r="CU122" s="13" t="n">
        <f aca="false">IF(AND(ISNUMBER(CO122),ISNUMBER(CQ122),BY122=1),1,0)</f>
        <v>1</v>
      </c>
      <c r="CV122" s="16" t="n">
        <f aca="false">IF(CU122=0,"",CQ122*p_hr_coal*N(AK122)+CR122*p_hr_gas*N(AO122)+CS122*p_hr_oil*N(AH122)/p_gj_l_oil)</f>
        <v>40.3196715415363</v>
      </c>
      <c r="CW122" s="37" t="n">
        <f aca="false">IF(CU122=0,"",CQ122*p_hr_coal*p_ef_coal+CR122*p_hr_gas*p_ef_gas+CS122*p_hr_oil*p_ef_oil)</f>
        <v>0.927651012145749</v>
      </c>
      <c r="CX122" s="16" t="n">
        <f aca="false">IF(CU122=0,"",CQ122*p_hr_coal*N(AW122)+CR122*p_hr_gas*N(AX122)+CS122*p_hr_oil*N(AY122)/p_gj_l_oil)</f>
        <v>0.244012813473237</v>
      </c>
      <c r="CY122" s="37" t="n">
        <f aca="false">IF(CU122=0,"",CO122*CW122)</f>
        <v>0.116191582150101</v>
      </c>
      <c r="CZ122" s="37" t="n">
        <f aca="false">IF(CU122=0,"",CT122*CO122*CV122/1000/1000-p_om_re)</f>
        <v>-0.00337807394474392</v>
      </c>
      <c r="DA122" s="37" t="n">
        <f aca="false">IF(CU122=0,"",CT122*CO122*CX122/1000/1000)</f>
        <v>7.03353664922465E-005</v>
      </c>
      <c r="DB122" s="37" t="n">
        <f aca="false">IF(CU122=0,"",CT122*CO122*CW122/1000)</f>
        <v>0.267390359495735</v>
      </c>
      <c r="DC122" s="13" t="n">
        <f aca="false">IF(AND(CU122=1,ISNUMBER(AD122),ISNUMBER(AV122)),1,0)</f>
        <v>1</v>
      </c>
      <c r="DD122" s="7" t="n">
        <f aca="false">IF(DC122=0,"",p_ev_km*p_ice_l/100*AD122-p_ev_km*p_ev_kwh*AV122+p_ev_km*p_ev_maint)</f>
        <v>760.086</v>
      </c>
      <c r="DE122" s="37" t="n">
        <f aca="false">IF(DC122=0,"",DD122/p_ev_prem)</f>
        <v>0.1520172</v>
      </c>
      <c r="DF122" s="37" t="n">
        <f aca="false">IF(DC122=0,"",p_ev_km*p_ice_l/100*N(AZ122)/p_ev_prem)</f>
        <v>0.000244575</v>
      </c>
      <c r="DG122" s="37" t="n">
        <f aca="false">IF(DC122=0,"",1000/p_ev_prem*(p_ev_km*p_ice_l/100*p_gj_l_gso*p_ef_gso-p_ev_km*p_ev_kwh/1000*CY122))</f>
        <v>0.470520045638945</v>
      </c>
      <c r="DH122" s="11" t="str">
        <f aca="false">IFERROR(IF(INDEX(Damodaran!$D:$D,MATCH(A122,Damodaran!$A:$A,0))="","",INDEX(Damodaran!$D:$D,MATCH(A122,Damodaran!$A:$A,0))),"")</f>
        <v/>
      </c>
      <c r="DI122" s="11" t="str">
        <f aca="false">IFERROR(IF(INDEX(Damodaran!$E:$E,MATCH(A122,Damodaran!$A:$A,0))="","",INDEX(Damodaran!$E:$E,MATCH(A122,Damodaran!$A:$A,0))),"")</f>
        <v/>
      </c>
      <c r="DJ122" s="11" t="str">
        <f aca="false">IFERROR(IF(INDEX(Damodaran!$G:$G,MATCH(A122,Damodaran!$A:$A,0))="","",INDEX(Damodaran!$G:$G,MATCH(A122,Damodaran!$A:$A,0))),"")</f>
        <v/>
      </c>
      <c r="DK122" s="11" t="str">
        <f aca="false">IF(ISNUMBER(BG122),(1+BG122/100)*(1+p_infl)-1,"")</f>
        <v/>
      </c>
      <c r="DL122" s="11" t="n">
        <f aca="false">IF(ISNUMBER(BH122),BH122/100,"")</f>
        <v>0.038</v>
      </c>
      <c r="DM122" s="11" t="n">
        <f aca="false">IF(COUNT(DK122,DL122)=0,"",AVERAGE(DK122,DL122))</f>
        <v>0.038</v>
      </c>
      <c r="DN122" s="11" t="str">
        <f aca="false">IF(OR(DH122="",DI122=""),"",p_dv*(p_rf+DH122)*(1-IF(DJ122="",p_tax_def,DJ122))+(1-p_dv)*(p_rf+p_beta*p_erp+p_lambda*DI122))</f>
        <v/>
      </c>
      <c r="DO122" s="13" t="n">
        <f aca="false">IF(AND(ISNUMBER(DM122),ISNUMBER(DN122)),1,0)</f>
        <v>0</v>
      </c>
      <c r="DP122" s="11" t="n">
        <f aca="false">IF(DO122=1,DM122,0)</f>
        <v>0</v>
      </c>
      <c r="DQ122" s="11" t="n">
        <f aca="false">IF(DO122=1,DN122,0)</f>
        <v>0</v>
      </c>
      <c r="DR122" s="11" t="str">
        <f aca="false">IF(DN122="","",DN122+p_shift)</f>
        <v/>
      </c>
      <c r="DS122" s="11" t="n">
        <f aca="false">IF(E122="AE",p_r_ae,IF(E122="China",p_r_chn,p_r_emdc))</f>
        <v>0.105</v>
      </c>
      <c r="DT122" s="11" t="n">
        <f aca="false">IF(E122="AE",p_rh_ae,IF(E122="China",p_rh_chn,p_rh_emdc))</f>
        <v>0.15</v>
      </c>
      <c r="DU122" s="11" t="n">
        <f aca="false">IF(AND(p_use_obs=1,ISNUMBER(DM122)),DM122,IF(AND(p_use_dam=1,ISNUMBER(DR122)),DR122,DS122))</f>
        <v>0.038</v>
      </c>
      <c r="DV122" s="6" t="str">
        <f aca="false">IF(AND(p_use_obs=1,ISNUMBER(DM122)),"Observed (IRENA/Steffen)",IF(AND(p_use_dam=1,ISNUMBER(DR122)),"Damodaran (eq. 5)","Group default (IHLEG)"))</f>
        <v>Observed (IRENA/Steffen)</v>
      </c>
      <c r="DW122" s="11" t="n">
        <f aca="false">IF(p_basis=1,(1+DU122)/(1+p_infl)-1,DU122)</f>
        <v>0.038</v>
      </c>
      <c r="DX122" s="11" t="n">
        <f aca="false">DW122+(DT122-DS122)</f>
        <v>0.083</v>
      </c>
      <c r="DY122" s="28" t="n">
        <f aca="false">IF(AND(p_use_pefa=1,ISNUMBER(BD122)),p_gap_lic-(BD122-1)/3*(p_gap_lic-p_gap_ae),IF(E122="AE",p_gap_ae,IF(D122="Low income",p_gap_lic,p_gap_em)))*(1-p_reform*p_reform_close)</f>
        <v>0.265</v>
      </c>
      <c r="DZ122" s="6" t="str">
        <f aca="false">IF(AND(p_use_pefa=1,ISNUMBER(BD122)),"PEFA PI-11","Income-group default (IMF 2015)")</f>
        <v>PEFA PI-11</v>
      </c>
      <c r="EA122" s="28" t="n">
        <f aca="false">IF(E122="AE",p_ps_ae,IF(E122="China",p_ps_chn,p_ps_emdc))</f>
        <v>0.4</v>
      </c>
      <c r="EB122" s="37" t="n">
        <f aca="false">(1-EA122)+EA122/(1-DY122)</f>
        <v>1.14421768707483</v>
      </c>
      <c r="EC122" s="16" t="n">
        <f aca="false">Results_Country!F122</f>
        <v>3.0709754996374</v>
      </c>
      <c r="ED122" s="16" t="n">
        <f aca="false">IF(CH122="",0,CH122*EC122)</f>
        <v>452.718748496174</v>
      </c>
      <c r="EE122" s="16" t="n">
        <f aca="false">IF(CJ122="",0,CJ122*EC122)</f>
        <v>1.09313498113842</v>
      </c>
      <c r="EF122" s="16" t="n">
        <f aca="false">IF(CH122="",0,EC122)</f>
        <v>3.0709754996374</v>
      </c>
    </row>
    <row r="123" customFormat="false" ht="15" hidden="false" customHeight="false" outlineLevel="0" collapsed="false">
      <c r="A123" s="35" t="s">
        <v>1003</v>
      </c>
      <c r="B123" s="35" t="s">
        <v>1004</v>
      </c>
      <c r="C123" s="35" t="s">
        <v>784</v>
      </c>
      <c r="D123" s="35" t="s">
        <v>771</v>
      </c>
      <c r="E123" s="35" t="s">
        <v>31</v>
      </c>
      <c r="F123" s="36" t="n">
        <v>25.285</v>
      </c>
      <c r="G123" s="36" t="n">
        <v>37.646</v>
      </c>
      <c r="H123" s="33" t="n">
        <v>-2.713</v>
      </c>
      <c r="I123" s="33" t="n">
        <v>-1.7</v>
      </c>
      <c r="J123" s="36" t="n">
        <v>11.772557</v>
      </c>
      <c r="K123" s="36" t="n">
        <v>3.064</v>
      </c>
      <c r="L123" s="36" t="n">
        <v>14.349</v>
      </c>
      <c r="M123" s="36" t="n">
        <v>14.952</v>
      </c>
      <c r="N123" s="36" t="n">
        <v>0.174348569287252</v>
      </c>
      <c r="O123" s="36" t="n">
        <v>0.580424507570881</v>
      </c>
      <c r="P123" s="36" t="n">
        <v>0</v>
      </c>
      <c r="Q123" s="31" t="n">
        <v>0</v>
      </c>
      <c r="R123" s="31" t="n">
        <v>0</v>
      </c>
      <c r="S123" s="31" t="n">
        <v>0</v>
      </c>
      <c r="T123" s="31" t="n">
        <v>0</v>
      </c>
      <c r="U123" s="31" t="n">
        <v>0</v>
      </c>
      <c r="V123" s="31" t="n">
        <v>0</v>
      </c>
      <c r="W123" s="31" t="n">
        <v>0</v>
      </c>
      <c r="X123" s="31" t="n">
        <v>0</v>
      </c>
      <c r="Y123" s="36" t="n">
        <v>0.277675519092195</v>
      </c>
      <c r="Z123" s="36" t="n">
        <v>0.474282642527324</v>
      </c>
      <c r="AA123" s="36" t="n">
        <v>0.0305795286594608</v>
      </c>
      <c r="AB123" s="36" t="n">
        <v>0.0808763310085715</v>
      </c>
      <c r="AC123" s="36" t="n">
        <v>0.192576306822358</v>
      </c>
      <c r="AD123" s="31" t="n">
        <v>0.756</v>
      </c>
      <c r="AE123" s="31" t="n">
        <v>0.655</v>
      </c>
      <c r="AF123" s="31" t="n">
        <v>0.534</v>
      </c>
      <c r="AG123" s="31" t="n">
        <v>0.568</v>
      </c>
      <c r="AH123" s="31" t="n">
        <v>0.519462891908447</v>
      </c>
      <c r="AI123" s="31" t="n">
        <v>7.124</v>
      </c>
      <c r="AJ123" s="31" t="n">
        <v>12.193</v>
      </c>
      <c r="AK123" s="31" t="n">
        <v>5.575</v>
      </c>
      <c r="AL123" s="31" t="n">
        <v>8.29733333333333</v>
      </c>
      <c r="AM123" s="31" t="n">
        <v>12.771</v>
      </c>
      <c r="AN123" s="31" t="n">
        <v>20.712</v>
      </c>
      <c r="AO123" s="31" t="n">
        <v>11.447</v>
      </c>
      <c r="AP123" s="31" t="n">
        <v>14.9766666666667</v>
      </c>
      <c r="AQ123" s="36" t="n">
        <v>0.0130783611464143</v>
      </c>
      <c r="AR123" s="36" t="n">
        <v>0.0111748892827659</v>
      </c>
      <c r="AS123" s="36" t="n">
        <v>0.145080640019191</v>
      </c>
      <c r="AT123" s="36" t="n">
        <v>0.0562969364687653</v>
      </c>
      <c r="AU123" s="31" t="n">
        <v>0.316735656667808</v>
      </c>
      <c r="AV123" s="36" t="n">
        <v>0.462252</v>
      </c>
      <c r="AW123" s="31" t="n">
        <v>0.048638</v>
      </c>
      <c r="AX123" s="31" t="n">
        <v>0.000182</v>
      </c>
      <c r="AY123" s="31" t="n">
        <v>0.0231347199210485</v>
      </c>
      <c r="AZ123" s="31" t="n">
        <v>0.004482</v>
      </c>
      <c r="BA123" s="33" t="n">
        <v>15.506</v>
      </c>
      <c r="BB123" s="33" t="n">
        <v>1.867</v>
      </c>
      <c r="BC123" s="33" t="n">
        <v>16.661</v>
      </c>
      <c r="BD123" s="33"/>
      <c r="BE123" s="33"/>
      <c r="BF123" s="33" t="n">
        <v>0</v>
      </c>
      <c r="BG123" s="33"/>
      <c r="BH123" s="33"/>
      <c r="BI123" s="29"/>
      <c r="BJ123" s="33"/>
      <c r="BK123" s="33"/>
      <c r="BL123" s="33"/>
      <c r="BM123" s="33"/>
      <c r="BN123" s="29" t="n">
        <v>25</v>
      </c>
      <c r="BO123" s="33" t="n">
        <v>0.326</v>
      </c>
      <c r="BP123" s="33"/>
      <c r="BQ123" s="29" t="n">
        <v>2024</v>
      </c>
      <c r="BR123" s="36" t="n">
        <v>0.86</v>
      </c>
      <c r="BS123" s="36" t="n">
        <v>0</v>
      </c>
      <c r="BT123" s="36" t="n">
        <v>0</v>
      </c>
      <c r="BU123" s="36" t="n">
        <v>0.7</v>
      </c>
      <c r="BV123" s="16" t="n">
        <f aca="false">F123*(1+N(H123)/100)*(1+N(I123)/100)^5</f>
        <v>22.5779942741194</v>
      </c>
      <c r="BW123" s="16" t="n">
        <f aca="false">IF(N(G123)&gt;0,G123,F123)</f>
        <v>37.646</v>
      </c>
      <c r="BX123" s="12" t="n">
        <f aca="false">F123/BW123</f>
        <v>0.671651702704139</v>
      </c>
      <c r="BY123" s="13" t="n">
        <f aca="false">IF(ISNUMBER(K123),1,0)</f>
        <v>1</v>
      </c>
      <c r="BZ123" s="16" t="n">
        <f aca="false">IF(BY123=0,"",N(N123)+N(O123)+N(P123))</f>
        <v>0.754773076858133</v>
      </c>
      <c r="CA123" s="37" t="n">
        <f aca="false">IF(BY123=0,"",(N(Y123)*34.2+N(Z123)*38.6)/1000)</f>
        <v>0.0278038127545078</v>
      </c>
      <c r="CB123" s="37" t="n">
        <f aca="false">IF(BY123=0,"",N(O123)*0.0036+N(R123)+N(V123)+(N(AA123)*25.3+N(AB123)*37)/1000)</f>
        <v>0.00585561454965668</v>
      </c>
      <c r="CC123" s="37" t="n">
        <f aca="false">IF(BY123=0,"",N(N123)*0.0036+N(Q123)+N(U123)+N(T123)+N(X123)+N(AC123)*38/1000)</f>
        <v>0.00794555450868371</v>
      </c>
      <c r="CD123" s="37" t="n">
        <f aca="false">IF(BY123=0,"",N(Q123)+N(R123)+N(S123)+N(T123)+N(U123)+N(V123)+N(W123)+N(X123)+(N(Y123)*34.2+N(Z123)*38.6+N(AA123)*25.3+N(AB123)*37+N(AC123)*38)/1000)</f>
        <v>0.0388877987361589</v>
      </c>
      <c r="CE123" s="16" t="n">
        <f aca="false">IF(BY123=0,"",MAX(0,N(L123)-N(K123))+MAX(0,N(M123)-N(L123)))</f>
        <v>11.888</v>
      </c>
      <c r="CF123" s="16" t="n">
        <f aca="false">IF(BY123=0,"",N(Y123)*N(AD123)+N(Z123)*N(AE123)+N(AA123)*N(AF123)+N(AB123)*N(AG123)+N(AC123)*N(AH123)+N(U123)*N(AI123)+N(V123)*N(AJ123)+N(W123)*N(AK123)+N(X123)*N(AL123)+N(Q123)*N(AM123)+N(R123)*N(AN123)+N(S123)*N(AO123)+N(T123)*N(AP123))</f>
        <v>0.682881292861108</v>
      </c>
      <c r="CG123" s="16" t="n">
        <f aca="false">IF(AND(BY123=1,N(K123)&gt;0),K123,0)</f>
        <v>3.064</v>
      </c>
      <c r="CH123" s="16" t="n">
        <f aca="false">IF(CG123&gt;0,CF123*1000/CG123,"")</f>
        <v>222.872484615244</v>
      </c>
      <c r="CI123" s="16" t="n">
        <f aca="false">IF(BY123=0,"",N(AQ123)+p_road*(N(AR123)+N(AS123)+N(AT123)))</f>
        <v>0.0130783611464143</v>
      </c>
      <c r="CJ123" s="16" t="n">
        <f aca="false">IF(CG123&gt;0,CI123*1000/CG123,"")</f>
        <v>4.26839463003076</v>
      </c>
      <c r="CK123" s="12" t="n">
        <f aca="false">IF(CH123="",1,MIN(p_idx_max,MAX(p_idx_min,CH123/p_fc_world)))</f>
        <v>1.38423799882231</v>
      </c>
      <c r="CL123" s="12" t="n">
        <f aca="false">IF(CJ123="",1,MIN(p_idx_max,MAX(p_idx_min,CJ123/p_cb_world)))</f>
        <v>0.25</v>
      </c>
      <c r="CM123" s="37" t="n">
        <f aca="false">p_b*(1-p_wb_idx+p_wb_idx*CK123)</f>
        <v>0.184103653843367</v>
      </c>
      <c r="CN123" s="37" t="n">
        <f aca="false">p_c*(1-p_wc_idx+p_wc_idx*CL123)</f>
        <v>0.03225</v>
      </c>
      <c r="CO123" s="28" t="n">
        <f aca="false">IF(N(BR123)&gt;0,(N(BS123)+N(BT123)+N(BU123))/BR123,"")</f>
        <v>0.813953488372093</v>
      </c>
      <c r="CP123" s="16" t="n">
        <f aca="false">N(BS123)+N(BT123)+N(BU123)</f>
        <v>0.7</v>
      </c>
      <c r="CQ123" s="28" t="n">
        <f aca="false">IF(CP123&gt;0,N(BS123)/CP123,"")</f>
        <v>0</v>
      </c>
      <c r="CR123" s="28" t="n">
        <f aca="false">IF(CP123&gt;0,N(BT123)/CP123,"")</f>
        <v>0</v>
      </c>
      <c r="CS123" s="28" t="n">
        <f aca="false">IF(CP123&gt;0,N(BU123)/CP123,"")</f>
        <v>1</v>
      </c>
      <c r="CT123" s="7" t="n">
        <f aca="false">1000*(p_sh_pv*p_cf_pv/p_capex_pv+(1-p_sh_pv)*p_cf_wind/p_capex_wind)*8760</f>
        <v>2301.28856624319</v>
      </c>
      <c r="CU123" s="13" t="n">
        <f aca="false">IF(AND(ISNUMBER(CO123),ISNUMBER(CQ123),BY123=1),1,0)</f>
        <v>1</v>
      </c>
      <c r="CV123" s="16" t="n">
        <f aca="false">IF(CU123=0,"",CQ123*p_hr_coal*N(AK123)+CR123*p_hr_gas*N(AO123)+CS123*p_hr_oil*N(AH123)/p_gj_l_oil)</f>
        <v>141.304672669396</v>
      </c>
      <c r="CW123" s="37" t="n">
        <f aca="false">IF(CU123=0,"",CQ123*p_hr_coal*p_ef_coal+CR123*p_hr_gas*p_ef_gas+CS123*p_hr_oil*p_ef_oil)</f>
        <v>0.8127</v>
      </c>
      <c r="CX123" s="16" t="n">
        <f aca="false">IF(CU123=0,"",CQ123*p_hr_coal*N(AW123)+CR123*p_hr_gas*N(AX123)+CS123*p_hr_oil*N(AY123)/p_gj_l_oil)</f>
        <v>6.29312329458572</v>
      </c>
      <c r="CY123" s="37" t="n">
        <f aca="false">IF(CU123=0,"",CO123*CW123)</f>
        <v>0.6615</v>
      </c>
      <c r="CZ123" s="37" t="n">
        <f aca="false">IF(CU123=0,"",CT123*CO123*CV123/1000/1000-p_om_re)</f>
        <v>0.249683696859968</v>
      </c>
      <c r="DA123" s="37" t="n">
        <f aca="false">IF(CU123=0,"",CT123*CO123*CX123/1000/1000)</f>
        <v>0.0117879126495955</v>
      </c>
      <c r="DB123" s="37" t="n">
        <f aca="false">IF(CU123=0,"",CT123*CO123*CW123/1000)</f>
        <v>1.52230238656987</v>
      </c>
      <c r="DC123" s="13" t="n">
        <f aca="false">IF(AND(CU123=1,ISNUMBER(AD123),ISNUMBER(AV123)),1,0)</f>
        <v>1</v>
      </c>
      <c r="DD123" s="7" t="n">
        <f aca="false">IF(DC123=0,"",p_ev_km*p_ice_l/100*AD123-p_ev_km*p_ev_kwh*AV123+p_ev_km*p_ev_maint)</f>
        <v>-217.5804</v>
      </c>
      <c r="DE123" s="37" t="n">
        <f aca="false">IF(DC123=0,"",DD123/p_ev_prem)</f>
        <v>-0.04351608</v>
      </c>
      <c r="DF123" s="37" t="n">
        <f aca="false">IF(DC123=0,"",p_ev_km*p_ice_l/100*N(AZ123)/p_ev_prem)</f>
        <v>0.00100845</v>
      </c>
      <c r="DG123" s="37" t="n">
        <f aca="false">IF(DC123=0,"",1000/p_ev_prem*(p_ev_km*p_ice_l/100*p_gj_l_gso*p_ef_gso-p_ev_km*p_ev_kwh/1000*CY123))</f>
        <v>0.1760535</v>
      </c>
      <c r="DH123" s="11" t="str">
        <f aca="false">IFERROR(IF(INDEX(Damodaran!$D:$D,MATCH(A123,Damodaran!$A:$A,0))="","",INDEX(Damodaran!$D:$D,MATCH(A123,Damodaran!$A:$A,0))),"")</f>
        <v/>
      </c>
      <c r="DI123" s="11" t="str">
        <f aca="false">IFERROR(IF(INDEX(Damodaran!$E:$E,MATCH(A123,Damodaran!$A:$A,0))="","",INDEX(Damodaran!$E:$E,MATCH(A123,Damodaran!$A:$A,0))),"")</f>
        <v/>
      </c>
      <c r="DJ123" s="11" t="str">
        <f aca="false">IFERROR(IF(INDEX(Damodaran!$G:$G,MATCH(A123,Damodaran!$A:$A,0))="","",INDEX(Damodaran!$G:$G,MATCH(A123,Damodaran!$A:$A,0))),"")</f>
        <v/>
      </c>
      <c r="DK123" s="11" t="str">
        <f aca="false">IF(ISNUMBER(BG123),(1+BG123/100)*(1+p_infl)-1,"")</f>
        <v/>
      </c>
      <c r="DL123" s="11" t="str">
        <f aca="false">IF(ISNUMBER(BH123),BH123/100,"")</f>
        <v/>
      </c>
      <c r="DM123" s="11" t="str">
        <f aca="false">IF(COUNT(DK123,DL123)=0,"",AVERAGE(DK123,DL123))</f>
        <v/>
      </c>
      <c r="DN123" s="11" t="str">
        <f aca="false">IF(OR(DH123="",DI123=""),"",p_dv*(p_rf+DH123)*(1-IF(DJ123="",p_tax_def,DJ123))+(1-p_dv)*(p_rf+p_beta*p_erp+p_lambda*DI123))</f>
        <v/>
      </c>
      <c r="DO123" s="13" t="n">
        <f aca="false">IF(AND(ISNUMBER(DM123),ISNUMBER(DN123)),1,0)</f>
        <v>0</v>
      </c>
      <c r="DP123" s="11" t="n">
        <f aca="false">IF(DO123=1,DM123,0)</f>
        <v>0</v>
      </c>
      <c r="DQ123" s="11" t="n">
        <f aca="false">IF(DO123=1,DN123,0)</f>
        <v>0</v>
      </c>
      <c r="DR123" s="11" t="str">
        <f aca="false">IF(DN123="","",DN123+p_shift)</f>
        <v/>
      </c>
      <c r="DS123" s="11" t="n">
        <f aca="false">IF(E123="AE",p_r_ae,IF(E123="China",p_r_chn,p_r_emdc))</f>
        <v>0.105</v>
      </c>
      <c r="DT123" s="11" t="n">
        <f aca="false">IF(E123="AE",p_rh_ae,IF(E123="China",p_rh_chn,p_rh_emdc))</f>
        <v>0.15</v>
      </c>
      <c r="DU123" s="11" t="n">
        <f aca="false">IF(AND(p_use_obs=1,ISNUMBER(DM123)),DM123,IF(AND(p_use_dam=1,ISNUMBER(DR123)),DR123,DS123))</f>
        <v>0.105</v>
      </c>
      <c r="DV123" s="6" t="str">
        <f aca="false">IF(AND(p_use_obs=1,ISNUMBER(DM123)),"Observed (IRENA/Steffen)",IF(AND(p_use_dam=1,ISNUMBER(DR123)),"Damodaran (eq. 5)","Group default (IHLEG)"))</f>
        <v>Group default (IHLEG)</v>
      </c>
      <c r="DW123" s="11" t="n">
        <f aca="false">IF(p_basis=1,(1+DU123)/(1+p_infl)-1,DU123)</f>
        <v>0.105</v>
      </c>
      <c r="DX123" s="11" t="n">
        <f aca="false">DW123+(DT123-DS123)</f>
        <v>0.15</v>
      </c>
      <c r="DY123" s="28" t="n">
        <f aca="false">IF(AND(p_use_pefa=1,ISNUMBER(BD123)),p_gap_lic-(BD123-1)/3*(p_gap_lic-p_gap_ae),IF(E123="AE",p_gap_ae,IF(D123="Low income",p_gap_lic,p_gap_em)))*(1-p_reform*p_reform_close)</f>
        <v>0.27</v>
      </c>
      <c r="DZ123" s="6" t="str">
        <f aca="false">IF(AND(p_use_pefa=1,ISNUMBER(BD123)),"PEFA PI-11","Income-group default (IMF 2015)")</f>
        <v>Income-group default (IMF 2015)</v>
      </c>
      <c r="EA123" s="28" t="n">
        <f aca="false">IF(E123="AE",p_ps_ae,IF(E123="China",p_ps_chn,p_ps_emdc))</f>
        <v>0.4</v>
      </c>
      <c r="EB123" s="37" t="n">
        <f aca="false">(1-EA123)+EA123/(1-DY123)</f>
        <v>1.14794520547945</v>
      </c>
      <c r="EC123" s="16" t="n">
        <f aca="false">Results_Country!F123</f>
        <v>1.10227601863766</v>
      </c>
      <c r="ED123" s="16" t="n">
        <f aca="false">IF(CH123="",0,CH123*EC123)</f>
        <v>245.666995005575</v>
      </c>
      <c r="EE123" s="16" t="n">
        <f aca="false">IF(CJ123="",0,CJ123*EC123)</f>
        <v>4.7049490387647</v>
      </c>
      <c r="EF123" s="16" t="n">
        <f aca="false">IF(CH123="",0,EC123)</f>
        <v>1.10227601863766</v>
      </c>
    </row>
    <row r="124" customFormat="false" ht="15" hidden="false" customHeight="false" outlineLevel="0" collapsed="false">
      <c r="A124" s="35" t="s">
        <v>1005</v>
      </c>
      <c r="B124" s="35" t="s">
        <v>1006</v>
      </c>
      <c r="C124" s="35" t="s">
        <v>799</v>
      </c>
      <c r="D124" s="35" t="s">
        <v>760</v>
      </c>
      <c r="E124" s="35" t="s">
        <v>29</v>
      </c>
      <c r="F124" s="36" t="n">
        <v>25.035</v>
      </c>
      <c r="G124" s="36" t="n">
        <v>41.441</v>
      </c>
      <c r="H124" s="33" t="n">
        <v>3.962</v>
      </c>
      <c r="I124" s="33" t="n">
        <v>3.7</v>
      </c>
      <c r="J124" s="36" t="n">
        <v>0.539607</v>
      </c>
      <c r="K124" s="36" t="n">
        <v>1.775</v>
      </c>
      <c r="L124" s="36" t="n">
        <v>2.328</v>
      </c>
      <c r="M124" s="36" t="n">
        <v>2.328</v>
      </c>
      <c r="N124" s="36" t="n">
        <v>2.012799887302</v>
      </c>
      <c r="O124" s="36" t="n">
        <v>1.24232029061433</v>
      </c>
      <c r="P124" s="36" t="n">
        <v>0.0466474169083572</v>
      </c>
      <c r="Q124" s="31" t="n">
        <v>0</v>
      </c>
      <c r="R124" s="31" t="n">
        <v>0</v>
      </c>
      <c r="S124" s="31" t="n">
        <v>0.0137344471526226</v>
      </c>
      <c r="T124" s="31" t="n">
        <v>0</v>
      </c>
      <c r="U124" s="31" t="n">
        <v>0</v>
      </c>
      <c r="V124" s="31" t="n">
        <v>0</v>
      </c>
      <c r="W124" s="31" t="n">
        <v>0</v>
      </c>
      <c r="X124" s="31" t="n">
        <v>0</v>
      </c>
      <c r="Y124" s="36" t="n">
        <v>0.109305566996109</v>
      </c>
      <c r="Z124" s="36" t="n">
        <v>0.210678391286751</v>
      </c>
      <c r="AA124" s="36" t="n">
        <v>0.0497546390358685</v>
      </c>
      <c r="AB124" s="36" t="n">
        <v>0.00153445247922656</v>
      </c>
      <c r="AC124" s="36" t="n">
        <v>0.0260892592554001</v>
      </c>
      <c r="AD124" s="31" t="n">
        <v>0.847978</v>
      </c>
      <c r="AE124" s="31" t="n">
        <v>0.788613</v>
      </c>
      <c r="AF124" s="31" t="n">
        <v>0.555021</v>
      </c>
      <c r="AG124" s="31" t="n">
        <v>0.652</v>
      </c>
      <c r="AH124" s="31" t="n">
        <v>0.543345303403777</v>
      </c>
      <c r="AI124" s="31" t="n">
        <v>7.124</v>
      </c>
      <c r="AJ124" s="31" t="n">
        <v>14.38774</v>
      </c>
      <c r="AK124" s="31" t="n">
        <v>5.575</v>
      </c>
      <c r="AL124" s="31" t="n">
        <v>9.02891333333333</v>
      </c>
      <c r="AM124" s="31" t="n">
        <v>11.815</v>
      </c>
      <c r="AN124" s="31" t="n">
        <v>23.31326</v>
      </c>
      <c r="AO124" s="31" t="n">
        <v>10.492</v>
      </c>
      <c r="AP124" s="31" t="n">
        <v>10.492</v>
      </c>
      <c r="AQ124" s="36" t="n">
        <v>0.00929119659603316</v>
      </c>
      <c r="AR124" s="36" t="n">
        <v>0.0513553466926693</v>
      </c>
      <c r="AS124" s="36" t="n">
        <v>0.00698762597603431</v>
      </c>
      <c r="AT124" s="36" t="n">
        <v>0.0153250981460539</v>
      </c>
      <c r="AU124" s="31" t="n">
        <v>0.314087437451967</v>
      </c>
      <c r="AV124" s="36" t="n">
        <v>0.132136</v>
      </c>
      <c r="AW124" s="31" t="n">
        <v>-0.294878</v>
      </c>
      <c r="AX124" s="31" t="n">
        <v>0.027941</v>
      </c>
      <c r="AY124" s="31" t="n">
        <v>0.0288410329934028</v>
      </c>
      <c r="AZ124" s="31" t="n">
        <v>0.012345</v>
      </c>
      <c r="BA124" s="33" t="n">
        <v>46.042</v>
      </c>
      <c r="BB124" s="33" t="n">
        <v>3.402</v>
      </c>
      <c r="BC124" s="33"/>
      <c r="BD124" s="33"/>
      <c r="BE124" s="33"/>
      <c r="BF124" s="33" t="n">
        <v>0</v>
      </c>
      <c r="BG124" s="33"/>
      <c r="BH124" s="33"/>
      <c r="BI124" s="29"/>
      <c r="BJ124" s="33"/>
      <c r="BK124" s="33"/>
      <c r="BL124" s="33"/>
      <c r="BM124" s="33"/>
      <c r="BN124" s="29"/>
      <c r="BO124" s="33"/>
      <c r="BP124" s="33"/>
      <c r="BQ124" s="29" t="n">
        <v>2025</v>
      </c>
      <c r="BR124" s="36" t="n">
        <v>2.19</v>
      </c>
      <c r="BS124" s="36" t="n">
        <v>0</v>
      </c>
      <c r="BT124" s="36" t="n">
        <v>1.82</v>
      </c>
      <c r="BU124" s="36" t="n">
        <v>0.02</v>
      </c>
      <c r="BV124" s="16" t="n">
        <f aca="false">F124*(1+N(H124)/100)*(1+N(I124)/100)^5</f>
        <v>31.2115979150305</v>
      </c>
      <c r="BW124" s="16" t="n">
        <f aca="false">IF(N(G124)&gt;0,G124,F124)</f>
        <v>41.441</v>
      </c>
      <c r="BX124" s="12" t="n">
        <f aca="false">F124/BW124</f>
        <v>0.60411186988731</v>
      </c>
      <c r="BY124" s="13" t="n">
        <f aca="false">IF(ISNUMBER(K124),1,0)</f>
        <v>1</v>
      </c>
      <c r="BZ124" s="16" t="n">
        <f aca="false">IF(BY124=0,"",N(N124)+N(O124)+N(P124))</f>
        <v>3.30176759482469</v>
      </c>
      <c r="CA124" s="37" t="n">
        <f aca="false">IF(BY124=0,"",(N(Y124)*34.2+N(Z124)*38.6)/1000)</f>
        <v>0.0118704362949355</v>
      </c>
      <c r="CB124" s="37" t="n">
        <f aca="false">IF(BY124=0,"",N(O124)*0.0036+N(R124)+N(V124)+(N(AA124)*25.3+N(AB124)*37)/1000)</f>
        <v>0.00578792015555045</v>
      </c>
      <c r="CC124" s="37" t="n">
        <f aca="false">IF(BY124=0,"",N(N124)*0.0036+N(Q124)+N(U124)+N(T124)+N(X124)+N(AC124)*38/1000)</f>
        <v>0.0082374714459924</v>
      </c>
      <c r="CD124" s="37" t="n">
        <f aca="false">IF(BY124=0,"",N(Q124)+N(R124)+N(S124)+N(T124)+N(U124)+N(V124)+N(W124)+N(X124)+(N(Y124)*34.2+N(Z124)*38.6+N(AA124)*25.3+N(AB124)*37+N(AC124)*38)/1000)</f>
        <v>0.0279118424086021</v>
      </c>
      <c r="CE124" s="16" t="n">
        <f aca="false">IF(BY124=0,"",MAX(0,N(L124)-N(K124))+MAX(0,N(M124)-N(L124)))</f>
        <v>0.553</v>
      </c>
      <c r="CF124" s="16" t="n">
        <f aca="false">IF(BY124=0,"",N(Y124)*N(AD124)+N(Z124)*N(AE124)+N(AA124)*N(AF124)+N(AB124)*N(AG124)+N(AC124)*N(AH124)+N(U124)*N(AI124)+N(V124)*N(AJ124)+N(W124)*N(AK124)+N(X124)*N(AL124)+N(Q124)*N(AM124)+N(R124)*N(AN124)+N(S124)*N(AO124)+N(T124)*N(AP124))</f>
        <v>0.445725062817849</v>
      </c>
      <c r="CG124" s="16" t="n">
        <f aca="false">IF(AND(BY124=1,N(K124)&gt;0),K124,0)</f>
        <v>1.775</v>
      </c>
      <c r="CH124" s="16" t="n">
        <f aca="false">IF(CG124&gt;0,CF124*1000/CG124,"")</f>
        <v>251.112711446675</v>
      </c>
      <c r="CI124" s="16" t="n">
        <f aca="false">IF(BY124=0,"",N(AQ124)+p_road*(N(AR124)+N(AS124)+N(AT124)))</f>
        <v>0.00929119659603316</v>
      </c>
      <c r="CJ124" s="16" t="n">
        <f aca="false">IF(CG124&gt;0,CI124*1000/CG124,"")</f>
        <v>5.23447695551164</v>
      </c>
      <c r="CK124" s="12" t="n">
        <f aca="false">IF(CH124="",1,MIN(p_idx_max,MAX(p_idx_min,CH124/p_fc_world)))</f>
        <v>1.55963513294101</v>
      </c>
      <c r="CL124" s="12" t="n">
        <f aca="false">IF(CJ124="",1,MIN(p_idx_max,MAX(p_idx_min,CJ124/p_cb_world)))</f>
        <v>0.25</v>
      </c>
      <c r="CM124" s="37" t="n">
        <f aca="false">p_b*(1-p_wb_idx+p_wb_idx*CK124)</f>
        <v>0.207431472681155</v>
      </c>
      <c r="CN124" s="37" t="n">
        <f aca="false">p_c*(1-p_wc_idx+p_wc_idx*CL124)</f>
        <v>0.03225</v>
      </c>
      <c r="CO124" s="28" t="n">
        <f aca="false">IF(N(BR124)&gt;0,(N(BS124)+N(BT124)+N(BU124))/BR124,"")</f>
        <v>0.840182648401827</v>
      </c>
      <c r="CP124" s="16" t="n">
        <f aca="false">N(BS124)+N(BT124)+N(BU124)</f>
        <v>1.84</v>
      </c>
      <c r="CQ124" s="28" t="n">
        <f aca="false">IF(CP124&gt;0,N(BS124)/CP124,"")</f>
        <v>0</v>
      </c>
      <c r="CR124" s="28" t="n">
        <f aca="false">IF(CP124&gt;0,N(BT124)/CP124,"")</f>
        <v>0.989130434782609</v>
      </c>
      <c r="CS124" s="28" t="n">
        <f aca="false">IF(CP124&gt;0,N(BU124)/CP124,"")</f>
        <v>0.0108695652173913</v>
      </c>
      <c r="CT124" s="7" t="n">
        <f aca="false">1000*(p_sh_pv*p_cf_pv/p_capex_pv+(1-p_sh_pv)*p_cf_wind/p_capex_wind)*8760</f>
        <v>2301.28856624319</v>
      </c>
      <c r="CU124" s="13" t="n">
        <f aca="false">IF(AND(ISNUMBER(CO124),ISNUMBER(CQ124),BY124=1),1,0)</f>
        <v>1</v>
      </c>
      <c r="CV124" s="16" t="n">
        <f aca="false">IF(CU124=0,"",CQ124*p_hr_coal*N(AK124)+CR124*p_hr_gas*N(AO124)+CS124*p_hr_oil*N(AH124)/p_gj_l_oil)</f>
        <v>79.4412085170477</v>
      </c>
      <c r="CW124" s="37" t="n">
        <f aca="false">IF(CU124=0,"",CQ124*p_hr_coal*p_ef_coal+CR124*p_hr_gas*p_ef_gas+CS124*p_hr_oil*p_ef_oil)</f>
        <v>0.425010326086956</v>
      </c>
      <c r="CX124" s="16" t="n">
        <f aca="false">IF(CU124=0,"",CQ124*p_hr_coal*N(AW124)+CR124*p_hr_gas*N(AX124)+CS124*p_hr_oil*N(AY124)/p_gj_l_oil)</f>
        <v>0.292555339302413</v>
      </c>
      <c r="CY124" s="37" t="n">
        <f aca="false">IF(CU124=0,"",CO124*CW124)</f>
        <v>0.357086301369863</v>
      </c>
      <c r="CZ124" s="37" t="n">
        <f aca="false">IF(CU124=0,"",CT124*CO124*CV124/1000/1000-p_om_re)</f>
        <v>0.138599792932345</v>
      </c>
      <c r="DA124" s="37" t="n">
        <f aca="false">IF(CU124=0,"",CT124*CO124*CX124/1000/1000)</f>
        <v>0.000565656544971359</v>
      </c>
      <c r="DB124" s="37" t="n">
        <f aca="false">IF(CU124=0,"",CT124*CO124*CW124/1000)</f>
        <v>0.821758622504537</v>
      </c>
      <c r="DC124" s="13" t="n">
        <f aca="false">IF(AND(CU124=1,ISNUMBER(AD124),ISNUMBER(AV124)),1,0)</f>
        <v>1</v>
      </c>
      <c r="DD124" s="7" t="n">
        <f aca="false">IF(DC124=0,"",p_ev_km*p_ice_l/100*AD124-p_ev_km*p_ev_kwh*AV124+p_ev_km*p_ev_maint)</f>
        <v>777.20805</v>
      </c>
      <c r="DE124" s="37" t="n">
        <f aca="false">IF(DC124=0,"",DD124/p_ev_prem)</f>
        <v>0.15544161</v>
      </c>
      <c r="DF124" s="37" t="n">
        <f aca="false">IF(DC124=0,"",p_ev_km*p_ice_l/100*N(AZ124)/p_ev_prem)</f>
        <v>0.002777625</v>
      </c>
      <c r="DG124" s="37" t="n">
        <f aca="false">IF(DC124=0,"",1000/p_ev_prem*(p_ev_km*p_ice_l/100*p_gj_l_gso*p_ef_gso-p_ev_km*p_ev_kwh/1000*CY124))</f>
        <v>0.340436897260274</v>
      </c>
      <c r="DH124" s="11" t="str">
        <f aca="false">IFERROR(IF(INDEX(Damodaran!$D:$D,MATCH(A124,Damodaran!$A:$A,0))="","",INDEX(Damodaran!$D:$D,MATCH(A124,Damodaran!$A:$A,0))),"")</f>
        <v/>
      </c>
      <c r="DI124" s="11" t="str">
        <f aca="false">IFERROR(IF(INDEX(Damodaran!$E:$E,MATCH(A124,Damodaran!$A:$A,0))="","",INDEX(Damodaran!$E:$E,MATCH(A124,Damodaran!$A:$A,0))),"")</f>
        <v/>
      </c>
      <c r="DJ124" s="11" t="str">
        <f aca="false">IFERROR(IF(INDEX(Damodaran!$G:$G,MATCH(A124,Damodaran!$A:$A,0))="","",INDEX(Damodaran!$G:$G,MATCH(A124,Damodaran!$A:$A,0))),"")</f>
        <v/>
      </c>
      <c r="DK124" s="11" t="str">
        <f aca="false">IF(ISNUMBER(BG124),(1+BG124/100)*(1+p_infl)-1,"")</f>
        <v/>
      </c>
      <c r="DL124" s="11" t="str">
        <f aca="false">IF(ISNUMBER(BH124),BH124/100,"")</f>
        <v/>
      </c>
      <c r="DM124" s="11" t="str">
        <f aca="false">IF(COUNT(DK124,DL124)=0,"",AVERAGE(DK124,DL124))</f>
        <v/>
      </c>
      <c r="DN124" s="11" t="str">
        <f aca="false">IF(OR(DH124="",DI124=""),"",p_dv*(p_rf+DH124)*(1-IF(DJ124="",p_tax_def,DJ124))+(1-p_dv)*(p_rf+p_beta*p_erp+p_lambda*DI124))</f>
        <v/>
      </c>
      <c r="DO124" s="13" t="n">
        <f aca="false">IF(AND(ISNUMBER(DM124),ISNUMBER(DN124)),1,0)</f>
        <v>0</v>
      </c>
      <c r="DP124" s="11" t="n">
        <f aca="false">IF(DO124=1,DM124,0)</f>
        <v>0</v>
      </c>
      <c r="DQ124" s="11" t="n">
        <f aca="false">IF(DO124=1,DN124,0)</f>
        <v>0</v>
      </c>
      <c r="DR124" s="11" t="str">
        <f aca="false">IF(DN124="","",DN124+p_shift)</f>
        <v/>
      </c>
      <c r="DS124" s="11" t="n">
        <f aca="false">IF(E124="AE",p_r_ae,IF(E124="China",p_r_chn,p_r_emdc))</f>
        <v>0.055</v>
      </c>
      <c r="DT124" s="11" t="n">
        <f aca="false">IF(E124="AE",p_rh_ae,IF(E124="China",p_rh_chn,p_rh_emdc))</f>
        <v>0.07</v>
      </c>
      <c r="DU124" s="11" t="n">
        <f aca="false">IF(AND(p_use_obs=1,ISNUMBER(DM124)),DM124,IF(AND(p_use_dam=1,ISNUMBER(DR124)),DR124,DS124))</f>
        <v>0.055</v>
      </c>
      <c r="DV124" s="6" t="str">
        <f aca="false">IF(AND(p_use_obs=1,ISNUMBER(DM124)),"Observed (IRENA/Steffen)",IF(AND(p_use_dam=1,ISNUMBER(DR124)),"Damodaran (eq. 5)","Group default (IHLEG)"))</f>
        <v>Group default (IHLEG)</v>
      </c>
      <c r="DW124" s="11" t="n">
        <f aca="false">IF(p_basis=1,(1+DU124)/(1+p_infl)-1,DU124)</f>
        <v>0.055</v>
      </c>
      <c r="DX124" s="11" t="n">
        <f aca="false">DW124+(DT124-DS124)</f>
        <v>0.07</v>
      </c>
      <c r="DY124" s="28" t="n">
        <f aca="false">IF(AND(p_use_pefa=1,ISNUMBER(BD124)),p_gap_lic-(BD124-1)/3*(p_gap_lic-p_gap_ae),IF(E124="AE",p_gap_ae,IF(D124="Low income",p_gap_lic,p_gap_em)))*(1-p_reform*p_reform_close)</f>
        <v>0.13</v>
      </c>
      <c r="DZ124" s="6" t="str">
        <f aca="false">IF(AND(p_use_pefa=1,ISNUMBER(BD124)),"PEFA PI-11","Income-group default (IMF 2015)")</f>
        <v>Income-group default (IMF 2015)</v>
      </c>
      <c r="EA124" s="28" t="n">
        <f aca="false">IF(E124="AE",p_ps_ae,IF(E124="China",p_ps_chn,p_ps_emdc))</f>
        <v>0.3</v>
      </c>
      <c r="EB124" s="37" t="n">
        <f aca="false">(1-EA124)+EA124/(1-DY124)</f>
        <v>1.0448275862069</v>
      </c>
      <c r="EC124" s="16" t="n">
        <f aca="false">Results_Country!F124</f>
        <v>0.807148582369118</v>
      </c>
      <c r="ED124" s="16" t="n">
        <f aca="false">IF(CH124="",0,CH124*EC124)</f>
        <v>202.685269059049</v>
      </c>
      <c r="EE124" s="16" t="n">
        <f aca="false">IF(CJ124="",0,CJ124*EC124)</f>
        <v>4.22500065408504</v>
      </c>
      <c r="EF124" s="16" t="n">
        <f aca="false">IF(CH124="",0,EC124)</f>
        <v>0.807148582369118</v>
      </c>
    </row>
    <row r="125" customFormat="false" ht="15" hidden="false" customHeight="false" outlineLevel="0" collapsed="false">
      <c r="A125" s="35" t="s">
        <v>1007</v>
      </c>
      <c r="B125" s="35" t="s">
        <v>1008</v>
      </c>
      <c r="C125" s="35" t="s">
        <v>784</v>
      </c>
      <c r="D125" s="35" t="s">
        <v>760</v>
      </c>
      <c r="E125" s="35" t="s">
        <v>31</v>
      </c>
      <c r="F125" s="36" t="n">
        <v>24.659</v>
      </c>
      <c r="G125" s="36" t="n">
        <v>66.679</v>
      </c>
      <c r="H125" s="33" t="n">
        <v>19.309</v>
      </c>
      <c r="I125" s="33" t="n">
        <v>16.168</v>
      </c>
      <c r="J125" s="36" t="n">
        <v>0.831086</v>
      </c>
      <c r="K125" s="36" t="n">
        <v>4.054</v>
      </c>
      <c r="L125" s="36" t="n">
        <v>9.15</v>
      </c>
      <c r="M125" s="36" t="n">
        <v>21.371</v>
      </c>
      <c r="N125" s="36" t="n">
        <v>0.803754005452212</v>
      </c>
      <c r="O125" s="36" t="n">
        <v>0.580033622926001</v>
      </c>
      <c r="P125" s="36" t="n">
        <v>0</v>
      </c>
      <c r="Q125" s="31" t="n">
        <v>0</v>
      </c>
      <c r="R125" s="31" t="n">
        <v>0</v>
      </c>
      <c r="S125" s="31" t="n">
        <v>0</v>
      </c>
      <c r="T125" s="31" t="n">
        <v>0</v>
      </c>
      <c r="U125" s="31" t="n">
        <v>0</v>
      </c>
      <c r="V125" s="31" t="n">
        <v>0</v>
      </c>
      <c r="W125" s="31" t="n">
        <v>0</v>
      </c>
      <c r="X125" s="31" t="n">
        <v>0</v>
      </c>
      <c r="Y125" s="36" t="n">
        <v>0.279879331781607</v>
      </c>
      <c r="Z125" s="36" t="n">
        <v>0.406044044801769</v>
      </c>
      <c r="AA125" s="36" t="n">
        <v>0.0517667798058321</v>
      </c>
      <c r="AB125" s="36" t="n">
        <v>0.0171069094623126</v>
      </c>
      <c r="AC125" s="36" t="n">
        <v>0.365562644227185</v>
      </c>
      <c r="AD125" s="31" t="n">
        <v>0.95826</v>
      </c>
      <c r="AE125" s="31" t="n">
        <v>1.053479</v>
      </c>
      <c r="AF125" s="31" t="n">
        <v>0.59098</v>
      </c>
      <c r="AG125" s="31" t="n">
        <v>0.65888</v>
      </c>
      <c r="AH125" s="31" t="n">
        <v>0.519462891908447</v>
      </c>
      <c r="AI125" s="31" t="n">
        <v>7.124</v>
      </c>
      <c r="AJ125" s="31" t="n">
        <v>14.14388</v>
      </c>
      <c r="AK125" s="31" t="n">
        <v>5.575</v>
      </c>
      <c r="AL125" s="31" t="n">
        <v>8.94762666666667</v>
      </c>
      <c r="AM125" s="31" t="n">
        <v>12.667</v>
      </c>
      <c r="AN125" s="31" t="n">
        <v>23.90644</v>
      </c>
      <c r="AO125" s="31" t="n">
        <v>11.344</v>
      </c>
      <c r="AP125" s="31" t="n">
        <v>15.97248</v>
      </c>
      <c r="AQ125" s="36" t="n">
        <v>0.12100827661684</v>
      </c>
      <c r="AR125" s="36" t="n">
        <v>0.159034834355673</v>
      </c>
      <c r="AS125" s="36" t="n">
        <v>0.181534242404974</v>
      </c>
      <c r="AT125" s="36" t="n">
        <v>0.0360047880063337</v>
      </c>
      <c r="AU125" s="31" t="n">
        <v>0.254140632919282</v>
      </c>
      <c r="AV125" s="36" t="n">
        <v>0.4094</v>
      </c>
      <c r="AW125" s="31" t="n">
        <v>0.343058</v>
      </c>
      <c r="AX125" s="31" t="n">
        <v>0</v>
      </c>
      <c r="AY125" s="31" t="n">
        <v>0.0515904544985506</v>
      </c>
      <c r="AZ125" s="31" t="n">
        <v>0.040655</v>
      </c>
      <c r="BA125" s="33" t="n">
        <v>24.308</v>
      </c>
      <c r="BB125" s="33" t="n">
        <v>2.053</v>
      </c>
      <c r="BC125" s="33" t="n">
        <v>101.3</v>
      </c>
      <c r="BD125" s="33"/>
      <c r="BE125" s="33"/>
      <c r="BF125" s="33" t="n">
        <v>0</v>
      </c>
      <c r="BG125" s="33"/>
      <c r="BH125" s="33"/>
      <c r="BI125" s="29"/>
      <c r="BJ125" s="33"/>
      <c r="BK125" s="33"/>
      <c r="BL125" s="33" t="n">
        <v>-1.487</v>
      </c>
      <c r="BM125" s="33" t="n">
        <v>3.89</v>
      </c>
      <c r="BN125" s="29" t="n">
        <v>16.702</v>
      </c>
      <c r="BO125" s="33" t="n">
        <v>0.047</v>
      </c>
      <c r="BP125" s="33" t="n">
        <v>0.011</v>
      </c>
      <c r="BQ125" s="29" t="n">
        <v>2024</v>
      </c>
      <c r="BR125" s="36" t="n">
        <v>1.38</v>
      </c>
      <c r="BS125" s="36" t="n">
        <v>0</v>
      </c>
      <c r="BT125" s="36" t="n">
        <v>0.01</v>
      </c>
      <c r="BU125" s="36" t="n">
        <v>1.33</v>
      </c>
      <c r="BV125" s="16" t="n">
        <f aca="false">F125*(1+N(H125)/100)*(1+N(I125)/100)^5</f>
        <v>62.2416688063884</v>
      </c>
      <c r="BW125" s="16" t="n">
        <f aca="false">IF(N(G125)&gt;0,G125,F125)</f>
        <v>66.679</v>
      </c>
      <c r="BX125" s="12" t="n">
        <f aca="false">F125/BW125</f>
        <v>0.369816583931973</v>
      </c>
      <c r="BY125" s="13" t="n">
        <f aca="false">IF(ISNUMBER(K125),1,0)</f>
        <v>1</v>
      </c>
      <c r="BZ125" s="16" t="n">
        <f aca="false">IF(BY125=0,"",N(N125)+N(O125)+N(P125))</f>
        <v>1.38378762837821</v>
      </c>
      <c r="CA125" s="37" t="n">
        <f aca="false">IF(BY125=0,"",(N(Y125)*34.2+N(Z125)*38.6)/1000)</f>
        <v>0.0252451732762792</v>
      </c>
      <c r="CB125" s="37" t="n">
        <f aca="false">IF(BY125=0,"",N(O125)*0.0036+N(R125)+N(V125)+(N(AA125)*25.3+N(AB125)*37)/1000)</f>
        <v>0.00403077622172672</v>
      </c>
      <c r="CC125" s="37" t="n">
        <f aca="false">IF(BY125=0,"",N(N125)*0.0036+N(Q125)+N(U125)+N(T125)+N(X125)+N(AC125)*38/1000)</f>
        <v>0.016784894900261</v>
      </c>
      <c r="CD125" s="37" t="n">
        <f aca="false">IF(BY125=0,"",N(Q125)+N(R125)+N(S125)+N(T125)+N(U125)+N(V125)+N(W125)+N(X125)+(N(Y125)*34.2+N(Z125)*38.6+N(AA125)*25.3+N(AB125)*37+N(AC125)*38)/1000)</f>
        <v>0.0410792089361054</v>
      </c>
      <c r="CE125" s="16" t="n">
        <f aca="false">IF(BY125=0,"",MAX(0,N(L125)-N(K125))+MAX(0,N(M125)-N(L125)))</f>
        <v>17.317</v>
      </c>
      <c r="CF125" s="16" t="n">
        <f aca="false">IF(BY125=0,"",N(Y125)*N(AD125)+N(Z125)*N(AE125)+N(AA125)*N(AF125)+N(AB125)*N(AG125)+N(AC125)*N(AH125)+N(U125)*N(AI125)+N(V125)*N(AJ125)+N(W125)*N(AK125)+N(X125)*N(AL125)+N(Q125)*N(AM125)+N(R125)*N(AN125)+N(S125)*N(AO125)+N(T125)*N(AP125))</f>
        <v>0.927716803126897</v>
      </c>
      <c r="CG125" s="16" t="n">
        <f aca="false">IF(AND(BY125=1,N(K125)&gt;0),K125,0)</f>
        <v>4.054</v>
      </c>
      <c r="CH125" s="16" t="n">
        <f aca="false">IF(CG125&gt;0,CF125*1000/CG125,"")</f>
        <v>228.839862636136</v>
      </c>
      <c r="CI125" s="16" t="n">
        <f aca="false">IF(BY125=0,"",N(AQ125)+p_road*(N(AR125)+N(AS125)+N(AT125)))</f>
        <v>0.12100827661684</v>
      </c>
      <c r="CJ125" s="16" t="n">
        <f aca="false">IF(CG125&gt;0,CI125*1000/CG125,"")</f>
        <v>29.8491062202368</v>
      </c>
      <c r="CK125" s="12" t="n">
        <f aca="false">IF(CH125="",1,MIN(p_idx_max,MAX(p_idx_min,CH125/p_fc_world)))</f>
        <v>1.42130076780483</v>
      </c>
      <c r="CL125" s="12" t="n">
        <f aca="false">IF(CJ125="",1,MIN(p_idx_max,MAX(p_idx_min,CJ125/p_cb_world)))</f>
        <v>0.567572830383018</v>
      </c>
      <c r="CM125" s="37" t="n">
        <f aca="false">p_b*(1-p_wb_idx+p_wb_idx*CK125)</f>
        <v>0.189033002118043</v>
      </c>
      <c r="CN125" s="37" t="n">
        <f aca="false">p_c*(1-p_wc_idx+p_wc_idx*CL125)</f>
        <v>0.0732168951194093</v>
      </c>
      <c r="CO125" s="28" t="n">
        <f aca="false">IF(N(BR125)&gt;0,(N(BS125)+N(BT125)+N(BU125))/BR125,"")</f>
        <v>0.971014492753623</v>
      </c>
      <c r="CP125" s="16" t="n">
        <f aca="false">N(BS125)+N(BT125)+N(BU125)</f>
        <v>1.34</v>
      </c>
      <c r="CQ125" s="28" t="n">
        <f aca="false">IF(CP125&gt;0,N(BS125)/CP125,"")</f>
        <v>0</v>
      </c>
      <c r="CR125" s="28" t="n">
        <f aca="false">IF(CP125&gt;0,N(BT125)/CP125,"")</f>
        <v>0.00746268656716418</v>
      </c>
      <c r="CS125" s="28" t="n">
        <f aca="false">IF(CP125&gt;0,N(BU125)/CP125,"")</f>
        <v>0.992537313432836</v>
      </c>
      <c r="CT125" s="7" t="n">
        <f aca="false">1000*(p_sh_pv*p_cf_pv/p_capex_pv+(1-p_sh_pv)*p_cf_wind/p_capex_wind)*8760</f>
        <v>2301.28856624319</v>
      </c>
      <c r="CU125" s="13" t="n">
        <f aca="false">IF(AND(ISNUMBER(CO125),ISNUMBER(CQ125),BY125=1),1,0)</f>
        <v>1</v>
      </c>
      <c r="CV125" s="16" t="n">
        <f aca="false">IF(CU125=0,"",CQ125*p_hr_coal*N(AK125)+CR125*p_hr_gas*N(AO125)+CS125*p_hr_oil*N(AH125)/p_gj_l_oil)</f>
        <v>140.885085559923</v>
      </c>
      <c r="CW125" s="37" t="n">
        <f aca="false">IF(CU125=0,"",CQ125*p_hr_coal*p_ef_coal+CR125*p_hr_gas*p_ef_gas+CS125*p_hr_oil*p_ef_oil)</f>
        <v>0.809775</v>
      </c>
      <c r="CX125" s="16" t="n">
        <f aca="false">IF(CU125=0,"",CQ125*p_hr_coal*N(AW125)+CR125*p_hr_gas*N(AX125)+CS125*p_hr_oil*N(AY125)/p_gj_l_oil)</f>
        <v>13.9289439539142</v>
      </c>
      <c r="CY125" s="37" t="n">
        <f aca="false">IF(CU125=0,"",CO125*CW125)</f>
        <v>0.786303260869565</v>
      </c>
      <c r="CZ125" s="37" t="n">
        <f aca="false">IF(CU125=0,"",CT125*CO125*CV125/1000/1000-p_om_re)</f>
        <v>0.299819635493731</v>
      </c>
      <c r="DA125" s="37" t="n">
        <f aca="false">IF(CU125=0,"",CT125*CO125*CX125/1000/1000)</f>
        <v>0.0311254029548695</v>
      </c>
      <c r="DB125" s="37" t="n">
        <f aca="false">IF(CU125=0,"",CT125*CO125*CW125/1000)</f>
        <v>1.80951070383887</v>
      </c>
      <c r="DC125" s="13" t="n">
        <f aca="false">IF(AND(CU125=1,ISNUMBER(AD125),ISNUMBER(AV125)),1,0)</f>
        <v>1</v>
      </c>
      <c r="DD125" s="7" t="n">
        <f aca="false">IF(DC125=0,"",p_ev_km*p_ice_l/100*AD125-p_ev_km*p_ev_kwh*AV125+p_ev_km*p_ev_maint)</f>
        <v>152.6625</v>
      </c>
      <c r="DE125" s="37" t="n">
        <f aca="false">IF(DC125=0,"",DD125/p_ev_prem)</f>
        <v>0.0305325</v>
      </c>
      <c r="DF125" s="37" t="n">
        <f aca="false">IF(DC125=0,"",p_ev_km*p_ice_l/100*N(AZ125)/p_ev_prem)</f>
        <v>0.009147375</v>
      </c>
      <c r="DG125" s="37" t="n">
        <f aca="false">IF(DC125=0,"",1000/p_ev_prem*(p_ev_km*p_ice_l/100*p_gj_l_gso*p_ef_gso-p_ev_km*p_ev_kwh/1000*CY125))</f>
        <v>0.108659739130435</v>
      </c>
      <c r="DH125" s="11" t="str">
        <f aca="false">IFERROR(IF(INDEX(Damodaran!$D:$D,MATCH(A125,Damodaran!$A:$A,0))="","",INDEX(Damodaran!$D:$D,MATCH(A125,Damodaran!$A:$A,0))),"")</f>
        <v/>
      </c>
      <c r="DI125" s="11" t="str">
        <f aca="false">IFERROR(IF(INDEX(Damodaran!$E:$E,MATCH(A125,Damodaran!$A:$A,0))="","",INDEX(Damodaran!$E:$E,MATCH(A125,Damodaran!$A:$A,0))),"")</f>
        <v/>
      </c>
      <c r="DJ125" s="11" t="str">
        <f aca="false">IFERROR(IF(INDEX(Damodaran!$G:$G,MATCH(A125,Damodaran!$A:$A,0))="","",INDEX(Damodaran!$G:$G,MATCH(A125,Damodaran!$A:$A,0))),"")</f>
        <v/>
      </c>
      <c r="DK125" s="11" t="str">
        <f aca="false">IF(ISNUMBER(BG125),(1+BG125/100)*(1+p_infl)-1,"")</f>
        <v/>
      </c>
      <c r="DL125" s="11" t="str">
        <f aca="false">IF(ISNUMBER(BH125),BH125/100,"")</f>
        <v/>
      </c>
      <c r="DM125" s="11" t="str">
        <f aca="false">IF(COUNT(DK125,DL125)=0,"",AVERAGE(DK125,DL125))</f>
        <v/>
      </c>
      <c r="DN125" s="11" t="str">
        <f aca="false">IF(OR(DH125="",DI125=""),"",p_dv*(p_rf+DH125)*(1-IF(DJ125="",p_tax_def,DJ125))+(1-p_dv)*(p_rf+p_beta*p_erp+p_lambda*DI125))</f>
        <v/>
      </c>
      <c r="DO125" s="13" t="n">
        <f aca="false">IF(AND(ISNUMBER(DM125),ISNUMBER(DN125)),1,0)</f>
        <v>0</v>
      </c>
      <c r="DP125" s="11" t="n">
        <f aca="false">IF(DO125=1,DM125,0)</f>
        <v>0</v>
      </c>
      <c r="DQ125" s="11" t="n">
        <f aca="false">IF(DO125=1,DN125,0)</f>
        <v>0</v>
      </c>
      <c r="DR125" s="11" t="str">
        <f aca="false">IF(DN125="","",DN125+p_shift)</f>
        <v/>
      </c>
      <c r="DS125" s="11" t="n">
        <f aca="false">IF(E125="AE",p_r_ae,IF(E125="China",p_r_chn,p_r_emdc))</f>
        <v>0.105</v>
      </c>
      <c r="DT125" s="11" t="n">
        <f aca="false">IF(E125="AE",p_rh_ae,IF(E125="China",p_rh_chn,p_rh_emdc))</f>
        <v>0.15</v>
      </c>
      <c r="DU125" s="11" t="n">
        <f aca="false">IF(AND(p_use_obs=1,ISNUMBER(DM125)),DM125,IF(AND(p_use_dam=1,ISNUMBER(DR125)),DR125,DS125))</f>
        <v>0.105</v>
      </c>
      <c r="DV125" s="6" t="str">
        <f aca="false">IF(AND(p_use_obs=1,ISNUMBER(DM125)),"Observed (IRENA/Steffen)",IF(AND(p_use_dam=1,ISNUMBER(DR125)),"Damodaran (eq. 5)","Group default (IHLEG)"))</f>
        <v>Group default (IHLEG)</v>
      </c>
      <c r="DW125" s="11" t="n">
        <f aca="false">IF(p_basis=1,(1+DU125)/(1+p_infl)-1,DU125)</f>
        <v>0.105</v>
      </c>
      <c r="DX125" s="11" t="n">
        <f aca="false">DW125+(DT125-DS125)</f>
        <v>0.15</v>
      </c>
      <c r="DY125" s="28" t="n">
        <f aca="false">IF(AND(p_use_pefa=1,ISNUMBER(BD125)),p_gap_lic-(BD125-1)/3*(p_gap_lic-p_gap_ae),IF(E125="AE",p_gap_ae,IF(D125="Low income",p_gap_lic,p_gap_em)))*(1-p_reform*p_reform_close)</f>
        <v>0.27</v>
      </c>
      <c r="DZ125" s="6" t="str">
        <f aca="false">IF(AND(p_use_pefa=1,ISNUMBER(BD125)),"PEFA PI-11","Income-group default (IMF 2015)")</f>
        <v>Income-group default (IMF 2015)</v>
      </c>
      <c r="EA125" s="28" t="n">
        <f aca="false">IF(E125="AE",p_ps_ae,IF(E125="China",p_ps_chn,p_ps_emdc))</f>
        <v>0.4</v>
      </c>
      <c r="EB125" s="37" t="n">
        <f aca="false">(1-EA125)+EA125/(1-DY125)</f>
        <v>1.14794520547945</v>
      </c>
      <c r="EC125" s="16" t="n">
        <f aca="false">Results_Country!F125</f>
        <v>1.2982848441791</v>
      </c>
      <c r="ED125" s="16" t="n">
        <f aca="false">IF(CH125="",0,CH125*EC125)</f>
        <v>297.099325404522</v>
      </c>
      <c r="EE125" s="16" t="n">
        <f aca="false">IF(CJ125="",0,CJ125*EC125)</f>
        <v>38.7526422180254</v>
      </c>
      <c r="EF125" s="16" t="n">
        <f aca="false">IF(CH125="",0,EC125)</f>
        <v>1.2982848441791</v>
      </c>
    </row>
    <row r="126" customFormat="false" ht="15" hidden="false" customHeight="false" outlineLevel="0" collapsed="false">
      <c r="A126" s="35" t="s">
        <v>1009</v>
      </c>
      <c r="B126" s="35" t="s">
        <v>1010</v>
      </c>
      <c r="C126" s="35" t="s">
        <v>847</v>
      </c>
      <c r="D126" s="35" t="s">
        <v>771</v>
      </c>
      <c r="E126" s="35" t="s">
        <v>31</v>
      </c>
      <c r="F126" s="36" t="n">
        <v>24.233</v>
      </c>
      <c r="G126" s="36" t="n">
        <v>68.371</v>
      </c>
      <c r="H126" s="33" t="n">
        <v>6.687</v>
      </c>
      <c r="I126" s="33" t="n">
        <v>8.677</v>
      </c>
      <c r="J126" s="36" t="n">
        <v>14.754786</v>
      </c>
      <c r="K126" s="36" t="n">
        <v>3.897</v>
      </c>
      <c r="L126" s="36" t="n">
        <v>29.826</v>
      </c>
      <c r="M126" s="36" t="n">
        <v>41.256</v>
      </c>
      <c r="N126" s="36" t="n">
        <v>1.78164491813068</v>
      </c>
      <c r="O126" s="36" t="n">
        <v>0.796453378425294</v>
      </c>
      <c r="P126" s="36" t="n">
        <v>0</v>
      </c>
      <c r="Q126" s="31" t="n">
        <v>0</v>
      </c>
      <c r="R126" s="31" t="n">
        <v>0</v>
      </c>
      <c r="S126" s="31" t="n">
        <v>0</v>
      </c>
      <c r="T126" s="31" t="n">
        <v>0</v>
      </c>
      <c r="U126" s="31" t="n">
        <v>0</v>
      </c>
      <c r="V126" s="31" t="n">
        <v>0</v>
      </c>
      <c r="W126" s="31" t="n">
        <v>0</v>
      </c>
      <c r="X126" s="31" t="n">
        <v>0</v>
      </c>
      <c r="Y126" s="36" t="n">
        <v>0.672900933025818</v>
      </c>
      <c r="Z126" s="36" t="n">
        <v>0.8598000781007</v>
      </c>
      <c r="AA126" s="36" t="n">
        <v>1.62531055900618E-006</v>
      </c>
      <c r="AB126" s="36" t="n">
        <v>0.00582965139427002</v>
      </c>
      <c r="AC126" s="36" t="n">
        <v>0.147260157516191</v>
      </c>
      <c r="AD126" s="31" t="n">
        <v>0.85432</v>
      </c>
      <c r="AE126" s="31" t="n">
        <v>0.767215</v>
      </c>
      <c r="AF126" s="31" t="n">
        <v>0.513</v>
      </c>
      <c r="AG126" s="31" t="n">
        <v>0.69738</v>
      </c>
      <c r="AH126" s="31" t="n">
        <v>0.519462891908447</v>
      </c>
      <c r="AI126" s="31" t="n">
        <v>7.124</v>
      </c>
      <c r="AJ126" s="31" t="n">
        <v>14.38774</v>
      </c>
      <c r="AK126" s="31" t="n">
        <v>5.575</v>
      </c>
      <c r="AL126" s="31" t="n">
        <v>9.02891333333333</v>
      </c>
      <c r="AM126" s="31" t="n">
        <v>11.182</v>
      </c>
      <c r="AN126" s="31" t="n">
        <v>22.56514</v>
      </c>
      <c r="AO126" s="31" t="n">
        <v>9.858</v>
      </c>
      <c r="AP126" s="31" t="n">
        <v>14.5350466666667</v>
      </c>
      <c r="AQ126" s="36" t="n">
        <v>0.000226703227128528</v>
      </c>
      <c r="AR126" s="36" t="n">
        <v>0.00715632999458644</v>
      </c>
      <c r="AS126" s="36" t="n">
        <v>0.0903180032417204</v>
      </c>
      <c r="AT126" s="36" t="n">
        <v>0</v>
      </c>
      <c r="AU126" s="31" t="n">
        <v>0.88104072537794</v>
      </c>
      <c r="AV126" s="36" t="n">
        <v>0.205017</v>
      </c>
      <c r="AW126" s="31" t="n">
        <v>0.053928</v>
      </c>
      <c r="AX126" s="31" t="n">
        <v>0.0002</v>
      </c>
      <c r="AY126" s="31" t="n">
        <v>0.000635263899644913</v>
      </c>
      <c r="AZ126" s="31" t="n">
        <v>0.000636</v>
      </c>
      <c r="BA126" s="33" t="n">
        <v>48.282</v>
      </c>
      <c r="BB126" s="33" t="n">
        <v>7.424</v>
      </c>
      <c r="BC126" s="33" t="n">
        <v>33.459</v>
      </c>
      <c r="BD126" s="33" t="n">
        <v>1.5</v>
      </c>
      <c r="BE126" s="33" t="n">
        <v>1</v>
      </c>
      <c r="BF126" s="33" t="n">
        <v>0</v>
      </c>
      <c r="BG126" s="33"/>
      <c r="BH126" s="33"/>
      <c r="BI126" s="29"/>
      <c r="BJ126" s="33"/>
      <c r="BK126" s="33"/>
      <c r="BL126" s="33" t="n">
        <v>-0.725</v>
      </c>
      <c r="BM126" s="33" t="n">
        <v>1.5</v>
      </c>
      <c r="BN126" s="29" t="n">
        <v>32.614</v>
      </c>
      <c r="BO126" s="33" t="n">
        <v>0.892</v>
      </c>
      <c r="BP126" s="33" t="n">
        <v>0.361</v>
      </c>
      <c r="BQ126" s="29" t="n">
        <v>2024</v>
      </c>
      <c r="BR126" s="36" t="n">
        <v>4.03</v>
      </c>
      <c r="BS126" s="36" t="n">
        <v>0</v>
      </c>
      <c r="BT126" s="36" t="n">
        <v>0</v>
      </c>
      <c r="BU126" s="36" t="n">
        <v>1</v>
      </c>
      <c r="BV126" s="16" t="n">
        <f aca="false">F126*(1+N(H126)/100)*(1+N(I126)/100)^5</f>
        <v>39.1928542116342</v>
      </c>
      <c r="BW126" s="16" t="n">
        <f aca="false">IF(N(G126)&gt;0,G126,F126)</f>
        <v>68.371</v>
      </c>
      <c r="BX126" s="12" t="n">
        <f aca="false">F126/BW126</f>
        <v>0.354433897412646</v>
      </c>
      <c r="BY126" s="13" t="n">
        <f aca="false">IF(ISNUMBER(K126),1,0)</f>
        <v>1</v>
      </c>
      <c r="BZ126" s="16" t="n">
        <f aca="false">IF(BY126=0,"",N(N126)+N(O126)+N(P126))</f>
        <v>2.57809829655598</v>
      </c>
      <c r="CA126" s="37" t="n">
        <f aca="false">IF(BY126=0,"",(N(Y126)*34.2+N(Z126)*38.6)/1000)</f>
        <v>0.05620149492417</v>
      </c>
      <c r="CB126" s="37" t="n">
        <f aca="false">IF(BY126=0,"",N(O126)*0.0036+N(R126)+N(V126)+(N(AA126)*25.3+N(AB126)*37)/1000)</f>
        <v>0.00308297038427619</v>
      </c>
      <c r="CC126" s="37" t="n">
        <f aca="false">IF(BY126=0,"",N(N126)*0.0036+N(Q126)+N(U126)+N(T126)+N(X126)+N(AC126)*38/1000)</f>
        <v>0.0120098076908857</v>
      </c>
      <c r="CD126" s="37" t="n">
        <f aca="false">IF(BY126=0,"",N(Q126)+N(R126)+N(S126)+N(T126)+N(U126)+N(V126)+N(W126)+N(X126)+(N(Y126)*34.2+N(Z126)*38.6+N(AA126)*25.3+N(AB126)*37+N(AC126)*38)/1000)</f>
        <v>0.0620131191317304</v>
      </c>
      <c r="CE126" s="16" t="n">
        <f aca="false">IF(BY126=0,"",MAX(0,N(L126)-N(K126))+MAX(0,N(M126)-N(L126)))</f>
        <v>37.359</v>
      </c>
      <c r="CF126" s="16" t="n">
        <f aca="false">IF(BY126=0,"",N(Y126)*N(AD126)+N(Z126)*N(AE126)+N(AA126)*N(AF126)+N(AB126)*N(AG126)+N(AC126)*N(AH126)+N(U126)*N(AI126)+N(V126)*N(AJ126)+N(W126)*N(AK126)+N(X126)*N(AL126)+N(Q126)*N(AM126)+N(R126)*N(AN126)+N(S126)*N(AO126)+N(T126)*N(AP126))</f>
        <v>1.31508674538255</v>
      </c>
      <c r="CG126" s="16" t="n">
        <f aca="false">IF(AND(BY126=1,N(K126)&gt;0),K126,0)</f>
        <v>3.897</v>
      </c>
      <c r="CH126" s="16" t="n">
        <f aca="false">IF(CG126&gt;0,CF126*1000/CG126,"")</f>
        <v>337.461315212356</v>
      </c>
      <c r="CI126" s="16" t="n">
        <f aca="false">IF(BY126=0,"",N(AQ126)+p_road*(N(AR126)+N(AS126)+N(AT126)))</f>
        <v>0.000226703227128528</v>
      </c>
      <c r="CJ126" s="16" t="n">
        <f aca="false">IF(CG126&gt;0,CI126*1000/CG126,"")</f>
        <v>0.0581737816598738</v>
      </c>
      <c r="CK126" s="12" t="n">
        <f aca="false">IF(CH126="",1,MIN(p_idx_max,MAX(p_idx_min,CH126/p_fc_world)))</f>
        <v>2.09593739871443</v>
      </c>
      <c r="CL126" s="12" t="n">
        <f aca="false">IF(CJ126="",1,MIN(p_idx_max,MAX(p_idx_min,CJ126/p_cb_world)))</f>
        <v>0.25</v>
      </c>
      <c r="CM126" s="37" t="n">
        <f aca="false">p_b*(1-p_wb_idx+p_wb_idx*CK126)</f>
        <v>0.278759674029019</v>
      </c>
      <c r="CN126" s="37" t="n">
        <f aca="false">p_c*(1-p_wc_idx+p_wc_idx*CL126)</f>
        <v>0.03225</v>
      </c>
      <c r="CO126" s="28" t="n">
        <f aca="false">IF(N(BR126)&gt;0,(N(BS126)+N(BT126)+N(BU126))/BR126,"")</f>
        <v>0.248138957816377</v>
      </c>
      <c r="CP126" s="16" t="n">
        <f aca="false">N(BS126)+N(BT126)+N(BU126)</f>
        <v>1</v>
      </c>
      <c r="CQ126" s="28" t="n">
        <f aca="false">IF(CP126&gt;0,N(BS126)/CP126,"")</f>
        <v>0</v>
      </c>
      <c r="CR126" s="28" t="n">
        <f aca="false">IF(CP126&gt;0,N(BT126)/CP126,"")</f>
        <v>0</v>
      </c>
      <c r="CS126" s="28" t="n">
        <f aca="false">IF(CP126&gt;0,N(BU126)/CP126,"")</f>
        <v>1</v>
      </c>
      <c r="CT126" s="7" t="n">
        <f aca="false">1000*(p_sh_pv*p_cf_pv/p_capex_pv+(1-p_sh_pv)*p_cf_wind/p_capex_wind)*8760</f>
        <v>2301.28856624319</v>
      </c>
      <c r="CU126" s="13" t="n">
        <f aca="false">IF(AND(ISNUMBER(CO126),ISNUMBER(CQ126),BY126=1),1,0)</f>
        <v>1</v>
      </c>
      <c r="CV126" s="16" t="n">
        <f aca="false">IF(CU126=0,"",CQ126*p_hr_coal*N(AK126)+CR126*p_hr_gas*N(AO126)+CS126*p_hr_oil*N(AH126)/p_gj_l_oil)</f>
        <v>141.304672669396</v>
      </c>
      <c r="CW126" s="37" t="n">
        <f aca="false">IF(CU126=0,"",CQ126*p_hr_coal*p_ef_coal+CR126*p_hr_gas*p_ef_gas+CS126*p_hr_oil*p_ef_oil)</f>
        <v>0.8127</v>
      </c>
      <c r="CX126" s="16" t="n">
        <f aca="false">IF(CU126=0,"",CQ126*p_hr_coal*N(AW126)+CR126*p_hr_gas*N(AX126)+CS126*p_hr_oil*N(AY126)/p_gj_l_oil)</f>
        <v>0.172804946794601</v>
      </c>
      <c r="CY126" s="37" t="n">
        <f aca="false">IF(CU126=0,"",CO126*CW126)</f>
        <v>0.20166253101737</v>
      </c>
      <c r="CZ126" s="37" t="n">
        <f aca="false">IF(CU126=0,"",CT126*CO126*CV126/1000/1000-p_om_re)</f>
        <v>0.0656905279332055</v>
      </c>
      <c r="DA126" s="37" t="n">
        <f aca="false">IF(CU126=0,"",CT126*CO126*CX126/1000/1000)</f>
        <v>9.86784238830467E-005</v>
      </c>
      <c r="DB126" s="37" t="n">
        <f aca="false">IF(CU126=0,"",CT126*CO126*CW126/1000)</f>
        <v>0.464083676869936</v>
      </c>
      <c r="DC126" s="13" t="n">
        <f aca="false">IF(AND(CU126=1,ISNUMBER(AD126),ISNUMBER(AV126)),1,0)</f>
        <v>1</v>
      </c>
      <c r="DD126" s="7" t="n">
        <f aca="false">IF(DC126=0,"",p_ev_km*p_ice_l/100*AD126-p_ev_km*p_ev_kwh*AV126+p_ev_km*p_ev_maint)</f>
        <v>587.5641</v>
      </c>
      <c r="DE126" s="37" t="n">
        <f aca="false">IF(DC126=0,"",DD126/p_ev_prem)</f>
        <v>0.11751282</v>
      </c>
      <c r="DF126" s="37" t="n">
        <f aca="false">IF(DC126=0,"",p_ev_km*p_ice_l/100*N(AZ126)/p_ev_prem)</f>
        <v>0.0001431</v>
      </c>
      <c r="DG126" s="37" t="n">
        <f aca="false">IF(DC126=0,"",1000/p_ev_prem*(p_ev_km*p_ice_l/100*p_gj_l_gso*p_ef_gso-p_ev_km*p_ev_kwh/1000*CY126))</f>
        <v>0.42436573325062</v>
      </c>
      <c r="DH126" s="11" t="str">
        <f aca="false">IFERROR(IF(INDEX(Damodaran!$D:$D,MATCH(A126,Damodaran!$A:$A,0))="","",INDEX(Damodaran!$D:$D,MATCH(A126,Damodaran!$A:$A,0))),"")</f>
        <v/>
      </c>
      <c r="DI126" s="11" t="str">
        <f aca="false">IFERROR(IF(INDEX(Damodaran!$E:$E,MATCH(A126,Damodaran!$A:$A,0))="","",INDEX(Damodaran!$E:$E,MATCH(A126,Damodaran!$A:$A,0))),"")</f>
        <v/>
      </c>
      <c r="DJ126" s="11" t="str">
        <f aca="false">IFERROR(IF(INDEX(Damodaran!$G:$G,MATCH(A126,Damodaran!$A:$A,0))="","",INDEX(Damodaran!$G:$G,MATCH(A126,Damodaran!$A:$A,0))),"")</f>
        <v/>
      </c>
      <c r="DK126" s="11" t="str">
        <f aca="false">IF(ISNUMBER(BG126),(1+BG126/100)*(1+p_infl)-1,"")</f>
        <v/>
      </c>
      <c r="DL126" s="11" t="str">
        <f aca="false">IF(ISNUMBER(BH126),BH126/100,"")</f>
        <v/>
      </c>
      <c r="DM126" s="11" t="str">
        <f aca="false">IF(COUNT(DK126,DL126)=0,"",AVERAGE(DK126,DL126))</f>
        <v/>
      </c>
      <c r="DN126" s="11" t="str">
        <f aca="false">IF(OR(DH126="",DI126=""),"",p_dv*(p_rf+DH126)*(1-IF(DJ126="",p_tax_def,DJ126))+(1-p_dv)*(p_rf+p_beta*p_erp+p_lambda*DI126))</f>
        <v/>
      </c>
      <c r="DO126" s="13" t="n">
        <f aca="false">IF(AND(ISNUMBER(DM126),ISNUMBER(DN126)),1,0)</f>
        <v>0</v>
      </c>
      <c r="DP126" s="11" t="n">
        <f aca="false">IF(DO126=1,DM126,0)</f>
        <v>0</v>
      </c>
      <c r="DQ126" s="11" t="n">
        <f aca="false">IF(DO126=1,DN126,0)</f>
        <v>0</v>
      </c>
      <c r="DR126" s="11" t="str">
        <f aca="false">IF(DN126="","",DN126+p_shift)</f>
        <v/>
      </c>
      <c r="DS126" s="11" t="n">
        <f aca="false">IF(E126="AE",p_r_ae,IF(E126="China",p_r_chn,p_r_emdc))</f>
        <v>0.105</v>
      </c>
      <c r="DT126" s="11" t="n">
        <f aca="false">IF(E126="AE",p_rh_ae,IF(E126="China",p_rh_chn,p_rh_emdc))</f>
        <v>0.15</v>
      </c>
      <c r="DU126" s="11" t="n">
        <f aca="false">IF(AND(p_use_obs=1,ISNUMBER(DM126)),DM126,IF(AND(p_use_dam=1,ISNUMBER(DR126)),DR126,DS126))</f>
        <v>0.105</v>
      </c>
      <c r="DV126" s="6" t="str">
        <f aca="false">IF(AND(p_use_obs=1,ISNUMBER(DM126)),"Observed (IRENA/Steffen)",IF(AND(p_use_dam=1,ISNUMBER(DR126)),"Damodaran (eq. 5)","Group default (IHLEG)"))</f>
        <v>Group default (IHLEG)</v>
      </c>
      <c r="DW126" s="11" t="n">
        <f aca="false">IF(p_basis=1,(1+DU126)/(1+p_infl)-1,DU126)</f>
        <v>0.105</v>
      </c>
      <c r="DX126" s="11" t="n">
        <f aca="false">DW126+(DT126-DS126)</f>
        <v>0.15</v>
      </c>
      <c r="DY126" s="28" t="n">
        <f aca="false">IF(AND(p_use_pefa=1,ISNUMBER(BD126)),p_gap_lic-(BD126-1)/3*(p_gap_lic-p_gap_ae),IF(E126="AE",p_gap_ae,IF(D126="Low income",p_gap_lic,p_gap_em)))*(1-p_reform*p_reform_close)</f>
        <v>0.355</v>
      </c>
      <c r="DZ126" s="6" t="str">
        <f aca="false">IF(AND(p_use_pefa=1,ISNUMBER(BD126)),"PEFA PI-11","Income-group default (IMF 2015)")</f>
        <v>PEFA PI-11</v>
      </c>
      <c r="EA126" s="28" t="n">
        <f aca="false">IF(E126="AE",p_ps_ae,IF(E126="China",p_ps_chn,p_ps_emdc))</f>
        <v>0.4</v>
      </c>
      <c r="EB126" s="37" t="n">
        <f aca="false">(1-EA126)+EA126/(1-DY126)</f>
        <v>1.22015503875969</v>
      </c>
      <c r="EC126" s="16" t="n">
        <f aca="false">Results_Country!F126</f>
        <v>1.74118890016461</v>
      </c>
      <c r="ED126" s="16" t="n">
        <f aca="false">IF(CH126="",0,CH126*EC126)</f>
        <v>587.583896282705</v>
      </c>
      <c r="EE126" s="16" t="n">
        <f aca="false">IF(CJ126="",0,CJ126*EC126)</f>
        <v>0.101291542906772</v>
      </c>
      <c r="EF126" s="16" t="n">
        <f aca="false">IF(CH126="",0,EC126)</f>
        <v>1.74118890016461</v>
      </c>
    </row>
    <row r="127" customFormat="false" ht="15" hidden="false" customHeight="false" outlineLevel="0" collapsed="false">
      <c r="A127" s="35" t="s">
        <v>1011</v>
      </c>
      <c r="B127" s="35" t="s">
        <v>1012</v>
      </c>
      <c r="C127" s="35" t="s">
        <v>762</v>
      </c>
      <c r="D127" s="35" t="s">
        <v>763</v>
      </c>
      <c r="E127" s="35" t="s">
        <v>31</v>
      </c>
      <c r="F127" s="36" t="n">
        <v>23.795</v>
      </c>
      <c r="G127" s="36" t="n">
        <v>67.579</v>
      </c>
      <c r="H127" s="33" t="n">
        <v>6.844</v>
      </c>
      <c r="I127" s="33" t="n">
        <v>5.261</v>
      </c>
      <c r="J127" s="36" t="n">
        <v>3.47554</v>
      </c>
      <c r="K127" s="36" t="n">
        <v>24.876</v>
      </c>
      <c r="L127" s="36" t="n">
        <v>65.161</v>
      </c>
      <c r="M127" s="36" t="n">
        <v>86.509</v>
      </c>
      <c r="N127" s="36" t="n">
        <v>6.95823521588464</v>
      </c>
      <c r="O127" s="36" t="n">
        <v>2.64370457153567</v>
      </c>
      <c r="P127" s="36" t="n">
        <v>1.42189602234018</v>
      </c>
      <c r="Q127" s="31" t="n">
        <v>0</v>
      </c>
      <c r="R127" s="31" t="n">
        <v>0</v>
      </c>
      <c r="S127" s="31" t="n">
        <v>0</v>
      </c>
      <c r="T127" s="31" t="n">
        <v>0</v>
      </c>
      <c r="U127" s="31" t="n">
        <v>0.00601144425455689</v>
      </c>
      <c r="V127" s="31" t="n">
        <v>0.0150909171903597</v>
      </c>
      <c r="W127" s="31" t="n">
        <v>0.16956606347227</v>
      </c>
      <c r="X127" s="31" t="n">
        <v>0.015818953319058</v>
      </c>
      <c r="Y127" s="36" t="n">
        <v>0.780094448850325</v>
      </c>
      <c r="Z127" s="36" t="n">
        <v>1.13146613264919</v>
      </c>
      <c r="AA127" s="36" t="n">
        <v>1.66165935745041E-006</v>
      </c>
      <c r="AB127" s="36" t="n">
        <v>0.00799885914065164</v>
      </c>
      <c r="AC127" s="36" t="n">
        <v>0.0109544378246162</v>
      </c>
      <c r="AD127" s="31" t="n">
        <v>0.792</v>
      </c>
      <c r="AE127" s="31" t="n">
        <v>0.73485</v>
      </c>
      <c r="AF127" s="31" t="n">
        <v>0.51</v>
      </c>
      <c r="AG127" s="31" t="n">
        <v>0.652</v>
      </c>
      <c r="AH127" s="31" t="n">
        <v>0.543345303403777</v>
      </c>
      <c r="AI127" s="31" t="n">
        <v>3.38</v>
      </c>
      <c r="AJ127" s="31" t="n">
        <v>5.907</v>
      </c>
      <c r="AK127" s="31" t="n">
        <v>2.054</v>
      </c>
      <c r="AL127" s="31" t="n">
        <v>2.40076155238978</v>
      </c>
      <c r="AM127" s="31" t="n">
        <v>13.531</v>
      </c>
      <c r="AN127" s="31" t="n">
        <v>23.6203</v>
      </c>
      <c r="AO127" s="31" t="n">
        <v>12.208</v>
      </c>
      <c r="AP127" s="31" t="n">
        <v>16.4531</v>
      </c>
      <c r="AQ127" s="36" t="n">
        <v>1.20982140739461</v>
      </c>
      <c r="AR127" s="36" t="n">
        <v>0.240187353162114</v>
      </c>
      <c r="AS127" s="36" t="n">
        <v>0.205360196355606</v>
      </c>
      <c r="AT127" s="36" t="n">
        <v>0.0567273172710501</v>
      </c>
      <c r="AU127" s="31" t="n">
        <v>0.297765021093674</v>
      </c>
      <c r="AV127" s="36" t="n">
        <v>0.147799</v>
      </c>
      <c r="AW127" s="31" t="n">
        <v>1.790112</v>
      </c>
      <c r="AX127" s="31" t="n">
        <v>0.027902</v>
      </c>
      <c r="AY127" s="31" t="n">
        <v>0.0523000263622421</v>
      </c>
      <c r="AZ127" s="31" t="n">
        <v>0.076064</v>
      </c>
      <c r="BA127" s="33" t="n">
        <v>44.091</v>
      </c>
      <c r="BB127" s="33" t="n">
        <v>3.453</v>
      </c>
      <c r="BC127" s="33" t="n">
        <v>89.303</v>
      </c>
      <c r="BD127" s="33" t="n">
        <v>3</v>
      </c>
      <c r="BE127" s="33" t="n">
        <v>2</v>
      </c>
      <c r="BF127" s="33" t="n">
        <v>0</v>
      </c>
      <c r="BG127" s="33" t="n">
        <v>8</v>
      </c>
      <c r="BH127" s="33"/>
      <c r="BI127" s="29"/>
      <c r="BJ127" s="33" t="n">
        <v>1</v>
      </c>
      <c r="BK127" s="33"/>
      <c r="BL127" s="33" t="n">
        <v>6.091</v>
      </c>
      <c r="BM127" s="33" t="n">
        <v>8.443</v>
      </c>
      <c r="BN127" s="29" t="n">
        <v>13.611</v>
      </c>
      <c r="BO127" s="33" t="n">
        <v>1.532</v>
      </c>
      <c r="BP127" s="33"/>
      <c r="BQ127" s="29" t="n">
        <v>2025</v>
      </c>
      <c r="BR127" s="36" t="n">
        <v>9.69</v>
      </c>
      <c r="BS127" s="36" t="n">
        <v>8.31</v>
      </c>
      <c r="BT127" s="36" t="n">
        <v>0</v>
      </c>
      <c r="BU127" s="36" t="n">
        <v>0.57</v>
      </c>
      <c r="BV127" s="16" t="n">
        <f aca="false">F127*(1+N(H127)/100)*(1+N(I127)/100)^5</f>
        <v>32.8528692851595</v>
      </c>
      <c r="BW127" s="16" t="n">
        <f aca="false">IF(N(G127)&gt;0,G127,F127)</f>
        <v>67.579</v>
      </c>
      <c r="BX127" s="12" t="n">
        <f aca="false">F127/BW127</f>
        <v>0.352106423593128</v>
      </c>
      <c r="BY127" s="13" t="n">
        <f aca="false">IF(ISNUMBER(K127),1,0)</f>
        <v>1</v>
      </c>
      <c r="BZ127" s="16" t="n">
        <f aca="false">IF(BY127=0,"",N(N127)+N(O127)+N(P127))</f>
        <v>11.0238358097605</v>
      </c>
      <c r="CA127" s="37" t="n">
        <f aca="false">IF(BY127=0,"",(N(Y127)*34.2+N(Z127)*38.6)/1000)</f>
        <v>0.0703538228709399</v>
      </c>
      <c r="CB127" s="37" t="n">
        <f aca="false">IF(BY127=0,"",N(O127)*0.0036+N(R127)+N(V127)+(N(AA127)*25.3+N(AB127)*37)/1000)</f>
        <v>0.024904253476074</v>
      </c>
      <c r="CC127" s="37" t="n">
        <f aca="false">IF(BY127=0,"",N(N127)*0.0036+N(Q127)+N(U127)+N(T127)+N(X127)+N(AC127)*38/1000)</f>
        <v>0.047296312988135</v>
      </c>
      <c r="CD127" s="37" t="n">
        <f aca="false">IF(BY127=0,"",N(Q127)+N(R127)+N(S127)+N(T127)+N(U127)+N(V127)+N(W127)+N(X127)+(N(Y127)*34.2+N(Z127)*38.6+N(AA127)*25.3+N(AB127)*37+N(AC127)*38)/1000)</f>
        <v>0.277553469572706</v>
      </c>
      <c r="CE127" s="16" t="n">
        <f aca="false">IF(BY127=0,"",MAX(0,N(L127)-N(K127))+MAX(0,N(M127)-N(L127)))</f>
        <v>61.633</v>
      </c>
      <c r="CF127" s="16" t="n">
        <f aca="false">IF(BY127=0,"",N(Y127)*N(AD127)+N(Z127)*N(AE127)+N(AA127)*N(AF127)+N(AB127)*N(AG127)+N(AC127)*N(AH127)+N(U127)*N(AI127)+N(V127)*N(AJ127)+N(W127)*N(AK127)+N(X127)*N(AL127)+N(Q127)*N(AM127)+N(R127)*N(AN127)+N(S127)*N(AO127)+N(T127)*N(AP127))</f>
        <v>1.95618779573947</v>
      </c>
      <c r="CG127" s="16" t="n">
        <f aca="false">IF(AND(BY127=1,N(K127)&gt;0),K127,0)</f>
        <v>24.876</v>
      </c>
      <c r="CH127" s="16" t="n">
        <f aca="false">IF(CG127&gt;0,CF127*1000/CG127,"")</f>
        <v>78.6375540979044</v>
      </c>
      <c r="CI127" s="16" t="n">
        <f aca="false">IF(BY127=0,"",N(AQ127)+p_road*(N(AR127)+N(AS127)+N(AT127)))</f>
        <v>1.20982140739461</v>
      </c>
      <c r="CJ127" s="16" t="n">
        <f aca="false">IF(CG127&gt;0,CI127*1000/CG127,"")</f>
        <v>48.634081339227</v>
      </c>
      <c r="CK127" s="12" t="n">
        <f aca="false">IF(CH127="",1,MIN(p_idx_max,MAX(p_idx_min,CH127/p_fc_world)))</f>
        <v>0.488409732159996</v>
      </c>
      <c r="CL127" s="12" t="n">
        <f aca="false">IF(CJ127="",1,MIN(p_idx_max,MAX(p_idx_min,CJ127/p_cb_world)))</f>
        <v>0.924764145201398</v>
      </c>
      <c r="CM127" s="37" t="n">
        <f aca="false">p_b*(1-p_wb_idx+p_wb_idx*CK127)</f>
        <v>0.0649584943772795</v>
      </c>
      <c r="CN127" s="37" t="n">
        <f aca="false">p_c*(1-p_wc_idx+p_wc_idx*CL127)</f>
        <v>0.11929457473098</v>
      </c>
      <c r="CO127" s="28" t="n">
        <f aca="false">IF(N(BR127)&gt;0,(N(BS127)+N(BT127)+N(BU127))/BR127,"")</f>
        <v>0.91640866873065</v>
      </c>
      <c r="CP127" s="16" t="n">
        <f aca="false">N(BS127)+N(BT127)+N(BU127)</f>
        <v>8.88</v>
      </c>
      <c r="CQ127" s="28" t="n">
        <f aca="false">IF(CP127&gt;0,N(BS127)/CP127,"")</f>
        <v>0.935810810810811</v>
      </c>
      <c r="CR127" s="28" t="n">
        <f aca="false">IF(CP127&gt;0,N(BT127)/CP127,"")</f>
        <v>0</v>
      </c>
      <c r="CS127" s="28" t="n">
        <f aca="false">IF(CP127&gt;0,N(BU127)/CP127,"")</f>
        <v>0.0641891891891892</v>
      </c>
      <c r="CT127" s="7" t="n">
        <f aca="false">1000*(p_sh_pv*p_cf_pv/p_capex_pv+(1-p_sh_pv)*p_cf_wind/p_capex_wind)*8760</f>
        <v>2301.28856624319</v>
      </c>
      <c r="CU127" s="13" t="n">
        <f aca="false">IF(AND(ISNUMBER(CO127),ISNUMBER(CQ127),BY127=1),1,0)</f>
        <v>1</v>
      </c>
      <c r="CV127" s="16" t="n">
        <f aca="false">IF(CU127=0,"",CQ127*p_hr_coal*N(AK127)+CR127*p_hr_gas*N(AO127)+CS127*p_hr_oil*N(AH127)/p_gj_l_oil)</f>
        <v>28.7087921885112</v>
      </c>
      <c r="CW127" s="37" t="n">
        <f aca="false">IF(CU127=0,"",CQ127*p_hr_coal*p_ef_coal+CR127*p_hr_gas*p_ef_gas+CS127*p_hr_oil*p_ef_oil)</f>
        <v>0.937443581081081</v>
      </c>
      <c r="CX127" s="16" t="n">
        <f aca="false">IF(CU127=0,"",CQ127*p_hr_coal*N(AW127)+CR127*p_hr_gas*N(AX127)+CS127*p_hr_oil*N(AY127)/p_gj_l_oil)</f>
        <v>17.665261388747</v>
      </c>
      <c r="CY127" s="37" t="n">
        <f aca="false">IF(CU127=0,"",CO127*CW127)</f>
        <v>0.859081424148607</v>
      </c>
      <c r="CZ127" s="37" t="n">
        <f aca="false">IF(CU127=0,"",CT127*CO127*CV127/1000/1000-p_om_re)</f>
        <v>0.0455445687410698</v>
      </c>
      <c r="DA127" s="37" t="n">
        <f aca="false">IF(CU127=0,"",CT127*CO127*CX127/1000/1000)</f>
        <v>0.0372546370274667</v>
      </c>
      <c r="DB127" s="37" t="n">
        <f aca="false">IF(CU127=0,"",CT127*CO127*CW127/1000)</f>
        <v>1.97699425886511</v>
      </c>
      <c r="DC127" s="13" t="n">
        <f aca="false">IF(AND(CU127=1,ISNUMBER(AD127),ISNUMBER(AV127)),1,0)</f>
        <v>1</v>
      </c>
      <c r="DD127" s="7" t="n">
        <f aca="false">IF(DC127=0,"",p_ev_km*p_ice_l/100*AD127-p_ev_km*p_ev_kwh*AV127+p_ev_km*p_ev_maint)</f>
        <v>671.9427</v>
      </c>
      <c r="DE127" s="37" t="n">
        <f aca="false">IF(DC127=0,"",DD127/p_ev_prem)</f>
        <v>0.13438854</v>
      </c>
      <c r="DF127" s="37" t="n">
        <f aca="false">IF(DC127=0,"",p_ev_km*p_ice_l/100*N(AZ127)/p_ev_prem)</f>
        <v>0.0171144</v>
      </c>
      <c r="DG127" s="37" t="n">
        <f aca="false">IF(DC127=0,"",1000/p_ev_prem*(p_ev_km*p_ice_l/100*p_gj_l_gso*p_ef_gso-p_ev_km*p_ev_kwh/1000*CY127))</f>
        <v>0.0693595309597523</v>
      </c>
      <c r="DH127" s="11" t="str">
        <f aca="false">IFERROR(IF(INDEX(Damodaran!$D:$D,MATCH(A127,Damodaran!$A:$A,0))="","",INDEX(Damodaran!$D:$D,MATCH(A127,Damodaran!$A:$A,0))),"")</f>
        <v/>
      </c>
      <c r="DI127" s="11" t="str">
        <f aca="false">IFERROR(IF(INDEX(Damodaran!$E:$E,MATCH(A127,Damodaran!$A:$A,0))="","",INDEX(Damodaran!$E:$E,MATCH(A127,Damodaran!$A:$A,0))),"")</f>
        <v/>
      </c>
      <c r="DJ127" s="11" t="str">
        <f aca="false">IFERROR(IF(INDEX(Damodaran!$G:$G,MATCH(A127,Damodaran!$A:$A,0))="","",INDEX(Damodaran!$G:$G,MATCH(A127,Damodaran!$A:$A,0))),"")</f>
        <v/>
      </c>
      <c r="DK127" s="11" t="n">
        <f aca="false">IF(ISNUMBER(BG127),(1+BG127/100)*(1+p_infl)-1,"")</f>
        <v>0.1016</v>
      </c>
      <c r="DL127" s="11" t="str">
        <f aca="false">IF(ISNUMBER(BH127),BH127/100,"")</f>
        <v/>
      </c>
      <c r="DM127" s="11" t="n">
        <f aca="false">IF(COUNT(DK127,DL127)=0,"",AVERAGE(DK127,DL127))</f>
        <v>0.1016</v>
      </c>
      <c r="DN127" s="11" t="str">
        <f aca="false">IF(OR(DH127="",DI127=""),"",p_dv*(p_rf+DH127)*(1-IF(DJ127="",p_tax_def,DJ127))+(1-p_dv)*(p_rf+p_beta*p_erp+p_lambda*DI127))</f>
        <v/>
      </c>
      <c r="DO127" s="13" t="n">
        <f aca="false">IF(AND(ISNUMBER(DM127),ISNUMBER(DN127)),1,0)</f>
        <v>0</v>
      </c>
      <c r="DP127" s="11" t="n">
        <f aca="false">IF(DO127=1,DM127,0)</f>
        <v>0</v>
      </c>
      <c r="DQ127" s="11" t="n">
        <f aca="false">IF(DO127=1,DN127,0)</f>
        <v>0</v>
      </c>
      <c r="DR127" s="11" t="str">
        <f aca="false">IF(DN127="","",DN127+p_shift)</f>
        <v/>
      </c>
      <c r="DS127" s="11" t="n">
        <f aca="false">IF(E127="AE",p_r_ae,IF(E127="China",p_r_chn,p_r_emdc))</f>
        <v>0.105</v>
      </c>
      <c r="DT127" s="11" t="n">
        <f aca="false">IF(E127="AE",p_rh_ae,IF(E127="China",p_rh_chn,p_rh_emdc))</f>
        <v>0.15</v>
      </c>
      <c r="DU127" s="11" t="n">
        <f aca="false">IF(AND(p_use_obs=1,ISNUMBER(DM127)),DM127,IF(AND(p_use_dam=1,ISNUMBER(DR127)),DR127,DS127))</f>
        <v>0.1016</v>
      </c>
      <c r="DV127" s="6" t="str">
        <f aca="false">IF(AND(p_use_obs=1,ISNUMBER(DM127)),"Observed (IRENA/Steffen)",IF(AND(p_use_dam=1,ISNUMBER(DR127)),"Damodaran (eq. 5)","Group default (IHLEG)"))</f>
        <v>Observed (IRENA/Steffen)</v>
      </c>
      <c r="DW127" s="11" t="n">
        <f aca="false">IF(p_basis=1,(1+DU127)/(1+p_infl)-1,DU127)</f>
        <v>0.1016</v>
      </c>
      <c r="DX127" s="11" t="n">
        <f aca="false">DW127+(DT127-DS127)</f>
        <v>0.1466</v>
      </c>
      <c r="DY127" s="28" t="n">
        <f aca="false">IF(AND(p_use_pefa=1,ISNUMBER(BD127)),p_gap_lic-(BD127-1)/3*(p_gap_lic-p_gap_ae),IF(E127="AE",p_gap_ae,IF(D127="Low income",p_gap_lic,p_gap_em)))*(1-p_reform*p_reform_close)</f>
        <v>0.22</v>
      </c>
      <c r="DZ127" s="6" t="str">
        <f aca="false">IF(AND(p_use_pefa=1,ISNUMBER(BD127)),"PEFA PI-11","Income-group default (IMF 2015)")</f>
        <v>PEFA PI-11</v>
      </c>
      <c r="EA127" s="28" t="n">
        <f aca="false">IF(E127="AE",p_ps_ae,IF(E127="China",p_ps_chn,p_ps_emdc))</f>
        <v>0.4</v>
      </c>
      <c r="EB127" s="37" t="n">
        <f aca="false">(1-EA127)+EA127/(1-DY127)</f>
        <v>1.11282051282051</v>
      </c>
      <c r="EC127" s="16" t="n">
        <f aca="false">Results_Country!F127</f>
        <v>2.75973833083588</v>
      </c>
      <c r="ED127" s="16" t="n">
        <f aca="false">IF(CH127="",0,CH127*EC127)</f>
        <v>217.019072287167</v>
      </c>
      <c r="EE127" s="16" t="n">
        <f aca="false">IF(CJ127="",0,CJ127*EC127)</f>
        <v>134.217338456855</v>
      </c>
      <c r="EF127" s="16" t="n">
        <f aca="false">IF(CH127="",0,EC127)</f>
        <v>2.75973833083588</v>
      </c>
    </row>
    <row r="128" customFormat="false" ht="15" hidden="false" customHeight="false" outlineLevel="0" collapsed="false">
      <c r="A128" s="35" t="s">
        <v>1013</v>
      </c>
      <c r="B128" s="35" t="s">
        <v>1014</v>
      </c>
      <c r="C128" s="35" t="s">
        <v>847</v>
      </c>
      <c r="D128" s="35" t="s">
        <v>888</v>
      </c>
      <c r="E128" s="35" t="s">
        <v>31</v>
      </c>
      <c r="F128" s="36" t="n">
        <v>23.13</v>
      </c>
      <c r="G128" s="36" t="n">
        <v>68.294</v>
      </c>
      <c r="H128" s="33" t="n">
        <v>4.995</v>
      </c>
      <c r="I128" s="33" t="n">
        <v>4.858</v>
      </c>
      <c r="J128" s="36" t="n">
        <v>23.548781</v>
      </c>
      <c r="K128" s="36" t="n">
        <v>5.914</v>
      </c>
      <c r="L128" s="36" t="n">
        <v>37.307</v>
      </c>
      <c r="M128" s="36" t="n">
        <v>60.204</v>
      </c>
      <c r="N128" s="36" t="n">
        <v>2.12784104325319</v>
      </c>
      <c r="O128" s="36" t="n">
        <v>0.478781496044838</v>
      </c>
      <c r="P128" s="36" t="n">
        <v>0.615363014173768</v>
      </c>
      <c r="Q128" s="31" t="n">
        <v>0</v>
      </c>
      <c r="R128" s="31" t="n">
        <v>0</v>
      </c>
      <c r="S128" s="31" t="n">
        <v>0</v>
      </c>
      <c r="T128" s="31" t="n">
        <v>0</v>
      </c>
      <c r="U128" s="31" t="n">
        <v>0</v>
      </c>
      <c r="V128" s="31" t="n">
        <v>0</v>
      </c>
      <c r="W128" s="31" t="n">
        <v>0</v>
      </c>
      <c r="X128" s="31" t="n">
        <v>0</v>
      </c>
      <c r="Y128" s="36" t="n">
        <v>0.680826253558435</v>
      </c>
      <c r="Z128" s="36" t="n">
        <v>0.795152351211187</v>
      </c>
      <c r="AA128" s="36" t="n">
        <v>0.283020555888449</v>
      </c>
      <c r="AB128" s="36" t="n">
        <v>0.0122755878151926</v>
      </c>
      <c r="AC128" s="36" t="n">
        <v>0.404962667472087</v>
      </c>
      <c r="AD128" s="31" t="n">
        <v>0.85432</v>
      </c>
      <c r="AE128" s="31" t="n">
        <v>0.79345</v>
      </c>
      <c r="AF128" s="31" t="n">
        <v>0.568404</v>
      </c>
      <c r="AG128" s="31" t="n">
        <v>0.601631</v>
      </c>
      <c r="AH128" s="31" t="n">
        <v>0.519462891908447</v>
      </c>
      <c r="AI128" s="31" t="n">
        <v>7.124</v>
      </c>
      <c r="AJ128" s="31" t="n">
        <v>14.38774</v>
      </c>
      <c r="AK128" s="31" t="n">
        <v>5.575</v>
      </c>
      <c r="AL128" s="31" t="n">
        <v>9.02891333333333</v>
      </c>
      <c r="AM128" s="31" t="n">
        <v>6.998</v>
      </c>
      <c r="AN128" s="31" t="n">
        <v>17.6292</v>
      </c>
      <c r="AO128" s="31" t="n">
        <v>5.675</v>
      </c>
      <c r="AP128" s="31" t="n">
        <v>10.1007333333333</v>
      </c>
      <c r="AQ128" s="36" t="n">
        <v>0.000598150074832976</v>
      </c>
      <c r="AR128" s="36" t="n">
        <v>0.00573516860969242</v>
      </c>
      <c r="AS128" s="36" t="n">
        <v>0.0629194112039883</v>
      </c>
      <c r="AT128" s="36" t="n">
        <v>0.0446969360212115</v>
      </c>
      <c r="AU128" s="31" t="n">
        <v>0.298793496869568</v>
      </c>
      <c r="AV128" s="36" t="n">
        <v>0.422599</v>
      </c>
      <c r="AW128" s="31" t="n">
        <v>0.027766</v>
      </c>
      <c r="AX128" s="31" t="n">
        <v>0.000103</v>
      </c>
      <c r="AY128" s="31" t="n">
        <v>0.0188250548338057</v>
      </c>
      <c r="AZ128" s="31" t="n">
        <v>0.000303</v>
      </c>
      <c r="BA128" s="33" t="n">
        <v>57.247</v>
      </c>
      <c r="BB128" s="33" t="n">
        <v>10.068</v>
      </c>
      <c r="BC128" s="33" t="n">
        <v>83.3</v>
      </c>
      <c r="BD128" s="33" t="n">
        <v>1.5</v>
      </c>
      <c r="BE128" s="33" t="n">
        <v>1</v>
      </c>
      <c r="BF128" s="33" t="n">
        <v>0</v>
      </c>
      <c r="BG128" s="33" t="n">
        <v>5.8</v>
      </c>
      <c r="BH128" s="33"/>
      <c r="BI128" s="29"/>
      <c r="BJ128" s="33" t="n">
        <v>1</v>
      </c>
      <c r="BK128" s="33"/>
      <c r="BL128" s="33" t="n">
        <v>5.942</v>
      </c>
      <c r="BM128" s="33" t="n">
        <v>6.75</v>
      </c>
      <c r="BN128" s="29" t="n">
        <v>38.569</v>
      </c>
      <c r="BO128" s="33" t="n">
        <v>0.601</v>
      </c>
      <c r="BP128" s="33" t="n">
        <v>0.225</v>
      </c>
      <c r="BQ128" s="29" t="n">
        <v>2024</v>
      </c>
      <c r="BR128" s="36" t="n">
        <v>1.69</v>
      </c>
      <c r="BS128" s="36" t="n">
        <v>0</v>
      </c>
      <c r="BT128" s="36" t="n">
        <v>0</v>
      </c>
      <c r="BU128" s="36" t="n">
        <v>1.4</v>
      </c>
      <c r="BV128" s="16" t="n">
        <f aca="false">F128*(1+N(H128)/100)*(1+N(I128)/100)^5</f>
        <v>30.7859174525795</v>
      </c>
      <c r="BW128" s="16" t="n">
        <f aca="false">IF(N(G128)&gt;0,G128,F128)</f>
        <v>68.294</v>
      </c>
      <c r="BX128" s="12" t="n">
        <f aca="false">F128/BW128</f>
        <v>0.338682753975459</v>
      </c>
      <c r="BY128" s="13" t="n">
        <f aca="false">IF(ISNUMBER(K128),1,0)</f>
        <v>1</v>
      </c>
      <c r="BZ128" s="16" t="n">
        <f aca="false">IF(BY128=0,"",N(N128)+N(O128)+N(P128))</f>
        <v>3.2219855534718</v>
      </c>
      <c r="CA128" s="37" t="n">
        <f aca="false">IF(BY128=0,"",(N(Y128)*34.2+N(Z128)*38.6)/1000)</f>
        <v>0.0539771386284503</v>
      </c>
      <c r="CB128" s="37" t="n">
        <f aca="false">IF(BY128=0,"",N(O128)*0.0036+N(R128)+N(V128)+(N(AA128)*25.3+N(AB128)*37)/1000)</f>
        <v>0.00933823019890131</v>
      </c>
      <c r="CC128" s="37" t="n">
        <f aca="false">IF(BY128=0,"",N(N128)*0.0036+N(Q128)+N(U128)+N(T128)+N(X128)+N(AC128)*38/1000)</f>
        <v>0.0230488091196508</v>
      </c>
      <c r="CD128" s="37" t="n">
        <f aca="false">IF(BY128=0,"",N(Q128)+N(R128)+N(S128)+N(T128)+N(U128)+N(V128)+N(W128)+N(X128)+(N(Y128)*34.2+N(Z128)*38.6+N(AA128)*25.3+N(AB128)*37+N(AC128)*38)/1000)</f>
        <v>0.0769803368055295</v>
      </c>
      <c r="CE128" s="16" t="n">
        <f aca="false">IF(BY128=0,"",MAX(0,N(L128)-N(K128))+MAX(0,N(M128)-N(L128)))</f>
        <v>54.29</v>
      </c>
      <c r="CF128" s="16" t="n">
        <f aca="false">IF(BY128=0,"",N(Y128)*N(AD128)+N(Z128)*N(AE128)+N(AA128)*N(AF128)+N(AB128)*N(AG128)+N(AC128)*N(AH128)+N(U128)*N(AI128)+N(V128)*N(AJ128)+N(W128)*N(AK128)+N(X128)*N(AL128)+N(Q128)*N(AM128)+N(R128)*N(AN128)+N(S128)*N(AO128)+N(T128)*N(AP128))</f>
        <v>1.59117558659063</v>
      </c>
      <c r="CG128" s="16" t="n">
        <f aca="false">IF(AND(BY128=1,N(K128)&gt;0),K128,0)</f>
        <v>5.914</v>
      </c>
      <c r="CH128" s="16" t="n">
        <f aca="false">IF(CG128&gt;0,CF128*1000/CG128,"")</f>
        <v>269.052348087695</v>
      </c>
      <c r="CI128" s="16" t="n">
        <f aca="false">IF(BY128=0,"",N(AQ128)+p_road*(N(AR128)+N(AS128)+N(AT128)))</f>
        <v>0.000598150074832976</v>
      </c>
      <c r="CJ128" s="16" t="n">
        <f aca="false">IF(CG128&gt;0,CI128*1000/CG128,"")</f>
        <v>0.101141372139495</v>
      </c>
      <c r="CK128" s="12" t="n">
        <f aca="false">IF(CH128="",1,MIN(p_idx_max,MAX(p_idx_min,CH128/p_fc_world)))</f>
        <v>1.67105636453196</v>
      </c>
      <c r="CL128" s="12" t="n">
        <f aca="false">IF(CJ128="",1,MIN(p_idx_max,MAX(p_idx_min,CJ128/p_cb_world)))</f>
        <v>0.25</v>
      </c>
      <c r="CM128" s="37" t="n">
        <f aca="false">p_b*(1-p_wb_idx+p_wb_idx*CK128)</f>
        <v>0.22225049648275</v>
      </c>
      <c r="CN128" s="37" t="n">
        <f aca="false">p_c*(1-p_wc_idx+p_wc_idx*CL128)</f>
        <v>0.03225</v>
      </c>
      <c r="CO128" s="28" t="n">
        <f aca="false">IF(N(BR128)&gt;0,(N(BS128)+N(BT128)+N(BU128))/BR128,"")</f>
        <v>0.828402366863905</v>
      </c>
      <c r="CP128" s="16" t="n">
        <f aca="false">N(BS128)+N(BT128)+N(BU128)</f>
        <v>1.4</v>
      </c>
      <c r="CQ128" s="28" t="n">
        <f aca="false">IF(CP128&gt;0,N(BS128)/CP128,"")</f>
        <v>0</v>
      </c>
      <c r="CR128" s="28" t="n">
        <f aca="false">IF(CP128&gt;0,N(BT128)/CP128,"")</f>
        <v>0</v>
      </c>
      <c r="CS128" s="28" t="n">
        <f aca="false">IF(CP128&gt;0,N(BU128)/CP128,"")</f>
        <v>1</v>
      </c>
      <c r="CT128" s="7" t="n">
        <f aca="false">1000*(p_sh_pv*p_cf_pv/p_capex_pv+(1-p_sh_pv)*p_cf_wind/p_capex_wind)*8760</f>
        <v>2301.28856624319</v>
      </c>
      <c r="CU128" s="13" t="n">
        <f aca="false">IF(AND(ISNUMBER(CO128),ISNUMBER(CQ128),BY128=1),1,0)</f>
        <v>1</v>
      </c>
      <c r="CV128" s="16" t="n">
        <f aca="false">IF(CU128=0,"",CQ128*p_hr_coal*N(AK128)+CR128*p_hr_gas*N(AO128)+CS128*p_hr_oil*N(AH128)/p_gj_l_oil)</f>
        <v>141.304672669396</v>
      </c>
      <c r="CW128" s="37" t="n">
        <f aca="false">IF(CU128=0,"",CQ128*p_hr_coal*p_ef_coal+CR128*p_hr_gas*p_ef_gas+CS128*p_hr_oil*p_ef_oil)</f>
        <v>0.8127</v>
      </c>
      <c r="CX128" s="16" t="n">
        <f aca="false">IF(CU128=0,"",CQ128*p_hr_coal*N(AW128)+CR128*p_hr_gas*N(AX128)+CS128*p_hr_oil*N(AY128)/p_gj_l_oil)</f>
        <v>5.12080507137201</v>
      </c>
      <c r="CY128" s="37" t="n">
        <f aca="false">IF(CU128=0,"",CO128*CW128)</f>
        <v>0.673242603550296</v>
      </c>
      <c r="CZ128" s="37" t="n">
        <f aca="false">IF(CU128=0,"",CT128*CO128*CV128/1000/1000-p_om_re)</f>
        <v>0.254382224023163</v>
      </c>
      <c r="DA128" s="37" t="n">
        <f aca="false">IF(CU128=0,"",CT128*CO128*CX128/1000/1000)</f>
        <v>0.00976226640532071</v>
      </c>
      <c r="DB128" s="37" t="n">
        <f aca="false">IF(CU128=0,"",CT128*CO128*CW128/1000)</f>
        <v>1.5493255058581</v>
      </c>
      <c r="DC128" s="13" t="n">
        <f aca="false">IF(AND(CU128=1,ISNUMBER(AD128),ISNUMBER(AV128)),1,0)</f>
        <v>1</v>
      </c>
      <c r="DD128" s="7" t="n">
        <f aca="false">IF(DC128=0,"",p_ev_km*p_ice_l/100*AD128-p_ev_km*p_ev_kwh*AV128+p_ev_km*p_ev_maint)</f>
        <v>0.0927000000000362</v>
      </c>
      <c r="DE128" s="37" t="n">
        <f aca="false">IF(DC128=0,"",DD128/p_ev_prem)</f>
        <v>1.85400000000072E-005</v>
      </c>
      <c r="DF128" s="37" t="n">
        <f aca="false">IF(DC128=0,"",p_ev_km*p_ice_l/100*N(AZ128)/p_ev_prem)</f>
        <v>6.8175E-005</v>
      </c>
      <c r="DG128" s="37" t="n">
        <f aca="false">IF(DC128=0,"",1000/p_ev_prem*(p_ev_km*p_ice_l/100*p_gj_l_gso*p_ef_gso-p_ev_km*p_ev_kwh/1000*CY128))</f>
        <v>0.16971249408284</v>
      </c>
      <c r="DH128" s="11" t="str">
        <f aca="false">IFERROR(IF(INDEX(Damodaran!$D:$D,MATCH(A128,Damodaran!$A:$A,0))="","",INDEX(Damodaran!$D:$D,MATCH(A128,Damodaran!$A:$A,0))),"")</f>
        <v/>
      </c>
      <c r="DI128" s="11" t="str">
        <f aca="false">IFERROR(IF(INDEX(Damodaran!$E:$E,MATCH(A128,Damodaran!$A:$A,0))="","",INDEX(Damodaran!$E:$E,MATCH(A128,Damodaran!$A:$A,0))),"")</f>
        <v/>
      </c>
      <c r="DJ128" s="11" t="str">
        <f aca="false">IFERROR(IF(INDEX(Damodaran!$G:$G,MATCH(A128,Damodaran!$A:$A,0))="","",INDEX(Damodaran!$G:$G,MATCH(A128,Damodaran!$A:$A,0))),"")</f>
        <v/>
      </c>
      <c r="DK128" s="11" t="n">
        <f aca="false">IF(ISNUMBER(BG128),(1+BG128/100)*(1+p_infl)-1,"")</f>
        <v>0.0791600000000001</v>
      </c>
      <c r="DL128" s="11" t="str">
        <f aca="false">IF(ISNUMBER(BH128),BH128/100,"")</f>
        <v/>
      </c>
      <c r="DM128" s="11" t="n">
        <f aca="false">IF(COUNT(DK128,DL128)=0,"",AVERAGE(DK128,DL128))</f>
        <v>0.0791600000000001</v>
      </c>
      <c r="DN128" s="11" t="str">
        <f aca="false">IF(OR(DH128="",DI128=""),"",p_dv*(p_rf+DH128)*(1-IF(DJ128="",p_tax_def,DJ128))+(1-p_dv)*(p_rf+p_beta*p_erp+p_lambda*DI128))</f>
        <v/>
      </c>
      <c r="DO128" s="13" t="n">
        <f aca="false">IF(AND(ISNUMBER(DM128),ISNUMBER(DN128)),1,0)</f>
        <v>0</v>
      </c>
      <c r="DP128" s="11" t="n">
        <f aca="false">IF(DO128=1,DM128,0)</f>
        <v>0</v>
      </c>
      <c r="DQ128" s="11" t="n">
        <f aca="false">IF(DO128=1,DN128,0)</f>
        <v>0</v>
      </c>
      <c r="DR128" s="11" t="str">
        <f aca="false">IF(DN128="","",DN128+p_shift)</f>
        <v/>
      </c>
      <c r="DS128" s="11" t="n">
        <f aca="false">IF(E128="AE",p_r_ae,IF(E128="China",p_r_chn,p_r_emdc))</f>
        <v>0.105</v>
      </c>
      <c r="DT128" s="11" t="n">
        <f aca="false">IF(E128="AE",p_rh_ae,IF(E128="China",p_rh_chn,p_rh_emdc))</f>
        <v>0.15</v>
      </c>
      <c r="DU128" s="11" t="n">
        <f aca="false">IF(AND(p_use_obs=1,ISNUMBER(DM128)),DM128,IF(AND(p_use_dam=1,ISNUMBER(DR128)),DR128,DS128))</f>
        <v>0.0791600000000001</v>
      </c>
      <c r="DV128" s="6" t="str">
        <f aca="false">IF(AND(p_use_obs=1,ISNUMBER(DM128)),"Observed (IRENA/Steffen)",IF(AND(p_use_dam=1,ISNUMBER(DR128)),"Damodaran (eq. 5)","Group default (IHLEG)"))</f>
        <v>Observed (IRENA/Steffen)</v>
      </c>
      <c r="DW128" s="11" t="n">
        <f aca="false">IF(p_basis=1,(1+DU128)/(1+p_infl)-1,DU128)</f>
        <v>0.0791600000000001</v>
      </c>
      <c r="DX128" s="11" t="n">
        <f aca="false">DW128+(DT128-DS128)</f>
        <v>0.12416</v>
      </c>
      <c r="DY128" s="28" t="n">
        <f aca="false">IF(AND(p_use_pefa=1,ISNUMBER(BD128)),p_gap_lic-(BD128-1)/3*(p_gap_lic-p_gap_ae),IF(E128="AE",p_gap_ae,IF(D128="Low income",p_gap_lic,p_gap_em)))*(1-p_reform*p_reform_close)</f>
        <v>0.355</v>
      </c>
      <c r="DZ128" s="6" t="str">
        <f aca="false">IF(AND(p_use_pefa=1,ISNUMBER(BD128)),"PEFA PI-11","Income-group default (IMF 2015)")</f>
        <v>PEFA PI-11</v>
      </c>
      <c r="EA128" s="28" t="n">
        <f aca="false">IF(E128="AE",p_ps_ae,IF(E128="China",p_ps_chn,p_ps_emdc))</f>
        <v>0.4</v>
      </c>
      <c r="EB128" s="37" t="n">
        <f aca="false">(1-EA128)+EA128/(1-DY128)</f>
        <v>1.22015503875969</v>
      </c>
      <c r="EC128" s="16" t="n">
        <f aca="false">Results_Country!F128</f>
        <v>2.00546373707978</v>
      </c>
      <c r="ED128" s="16" t="n">
        <f aca="false">IF(CH128="",0,CH128*EC128)</f>
        <v>539.574727466037</v>
      </c>
      <c r="EE128" s="16" t="n">
        <f aca="false">IF(CJ128="",0,CJ128*EC128)</f>
        <v>0.202835354144249</v>
      </c>
      <c r="EF128" s="16" t="n">
        <f aca="false">IF(CH128="",0,EC128)</f>
        <v>2.00546373707978</v>
      </c>
    </row>
    <row r="129" customFormat="false" ht="15" hidden="false" customHeight="false" outlineLevel="0" collapsed="false">
      <c r="A129" s="35" t="s">
        <v>1015</v>
      </c>
      <c r="B129" s="35" t="s">
        <v>1016</v>
      </c>
      <c r="C129" s="35" t="s">
        <v>847</v>
      </c>
      <c r="D129" s="35" t="s">
        <v>888</v>
      </c>
      <c r="E129" s="35" t="s">
        <v>31</v>
      </c>
      <c r="F129" s="36" t="n">
        <v>22.745</v>
      </c>
      <c r="G129" s="36" t="n">
        <v>59.162</v>
      </c>
      <c r="H129" s="33" t="n">
        <v>-0.524</v>
      </c>
      <c r="I129" s="33" t="n">
        <v>0.519</v>
      </c>
      <c r="J129" s="36" t="n">
        <v>34.631766</v>
      </c>
      <c r="K129" s="36" t="n">
        <v>8.972</v>
      </c>
      <c r="L129" s="36" t="n">
        <v>39.193</v>
      </c>
      <c r="M129" s="36" t="n">
        <v>104.042</v>
      </c>
      <c r="N129" s="36" t="n">
        <v>10.9882114761822</v>
      </c>
      <c r="O129" s="36" t="n">
        <v>1.68230239993152</v>
      </c>
      <c r="P129" s="36" t="n">
        <v>0.48830904980824</v>
      </c>
      <c r="Q129" s="31" t="n">
        <v>0.0100098753938559</v>
      </c>
      <c r="R129" s="31" t="n">
        <v>0.000335727714031512</v>
      </c>
      <c r="S129" s="31" t="n">
        <v>0.0140082520160119</v>
      </c>
      <c r="T129" s="31" t="n">
        <v>0.00128393154102565</v>
      </c>
      <c r="U129" s="31" t="n">
        <v>0.000297996407673103</v>
      </c>
      <c r="V129" s="31" t="n">
        <v>0</v>
      </c>
      <c r="W129" s="31" t="n">
        <v>0</v>
      </c>
      <c r="X129" s="31" t="n">
        <v>0</v>
      </c>
      <c r="Y129" s="36" t="n">
        <v>0.533845379794734</v>
      </c>
      <c r="Z129" s="36" t="n">
        <v>1.44916200413284</v>
      </c>
      <c r="AA129" s="36" t="n">
        <v>0.0730754676110637</v>
      </c>
      <c r="AB129" s="36" t="n">
        <v>0.0357341177725042</v>
      </c>
      <c r="AC129" s="36" t="n">
        <v>3.48937944618023E-009</v>
      </c>
      <c r="AD129" s="31" t="n">
        <v>0.84708</v>
      </c>
      <c r="AE129" s="31" t="n">
        <v>0.792035</v>
      </c>
      <c r="AF129" s="31" t="n">
        <v>0.573659</v>
      </c>
      <c r="AG129" s="31" t="n">
        <v>0.647452</v>
      </c>
      <c r="AH129" s="31" t="n">
        <v>0.519462891908447</v>
      </c>
      <c r="AI129" s="31" t="n">
        <v>3.373</v>
      </c>
      <c r="AJ129" s="31" t="n">
        <v>6.26886</v>
      </c>
      <c r="AK129" s="31" t="n">
        <v>2.049</v>
      </c>
      <c r="AL129" s="31" t="n">
        <v>3.373</v>
      </c>
      <c r="AM129" s="31" t="n">
        <v>4.901</v>
      </c>
      <c r="AN129" s="31" t="n">
        <v>10.37907</v>
      </c>
      <c r="AO129" s="31" t="n">
        <v>4.239</v>
      </c>
      <c r="AP129" s="31" t="n">
        <v>4.59573732686782</v>
      </c>
      <c r="AQ129" s="36" t="n">
        <v>2.91799030271915E-006</v>
      </c>
      <c r="AR129" s="36" t="n">
        <v>0</v>
      </c>
      <c r="AS129" s="36" t="n">
        <v>0</v>
      </c>
      <c r="AT129" s="36" t="n">
        <v>0</v>
      </c>
      <c r="AU129" s="31" t="n">
        <v>0.912870820432024</v>
      </c>
      <c r="AV129" s="36" t="n">
        <v>0.133104</v>
      </c>
      <c r="AW129" s="31" t="n">
        <v>0.00343</v>
      </c>
      <c r="AX129" s="31" t="n">
        <v>0</v>
      </c>
      <c r="AY129" s="31" t="n">
        <v>1.09111265402806E-005</v>
      </c>
      <c r="AZ129" s="31" t="n">
        <v>0.000126</v>
      </c>
      <c r="BA129" s="33" t="n">
        <v>91.411</v>
      </c>
      <c r="BB129" s="33" t="n">
        <v>15.302</v>
      </c>
      <c r="BC129" s="33" t="n">
        <v>36.646</v>
      </c>
      <c r="BD129" s="33" t="n">
        <v>1</v>
      </c>
      <c r="BE129" s="33" t="n">
        <v>3</v>
      </c>
      <c r="BF129" s="33" t="n">
        <v>1</v>
      </c>
      <c r="BG129" s="33"/>
      <c r="BH129" s="33"/>
      <c r="BI129" s="29"/>
      <c r="BJ129" s="33"/>
      <c r="BK129" s="33"/>
      <c r="BL129" s="33" t="n">
        <v>0.21</v>
      </c>
      <c r="BM129" s="33" t="n">
        <v>0.25</v>
      </c>
      <c r="BN129" s="29" t="n">
        <v>24.645</v>
      </c>
      <c r="BO129" s="33" t="n">
        <v>1.397</v>
      </c>
      <c r="BP129" s="33" t="n">
        <v>1.41</v>
      </c>
      <c r="BQ129" s="29" t="n">
        <v>2024</v>
      </c>
      <c r="BR129" s="36" t="n">
        <v>19.79</v>
      </c>
      <c r="BS129" s="36" t="n">
        <v>0</v>
      </c>
      <c r="BT129" s="36" t="n">
        <v>3.13</v>
      </c>
      <c r="BU129" s="36" t="n">
        <v>0.15</v>
      </c>
      <c r="BV129" s="16" t="n">
        <f aca="false">F129*(1+N(H129)/100)*(1+N(I129)/100)^5</f>
        <v>23.2190823555536</v>
      </c>
      <c r="BW129" s="16" t="n">
        <f aca="false">IF(N(G129)&gt;0,G129,F129)</f>
        <v>59.162</v>
      </c>
      <c r="BX129" s="12" t="n">
        <f aca="false">F129/BW129</f>
        <v>0.384452858253609</v>
      </c>
      <c r="BY129" s="13" t="n">
        <f aca="false">IF(ISNUMBER(K129),1,0)</f>
        <v>1</v>
      </c>
      <c r="BZ129" s="16" t="n">
        <f aca="false">IF(BY129=0,"",N(N129)+N(O129)+N(P129))</f>
        <v>13.1588229259219</v>
      </c>
      <c r="CA129" s="37" t="n">
        <f aca="false">IF(BY129=0,"",(N(Y129)*34.2+N(Z129)*38.6)/1000)</f>
        <v>0.0741951653485075</v>
      </c>
      <c r="CB129" s="37" t="n">
        <f aca="false">IF(BY129=0,"",N(O129)*0.0036+N(R129)+N(V129)+(N(AA129)*25.3+N(AB129)*37)/1000)</f>
        <v>0.00956298804192753</v>
      </c>
      <c r="CC129" s="37" t="n">
        <f aca="false">IF(BY129=0,"",N(N129)*0.0036+N(Q129)+N(U129)+N(T129)+N(X129)+N(AC129)*38/1000)</f>
        <v>0.0511493647894069</v>
      </c>
      <c r="CD129" s="37" t="n">
        <f aca="false">IF(BY129=0,"",N(Q129)+N(R129)+N(S129)+N(T129)+N(U129)+N(V129)+N(W129)+N(X129)+(N(Y129)*34.2+N(Z129)*38.6+N(AA129)*25.3+N(AB129)*37+N(AC129)*38)/1000)</f>
        <v>0.103301920241845</v>
      </c>
      <c r="CE129" s="16" t="n">
        <f aca="false">IF(BY129=0,"",MAX(0,N(L129)-N(K129))+MAX(0,N(M129)-N(L129)))</f>
        <v>95.07</v>
      </c>
      <c r="CF129" s="16" t="n">
        <f aca="false">IF(BY129=0,"",N(Y129)*N(AD129)+N(Z129)*N(AE129)+N(AA129)*N(AF129)+N(AB129)*N(AG129)+N(AC129)*N(AH129)+N(U129)*N(AI129)+N(V129)*N(AJ129)+N(W129)*N(AK129)+N(X129)*N(AL129)+N(Q129)*N(AM129)+N(R129)*N(AN129)+N(S129)*N(AO129)+N(T129)*N(AP129))</f>
        <v>1.78388297480417</v>
      </c>
      <c r="CG129" s="16" t="n">
        <f aca="false">IF(AND(BY129=1,N(K129)&gt;0),K129,0)</f>
        <v>8.972</v>
      </c>
      <c r="CH129" s="16" t="n">
        <f aca="false">IF(CG129&gt;0,CF129*1000/CG129,"")</f>
        <v>198.827794784237</v>
      </c>
      <c r="CI129" s="16" t="n">
        <f aca="false">IF(BY129=0,"",N(AQ129)+p_road*(N(AR129)+N(AS129)+N(AT129)))</f>
        <v>2.91799030271915E-006</v>
      </c>
      <c r="CJ129" s="16" t="n">
        <f aca="false">IF(CG129&gt;0,CI129*1000/CG129,"")</f>
        <v>0.000325232980686486</v>
      </c>
      <c r="CK129" s="12" t="n">
        <f aca="false">IF(CH129="",1,MIN(p_idx_max,MAX(p_idx_min,CH129/p_fc_world)))</f>
        <v>1.23489891198332</v>
      </c>
      <c r="CL129" s="12" t="n">
        <f aca="false">IF(CJ129="",1,MIN(p_idx_max,MAX(p_idx_min,CJ129/p_cb_world)))</f>
        <v>0.25</v>
      </c>
      <c r="CM129" s="37" t="n">
        <f aca="false">p_b*(1-p_wb_idx+p_wb_idx*CK129)</f>
        <v>0.164241555293782</v>
      </c>
      <c r="CN129" s="37" t="n">
        <f aca="false">p_c*(1-p_wc_idx+p_wc_idx*CL129)</f>
        <v>0.03225</v>
      </c>
      <c r="CO129" s="28" t="n">
        <f aca="false">IF(N(BR129)&gt;0,(N(BS129)+N(BT129)+N(BU129))/BR129,"")</f>
        <v>0.165740272865083</v>
      </c>
      <c r="CP129" s="16" t="n">
        <f aca="false">N(BS129)+N(BT129)+N(BU129)</f>
        <v>3.28</v>
      </c>
      <c r="CQ129" s="28" t="n">
        <f aca="false">IF(CP129&gt;0,N(BS129)/CP129,"")</f>
        <v>0</v>
      </c>
      <c r="CR129" s="28" t="n">
        <f aca="false">IF(CP129&gt;0,N(BT129)/CP129,"")</f>
        <v>0.954268292682927</v>
      </c>
      <c r="CS129" s="28" t="n">
        <f aca="false">IF(CP129&gt;0,N(BU129)/CP129,"")</f>
        <v>0.0457317073170732</v>
      </c>
      <c r="CT129" s="7" t="n">
        <f aca="false">1000*(p_sh_pv*p_cf_pv/p_capex_pv+(1-p_sh_pv)*p_cf_wind/p_capex_wind)*8760</f>
        <v>2301.28856624319</v>
      </c>
      <c r="CU129" s="13" t="n">
        <f aca="false">IF(AND(ISNUMBER(CO129),ISNUMBER(CQ129),BY129=1),1,0)</f>
        <v>1</v>
      </c>
      <c r="CV129" s="16" t="n">
        <f aca="false">IF(CU129=0,"",CQ129*p_hr_coal*N(AK129)+CR129*p_hr_gas*N(AO129)+CS129*p_hr_oil*N(AH129)/p_gj_l_oil)</f>
        <v>36.8006786281736</v>
      </c>
      <c r="CW129" s="37" t="n">
        <f aca="false">IF(CU129=0,"",CQ129*p_hr_coal*p_ef_coal+CR129*p_hr_gas*p_ef_gas+CS129*p_hr_oil*p_ef_oil)</f>
        <v>0.438674542682927</v>
      </c>
      <c r="CX129" s="16" t="n">
        <f aca="false">IF(CU129=0,"",CQ129*p_hr_coal*N(AW129)+CR129*p_hr_gas*N(AX129)+CS129*p_hr_oil*N(AY129)/p_gj_l_oil)</f>
        <v>0.000135734110806125</v>
      </c>
      <c r="CY129" s="37" t="n">
        <f aca="false">IF(CU129=0,"",CO129*CW129)</f>
        <v>0.072706038403234</v>
      </c>
      <c r="CZ129" s="37" t="n">
        <f aca="false">IF(CU129=0,"",CT129*CO129*CV129/1000/1000-p_om_re)</f>
        <v>-0.00096362518751995</v>
      </c>
      <c r="DA129" s="37" t="n">
        <f aca="false">IF(CU129=0,"",CT129*CO129*CX129/1000/1000)</f>
        <v>5.17711880632247E-008</v>
      </c>
      <c r="DB129" s="37" t="n">
        <f aca="false">IF(CU129=0,"",CT129*CO129*CW129/1000)</f>
        <v>0.167317574874201</v>
      </c>
      <c r="DC129" s="13" t="n">
        <f aca="false">IF(AND(CU129=1,ISNUMBER(AD129),ISNUMBER(AV129)),1,0)</f>
        <v>1</v>
      </c>
      <c r="DD129" s="7" t="n">
        <f aca="false">IF(DC129=0,"",p_ev_km*p_ice_l/100*AD129-p_ev_km*p_ev_kwh*AV129+p_ev_km*p_ev_maint)</f>
        <v>773.5842</v>
      </c>
      <c r="DE129" s="37" t="n">
        <f aca="false">IF(DC129=0,"",DD129/p_ev_prem)</f>
        <v>0.15471684</v>
      </c>
      <c r="DF129" s="37" t="n">
        <f aca="false">IF(DC129=0,"",p_ev_km*p_ice_l/100*N(AZ129)/p_ev_prem)</f>
        <v>2.835E-005</v>
      </c>
      <c r="DG129" s="37" t="n">
        <f aca="false">IF(DC129=0,"",1000/p_ev_prem*(p_ev_km*p_ice_l/100*p_gj_l_gso*p_ef_gso-p_ev_km*p_ev_kwh/1000*CY129))</f>
        <v>0.494002239262254</v>
      </c>
      <c r="DH129" s="11" t="str">
        <f aca="false">IFERROR(IF(INDEX(Damodaran!$D:$D,MATCH(A129,Damodaran!$A:$A,0))="","",INDEX(Damodaran!$D:$D,MATCH(A129,Damodaran!$A:$A,0))),"")</f>
        <v/>
      </c>
      <c r="DI129" s="11" t="str">
        <f aca="false">IFERROR(IF(INDEX(Damodaran!$E:$E,MATCH(A129,Damodaran!$A:$A,0))="","",INDEX(Damodaran!$E:$E,MATCH(A129,Damodaran!$A:$A,0))),"")</f>
        <v/>
      </c>
      <c r="DJ129" s="11" t="str">
        <f aca="false">IFERROR(IF(INDEX(Damodaran!$G:$G,MATCH(A129,Damodaran!$A:$A,0))="","",INDEX(Damodaran!$G:$G,MATCH(A129,Damodaran!$A:$A,0))),"")</f>
        <v/>
      </c>
      <c r="DK129" s="11" t="str">
        <f aca="false">IF(ISNUMBER(BG129),(1+BG129/100)*(1+p_infl)-1,"")</f>
        <v/>
      </c>
      <c r="DL129" s="11" t="str">
        <f aca="false">IF(ISNUMBER(BH129),BH129/100,"")</f>
        <v/>
      </c>
      <c r="DM129" s="11" t="str">
        <f aca="false">IF(COUNT(DK129,DL129)=0,"",AVERAGE(DK129,DL129))</f>
        <v/>
      </c>
      <c r="DN129" s="11" t="str">
        <f aca="false">IF(OR(DH129="",DI129=""),"",p_dv*(p_rf+DH129)*(1-IF(DJ129="",p_tax_def,DJ129))+(1-p_dv)*(p_rf+p_beta*p_erp+p_lambda*DI129))</f>
        <v/>
      </c>
      <c r="DO129" s="13" t="n">
        <f aca="false">IF(AND(ISNUMBER(DM129),ISNUMBER(DN129)),1,0)</f>
        <v>0</v>
      </c>
      <c r="DP129" s="11" t="n">
        <f aca="false">IF(DO129=1,DM129,0)</f>
        <v>0</v>
      </c>
      <c r="DQ129" s="11" t="n">
        <f aca="false">IF(DO129=1,DN129,0)</f>
        <v>0</v>
      </c>
      <c r="DR129" s="11" t="str">
        <f aca="false">IF(DN129="","",DN129+p_shift)</f>
        <v/>
      </c>
      <c r="DS129" s="11" t="n">
        <f aca="false">IF(E129="AE",p_r_ae,IF(E129="China",p_r_chn,p_r_emdc))</f>
        <v>0.105</v>
      </c>
      <c r="DT129" s="11" t="n">
        <f aca="false">IF(E129="AE",p_rh_ae,IF(E129="China",p_rh_chn,p_rh_emdc))</f>
        <v>0.15</v>
      </c>
      <c r="DU129" s="11" t="n">
        <f aca="false">IF(AND(p_use_obs=1,ISNUMBER(DM129)),DM129,IF(AND(p_use_dam=1,ISNUMBER(DR129)),DR129,DS129))</f>
        <v>0.105</v>
      </c>
      <c r="DV129" s="6" t="str">
        <f aca="false">IF(AND(p_use_obs=1,ISNUMBER(DM129)),"Observed (IRENA/Steffen)",IF(AND(p_use_dam=1,ISNUMBER(DR129)),"Damodaran (eq. 5)","Group default (IHLEG)"))</f>
        <v>Group default (IHLEG)</v>
      </c>
      <c r="DW129" s="11" t="n">
        <f aca="false">IF(p_basis=1,(1+DU129)/(1+p_infl)-1,DU129)</f>
        <v>0.105</v>
      </c>
      <c r="DX129" s="11" t="n">
        <f aca="false">DW129+(DT129-DS129)</f>
        <v>0.15</v>
      </c>
      <c r="DY129" s="28" t="n">
        <f aca="false">IF(AND(p_use_pefa=1,ISNUMBER(BD129)),p_gap_lic-(BD129-1)/3*(p_gap_lic-p_gap_ae),IF(E129="AE",p_gap_ae,IF(D129="Low income",p_gap_lic,p_gap_em)))*(1-p_reform*p_reform_close)</f>
        <v>0.4</v>
      </c>
      <c r="DZ129" s="6" t="str">
        <f aca="false">IF(AND(p_use_pefa=1,ISNUMBER(BD129)),"PEFA PI-11","Income-group default (IMF 2015)")</f>
        <v>PEFA PI-11</v>
      </c>
      <c r="EA129" s="28" t="n">
        <f aca="false">IF(E129="AE",p_ps_ae,IF(E129="China",p_ps_chn,p_ps_emdc))</f>
        <v>0.4</v>
      </c>
      <c r="EB129" s="37" t="n">
        <f aca="false">(1-EA129)+EA129/(1-DY129)</f>
        <v>1.26666666666667</v>
      </c>
      <c r="EC129" s="16" t="n">
        <f aca="false">Results_Country!F129</f>
        <v>3.30925290767819</v>
      </c>
      <c r="ED129" s="16" t="n">
        <f aca="false">IF(CH129="",0,CH129*EC129)</f>
        <v>657.971458016977</v>
      </c>
      <c r="EE129" s="16" t="n">
        <f aca="false">IF(CJ129="",0,CJ129*EC129)</f>
        <v>0.0010762781870096</v>
      </c>
      <c r="EF129" s="16" t="n">
        <f aca="false">IF(CH129="",0,EC129)</f>
        <v>3.30925290767819</v>
      </c>
    </row>
    <row r="130" customFormat="false" ht="15" hidden="false" customHeight="false" outlineLevel="0" collapsed="false">
      <c r="A130" s="35" t="s">
        <v>1017</v>
      </c>
      <c r="B130" s="35" t="s">
        <v>1018</v>
      </c>
      <c r="C130" s="35" t="s">
        <v>784</v>
      </c>
      <c r="D130" s="35" t="s">
        <v>763</v>
      </c>
      <c r="E130" s="35" t="s">
        <v>31</v>
      </c>
      <c r="F130" s="36" t="n">
        <v>21.9</v>
      </c>
      <c r="G130" s="36" t="n">
        <v>36.651</v>
      </c>
      <c r="H130" s="33" t="n">
        <v>-0.06</v>
      </c>
      <c r="I130" s="33" t="n">
        <v>-1.152</v>
      </c>
      <c r="J130" s="36" t="n">
        <v>2.839175</v>
      </c>
      <c r="K130" s="36" t="n">
        <v>6.74</v>
      </c>
      <c r="L130" s="36" t="n">
        <v>8.361</v>
      </c>
      <c r="M130" s="36" t="n">
        <v>8.498</v>
      </c>
      <c r="N130" s="36" t="n">
        <v>2.37308799995024</v>
      </c>
      <c r="O130" s="36" t="n">
        <v>1.34729858738566</v>
      </c>
      <c r="P130" s="36" t="n">
        <v>0</v>
      </c>
      <c r="Q130" s="31" t="n">
        <v>0.00327645357332937</v>
      </c>
      <c r="R130" s="31" t="n">
        <v>0</v>
      </c>
      <c r="S130" s="31" t="n">
        <v>0.00716647605364105</v>
      </c>
      <c r="T130" s="31" t="n">
        <v>0</v>
      </c>
      <c r="U130" s="31" t="n">
        <v>0.00275540933584001</v>
      </c>
      <c r="V130" s="31" t="n">
        <v>0</v>
      </c>
      <c r="W130" s="31" t="n">
        <v>0</v>
      </c>
      <c r="X130" s="31" t="n">
        <v>0</v>
      </c>
      <c r="Y130" s="36" t="n">
        <v>0.605994022251018</v>
      </c>
      <c r="Z130" s="36" t="n">
        <v>0.406457371199444</v>
      </c>
      <c r="AA130" s="36" t="n">
        <v>0.181693284721453</v>
      </c>
      <c r="AB130" s="36" t="n">
        <v>0.00520579603327044</v>
      </c>
      <c r="AC130" s="36" t="n">
        <v>0.943018731913515</v>
      </c>
      <c r="AD130" s="31" t="n">
        <v>0.868328</v>
      </c>
      <c r="AE130" s="31" t="n">
        <v>0.682712</v>
      </c>
      <c r="AF130" s="31" t="n">
        <v>0.581222</v>
      </c>
      <c r="AG130" s="31" t="n">
        <v>0.6532</v>
      </c>
      <c r="AH130" s="31" t="n">
        <v>0.519462891908447</v>
      </c>
      <c r="AI130" s="31" t="n">
        <v>7.124</v>
      </c>
      <c r="AJ130" s="31" t="n">
        <v>14.02195</v>
      </c>
      <c r="AK130" s="31" t="n">
        <v>5.575</v>
      </c>
      <c r="AL130" s="31" t="n">
        <v>7.124</v>
      </c>
      <c r="AM130" s="31" t="n">
        <v>12.771</v>
      </c>
      <c r="AN130" s="31" t="n">
        <v>23.8188</v>
      </c>
      <c r="AO130" s="31" t="n">
        <v>11.447</v>
      </c>
      <c r="AP130" s="31" t="n">
        <v>11.8624030225278</v>
      </c>
      <c r="AQ130" s="36" t="n">
        <v>0.1344630653817</v>
      </c>
      <c r="AR130" s="36" t="n">
        <v>0.0955286524091225</v>
      </c>
      <c r="AS130" s="36" t="n">
        <v>0.0702933941585744</v>
      </c>
      <c r="AT130" s="36" t="n">
        <v>0.0442258550572457</v>
      </c>
      <c r="AU130" s="31" t="n">
        <v>0.291010698116316</v>
      </c>
      <c r="AV130" s="36" t="n">
        <v>0.253031</v>
      </c>
      <c r="AW130" s="31" t="n">
        <v>0.447035</v>
      </c>
      <c r="AX130" s="31" t="n">
        <v>0.006816</v>
      </c>
      <c r="AY130" s="31" t="n">
        <v>0.0824963086146288</v>
      </c>
      <c r="AZ130" s="31" t="n">
        <v>0.032458</v>
      </c>
      <c r="BA130" s="33" t="n">
        <v>62.465</v>
      </c>
      <c r="BB130" s="33" t="n">
        <v>17.002</v>
      </c>
      <c r="BC130" s="33" t="n">
        <v>123.216</v>
      </c>
      <c r="BD130" s="33" t="n">
        <v>1.5</v>
      </c>
      <c r="BE130" s="33" t="n">
        <v>1</v>
      </c>
      <c r="BF130" s="33" t="n">
        <v>0</v>
      </c>
      <c r="BG130" s="33"/>
      <c r="BH130" s="33" t="n">
        <v>3.9</v>
      </c>
      <c r="BI130" s="29" t="n">
        <v>2016</v>
      </c>
      <c r="BJ130" s="33" t="n">
        <v>1</v>
      </c>
      <c r="BK130" s="33"/>
      <c r="BL130" s="33" t="n">
        <v>3.35</v>
      </c>
      <c r="BM130" s="33" t="n">
        <v>9.625</v>
      </c>
      <c r="BN130" s="29" t="n">
        <v>15.729</v>
      </c>
      <c r="BO130" s="33" t="n">
        <v>0.089</v>
      </c>
      <c r="BP130" s="33" t="n">
        <v>0.184</v>
      </c>
      <c r="BQ130" s="29" t="n">
        <v>2024</v>
      </c>
      <c r="BR130" s="36" t="n">
        <v>4.92</v>
      </c>
      <c r="BS130" s="36" t="n">
        <v>0</v>
      </c>
      <c r="BT130" s="36" t="n">
        <v>2.8</v>
      </c>
      <c r="BU130" s="36" t="n">
        <v>1.5</v>
      </c>
      <c r="BV130" s="16" t="n">
        <f aca="false">F130*(1+N(H130)/100)*(1+N(I130)/100)^5</f>
        <v>20.6548903148487</v>
      </c>
      <c r="BW130" s="16" t="n">
        <f aca="false">IF(N(G130)&gt;0,G130,F130)</f>
        <v>36.651</v>
      </c>
      <c r="BX130" s="12" t="n">
        <f aca="false">F130/BW130</f>
        <v>0.597528034705738</v>
      </c>
      <c r="BY130" s="13" t="n">
        <f aca="false">IF(ISNUMBER(K130),1,0)</f>
        <v>1</v>
      </c>
      <c r="BZ130" s="16" t="n">
        <f aca="false">IF(BY130=0,"",N(N130)+N(O130)+N(P130))</f>
        <v>3.7203865873359</v>
      </c>
      <c r="CA130" s="37" t="n">
        <f aca="false">IF(BY130=0,"",(N(Y130)*34.2+N(Z130)*38.6)/1000)</f>
        <v>0.0364142500892834</v>
      </c>
      <c r="CB130" s="37" t="n">
        <f aca="false">IF(BY130=0,"",N(O130)*0.0036+N(R130)+N(V130)+(N(AA130)*25.3+N(AB130)*37)/1000)</f>
        <v>0.00963972947127212</v>
      </c>
      <c r="CC130" s="37" t="n">
        <f aca="false">IF(BY130=0,"",N(N130)*0.0036+N(Q130)+N(U130)+N(T130)+N(X130)+N(AC130)*38/1000)</f>
        <v>0.0504096915217038</v>
      </c>
      <c r="CD130" s="37" t="n">
        <f aca="false">IF(BY130=0,"",N(Q130)+N(R130)+N(S130)+N(T130)+N(U130)+N(V130)+N(W130)+N(X130)+(N(Y130)*34.2+N(Z130)*38.6+N(AA130)*25.3+N(AB130)*37+N(AC130)*38)/1000)</f>
        <v>0.0902367554214911</v>
      </c>
      <c r="CE130" s="16" t="n">
        <f aca="false">IF(BY130=0,"",MAX(0,N(L130)-N(K130))+MAX(0,N(M130)-N(L130)))</f>
        <v>1.758</v>
      </c>
      <c r="CF130" s="16" t="n">
        <f aca="false">IF(BY130=0,"",N(Y130)*N(AD130)+N(Z130)*N(AE130)+N(AA130)*N(AF130)+N(AB130)*N(AG130)+N(AC130)*N(AH130)+N(U130)*N(AI130)+N(V130)*N(AJ130)+N(W130)*N(AK130)+N(X130)*N(AL130)+N(Q130)*N(AM130)+N(R130)*N(AN130)+N(S130)*N(AO130)+N(T130)*N(AP130))</f>
        <v>1.54607047614397</v>
      </c>
      <c r="CG130" s="16" t="n">
        <f aca="false">IF(AND(BY130=1,N(K130)&gt;0),K130,0)</f>
        <v>6.74</v>
      </c>
      <c r="CH130" s="16" t="n">
        <f aca="false">IF(CG130&gt;0,CF130*1000/CG130,"")</f>
        <v>229.38731100059</v>
      </c>
      <c r="CI130" s="16" t="n">
        <f aca="false">IF(BY130=0,"",N(AQ130)+p_road*(N(AR130)+N(AS130)+N(AT130)))</f>
        <v>0.1344630653817</v>
      </c>
      <c r="CJ130" s="16" t="n">
        <f aca="false">IF(CG130&gt;0,CI130*1000/CG130,"")</f>
        <v>19.9500097005489</v>
      </c>
      <c r="CK130" s="12" t="n">
        <f aca="false">IF(CH130="",1,MIN(p_idx_max,MAX(p_idx_min,CH130/p_fc_world)))</f>
        <v>1.42470091309319</v>
      </c>
      <c r="CL130" s="12" t="n">
        <f aca="false">IF(CJ130="",1,MIN(p_idx_max,MAX(p_idx_min,CJ130/p_cb_world)))</f>
        <v>0.379344138091228</v>
      </c>
      <c r="CM130" s="37" t="n">
        <f aca="false">p_b*(1-p_wb_idx+p_wb_idx*CK130)</f>
        <v>0.189485221441395</v>
      </c>
      <c r="CN130" s="37" t="n">
        <f aca="false">p_c*(1-p_wc_idx+p_wc_idx*CL130)</f>
        <v>0.0489353938137684</v>
      </c>
      <c r="CO130" s="28" t="n">
        <f aca="false">IF(N(BR130)&gt;0,(N(BS130)+N(BT130)+N(BU130))/BR130,"")</f>
        <v>0.873983739837398</v>
      </c>
      <c r="CP130" s="16" t="n">
        <f aca="false">N(BS130)+N(BT130)+N(BU130)</f>
        <v>4.3</v>
      </c>
      <c r="CQ130" s="28" t="n">
        <f aca="false">IF(CP130&gt;0,N(BS130)/CP130,"")</f>
        <v>0</v>
      </c>
      <c r="CR130" s="28" t="n">
        <f aca="false">IF(CP130&gt;0,N(BT130)/CP130,"")</f>
        <v>0.651162790697674</v>
      </c>
      <c r="CS130" s="28" t="n">
        <f aca="false">IF(CP130&gt;0,N(BU130)/CP130,"")</f>
        <v>0.348837209302326</v>
      </c>
      <c r="CT130" s="7" t="n">
        <f aca="false">1000*(p_sh_pv*p_cf_pv/p_capex_pv+(1-p_sh_pv)*p_cf_wind/p_capex_wind)*8760</f>
        <v>2301.28856624319</v>
      </c>
      <c r="CU130" s="13" t="n">
        <f aca="false">IF(AND(ISNUMBER(CO130),ISNUMBER(CQ130),BY130=1),1,0)</f>
        <v>1</v>
      </c>
      <c r="CV130" s="16" t="n">
        <f aca="false">IF(CU130=0,"",CQ130*p_hr_coal*N(AK130)+CR130*p_hr_gas*N(AO130)+CS130*p_hr_oil*N(AH130)/p_gj_l_oil)</f>
        <v>105.196281163743</v>
      </c>
      <c r="CW130" s="37" t="n">
        <f aca="false">IF(CU130=0,"",CQ130*p_hr_coal*p_ef_coal+CR130*p_hr_gas*p_ef_gas+CS130*p_hr_oil*p_ef_oil)</f>
        <v>0.557476744186047</v>
      </c>
      <c r="CX130" s="16" t="n">
        <f aca="false">IF(CU130=0,"",CQ130*p_hr_coal*N(AW130)+CR130*p_hr_gas*N(AX130)+CS130*p_hr_oil*N(AY130)/p_gj_l_oil)</f>
        <v>7.86144059694182</v>
      </c>
      <c r="CY130" s="37" t="n">
        <f aca="false">IF(CU130=0,"",CO130*CW130)</f>
        <v>0.487225609756098</v>
      </c>
      <c r="CZ130" s="37" t="n">
        <f aca="false">IF(CU130=0,"",CT130*CO130*CV130/1000/1000-p_om_re)</f>
        <v>0.196580100798726</v>
      </c>
      <c r="DA130" s="37" t="n">
        <f aca="false">IF(CU130=0,"",CT130*CO130*CX130/1000/1000)</f>
        <v>0.0158116273267788</v>
      </c>
      <c r="DB130" s="37" t="n">
        <f aca="false">IF(CU130=0,"",CT130*CO130*CW130/1000)</f>
        <v>1.12124672491258</v>
      </c>
      <c r="DC130" s="13" t="n">
        <f aca="false">IF(AND(CU130=1,ISNUMBER(AD130),ISNUMBER(AV130)),1,0)</f>
        <v>1</v>
      </c>
      <c r="DD130" s="7" t="n">
        <f aca="false">IF(DC130=0,"",p_ev_km*p_ice_l/100*AD130-p_ev_km*p_ev_kwh*AV130+p_ev_km*p_ev_maint)</f>
        <v>473.6853</v>
      </c>
      <c r="DE130" s="37" t="n">
        <f aca="false">IF(DC130=0,"",DD130/p_ev_prem)</f>
        <v>0.09473706</v>
      </c>
      <c r="DF130" s="37" t="n">
        <f aca="false">IF(DC130=0,"",p_ev_km*p_ice_l/100*N(AZ130)/p_ev_prem)</f>
        <v>0.00730305</v>
      </c>
      <c r="DG130" s="37" t="n">
        <f aca="false">IF(DC130=0,"",1000/p_ev_prem*(p_ev_km*p_ice_l/100*p_gj_l_gso*p_ef_gso-p_ev_km*p_ev_kwh/1000*CY130))</f>
        <v>0.270161670731707</v>
      </c>
      <c r="DH130" s="11" t="str">
        <f aca="false">IFERROR(IF(INDEX(Damodaran!$D:$D,MATCH(A130,Damodaran!$A:$A,0))="","",INDEX(Damodaran!$D:$D,MATCH(A130,Damodaran!$A:$A,0))),"")</f>
        <v/>
      </c>
      <c r="DI130" s="11" t="str">
        <f aca="false">IFERROR(IF(INDEX(Damodaran!$E:$E,MATCH(A130,Damodaran!$A:$A,0))="","",INDEX(Damodaran!$E:$E,MATCH(A130,Damodaran!$A:$A,0))),"")</f>
        <v/>
      </c>
      <c r="DJ130" s="11" t="str">
        <f aca="false">IFERROR(IF(INDEX(Damodaran!$G:$G,MATCH(A130,Damodaran!$A:$A,0))="","",INDEX(Damodaran!$G:$G,MATCH(A130,Damodaran!$A:$A,0))),"")</f>
        <v/>
      </c>
      <c r="DK130" s="11" t="str">
        <f aca="false">IF(ISNUMBER(BG130),(1+BG130/100)*(1+p_infl)-1,"")</f>
        <v/>
      </c>
      <c r="DL130" s="11" t="n">
        <f aca="false">IF(ISNUMBER(BH130),BH130/100,"")</f>
        <v>0.039</v>
      </c>
      <c r="DM130" s="11" t="n">
        <f aca="false">IF(COUNT(DK130,DL130)=0,"",AVERAGE(DK130,DL130))</f>
        <v>0.039</v>
      </c>
      <c r="DN130" s="11" t="str">
        <f aca="false">IF(OR(DH130="",DI130=""),"",p_dv*(p_rf+DH130)*(1-IF(DJ130="",p_tax_def,DJ130))+(1-p_dv)*(p_rf+p_beta*p_erp+p_lambda*DI130))</f>
        <v/>
      </c>
      <c r="DO130" s="13" t="n">
        <f aca="false">IF(AND(ISNUMBER(DM130),ISNUMBER(DN130)),1,0)</f>
        <v>0</v>
      </c>
      <c r="DP130" s="11" t="n">
        <f aca="false">IF(DO130=1,DM130,0)</f>
        <v>0</v>
      </c>
      <c r="DQ130" s="11" t="n">
        <f aca="false">IF(DO130=1,DN130,0)</f>
        <v>0</v>
      </c>
      <c r="DR130" s="11" t="str">
        <f aca="false">IF(DN130="","",DN130+p_shift)</f>
        <v/>
      </c>
      <c r="DS130" s="11" t="n">
        <f aca="false">IF(E130="AE",p_r_ae,IF(E130="China",p_r_chn,p_r_emdc))</f>
        <v>0.105</v>
      </c>
      <c r="DT130" s="11" t="n">
        <f aca="false">IF(E130="AE",p_rh_ae,IF(E130="China",p_rh_chn,p_rh_emdc))</f>
        <v>0.15</v>
      </c>
      <c r="DU130" s="11" t="n">
        <f aca="false">IF(AND(p_use_obs=1,ISNUMBER(DM130)),DM130,IF(AND(p_use_dam=1,ISNUMBER(DR130)),DR130,DS130))</f>
        <v>0.039</v>
      </c>
      <c r="DV130" s="6" t="str">
        <f aca="false">IF(AND(p_use_obs=1,ISNUMBER(DM130)),"Observed (IRENA/Steffen)",IF(AND(p_use_dam=1,ISNUMBER(DR130)),"Damodaran (eq. 5)","Group default (IHLEG)"))</f>
        <v>Observed (IRENA/Steffen)</v>
      </c>
      <c r="DW130" s="11" t="n">
        <f aca="false">IF(p_basis=1,(1+DU130)/(1+p_infl)-1,DU130)</f>
        <v>0.039</v>
      </c>
      <c r="DX130" s="11" t="n">
        <f aca="false">DW130+(DT130-DS130)</f>
        <v>0.084</v>
      </c>
      <c r="DY130" s="28" t="n">
        <f aca="false">IF(AND(p_use_pefa=1,ISNUMBER(BD130)),p_gap_lic-(BD130-1)/3*(p_gap_lic-p_gap_ae),IF(E130="AE",p_gap_ae,IF(D130="Low income",p_gap_lic,p_gap_em)))*(1-p_reform*p_reform_close)</f>
        <v>0.355</v>
      </c>
      <c r="DZ130" s="6" t="str">
        <f aca="false">IF(AND(p_use_pefa=1,ISNUMBER(BD130)),"PEFA PI-11","Income-group default (IMF 2015)")</f>
        <v>PEFA PI-11</v>
      </c>
      <c r="EA130" s="28" t="n">
        <f aca="false">IF(E130="AE",p_ps_ae,IF(E130="China",p_ps_chn,p_ps_emdc))</f>
        <v>0.4</v>
      </c>
      <c r="EB130" s="37" t="n">
        <f aca="false">(1-EA130)+EA130/(1-DY130)</f>
        <v>1.22015503875969</v>
      </c>
      <c r="EC130" s="16" t="n">
        <f aca="false">Results_Country!F130</f>
        <v>1.15728628648943</v>
      </c>
      <c r="ED130" s="16" t="n">
        <f aca="false">IF(CH130="",0,CH130*EC130)</f>
        <v>265.466789315667</v>
      </c>
      <c r="EE130" s="16" t="n">
        <f aca="false">IF(CJ130="",0,CJ130*EC130)</f>
        <v>23.0878726417763</v>
      </c>
      <c r="EF130" s="16" t="n">
        <f aca="false">IF(CH130="",0,EC130)</f>
        <v>1.15728628648943</v>
      </c>
    </row>
    <row r="131" customFormat="false" ht="15" hidden="false" customHeight="false" outlineLevel="0" collapsed="false">
      <c r="A131" s="35" t="s">
        <v>1019</v>
      </c>
      <c r="B131" s="35" t="s">
        <v>1020</v>
      </c>
      <c r="C131" s="35" t="s">
        <v>847</v>
      </c>
      <c r="D131" s="35" t="s">
        <v>771</v>
      </c>
      <c r="E131" s="35" t="s">
        <v>31</v>
      </c>
      <c r="F131" s="36" t="n">
        <v>21.487</v>
      </c>
      <c r="G131" s="36" t="n">
        <v>64.229</v>
      </c>
      <c r="H131" s="33" t="n">
        <v>7.5</v>
      </c>
      <c r="I131" s="33" t="n">
        <v>6.972</v>
      </c>
      <c r="J131" s="36" t="n">
        <v>14.462724</v>
      </c>
      <c r="K131" s="36" t="n">
        <v>9.722</v>
      </c>
      <c r="L131" s="36" t="n">
        <v>21.098</v>
      </c>
      <c r="M131" s="36" t="n">
        <v>31.288</v>
      </c>
      <c r="N131" s="36" t="n">
        <v>1.30764351712115</v>
      </c>
      <c r="O131" s="36" t="n">
        <v>0.438245173765511</v>
      </c>
      <c r="P131" s="36" t="n">
        <v>0</v>
      </c>
      <c r="Q131" s="31" t="n">
        <v>0</v>
      </c>
      <c r="R131" s="31" t="n">
        <v>0</v>
      </c>
      <c r="S131" s="31" t="n">
        <v>0.00835469378174501</v>
      </c>
      <c r="T131" s="31" t="n">
        <v>0</v>
      </c>
      <c r="U131" s="31" t="n">
        <v>0.00365161848205005</v>
      </c>
      <c r="V131" s="31" t="n">
        <v>1.41428706289822E-007</v>
      </c>
      <c r="W131" s="31" t="n">
        <v>0</v>
      </c>
      <c r="X131" s="31" t="n">
        <v>0</v>
      </c>
      <c r="Y131" s="36" t="n">
        <v>1.33794808733008</v>
      </c>
      <c r="Z131" s="36" t="n">
        <v>0.484312826869035</v>
      </c>
      <c r="AA131" s="36" t="n">
        <v>0.0593608173294686</v>
      </c>
      <c r="AB131" s="36" t="n">
        <v>0.0287162738284171</v>
      </c>
      <c r="AC131" s="36" t="n">
        <v>0.0510587074691673</v>
      </c>
      <c r="AD131" s="31" t="n">
        <v>0.854215</v>
      </c>
      <c r="AE131" s="31" t="n">
        <v>0.805506</v>
      </c>
      <c r="AF131" s="31" t="n">
        <v>0.572294</v>
      </c>
      <c r="AG131" s="31" t="n">
        <v>0.691642</v>
      </c>
      <c r="AH131" s="31" t="n">
        <v>0.519462891908447</v>
      </c>
      <c r="AI131" s="31" t="n">
        <v>7.124</v>
      </c>
      <c r="AJ131" s="31" t="n">
        <v>14.38774</v>
      </c>
      <c r="AK131" s="31" t="n">
        <v>5.575</v>
      </c>
      <c r="AL131" s="31" t="n">
        <v>7.12428131678318</v>
      </c>
      <c r="AM131" s="31" t="n">
        <v>7.947</v>
      </c>
      <c r="AN131" s="31" t="n">
        <v>18.74784</v>
      </c>
      <c r="AO131" s="31" t="n">
        <v>6.623</v>
      </c>
      <c r="AP131" s="31" t="n">
        <v>6.623</v>
      </c>
      <c r="AQ131" s="36" t="n">
        <v>0.00974920778206376</v>
      </c>
      <c r="AR131" s="36" t="n">
        <v>0.0447784672298018</v>
      </c>
      <c r="AS131" s="36" t="n">
        <v>0.154219786989738</v>
      </c>
      <c r="AT131" s="36" t="n">
        <v>0.0543564231898971</v>
      </c>
      <c r="AU131" s="31" t="n">
        <v>0.173787084037077</v>
      </c>
      <c r="AV131" s="36" t="n">
        <v>0.131014</v>
      </c>
      <c r="AW131" s="31" t="n">
        <v>0.08111</v>
      </c>
      <c r="AX131" s="31" t="n">
        <v>0.001432</v>
      </c>
      <c r="AY131" s="31" t="n">
        <v>0.000686259848066572</v>
      </c>
      <c r="AZ131" s="31" t="n">
        <v>0.005188</v>
      </c>
      <c r="BA131" s="33" t="n">
        <v>60.527</v>
      </c>
      <c r="BB131" s="33" t="n">
        <v>12.832</v>
      </c>
      <c r="BC131" s="33" t="n">
        <v>63.759</v>
      </c>
      <c r="BD131" s="33"/>
      <c r="BE131" s="33"/>
      <c r="BF131" s="33" t="n">
        <v>1</v>
      </c>
      <c r="BG131" s="33"/>
      <c r="BH131" s="33"/>
      <c r="BI131" s="29"/>
      <c r="BJ131" s="33"/>
      <c r="BK131" s="33"/>
      <c r="BL131" s="33" t="n">
        <v>5.998</v>
      </c>
      <c r="BM131" s="33" t="n">
        <v>7.518</v>
      </c>
      <c r="BN131" s="29" t="n">
        <v>17.058</v>
      </c>
      <c r="BO131" s="33" t="n">
        <v>0.559</v>
      </c>
      <c r="BP131" s="33" t="n">
        <v>0.043</v>
      </c>
      <c r="BQ131" s="29" t="n">
        <v>2024</v>
      </c>
      <c r="BR131" s="36" t="n">
        <v>1.01</v>
      </c>
      <c r="BS131" s="36" t="n">
        <v>0</v>
      </c>
      <c r="BT131" s="36" t="n">
        <v>0.73</v>
      </c>
      <c r="BU131" s="36" t="n">
        <v>0.24</v>
      </c>
      <c r="BV131" s="16" t="n">
        <f aca="false">F131*(1+N(H131)/100)*(1+N(I131)/100)^5</f>
        <v>32.3545099579951</v>
      </c>
      <c r="BW131" s="16" t="n">
        <f aca="false">IF(N(G131)&gt;0,G131,F131)</f>
        <v>64.229</v>
      </c>
      <c r="BX131" s="12" t="n">
        <f aca="false">F131/BW131</f>
        <v>0.334537358514067</v>
      </c>
      <c r="BY131" s="13" t="n">
        <f aca="false">IF(ISNUMBER(K131),1,0)</f>
        <v>1</v>
      </c>
      <c r="BZ131" s="16" t="n">
        <f aca="false">IF(BY131=0,"",N(N131)+N(O131)+N(P131))</f>
        <v>1.74588869088666</v>
      </c>
      <c r="CA131" s="37" t="n">
        <f aca="false">IF(BY131=0,"",(N(Y131)*34.2+N(Z131)*38.6)/1000)</f>
        <v>0.0644522997038335</v>
      </c>
      <c r="CB131" s="37" t="n">
        <f aca="false">IF(BY131=0,"",N(O131)*0.0036+N(R131)+N(V131)+(N(AA131)*25.3+N(AB131)*37)/1000)</f>
        <v>0.00414215486434912</v>
      </c>
      <c r="CC131" s="37" t="n">
        <f aca="false">IF(BY131=0,"",N(N131)*0.0036+N(Q131)+N(U131)+N(T131)+N(X131)+N(AC131)*38/1000)</f>
        <v>0.0102993660275145</v>
      </c>
      <c r="CD131" s="37" t="n">
        <f aca="false">IF(BY131=0,"",N(Q131)+N(R131)+N(S131)+N(T131)+N(U131)+N(V131)+N(W131)+N(X131)+(N(Y131)*34.2+N(Z131)*38.6+N(AA131)*25.3+N(AB131)*37+N(AC131)*38)/1000)</f>
        <v>0.0809633150902502</v>
      </c>
      <c r="CE131" s="16" t="n">
        <f aca="false">IF(BY131=0,"",MAX(0,N(L131)-N(K131))+MAX(0,N(M131)-N(L131)))</f>
        <v>21.566</v>
      </c>
      <c r="CF131" s="16" t="n">
        <f aca="false">IF(BY131=0,"",N(Y131)*N(AD131)+N(Z131)*N(AE131)+N(AA131)*N(AF131)+N(AB131)*N(AG131)+N(AC131)*N(AH131)+N(U131)*N(AI131)+N(V131)*N(AJ131)+N(W131)*N(AK131)+N(X131)*N(AL131)+N(Q131)*N(AM131)+N(R131)*N(AN131)+N(S131)*N(AO131)+N(T131)*N(AP131))</f>
        <v>1.69471783965573</v>
      </c>
      <c r="CG131" s="16" t="n">
        <f aca="false">IF(AND(BY131=1,N(K131)&gt;0),K131,0)</f>
        <v>9.722</v>
      </c>
      <c r="CH131" s="16" t="n">
        <f aca="false">IF(CG131&gt;0,CF131*1000/CG131,"")</f>
        <v>174.317819343318</v>
      </c>
      <c r="CI131" s="16" t="n">
        <f aca="false">IF(BY131=0,"",N(AQ131)+p_road*(N(AR131)+N(AS131)+N(AT131)))</f>
        <v>0.00974920778206376</v>
      </c>
      <c r="CJ131" s="16" t="n">
        <f aca="false">IF(CG131&gt;0,CI131*1000/CG131,"")</f>
        <v>1.00279857869407</v>
      </c>
      <c r="CK131" s="12" t="n">
        <f aca="false">IF(CH131="",1,MIN(p_idx_max,MAX(p_idx_min,CH131/p_fc_world)))</f>
        <v>1.08266998424425</v>
      </c>
      <c r="CL131" s="12" t="n">
        <f aca="false">IF(CJ131="",1,MIN(p_idx_max,MAX(p_idx_min,CJ131/p_cb_world)))</f>
        <v>0.25</v>
      </c>
      <c r="CM131" s="37" t="n">
        <f aca="false">p_b*(1-p_wb_idx+p_wb_idx*CK131)</f>
        <v>0.143995107904485</v>
      </c>
      <c r="CN131" s="37" t="n">
        <f aca="false">p_c*(1-p_wc_idx+p_wc_idx*CL131)</f>
        <v>0.03225</v>
      </c>
      <c r="CO131" s="28" t="n">
        <f aca="false">IF(N(BR131)&gt;0,(N(BS131)+N(BT131)+N(BU131))/BR131,"")</f>
        <v>0.96039603960396</v>
      </c>
      <c r="CP131" s="16" t="n">
        <f aca="false">N(BS131)+N(BT131)+N(BU131)</f>
        <v>0.97</v>
      </c>
      <c r="CQ131" s="28" t="n">
        <f aca="false">IF(CP131&gt;0,N(BS131)/CP131,"")</f>
        <v>0</v>
      </c>
      <c r="CR131" s="28" t="n">
        <f aca="false">IF(CP131&gt;0,N(BT131)/CP131,"")</f>
        <v>0.752577319587629</v>
      </c>
      <c r="CS131" s="28" t="n">
        <f aca="false">IF(CP131&gt;0,N(BU131)/CP131,"")</f>
        <v>0.247422680412371</v>
      </c>
      <c r="CT131" s="7" t="n">
        <f aca="false">1000*(p_sh_pv*p_cf_pv/p_capex_pv+(1-p_sh_pv)*p_cf_wind/p_capex_wind)*8760</f>
        <v>2301.28856624319</v>
      </c>
      <c r="CU131" s="13" t="n">
        <f aca="false">IF(AND(ISNUMBER(CO131),ISNUMBER(CQ131),BY131=1),1,0)</f>
        <v>1</v>
      </c>
      <c r="CV131" s="16" t="n">
        <f aca="false">IF(CU131=0,"",CQ131*p_hr_coal*N(AK131)+CR131*p_hr_gas*N(AO131)+CS131*p_hr_oil*N(AH131)/p_gj_l_oil)</f>
        <v>72.3443777738712</v>
      </c>
      <c r="CW131" s="37" t="n">
        <f aca="false">IF(CU131=0,"",CQ131*p_hr_coal*p_ef_coal+CR131*p_hr_gas*p_ef_gas+CS131*p_hr_oil*p_ef_oil)</f>
        <v>0.517727319587629</v>
      </c>
      <c r="CX131" s="16" t="n">
        <f aca="false">IF(CU131=0,"",CQ131*p_hr_coal*N(AW131)+CR131*p_hr_gas*N(AX131)+CS131*p_hr_oil*N(AY131)/p_gj_l_oil)</f>
        <v>0.0542707797961584</v>
      </c>
      <c r="CY131" s="37" t="n">
        <f aca="false">IF(CU131=0,"",CO131*CW131)</f>
        <v>0.497223267326733</v>
      </c>
      <c r="CZ131" s="37" t="n">
        <f aca="false">IF(CU131=0,"",CT131*CO131*CV131/1000/1000-p_om_re)</f>
        <v>0.144891812594949</v>
      </c>
      <c r="DA131" s="37" t="n">
        <f aca="false">IF(CU131=0,"",CT131*CO131*CX131/1000/1000)</f>
        <v>0.000119946478490318</v>
      </c>
      <c r="DB131" s="37" t="n">
        <f aca="false">IF(CU131=0,"",CT131*CO131*CW131/1000)</f>
        <v>1.14425421996909</v>
      </c>
      <c r="DC131" s="13" t="n">
        <f aca="false">IF(AND(CU131=1,ISNUMBER(AD131),ISNUMBER(AV131)),1,0)</f>
        <v>1</v>
      </c>
      <c r="DD131" s="7" t="n">
        <f aca="false">IF(DC131=0,"",p_ev_km*p_ice_l/100*AD131-p_ev_km*p_ev_kwh*AV131+p_ev_km*p_ev_maint)</f>
        <v>787.254075</v>
      </c>
      <c r="DE131" s="37" t="n">
        <f aca="false">IF(DC131=0,"",DD131/p_ev_prem)</f>
        <v>0.157450815</v>
      </c>
      <c r="DF131" s="37" t="n">
        <f aca="false">IF(DC131=0,"",p_ev_km*p_ice_l/100*N(AZ131)/p_ev_prem)</f>
        <v>0.0011673</v>
      </c>
      <c r="DG131" s="37" t="n">
        <f aca="false">IF(DC131=0,"",1000/p_ev_prem*(p_ev_km*p_ice_l/100*p_gj_l_gso*p_ef_gso-p_ev_km*p_ev_kwh/1000*CY131))</f>
        <v>0.264762935643564</v>
      </c>
      <c r="DH131" s="11" t="str">
        <f aca="false">IFERROR(IF(INDEX(Damodaran!$D:$D,MATCH(A131,Damodaran!$A:$A,0))="","",INDEX(Damodaran!$D:$D,MATCH(A131,Damodaran!$A:$A,0))),"")</f>
        <v/>
      </c>
      <c r="DI131" s="11" t="str">
        <f aca="false">IFERROR(IF(INDEX(Damodaran!$E:$E,MATCH(A131,Damodaran!$A:$A,0))="","",INDEX(Damodaran!$E:$E,MATCH(A131,Damodaran!$A:$A,0))),"")</f>
        <v/>
      </c>
      <c r="DJ131" s="11" t="str">
        <f aca="false">IFERROR(IF(INDEX(Damodaran!$G:$G,MATCH(A131,Damodaran!$A:$A,0))="","",INDEX(Damodaran!$G:$G,MATCH(A131,Damodaran!$A:$A,0))),"")</f>
        <v/>
      </c>
      <c r="DK131" s="11" t="str">
        <f aca="false">IF(ISNUMBER(BG131),(1+BG131/100)*(1+p_infl)-1,"")</f>
        <v/>
      </c>
      <c r="DL131" s="11" t="str">
        <f aca="false">IF(ISNUMBER(BH131),BH131/100,"")</f>
        <v/>
      </c>
      <c r="DM131" s="11" t="str">
        <f aca="false">IF(COUNT(DK131,DL131)=0,"",AVERAGE(DK131,DL131))</f>
        <v/>
      </c>
      <c r="DN131" s="11" t="str">
        <f aca="false">IF(OR(DH131="",DI131=""),"",p_dv*(p_rf+DH131)*(1-IF(DJ131="",p_tax_def,DJ131))+(1-p_dv)*(p_rf+p_beta*p_erp+p_lambda*DI131))</f>
        <v/>
      </c>
      <c r="DO131" s="13" t="n">
        <f aca="false">IF(AND(ISNUMBER(DM131),ISNUMBER(DN131)),1,0)</f>
        <v>0</v>
      </c>
      <c r="DP131" s="11" t="n">
        <f aca="false">IF(DO131=1,DM131,0)</f>
        <v>0</v>
      </c>
      <c r="DQ131" s="11" t="n">
        <f aca="false">IF(DO131=1,DN131,0)</f>
        <v>0</v>
      </c>
      <c r="DR131" s="11" t="str">
        <f aca="false">IF(DN131="","",DN131+p_shift)</f>
        <v/>
      </c>
      <c r="DS131" s="11" t="n">
        <f aca="false">IF(E131="AE",p_r_ae,IF(E131="China",p_r_chn,p_r_emdc))</f>
        <v>0.105</v>
      </c>
      <c r="DT131" s="11" t="n">
        <f aca="false">IF(E131="AE",p_rh_ae,IF(E131="China",p_rh_chn,p_rh_emdc))</f>
        <v>0.15</v>
      </c>
      <c r="DU131" s="11" t="n">
        <f aca="false">IF(AND(p_use_obs=1,ISNUMBER(DM131)),DM131,IF(AND(p_use_dam=1,ISNUMBER(DR131)),DR131,DS131))</f>
        <v>0.105</v>
      </c>
      <c r="DV131" s="6" t="str">
        <f aca="false">IF(AND(p_use_obs=1,ISNUMBER(DM131)),"Observed (IRENA/Steffen)",IF(AND(p_use_dam=1,ISNUMBER(DR131)),"Damodaran (eq. 5)","Group default (IHLEG)"))</f>
        <v>Group default (IHLEG)</v>
      </c>
      <c r="DW131" s="11" t="n">
        <f aca="false">IF(p_basis=1,(1+DU131)/(1+p_infl)-1,DU131)</f>
        <v>0.105</v>
      </c>
      <c r="DX131" s="11" t="n">
        <f aca="false">DW131+(DT131-DS131)</f>
        <v>0.15</v>
      </c>
      <c r="DY131" s="28" t="n">
        <f aca="false">IF(AND(p_use_pefa=1,ISNUMBER(BD131)),p_gap_lic-(BD131-1)/3*(p_gap_lic-p_gap_ae),IF(E131="AE",p_gap_ae,IF(D131="Low income",p_gap_lic,p_gap_em)))*(1-p_reform*p_reform_close)</f>
        <v>0.27</v>
      </c>
      <c r="DZ131" s="6" t="str">
        <f aca="false">IF(AND(p_use_pefa=1,ISNUMBER(BD131)),"PEFA PI-11","Income-group default (IMF 2015)")</f>
        <v>Income-group default (IMF 2015)</v>
      </c>
      <c r="EA131" s="28" t="n">
        <f aca="false">IF(E131="AE",p_ps_ae,IF(E131="China",p_ps_chn,p_ps_emdc))</f>
        <v>0.4</v>
      </c>
      <c r="EB131" s="37" t="n">
        <f aca="false">(1-EA131)+EA131/(1-DY131)</f>
        <v>1.14794520547945</v>
      </c>
      <c r="EC131" s="16" t="n">
        <f aca="false">Results_Country!F131</f>
        <v>1.40241100245406</v>
      </c>
      <c r="ED131" s="16" t="n">
        <f aca="false">IF(CH131="",0,CH131*EC131)</f>
        <v>244.465227770868</v>
      </c>
      <c r="EE131" s="16" t="n">
        <f aca="false">IF(CJ131="",0,CJ131*EC131)</f>
        <v>1.40633576000586</v>
      </c>
      <c r="EF131" s="16" t="n">
        <f aca="false">IF(CH131="",0,EC131)</f>
        <v>1.40241100245406</v>
      </c>
    </row>
    <row r="132" customFormat="false" ht="15" hidden="false" customHeight="false" outlineLevel="0" collapsed="false">
      <c r="A132" s="35" t="s">
        <v>1021</v>
      </c>
      <c r="B132" s="35" t="s">
        <v>1022</v>
      </c>
      <c r="C132" s="35" t="s">
        <v>847</v>
      </c>
      <c r="D132" s="35" t="s">
        <v>763</v>
      </c>
      <c r="E132" s="35" t="s">
        <v>31</v>
      </c>
      <c r="F132" s="36" t="n">
        <v>20.9</v>
      </c>
      <c r="G132" s="36" t="n">
        <v>54.693</v>
      </c>
      <c r="H132" s="33" t="n">
        <v>2.512</v>
      </c>
      <c r="I132" s="33" t="n">
        <v>2.665</v>
      </c>
      <c r="J132" s="36" t="n">
        <v>2.538952</v>
      </c>
      <c r="K132" s="36" t="n">
        <v>5.318</v>
      </c>
      <c r="L132" s="36" t="n">
        <v>19.77</v>
      </c>
      <c r="M132" s="36" t="n">
        <v>25.777</v>
      </c>
      <c r="N132" s="36" t="n">
        <v>1.12007948446062</v>
      </c>
      <c r="O132" s="36" t="n">
        <v>1.3694019585971</v>
      </c>
      <c r="P132" s="36" t="n">
        <v>0.0328695164157378</v>
      </c>
      <c r="Q132" s="31" t="n">
        <v>0.0045180375279677</v>
      </c>
      <c r="R132" s="31" t="n">
        <v>0.000102804112192289</v>
      </c>
      <c r="S132" s="31" t="n">
        <v>0.016151444330747</v>
      </c>
      <c r="T132" s="31" t="n">
        <v>0</v>
      </c>
      <c r="U132" s="31" t="n">
        <v>0</v>
      </c>
      <c r="V132" s="31" t="n">
        <v>0</v>
      </c>
      <c r="W132" s="31" t="n">
        <v>0</v>
      </c>
      <c r="X132" s="31" t="n">
        <v>0</v>
      </c>
      <c r="Y132" s="36" t="n">
        <v>0.0806712997389868</v>
      </c>
      <c r="Z132" s="36" t="n">
        <v>0.187252482855141</v>
      </c>
      <c r="AA132" s="36" t="n">
        <v>0.0979053262765005</v>
      </c>
      <c r="AB132" s="36" t="n">
        <v>0.0206287262799358</v>
      </c>
      <c r="AC132" s="36" t="n">
        <v>0.0887396279342478</v>
      </c>
      <c r="AD132" s="31" t="n">
        <v>0.810259</v>
      </c>
      <c r="AE132" s="31" t="n">
        <v>0.75554</v>
      </c>
      <c r="AF132" s="31" t="n">
        <v>0.54646</v>
      </c>
      <c r="AG132" s="31" t="n">
        <v>0.633882</v>
      </c>
      <c r="AH132" s="31" t="n">
        <v>0.519462891908447</v>
      </c>
      <c r="AI132" s="31" t="n">
        <v>7.124</v>
      </c>
      <c r="AJ132" s="31" t="n">
        <v>14.38774</v>
      </c>
      <c r="AK132" s="31" t="n">
        <v>5.575</v>
      </c>
      <c r="AL132" s="31" t="n">
        <v>9.02891333333333</v>
      </c>
      <c r="AM132" s="31" t="n">
        <v>6.853</v>
      </c>
      <c r="AN132" s="31" t="n">
        <v>12.77114</v>
      </c>
      <c r="AO132" s="31" t="n">
        <v>6.191</v>
      </c>
      <c r="AP132" s="31" t="n">
        <v>6.3675528502473</v>
      </c>
      <c r="AQ132" s="36" t="n">
        <v>0.0228977826672012</v>
      </c>
      <c r="AR132" s="36" t="n">
        <v>0.0113097297728046</v>
      </c>
      <c r="AS132" s="36" t="n">
        <v>0.0358622629816654</v>
      </c>
      <c r="AT132" s="36" t="n">
        <v>0.00299773605863674</v>
      </c>
      <c r="AU132" s="31" t="n">
        <v>0.52403965462127</v>
      </c>
      <c r="AV132" s="36" t="n">
        <v>0.216483</v>
      </c>
      <c r="AW132" s="31" t="n">
        <v>1.757932</v>
      </c>
      <c r="AX132" s="31" t="n">
        <v>0.004293</v>
      </c>
      <c r="AY132" s="31" t="n">
        <v>0.0421274903967392</v>
      </c>
      <c r="AZ132" s="31" t="n">
        <v>0.024427</v>
      </c>
      <c r="BA132" s="33" t="n">
        <v>70.879</v>
      </c>
      <c r="BB132" s="33" t="n">
        <v>15.164</v>
      </c>
      <c r="BC132" s="33" t="n">
        <v>66.819</v>
      </c>
      <c r="BD132" s="33" t="n">
        <v>1.5</v>
      </c>
      <c r="BE132" s="33" t="n">
        <v>1</v>
      </c>
      <c r="BF132" s="33" t="n">
        <v>0</v>
      </c>
      <c r="BG132" s="33"/>
      <c r="BH132" s="33"/>
      <c r="BI132" s="29"/>
      <c r="BJ132" s="33"/>
      <c r="BK132" s="33"/>
      <c r="BL132" s="33" t="n">
        <v>2.316</v>
      </c>
      <c r="BM132" s="33" t="n">
        <v>7.035</v>
      </c>
      <c r="BN132" s="29" t="n">
        <v>17.031</v>
      </c>
      <c r="BO132" s="33" t="n">
        <v>0.1</v>
      </c>
      <c r="BP132" s="33" t="n">
        <v>0.739</v>
      </c>
      <c r="BQ132" s="29" t="n">
        <v>2024</v>
      </c>
      <c r="BR132" s="36" t="n">
        <v>2.6</v>
      </c>
      <c r="BS132" s="36" t="n">
        <v>0</v>
      </c>
      <c r="BT132" s="36" t="n">
        <v>1.15</v>
      </c>
      <c r="BU132" s="36" t="n">
        <v>0.53</v>
      </c>
      <c r="BV132" s="16" t="n">
        <f aca="false">F132*(1+N(H132)/100)*(1+N(I132)/100)^5</f>
        <v>24.4361650703479</v>
      </c>
      <c r="BW132" s="16" t="n">
        <f aca="false">IF(N(G132)&gt;0,G132,F132)</f>
        <v>54.693</v>
      </c>
      <c r="BX132" s="12" t="n">
        <f aca="false">F132/BW132</f>
        <v>0.382132996910025</v>
      </c>
      <c r="BY132" s="13" t="n">
        <f aca="false">IF(ISNUMBER(K132),1,0)</f>
        <v>1</v>
      </c>
      <c r="BZ132" s="16" t="n">
        <f aca="false">IF(BY132=0,"",N(N132)+N(O132)+N(P132))</f>
        <v>2.52235095947345</v>
      </c>
      <c r="CA132" s="37" t="n">
        <f aca="false">IF(BY132=0,"",(N(Y132)*34.2+N(Z132)*38.6)/1000)</f>
        <v>0.00998690428928181</v>
      </c>
      <c r="CB132" s="37" t="n">
        <f aca="false">IF(BY132=0,"",N(O132)*0.0036+N(R132)+N(V132)+(N(AA132)*25.3+N(AB132)*37)/1000)</f>
        <v>0.00827291879029493</v>
      </c>
      <c r="CC132" s="37" t="n">
        <f aca="false">IF(BY132=0,"",N(N132)*0.0036+N(Q132)+N(U132)+N(T132)+N(X132)+N(AC132)*38/1000)</f>
        <v>0.0119224295335273</v>
      </c>
      <c r="CD132" s="37" t="n">
        <f aca="false">IF(BY132=0,"",N(Q132)+N(R132)+N(S132)+N(T132)+N(U132)+N(V132)+N(W132)+N(X132)+(N(Y132)*34.2+N(Z132)*38.6+N(AA132)*25.3+N(AB132)*37+N(AC132)*38)/1000)</f>
        <v>0.0373715637488433</v>
      </c>
      <c r="CE132" s="16" t="n">
        <f aca="false">IF(BY132=0,"",MAX(0,N(L132)-N(K132))+MAX(0,N(M132)-N(L132)))</f>
        <v>20.459</v>
      </c>
      <c r="CF132" s="16" t="n">
        <f aca="false">IF(BY132=0,"",N(Y132)*N(AD132)+N(Z132)*N(AE132)+N(AA132)*N(AF132)+N(AB132)*N(AG132)+N(AC132)*N(AH132)+N(U132)*N(AI132)+N(V132)*N(AJ132)+N(W132)*N(AK132)+N(X132)*N(AL132)+N(Q132)*N(AM132)+N(R132)*N(AN132)+N(S132)*N(AO132)+N(T132)*N(AP132))</f>
        <v>0.451784482914225</v>
      </c>
      <c r="CG132" s="16" t="n">
        <f aca="false">IF(AND(BY132=1,N(K132)&gt;0),K132,0)</f>
        <v>5.318</v>
      </c>
      <c r="CH132" s="16" t="n">
        <f aca="false">IF(CG132&gt;0,CF132*1000/CG132,"")</f>
        <v>84.9538328157624</v>
      </c>
      <c r="CI132" s="16" t="n">
        <f aca="false">IF(BY132=0,"",N(AQ132)+p_road*(N(AR132)+N(AS132)+N(AT132)))</f>
        <v>0.0228977826672012</v>
      </c>
      <c r="CJ132" s="16" t="n">
        <f aca="false">IF(CG132&gt;0,CI132*1000/CG132,"")</f>
        <v>4.30571317547973</v>
      </c>
      <c r="CK132" s="12" t="n">
        <f aca="false">IF(CH132="",1,MIN(p_idx_max,MAX(p_idx_min,CH132/p_fc_world)))</f>
        <v>0.527639487360625</v>
      </c>
      <c r="CL132" s="12" t="n">
        <f aca="false">IF(CJ132="",1,MIN(p_idx_max,MAX(p_idx_min,CJ132/p_cb_world)))</f>
        <v>0.25</v>
      </c>
      <c r="CM132" s="37" t="n">
        <f aca="false">p_b*(1-p_wb_idx+p_wb_idx*CK132)</f>
        <v>0.0701760518189631</v>
      </c>
      <c r="CN132" s="37" t="n">
        <f aca="false">p_c*(1-p_wc_idx+p_wc_idx*CL132)</f>
        <v>0.03225</v>
      </c>
      <c r="CO132" s="28" t="n">
        <f aca="false">IF(N(BR132)&gt;0,(N(BS132)+N(BT132)+N(BU132))/BR132,"")</f>
        <v>0.646153846153846</v>
      </c>
      <c r="CP132" s="16" t="n">
        <f aca="false">N(BS132)+N(BT132)+N(BU132)</f>
        <v>1.68</v>
      </c>
      <c r="CQ132" s="28" t="n">
        <f aca="false">IF(CP132&gt;0,N(BS132)/CP132,"")</f>
        <v>0</v>
      </c>
      <c r="CR132" s="28" t="n">
        <f aca="false">IF(CP132&gt;0,N(BT132)/CP132,"")</f>
        <v>0.68452380952381</v>
      </c>
      <c r="CS132" s="28" t="n">
        <f aca="false">IF(CP132&gt;0,N(BU132)/CP132,"")</f>
        <v>0.315476190476191</v>
      </c>
      <c r="CT132" s="7" t="n">
        <f aca="false">1000*(p_sh_pv*p_cf_pv/p_capex_pv+(1-p_sh_pv)*p_cf_wind/p_capex_wind)*8760</f>
        <v>2301.28856624319</v>
      </c>
      <c r="CU132" s="13" t="n">
        <f aca="false">IF(AND(ISNUMBER(CO132),ISNUMBER(CQ132),BY132=1),1,0)</f>
        <v>1</v>
      </c>
      <c r="CV132" s="16" t="n">
        <f aca="false">IF(CU132=0,"",CQ132*p_hr_coal*N(AK132)+CR132*p_hr_gas*N(AO132)+CS132*p_hr_oil*N(AH132)/p_gj_l_oil)</f>
        <v>76.3624116159405</v>
      </c>
      <c r="CW132" s="37" t="n">
        <f aca="false">IF(CU132=0,"",CQ132*p_hr_coal*p_ef_coal+CR132*p_hr_gas*p_ef_gas+CS132*p_hr_oil*p_ef_oil)</f>
        <v>0.544400892857143</v>
      </c>
      <c r="CX132" s="16" t="n">
        <f aca="false">IF(CU132=0,"",CQ132*p_hr_coal*N(AW132)+CR132*p_hr_gas*N(AX132)+CS132*p_hr_oil*N(AY132)/p_gj_l_oil)</f>
        <v>3.63725529056954</v>
      </c>
      <c r="CY132" s="37" t="n">
        <f aca="false">IF(CU132=0,"",CO132*CW132)</f>
        <v>0.351766730769231</v>
      </c>
      <c r="CZ132" s="37" t="n">
        <f aca="false">IF(CU132=0,"",CT132*CO132*CV132/1000/1000-p_om_re)</f>
        <v>0.0985498719874746</v>
      </c>
      <c r="DA132" s="37" t="n">
        <f aca="false">IF(CU132=0,"",CT132*CO132*CX132/1000/1000)</f>
        <v>0.00540854936204923</v>
      </c>
      <c r="DB132" s="37" t="n">
        <f aca="false">IF(CU132=0,"",CT132*CO132*CW132/1000)</f>
        <v>0.809516755503979</v>
      </c>
      <c r="DC132" s="13" t="n">
        <f aca="false">IF(AND(CU132=1,ISNUMBER(AD132),ISNUMBER(AV132)),1,0)</f>
        <v>1</v>
      </c>
      <c r="DD132" s="7" t="n">
        <f aca="false">IF(DC132=0,"",p_ev_km*p_ice_l/100*AD132-p_ev_km*p_ev_kwh*AV132+p_ev_km*p_ev_maint)</f>
        <v>507.037275</v>
      </c>
      <c r="DE132" s="37" t="n">
        <f aca="false">IF(DC132=0,"",DD132/p_ev_prem)</f>
        <v>0.101407455</v>
      </c>
      <c r="DF132" s="37" t="n">
        <f aca="false">IF(DC132=0,"",p_ev_km*p_ice_l/100*N(AZ132)/p_ev_prem)</f>
        <v>0.005496075</v>
      </c>
      <c r="DG132" s="37" t="n">
        <f aca="false">IF(DC132=0,"",1000/p_ev_prem*(p_ev_km*p_ice_l/100*p_gj_l_gso*p_ef_gso-p_ev_km*p_ev_kwh/1000*CY132))</f>
        <v>0.343309465384615</v>
      </c>
      <c r="DH132" s="11" t="str">
        <f aca="false">IFERROR(IF(INDEX(Damodaran!$D:$D,MATCH(A132,Damodaran!$A:$A,0))="","",INDEX(Damodaran!$D:$D,MATCH(A132,Damodaran!$A:$A,0))),"")</f>
        <v/>
      </c>
      <c r="DI132" s="11" t="str">
        <f aca="false">IFERROR(IF(INDEX(Damodaran!$E:$E,MATCH(A132,Damodaran!$A:$A,0))="","",INDEX(Damodaran!$E:$E,MATCH(A132,Damodaran!$A:$A,0))),"")</f>
        <v/>
      </c>
      <c r="DJ132" s="11" t="str">
        <f aca="false">IFERROR(IF(INDEX(Damodaran!$G:$G,MATCH(A132,Damodaran!$A:$A,0))="","",INDEX(Damodaran!$G:$G,MATCH(A132,Damodaran!$A:$A,0))),"")</f>
        <v/>
      </c>
      <c r="DK132" s="11" t="str">
        <f aca="false">IF(ISNUMBER(BG132),(1+BG132/100)*(1+p_infl)-1,"")</f>
        <v/>
      </c>
      <c r="DL132" s="11" t="str">
        <f aca="false">IF(ISNUMBER(BH132),BH132/100,"")</f>
        <v/>
      </c>
      <c r="DM132" s="11" t="str">
        <f aca="false">IF(COUNT(DK132,DL132)=0,"",AVERAGE(DK132,DL132))</f>
        <v/>
      </c>
      <c r="DN132" s="11" t="str">
        <f aca="false">IF(OR(DH132="",DI132=""),"",p_dv*(p_rf+DH132)*(1-IF(DJ132="",p_tax_def,DJ132))+(1-p_dv)*(p_rf+p_beta*p_erp+p_lambda*DI132))</f>
        <v/>
      </c>
      <c r="DO132" s="13" t="n">
        <f aca="false">IF(AND(ISNUMBER(DM132),ISNUMBER(DN132)),1,0)</f>
        <v>0</v>
      </c>
      <c r="DP132" s="11" t="n">
        <f aca="false">IF(DO132=1,DM132,0)</f>
        <v>0</v>
      </c>
      <c r="DQ132" s="11" t="n">
        <f aca="false">IF(DO132=1,DN132,0)</f>
        <v>0</v>
      </c>
      <c r="DR132" s="11" t="str">
        <f aca="false">IF(DN132="","",DN132+p_shift)</f>
        <v/>
      </c>
      <c r="DS132" s="11" t="n">
        <f aca="false">IF(E132="AE",p_r_ae,IF(E132="China",p_r_chn,p_r_emdc))</f>
        <v>0.105</v>
      </c>
      <c r="DT132" s="11" t="n">
        <f aca="false">IF(E132="AE",p_rh_ae,IF(E132="China",p_rh_chn,p_rh_emdc))</f>
        <v>0.15</v>
      </c>
      <c r="DU132" s="11" t="n">
        <f aca="false">IF(AND(p_use_obs=1,ISNUMBER(DM132)),DM132,IF(AND(p_use_dam=1,ISNUMBER(DR132)),DR132,DS132))</f>
        <v>0.105</v>
      </c>
      <c r="DV132" s="6" t="str">
        <f aca="false">IF(AND(p_use_obs=1,ISNUMBER(DM132)),"Observed (IRENA/Steffen)",IF(AND(p_use_dam=1,ISNUMBER(DR132)),"Damodaran (eq. 5)","Group default (IHLEG)"))</f>
        <v>Group default (IHLEG)</v>
      </c>
      <c r="DW132" s="11" t="n">
        <f aca="false">IF(p_basis=1,(1+DU132)/(1+p_infl)-1,DU132)</f>
        <v>0.105</v>
      </c>
      <c r="DX132" s="11" t="n">
        <f aca="false">DW132+(DT132-DS132)</f>
        <v>0.15</v>
      </c>
      <c r="DY132" s="28" t="n">
        <f aca="false">IF(AND(p_use_pefa=1,ISNUMBER(BD132)),p_gap_lic-(BD132-1)/3*(p_gap_lic-p_gap_ae),IF(E132="AE",p_gap_ae,IF(D132="Low income",p_gap_lic,p_gap_em)))*(1-p_reform*p_reform_close)</f>
        <v>0.355</v>
      </c>
      <c r="DZ132" s="6" t="str">
        <f aca="false">IF(AND(p_use_pefa=1,ISNUMBER(BD132)),"PEFA PI-11","Income-group default (IMF 2015)")</f>
        <v>PEFA PI-11</v>
      </c>
      <c r="EA132" s="28" t="n">
        <f aca="false">IF(E132="AE",p_ps_ae,IF(E132="China",p_ps_chn,p_ps_emdc))</f>
        <v>0.4</v>
      </c>
      <c r="EB132" s="37" t="n">
        <f aca="false">(1-EA132)+EA132/(1-DY132)</f>
        <v>1.22015503875969</v>
      </c>
      <c r="EC132" s="16" t="n">
        <f aca="false">Results_Country!F132</f>
        <v>1.24196007685456</v>
      </c>
      <c r="ED132" s="16" t="n">
        <f aca="false">IF(CH132="",0,CH132*EC132)</f>
        <v>105.509268732954</v>
      </c>
      <c r="EE132" s="16" t="n">
        <f aca="false">IF(CJ132="",0,CJ132*EC132)</f>
        <v>5.34752386633249</v>
      </c>
      <c r="EF132" s="16" t="n">
        <f aca="false">IF(CH132="",0,EC132)</f>
        <v>1.24196007685456</v>
      </c>
    </row>
    <row r="133" customFormat="false" ht="15" hidden="false" customHeight="false" outlineLevel="0" collapsed="false">
      <c r="A133" s="35" t="s">
        <v>1023</v>
      </c>
      <c r="B133" s="35" t="s">
        <v>1024</v>
      </c>
      <c r="C133" s="35" t="s">
        <v>847</v>
      </c>
      <c r="D133" s="35" t="s">
        <v>888</v>
      </c>
      <c r="E133" s="35" t="s">
        <v>31</v>
      </c>
      <c r="F133" s="36" t="n">
        <v>20.656</v>
      </c>
      <c r="G133" s="36" t="n">
        <v>57.339</v>
      </c>
      <c r="H133" s="33" t="n">
        <v>5.606</v>
      </c>
      <c r="I133" s="33" t="n">
        <v>5.23</v>
      </c>
      <c r="J133" s="36" t="n">
        <v>20.299123</v>
      </c>
      <c r="K133" s="36" t="n">
        <v>1.868</v>
      </c>
      <c r="L133" s="36" t="n">
        <v>93.053</v>
      </c>
      <c r="M133" s="36" t="n">
        <v>116.278</v>
      </c>
      <c r="N133" s="36" t="n">
        <v>0.149907557781093</v>
      </c>
      <c r="O133" s="36" t="n">
        <v>0.0987541511965973</v>
      </c>
      <c r="P133" s="36" t="n">
        <v>0.0338684769900709</v>
      </c>
      <c r="Q133" s="31" t="n">
        <v>0</v>
      </c>
      <c r="R133" s="31" t="n">
        <v>0</v>
      </c>
      <c r="S133" s="31" t="n">
        <v>0</v>
      </c>
      <c r="T133" s="31" t="n">
        <v>0</v>
      </c>
      <c r="U133" s="31" t="n">
        <v>0</v>
      </c>
      <c r="V133" s="31" t="n">
        <v>0</v>
      </c>
      <c r="W133" s="31" t="n">
        <v>0</v>
      </c>
      <c r="X133" s="31" t="n">
        <v>0</v>
      </c>
      <c r="Y133" s="36" t="n">
        <v>0.18807426763088</v>
      </c>
      <c r="Z133" s="36" t="n">
        <v>0.177866572798474</v>
      </c>
      <c r="AA133" s="36" t="n">
        <v>0.103630097526002</v>
      </c>
      <c r="AB133" s="36" t="n">
        <v>0.0123785820086377</v>
      </c>
      <c r="AC133" s="36" t="n">
        <v>0.249040571558201</v>
      </c>
      <c r="AD133" s="31" t="n">
        <v>0.683527</v>
      </c>
      <c r="AE133" s="31" t="n">
        <v>0.805424</v>
      </c>
      <c r="AF133" s="31" t="n">
        <v>0.60534</v>
      </c>
      <c r="AG133" s="31" t="n">
        <v>0.93456</v>
      </c>
      <c r="AH133" s="31" t="n">
        <v>0.519462891908447</v>
      </c>
      <c r="AI133" s="31" t="n">
        <v>7.124</v>
      </c>
      <c r="AJ133" s="31" t="n">
        <v>14.38774</v>
      </c>
      <c r="AK133" s="31" t="n">
        <v>5.575</v>
      </c>
      <c r="AL133" s="31" t="n">
        <v>9.02891333333333</v>
      </c>
      <c r="AM133" s="31" t="n">
        <v>12.815</v>
      </c>
      <c r="AN133" s="31" t="n">
        <v>24.49326</v>
      </c>
      <c r="AO133" s="31" t="n">
        <v>11.492</v>
      </c>
      <c r="AP133" s="31" t="n">
        <v>16.2667533333333</v>
      </c>
      <c r="AQ133" s="36" t="n">
        <v>3.43279498044314E-005</v>
      </c>
      <c r="AR133" s="36" t="n">
        <v>0</v>
      </c>
      <c r="AS133" s="36" t="n">
        <v>0</v>
      </c>
      <c r="AT133" s="36" t="n">
        <v>0</v>
      </c>
      <c r="AU133" s="31" t="n">
        <v>0.168928553183609</v>
      </c>
      <c r="AV133" s="36" t="n">
        <v>0.48852</v>
      </c>
      <c r="AW133" s="31" t="n">
        <v>0.05866</v>
      </c>
      <c r="AX133" s="31" t="n">
        <v>0.000218</v>
      </c>
      <c r="AY133" s="31" t="n">
        <v>0.000105818227814017</v>
      </c>
      <c r="AZ133" s="31" t="n">
        <v>0.000405</v>
      </c>
      <c r="BA133" s="33" t="n">
        <v>31.427</v>
      </c>
      <c r="BB133" s="33" t="n">
        <v>7.362</v>
      </c>
      <c r="BC133" s="33"/>
      <c r="BD133" s="33" t="n">
        <v>1.5</v>
      </c>
      <c r="BE133" s="33" t="n">
        <v>2</v>
      </c>
      <c r="BF133" s="33" t="n">
        <v>0</v>
      </c>
      <c r="BG133" s="33"/>
      <c r="BH133" s="33"/>
      <c r="BI133" s="29"/>
      <c r="BJ133" s="33"/>
      <c r="BK133" s="33"/>
      <c r="BL133" s="33"/>
      <c r="BM133" s="33"/>
      <c r="BN133" s="29" t="n">
        <v>18.06</v>
      </c>
      <c r="BO133" s="33" t="n">
        <v>0.826</v>
      </c>
      <c r="BP133" s="33" t="n">
        <v>0.263</v>
      </c>
      <c r="BQ133" s="29" t="n">
        <v>2024</v>
      </c>
      <c r="BR133" s="36" t="n">
        <v>0.37</v>
      </c>
      <c r="BS133" s="36" t="n">
        <v>0</v>
      </c>
      <c r="BT133" s="36" t="n">
        <v>0</v>
      </c>
      <c r="BU133" s="36" t="n">
        <v>0.35</v>
      </c>
      <c r="BV133" s="16" t="n">
        <f aca="false">F133*(1+N(H133)/100)*(1+N(I133)/100)^5</f>
        <v>28.1470361072419</v>
      </c>
      <c r="BW133" s="16" t="n">
        <f aca="false">IF(N(G133)&gt;0,G133,F133)</f>
        <v>57.339</v>
      </c>
      <c r="BX133" s="12" t="n">
        <f aca="false">F133/BW133</f>
        <v>0.36024346430876</v>
      </c>
      <c r="BY133" s="13" t="n">
        <f aca="false">IF(ISNUMBER(K133),1,0)</f>
        <v>1</v>
      </c>
      <c r="BZ133" s="16" t="n">
        <f aca="false">IF(BY133=0,"",N(N133)+N(O133)+N(P133))</f>
        <v>0.282530185967761</v>
      </c>
      <c r="CA133" s="37" t="n">
        <f aca="false">IF(BY133=0,"",(N(Y133)*34.2+N(Z133)*38.6)/1000)</f>
        <v>0.0132977896629972</v>
      </c>
      <c r="CB133" s="37" t="n">
        <f aca="false">IF(BY133=0,"",N(O133)*0.0036+N(R133)+N(V133)+(N(AA133)*25.3+N(AB133)*37)/1000)</f>
        <v>0.00343536394603518</v>
      </c>
      <c r="CC133" s="37" t="n">
        <f aca="false">IF(BY133=0,"",N(N133)*0.0036+N(Q133)+N(U133)+N(T133)+N(X133)+N(AC133)*38/1000)</f>
        <v>0.0100032089272236</v>
      </c>
      <c r="CD133" s="37" t="n">
        <f aca="false">IF(BY133=0,"",N(Q133)+N(R133)+N(S133)+N(T133)+N(U133)+N(V133)+N(W133)+N(X133)+(N(Y133)*34.2+N(Z133)*38.6+N(AA133)*25.3+N(AB133)*37+N(AC133)*38)/1000)</f>
        <v>0.0258411803839363</v>
      </c>
      <c r="CE133" s="16" t="n">
        <f aca="false">IF(BY133=0,"",MAX(0,N(L133)-N(K133))+MAX(0,N(M133)-N(L133)))</f>
        <v>114.41</v>
      </c>
      <c r="CF133" s="16" t="n">
        <f aca="false">IF(BY133=0,"",N(Y133)*N(AD133)+N(Z133)*N(AE133)+N(AA133)*N(AF133)+N(AB133)*N(AG133)+N(AC133)*N(AH133)+N(U133)*N(AI133)+N(V133)*N(AJ133)+N(W133)*N(AK133)+N(X133)*N(AL133)+N(Q133)*N(AM133)+N(R133)*N(AN133)+N(S133)*N(AO133)+N(T133)*N(AP133))</f>
        <v>0.475479152803108</v>
      </c>
      <c r="CG133" s="16" t="n">
        <f aca="false">IF(AND(BY133=1,N(K133)&gt;0),K133,0)</f>
        <v>1.868</v>
      </c>
      <c r="CH133" s="16" t="n">
        <f aca="false">IF(CG133&gt;0,CF133*1000/CG133,"")</f>
        <v>254.539161029501</v>
      </c>
      <c r="CI133" s="16" t="n">
        <f aca="false">IF(BY133=0,"",N(AQ133)+p_road*(N(AR133)+N(AS133)+N(AT133)))</f>
        <v>3.43279498044314E-005</v>
      </c>
      <c r="CJ133" s="16" t="n">
        <f aca="false">IF(CG133&gt;0,CI133*1000/CG133,"")</f>
        <v>0.0183768467903808</v>
      </c>
      <c r="CK133" s="12" t="n">
        <f aca="false">IF(CH133="",1,MIN(p_idx_max,MAX(p_idx_min,CH133/p_fc_world)))</f>
        <v>1.5809164576491</v>
      </c>
      <c r="CL133" s="12" t="n">
        <f aca="false">IF(CJ133="",1,MIN(p_idx_max,MAX(p_idx_min,CJ133/p_cb_world)))</f>
        <v>0.25</v>
      </c>
      <c r="CM133" s="37" t="n">
        <f aca="false">p_b*(1-p_wb_idx+p_wb_idx*CK133)</f>
        <v>0.210261888867331</v>
      </c>
      <c r="CN133" s="37" t="n">
        <f aca="false">p_c*(1-p_wc_idx+p_wc_idx*CL133)</f>
        <v>0.03225</v>
      </c>
      <c r="CO133" s="28" t="n">
        <f aca="false">IF(N(BR133)&gt;0,(N(BS133)+N(BT133)+N(BU133))/BR133,"")</f>
        <v>0.945945945945946</v>
      </c>
      <c r="CP133" s="16" t="n">
        <f aca="false">N(BS133)+N(BT133)+N(BU133)</f>
        <v>0.35</v>
      </c>
      <c r="CQ133" s="28" t="n">
        <f aca="false">IF(CP133&gt;0,N(BS133)/CP133,"")</f>
        <v>0</v>
      </c>
      <c r="CR133" s="28" t="n">
        <f aca="false">IF(CP133&gt;0,N(BT133)/CP133,"")</f>
        <v>0</v>
      </c>
      <c r="CS133" s="28" t="n">
        <f aca="false">IF(CP133&gt;0,N(BU133)/CP133,"")</f>
        <v>1</v>
      </c>
      <c r="CT133" s="7" t="n">
        <f aca="false">1000*(p_sh_pv*p_cf_pv/p_capex_pv+(1-p_sh_pv)*p_cf_wind/p_capex_wind)*8760</f>
        <v>2301.28856624319</v>
      </c>
      <c r="CU133" s="13" t="n">
        <f aca="false">IF(AND(ISNUMBER(CO133),ISNUMBER(CQ133),BY133=1),1,0)</f>
        <v>1</v>
      </c>
      <c r="CV133" s="16" t="n">
        <f aca="false">IF(CU133=0,"",CQ133*p_hr_coal*N(AK133)+CR133*p_hr_gas*N(AO133)+CS133*p_hr_oil*N(AH133)/p_gj_l_oil)</f>
        <v>141.304672669396</v>
      </c>
      <c r="CW133" s="37" t="n">
        <f aca="false">IF(CU133=0,"",CQ133*p_hr_coal*p_ef_coal+CR133*p_hr_gas*p_ef_gas+CS133*p_hr_oil*p_ef_oil)</f>
        <v>0.8127</v>
      </c>
      <c r="CX133" s="16" t="n">
        <f aca="false">IF(CU133=0,"",CQ133*p_hr_coal*N(AW133)+CR133*p_hr_gas*N(AX133)+CS133*p_hr_oil*N(AY133)/p_gj_l_oil)</f>
        <v>0.028784751089305</v>
      </c>
      <c r="CY133" s="37" t="n">
        <f aca="false">IF(CU133=0,"",CO133*CW133)</f>
        <v>0.76877027027027</v>
      </c>
      <c r="CZ133" s="37" t="n">
        <f aca="false">IF(CU133=0,"",CT133*CO133*CV133/1000/1000-p_om_re)</f>
        <v>0.292605377431855</v>
      </c>
      <c r="DA133" s="37" t="n">
        <f aca="false">IF(CU133=0,"",CT133*CO133*CX133/1000/1000)</f>
        <v>6.26613689118673E-005</v>
      </c>
      <c r="DB133" s="37" t="n">
        <f aca="false">IF(CU133=0,"",CT133*CO133*CW133/1000)</f>
        <v>1.76916223304066</v>
      </c>
      <c r="DC133" s="13" t="n">
        <f aca="false">IF(AND(CU133=1,ISNUMBER(AD133),ISNUMBER(AV133)),1,0)</f>
        <v>1</v>
      </c>
      <c r="DD133" s="7" t="n">
        <f aca="false">IF(DC133=0,"",p_ev_km*p_ice_l/100*AD133-p_ev_km*p_ev_kwh*AV133+p_ev_km*p_ev_maint)</f>
        <v>-370.036125</v>
      </c>
      <c r="DE133" s="37" t="n">
        <f aca="false">IF(DC133=0,"",DD133/p_ev_prem)</f>
        <v>-0.074007225</v>
      </c>
      <c r="DF133" s="37" t="n">
        <f aca="false">IF(DC133=0,"",p_ev_km*p_ice_l/100*N(AZ133)/p_ev_prem)</f>
        <v>9.1125E-005</v>
      </c>
      <c r="DG133" s="37" t="n">
        <f aca="false">IF(DC133=0,"",1000/p_ev_prem*(p_ev_km*p_ice_l/100*p_gj_l_gso*p_ef_gso-p_ev_km*p_ev_kwh/1000*CY133))</f>
        <v>0.118127554054054</v>
      </c>
      <c r="DH133" s="11" t="str">
        <f aca="false">IFERROR(IF(INDEX(Damodaran!$D:$D,MATCH(A133,Damodaran!$A:$A,0))="","",INDEX(Damodaran!$D:$D,MATCH(A133,Damodaran!$A:$A,0))),"")</f>
        <v/>
      </c>
      <c r="DI133" s="11" t="str">
        <f aca="false">IFERROR(IF(INDEX(Damodaran!$E:$E,MATCH(A133,Damodaran!$A:$A,0))="","",INDEX(Damodaran!$E:$E,MATCH(A133,Damodaran!$A:$A,0))),"")</f>
        <v/>
      </c>
      <c r="DJ133" s="11" t="str">
        <f aca="false">IFERROR(IF(INDEX(Damodaran!$G:$G,MATCH(A133,Damodaran!$A:$A,0))="","",INDEX(Damodaran!$G:$G,MATCH(A133,Damodaran!$A:$A,0))),"")</f>
        <v/>
      </c>
      <c r="DK133" s="11" t="str">
        <f aca="false">IF(ISNUMBER(BG133),(1+BG133/100)*(1+p_infl)-1,"")</f>
        <v/>
      </c>
      <c r="DL133" s="11" t="str">
        <f aca="false">IF(ISNUMBER(BH133),BH133/100,"")</f>
        <v/>
      </c>
      <c r="DM133" s="11" t="str">
        <f aca="false">IF(COUNT(DK133,DL133)=0,"",AVERAGE(DK133,DL133))</f>
        <v/>
      </c>
      <c r="DN133" s="11" t="str">
        <f aca="false">IF(OR(DH133="",DI133=""),"",p_dv*(p_rf+DH133)*(1-IF(DJ133="",p_tax_def,DJ133))+(1-p_dv)*(p_rf+p_beta*p_erp+p_lambda*DI133))</f>
        <v/>
      </c>
      <c r="DO133" s="13" t="n">
        <f aca="false">IF(AND(ISNUMBER(DM133),ISNUMBER(DN133)),1,0)</f>
        <v>0</v>
      </c>
      <c r="DP133" s="11" t="n">
        <f aca="false">IF(DO133=1,DM133,0)</f>
        <v>0</v>
      </c>
      <c r="DQ133" s="11" t="n">
        <f aca="false">IF(DO133=1,DN133,0)</f>
        <v>0</v>
      </c>
      <c r="DR133" s="11" t="str">
        <f aca="false">IF(DN133="","",DN133+p_shift)</f>
        <v/>
      </c>
      <c r="DS133" s="11" t="n">
        <f aca="false">IF(E133="AE",p_r_ae,IF(E133="China",p_r_chn,p_r_emdc))</f>
        <v>0.105</v>
      </c>
      <c r="DT133" s="11" t="n">
        <f aca="false">IF(E133="AE",p_rh_ae,IF(E133="China",p_rh_chn,p_rh_emdc))</f>
        <v>0.15</v>
      </c>
      <c r="DU133" s="11" t="n">
        <f aca="false">IF(AND(p_use_obs=1,ISNUMBER(DM133)),DM133,IF(AND(p_use_dam=1,ISNUMBER(DR133)),DR133,DS133))</f>
        <v>0.105</v>
      </c>
      <c r="DV133" s="6" t="str">
        <f aca="false">IF(AND(p_use_obs=1,ISNUMBER(DM133)),"Observed (IRENA/Steffen)",IF(AND(p_use_dam=1,ISNUMBER(DR133)),"Damodaran (eq. 5)","Group default (IHLEG)"))</f>
        <v>Group default (IHLEG)</v>
      </c>
      <c r="DW133" s="11" t="n">
        <f aca="false">IF(p_basis=1,(1+DU133)/(1+p_infl)-1,DU133)</f>
        <v>0.105</v>
      </c>
      <c r="DX133" s="11" t="n">
        <f aca="false">DW133+(DT133-DS133)</f>
        <v>0.15</v>
      </c>
      <c r="DY133" s="28" t="n">
        <f aca="false">IF(AND(p_use_pefa=1,ISNUMBER(BD133)),p_gap_lic-(BD133-1)/3*(p_gap_lic-p_gap_ae),IF(E133="AE",p_gap_ae,IF(D133="Low income",p_gap_lic,p_gap_em)))*(1-p_reform*p_reform_close)</f>
        <v>0.355</v>
      </c>
      <c r="DZ133" s="6" t="str">
        <f aca="false">IF(AND(p_use_pefa=1,ISNUMBER(BD133)),"PEFA PI-11","Income-group default (IMF 2015)")</f>
        <v>PEFA PI-11</v>
      </c>
      <c r="EA133" s="28" t="n">
        <f aca="false">IF(E133="AE",p_ps_ae,IF(E133="China",p_ps_chn,p_ps_emdc))</f>
        <v>0.4</v>
      </c>
      <c r="EB133" s="37" t="n">
        <f aca="false">(1-EA133)+EA133/(1-DY133)</f>
        <v>1.22015503875969</v>
      </c>
      <c r="EC133" s="16" t="n">
        <f aca="false">Results_Country!F133</f>
        <v>2.49541363203424</v>
      </c>
      <c r="ED133" s="16" t="n">
        <f aca="false">IF(CH133="",0,CH133*EC133)</f>
        <v>635.180492319576</v>
      </c>
      <c r="EE133" s="16" t="n">
        <f aca="false">IF(CJ133="",0,CJ133*EC133)</f>
        <v>0.045857833994521</v>
      </c>
      <c r="EF133" s="16" t="n">
        <f aca="false">IF(CH133="",0,EC133)</f>
        <v>2.49541363203424</v>
      </c>
    </row>
    <row r="134" customFormat="false" ht="15" hidden="false" customHeight="false" outlineLevel="0" collapsed="false">
      <c r="A134" s="35" t="s">
        <v>1025</v>
      </c>
      <c r="B134" s="35" t="s">
        <v>1026</v>
      </c>
      <c r="C134" s="35" t="s">
        <v>847</v>
      </c>
      <c r="D134" s="35" t="s">
        <v>888</v>
      </c>
      <c r="E134" s="35" t="s">
        <v>31</v>
      </c>
      <c r="F134" s="36" t="n">
        <v>19.866</v>
      </c>
      <c r="G134" s="36" t="n">
        <v>55.862</v>
      </c>
      <c r="H134" s="33" t="n">
        <v>6.9</v>
      </c>
      <c r="I134" s="33" t="n">
        <v>6.728</v>
      </c>
      <c r="J134" s="36" t="n">
        <v>27.032412</v>
      </c>
      <c r="K134" s="36" t="n">
        <v>2.672</v>
      </c>
      <c r="L134" s="36" t="n">
        <v>44.807</v>
      </c>
      <c r="M134" s="36" t="n">
        <v>45.989</v>
      </c>
      <c r="N134" s="36" t="n">
        <v>0.749884928224066</v>
      </c>
      <c r="O134" s="36" t="n">
        <v>0.967048798765203</v>
      </c>
      <c r="P134" s="36" t="n">
        <v>0</v>
      </c>
      <c r="Q134" s="31" t="n">
        <v>0.000205502248679163</v>
      </c>
      <c r="R134" s="31" t="n">
        <v>0</v>
      </c>
      <c r="S134" s="31" t="n">
        <v>0.00494108891510105</v>
      </c>
      <c r="T134" s="31" t="n">
        <v>0</v>
      </c>
      <c r="U134" s="31" t="n">
        <v>0</v>
      </c>
      <c r="V134" s="31" t="n">
        <v>2.22305747061932E-005</v>
      </c>
      <c r="W134" s="31" t="n">
        <v>0.00477952732585105</v>
      </c>
      <c r="X134" s="31" t="n">
        <v>0</v>
      </c>
      <c r="Y134" s="36" t="n">
        <v>0.329845061017238</v>
      </c>
      <c r="Z134" s="36" t="n">
        <v>0.245237133968341</v>
      </c>
      <c r="AA134" s="36" t="n">
        <v>0.159373026569616</v>
      </c>
      <c r="AB134" s="36" t="n">
        <v>0.00631933771009048</v>
      </c>
      <c r="AC134" s="36" t="n">
        <v>0.0646157624734949</v>
      </c>
      <c r="AD134" s="31" t="n">
        <v>0.86156</v>
      </c>
      <c r="AE134" s="31" t="n">
        <v>0.778842</v>
      </c>
      <c r="AF134" s="31" t="n">
        <v>0.564413</v>
      </c>
      <c r="AG134" s="31" t="n">
        <v>0.70329</v>
      </c>
      <c r="AH134" s="31" t="n">
        <v>0.519462891908447</v>
      </c>
      <c r="AI134" s="31" t="n">
        <v>3.373</v>
      </c>
      <c r="AJ134" s="31" t="n">
        <v>6.37602</v>
      </c>
      <c r="AK134" s="31" t="n">
        <v>2.049</v>
      </c>
      <c r="AL134" s="31" t="n">
        <v>2.06903269289233</v>
      </c>
      <c r="AM134" s="31" t="n">
        <v>6.853</v>
      </c>
      <c r="AN134" s="31" t="n">
        <v>12.87937</v>
      </c>
      <c r="AO134" s="31" t="n">
        <v>6.191</v>
      </c>
      <c r="AP134" s="31" t="n">
        <v>6.21743351381455</v>
      </c>
      <c r="AQ134" s="36" t="n">
        <v>6.53532387435124E-005</v>
      </c>
      <c r="AR134" s="36" t="n">
        <v>0.0089386161715179</v>
      </c>
      <c r="AS134" s="36" t="n">
        <v>0.107413118368448</v>
      </c>
      <c r="AT134" s="36" t="n">
        <v>0.0147237269940649</v>
      </c>
      <c r="AU134" s="31" t="n">
        <v>0.18676874589793</v>
      </c>
      <c r="AV134" s="36" t="n">
        <v>0.246654</v>
      </c>
      <c r="AW134" s="31" t="n">
        <v>0.001886</v>
      </c>
      <c r="AX134" s="31" t="n">
        <v>0</v>
      </c>
      <c r="AY134" s="31" t="n">
        <v>9.66385908165868E-005</v>
      </c>
      <c r="AZ134" s="31" t="n">
        <v>5.4E-005</v>
      </c>
      <c r="BA134" s="33" t="n">
        <v>47.741</v>
      </c>
      <c r="BB134" s="33" t="n">
        <v>19.725</v>
      </c>
      <c r="BC134" s="33" t="n">
        <v>73.614</v>
      </c>
      <c r="BD134" s="33" t="n">
        <v>1.5</v>
      </c>
      <c r="BE134" s="33" t="n">
        <v>2</v>
      </c>
      <c r="BF134" s="33" t="n">
        <v>0</v>
      </c>
      <c r="BG134" s="33"/>
      <c r="BH134" s="33"/>
      <c r="BI134" s="29"/>
      <c r="BJ134" s="33"/>
      <c r="BK134" s="33"/>
      <c r="BL134" s="33" t="n">
        <v>3.968</v>
      </c>
      <c r="BM134" s="33" t="n">
        <v>5.25</v>
      </c>
      <c r="BN134" s="29" t="n">
        <v>49.409</v>
      </c>
      <c r="BO134" s="33" t="n">
        <v>0.595</v>
      </c>
      <c r="BP134" s="33"/>
      <c r="BQ134" s="29" t="n">
        <v>2024</v>
      </c>
      <c r="BR134" s="36" t="n">
        <v>0.95</v>
      </c>
      <c r="BS134" s="36" t="n">
        <v>0.17</v>
      </c>
      <c r="BT134" s="36" t="n">
        <v>0.05</v>
      </c>
      <c r="BU134" s="36" t="n">
        <v>0.7</v>
      </c>
      <c r="BV134" s="16" t="n">
        <f aca="false">F134*(1+N(H134)/100)*(1+N(I134)/100)^5</f>
        <v>29.4089820408244</v>
      </c>
      <c r="BW134" s="16" t="n">
        <f aca="false">IF(N(G134)&gt;0,G134,F134)</f>
        <v>55.862</v>
      </c>
      <c r="BX134" s="12" t="n">
        <f aca="false">F134/BW134</f>
        <v>0.355626364970821</v>
      </c>
      <c r="BY134" s="13" t="n">
        <f aca="false">IF(ISNUMBER(K134),1,0)</f>
        <v>1</v>
      </c>
      <c r="BZ134" s="16" t="n">
        <f aca="false">IF(BY134=0,"",N(N134)+N(O134)+N(P134))</f>
        <v>1.71693372698927</v>
      </c>
      <c r="CA134" s="37" t="n">
        <f aca="false">IF(BY134=0,"",(N(Y134)*34.2+N(Z134)*38.6)/1000)</f>
        <v>0.0207468544579675</v>
      </c>
      <c r="CB134" s="37" t="n">
        <f aca="false">IF(BY134=0,"",N(O134)*0.0036+N(R134)+N(V134)+(N(AA134)*25.3+N(AB134)*37)/1000)</f>
        <v>0.00776955931774556</v>
      </c>
      <c r="CC134" s="37" t="n">
        <f aca="false">IF(BY134=0,"",N(N134)*0.0036+N(Q134)+N(U134)+N(T134)+N(X134)+N(AC134)*38/1000)</f>
        <v>0.0053604869642786</v>
      </c>
      <c r="CD134" s="37" t="n">
        <f aca="false">IF(BY134=0,"",N(Q134)+N(R134)+N(S134)+N(T134)+N(U134)+N(V134)+N(W134)+N(X134)+(N(Y134)*34.2+N(Z134)*38.6+N(AA134)*25.3+N(AB134)*37+N(AC134)*38)/1000)</f>
        <v>0.0374165555637824</v>
      </c>
      <c r="CE134" s="16" t="n">
        <f aca="false">IF(BY134=0,"",MAX(0,N(L134)-N(K134))+MAX(0,N(M134)-N(L134)))</f>
        <v>43.317</v>
      </c>
      <c r="CF134" s="16" t="n">
        <f aca="false">IF(BY134=0,"",N(Y134)*N(AD134)+N(Z134)*N(AE134)+N(AA134)*N(AF134)+N(AB134)*N(AG134)+N(AC134)*N(AH134)+N(U134)*N(AI134)+N(V134)*N(AJ134)+N(W134)*N(AK134)+N(X134)*N(AL134)+N(Q134)*N(AM134)+N(R134)*N(AN134)+N(S134)*N(AO134)+N(T134)*N(AP134))</f>
        <v>0.645077899028095</v>
      </c>
      <c r="CG134" s="16" t="n">
        <f aca="false">IF(AND(BY134=1,N(K134)&gt;0),K134,0)</f>
        <v>2.672</v>
      </c>
      <c r="CH134" s="16" t="n">
        <f aca="false">IF(CG134&gt;0,CF134*1000/CG134,"")</f>
        <v>241.421369396742</v>
      </c>
      <c r="CI134" s="16" t="n">
        <f aca="false">IF(BY134=0,"",N(AQ134)+p_road*(N(AR134)+N(AS134)+N(AT134)))</f>
        <v>6.53532387435124E-005</v>
      </c>
      <c r="CJ134" s="16" t="n">
        <f aca="false">IF(CG134&gt;0,CI134*1000/CG134,"")</f>
        <v>0.0244585474339492</v>
      </c>
      <c r="CK134" s="12" t="n">
        <f aca="false">IF(CH134="",1,MIN(p_idx_max,MAX(p_idx_min,CH134/p_fc_world)))</f>
        <v>1.49944320773202</v>
      </c>
      <c r="CL134" s="12" t="n">
        <f aca="false">IF(CJ134="",1,MIN(p_idx_max,MAX(p_idx_min,CJ134/p_cb_world)))</f>
        <v>0.25</v>
      </c>
      <c r="CM134" s="37" t="n">
        <f aca="false">p_b*(1-p_wb_idx+p_wb_idx*CK134)</f>
        <v>0.199425946628359</v>
      </c>
      <c r="CN134" s="37" t="n">
        <f aca="false">p_c*(1-p_wc_idx+p_wc_idx*CL134)</f>
        <v>0.03225</v>
      </c>
      <c r="CO134" s="28" t="n">
        <f aca="false">IF(N(BR134)&gt;0,(N(BS134)+N(BT134)+N(BU134))/BR134,"")</f>
        <v>0.968421052631579</v>
      </c>
      <c r="CP134" s="16" t="n">
        <f aca="false">N(BS134)+N(BT134)+N(BU134)</f>
        <v>0.92</v>
      </c>
      <c r="CQ134" s="28" t="n">
        <f aca="false">IF(CP134&gt;0,N(BS134)/CP134,"")</f>
        <v>0.184782608695652</v>
      </c>
      <c r="CR134" s="28" t="n">
        <f aca="false">IF(CP134&gt;0,N(BT134)/CP134,"")</f>
        <v>0.0543478260869565</v>
      </c>
      <c r="CS134" s="28" t="n">
        <f aca="false">IF(CP134&gt;0,N(BU134)/CP134,"")</f>
        <v>0.760869565217391</v>
      </c>
      <c r="CT134" s="7" t="n">
        <f aca="false">1000*(p_sh_pv*p_cf_pv/p_capex_pv+(1-p_sh_pv)*p_cf_wind/p_capex_wind)*8760</f>
        <v>2301.28856624319</v>
      </c>
      <c r="CU134" s="13" t="n">
        <f aca="false">IF(AND(ISNUMBER(CO134),ISNUMBER(CQ134),BY134=1),1,0)</f>
        <v>1</v>
      </c>
      <c r="CV134" s="16" t="n">
        <f aca="false">IF(CU134=0,"",CQ134*p_hr_coal*N(AK134)+CR134*p_hr_gas*N(AO134)+CS134*p_hr_oil*N(AH134)/p_gj_l_oil)</f>
        <v>113.824125944106</v>
      </c>
      <c r="CW134" s="37" t="n">
        <f aca="false">IF(CU134=0,"",CQ134*p_hr_coal*p_ef_coal+CR134*p_hr_gas*p_ef_gas+CS134*p_hr_oil*p_ef_oil)</f>
        <v>0.816029891304348</v>
      </c>
      <c r="CX134" s="16" t="n">
        <f aca="false">IF(CU134=0,"",CQ134*p_hr_coal*N(AW134)+CR134*p_hr_gas*N(AX134)+CS134*p_hr_oil*N(AY134)/p_gj_l_oil)</f>
        <v>0.0234865105457849</v>
      </c>
      <c r="CY134" s="37" t="n">
        <f aca="false">IF(CU134=0,"",CO134*CW134)</f>
        <v>0.79026052631579</v>
      </c>
      <c r="CZ134" s="37" t="n">
        <f aca="false">IF(CU134=0,"",CT134*CO134*CV134/1000/1000-p_om_re)</f>
        <v>0.238670301926286</v>
      </c>
      <c r="DA134" s="37" t="n">
        <f aca="false">IF(CU134=0,"",CT134*CO134*CX134/1000/1000)</f>
        <v>5.23424201321766E-005</v>
      </c>
      <c r="DB134" s="37" t="n">
        <f aca="false">IF(CU134=0,"",CT134*CO134*CW134/1000)</f>
        <v>1.81861751356386</v>
      </c>
      <c r="DC134" s="13" t="n">
        <f aca="false">IF(AND(CU134=1,ISNUMBER(AD134),ISNUMBER(AV134)),1,0)</f>
        <v>1</v>
      </c>
      <c r="DD134" s="7" t="n">
        <f aca="false">IF(DC134=0,"",p_ev_km*p_ice_l/100*AD134-p_ev_km*p_ev_kwh*AV134+p_ev_km*p_ev_maint)</f>
        <v>483.2892</v>
      </c>
      <c r="DE134" s="37" t="n">
        <f aca="false">IF(DC134=0,"",DD134/p_ev_prem)</f>
        <v>0.09665784</v>
      </c>
      <c r="DF134" s="37" t="n">
        <f aca="false">IF(DC134=0,"",p_ev_km*p_ice_l/100*N(AZ134)/p_ev_prem)</f>
        <v>1.215E-005</v>
      </c>
      <c r="DG134" s="37" t="n">
        <f aca="false">IF(DC134=0,"",1000/p_ev_prem*(p_ev_km*p_ice_l/100*p_gj_l_gso*p_ef_gso-p_ev_km*p_ev_kwh/1000*CY134))</f>
        <v>0.106522815789474</v>
      </c>
      <c r="DH134" s="11" t="str">
        <f aca="false">IFERROR(IF(INDEX(Damodaran!$D:$D,MATCH(A134,Damodaran!$A:$A,0))="","",INDEX(Damodaran!$D:$D,MATCH(A134,Damodaran!$A:$A,0))),"")</f>
        <v/>
      </c>
      <c r="DI134" s="11" t="str">
        <f aca="false">IFERROR(IF(INDEX(Damodaran!$E:$E,MATCH(A134,Damodaran!$A:$A,0))="","",INDEX(Damodaran!$E:$E,MATCH(A134,Damodaran!$A:$A,0))),"")</f>
        <v/>
      </c>
      <c r="DJ134" s="11" t="str">
        <f aca="false">IFERROR(IF(INDEX(Damodaran!$G:$G,MATCH(A134,Damodaran!$A:$A,0))="","",INDEX(Damodaran!$G:$G,MATCH(A134,Damodaran!$A:$A,0))),"")</f>
        <v/>
      </c>
      <c r="DK134" s="11" t="str">
        <f aca="false">IF(ISNUMBER(BG134),(1+BG134/100)*(1+p_infl)-1,"")</f>
        <v/>
      </c>
      <c r="DL134" s="11" t="str">
        <f aca="false">IF(ISNUMBER(BH134),BH134/100,"")</f>
        <v/>
      </c>
      <c r="DM134" s="11" t="str">
        <f aca="false">IF(COUNT(DK134,DL134)=0,"",AVERAGE(DK134,DL134))</f>
        <v/>
      </c>
      <c r="DN134" s="11" t="str">
        <f aca="false">IF(OR(DH134="",DI134=""),"",p_dv*(p_rf+DH134)*(1-IF(DJ134="",p_tax_def,DJ134))+(1-p_dv)*(p_rf+p_beta*p_erp+p_lambda*DI134))</f>
        <v/>
      </c>
      <c r="DO134" s="13" t="n">
        <f aca="false">IF(AND(ISNUMBER(DM134),ISNUMBER(DN134)),1,0)</f>
        <v>0</v>
      </c>
      <c r="DP134" s="11" t="n">
        <f aca="false">IF(DO134=1,DM134,0)</f>
        <v>0</v>
      </c>
      <c r="DQ134" s="11" t="n">
        <f aca="false">IF(DO134=1,DN134,0)</f>
        <v>0</v>
      </c>
      <c r="DR134" s="11" t="str">
        <f aca="false">IF(DN134="","",DN134+p_shift)</f>
        <v/>
      </c>
      <c r="DS134" s="11" t="n">
        <f aca="false">IF(E134="AE",p_r_ae,IF(E134="China",p_r_chn,p_r_emdc))</f>
        <v>0.105</v>
      </c>
      <c r="DT134" s="11" t="n">
        <f aca="false">IF(E134="AE",p_rh_ae,IF(E134="China",p_rh_chn,p_rh_emdc))</f>
        <v>0.15</v>
      </c>
      <c r="DU134" s="11" t="n">
        <f aca="false">IF(AND(p_use_obs=1,ISNUMBER(DM134)),DM134,IF(AND(p_use_dam=1,ISNUMBER(DR134)),DR134,DS134))</f>
        <v>0.105</v>
      </c>
      <c r="DV134" s="6" t="str">
        <f aca="false">IF(AND(p_use_obs=1,ISNUMBER(DM134)),"Observed (IRENA/Steffen)",IF(AND(p_use_dam=1,ISNUMBER(DR134)),"Damodaran (eq. 5)","Group default (IHLEG)"))</f>
        <v>Group default (IHLEG)</v>
      </c>
      <c r="DW134" s="11" t="n">
        <f aca="false">IF(p_basis=1,(1+DU134)/(1+p_infl)-1,DU134)</f>
        <v>0.105</v>
      </c>
      <c r="DX134" s="11" t="n">
        <f aca="false">DW134+(DT134-DS134)</f>
        <v>0.15</v>
      </c>
      <c r="DY134" s="28" t="n">
        <f aca="false">IF(AND(p_use_pefa=1,ISNUMBER(BD134)),p_gap_lic-(BD134-1)/3*(p_gap_lic-p_gap_ae),IF(E134="AE",p_gap_ae,IF(D134="Low income",p_gap_lic,p_gap_em)))*(1-p_reform*p_reform_close)</f>
        <v>0.355</v>
      </c>
      <c r="DZ134" s="6" t="str">
        <f aca="false">IF(AND(p_use_pefa=1,ISNUMBER(BD134)),"PEFA PI-11","Income-group default (IMF 2015)")</f>
        <v>PEFA PI-11</v>
      </c>
      <c r="EA134" s="28" t="n">
        <f aca="false">IF(E134="AE",p_ps_ae,IF(E134="China",p_ps_chn,p_ps_emdc))</f>
        <v>0.4</v>
      </c>
      <c r="EB134" s="37" t="n">
        <f aca="false">(1-EA134)+EA134/(1-DY134)</f>
        <v>1.22015503875969</v>
      </c>
      <c r="EC134" s="16" t="n">
        <f aca="false">Results_Country!F134</f>
        <v>1.5283480167286</v>
      </c>
      <c r="ED134" s="16" t="n">
        <f aca="false">IF(CH134="",0,CH134*EC134)</f>
        <v>368.975871113414</v>
      </c>
      <c r="EE134" s="16" t="n">
        <f aca="false">IF(CJ134="",0,CJ134*EC134)</f>
        <v>0.0373811724627387</v>
      </c>
      <c r="EF134" s="16" t="n">
        <f aca="false">IF(CH134="",0,EC134)</f>
        <v>1.5283480167286</v>
      </c>
    </row>
    <row r="135" customFormat="false" ht="15" hidden="false" customHeight="false" outlineLevel="0" collapsed="false">
      <c r="A135" s="35" t="s">
        <v>1027</v>
      </c>
      <c r="B135" s="35" t="s">
        <v>1028</v>
      </c>
      <c r="C135" s="35" t="s">
        <v>784</v>
      </c>
      <c r="D135" s="35" t="s">
        <v>771</v>
      </c>
      <c r="E135" s="35" t="s">
        <v>31</v>
      </c>
      <c r="F135" s="36" t="n">
        <v>19.697</v>
      </c>
      <c r="G135" s="36" t="n">
        <v>60.315</v>
      </c>
      <c r="H135" s="33" t="n">
        <v>4.924</v>
      </c>
      <c r="I135" s="33" t="n">
        <v>3.84</v>
      </c>
      <c r="J135" s="36" t="n">
        <v>6.916139</v>
      </c>
      <c r="K135" s="36" t="n">
        <v>5.756</v>
      </c>
      <c r="L135" s="36" t="n">
        <v>21.413</v>
      </c>
      <c r="M135" s="36" t="n">
        <v>40.391</v>
      </c>
      <c r="N135" s="36" t="n">
        <v>3.37417879734641</v>
      </c>
      <c r="O135" s="36" t="n">
        <v>1.64850525943847</v>
      </c>
      <c r="P135" s="36" t="n">
        <v>0.168960372851034</v>
      </c>
      <c r="Q135" s="31" t="n">
        <v>0</v>
      </c>
      <c r="R135" s="31" t="n">
        <v>0</v>
      </c>
      <c r="S135" s="31" t="n">
        <v>0</v>
      </c>
      <c r="T135" s="31" t="n">
        <v>0</v>
      </c>
      <c r="U135" s="31" t="n">
        <v>0</v>
      </c>
      <c r="V135" s="31" t="n">
        <v>0</v>
      </c>
      <c r="W135" s="31" t="n">
        <v>0</v>
      </c>
      <c r="X135" s="31" t="n">
        <v>0</v>
      </c>
      <c r="Y135" s="36" t="n">
        <v>0.493376294320483</v>
      </c>
      <c r="Z135" s="36" t="n">
        <v>0.747207463910324</v>
      </c>
      <c r="AA135" s="36" t="n">
        <v>0.272596696910328</v>
      </c>
      <c r="AB135" s="36" t="n">
        <v>0.00517899123482953</v>
      </c>
      <c r="AC135" s="36" t="n">
        <v>0.433903969368556</v>
      </c>
      <c r="AD135" s="31" t="n">
        <v>0.859839</v>
      </c>
      <c r="AE135" s="31" t="n">
        <v>0.65855</v>
      </c>
      <c r="AF135" s="31" t="n">
        <v>0.567777</v>
      </c>
      <c r="AG135" s="31" t="n">
        <v>0.607406</v>
      </c>
      <c r="AH135" s="31" t="n">
        <v>0.519462891908447</v>
      </c>
      <c r="AI135" s="31" t="n">
        <v>7.124</v>
      </c>
      <c r="AJ135" s="31" t="n">
        <v>14.02195</v>
      </c>
      <c r="AK135" s="31" t="n">
        <v>5.575</v>
      </c>
      <c r="AL135" s="31" t="n">
        <v>8.90698333333333</v>
      </c>
      <c r="AM135" s="31" t="n">
        <v>7.414</v>
      </c>
      <c r="AN135" s="31" t="n">
        <v>17.65825</v>
      </c>
      <c r="AO135" s="31" t="n">
        <v>6.09</v>
      </c>
      <c r="AP135" s="31" t="n">
        <v>10.3874166666667</v>
      </c>
      <c r="AQ135" s="36" t="n">
        <v>0.0203133032506755</v>
      </c>
      <c r="AR135" s="36" t="n">
        <v>0.0143988705253651</v>
      </c>
      <c r="AS135" s="36" t="n">
        <v>0.0510175317372668</v>
      </c>
      <c r="AT135" s="36" t="n">
        <v>0.0253620076855763</v>
      </c>
      <c r="AU135" s="31" t="n">
        <v>0.744344051221939</v>
      </c>
      <c r="AV135" s="36" t="n">
        <v>0.255932</v>
      </c>
      <c r="AW135" s="31" t="n">
        <v>0.080722</v>
      </c>
      <c r="AX135" s="31" t="n">
        <v>0.002347</v>
      </c>
      <c r="AY135" s="31" t="n">
        <v>0.0312301368535443</v>
      </c>
      <c r="AZ135" s="31" t="n">
        <v>0.00685</v>
      </c>
      <c r="BA135" s="33" t="n">
        <v>37.865</v>
      </c>
      <c r="BB135" s="33" t="n">
        <v>5.335</v>
      </c>
      <c r="BC135" s="33"/>
      <c r="BD135" s="33"/>
      <c r="BE135" s="33"/>
      <c r="BF135" s="33" t="n">
        <v>0</v>
      </c>
      <c r="BG135" s="33"/>
      <c r="BH135" s="33"/>
      <c r="BI135" s="29"/>
      <c r="BJ135" s="33"/>
      <c r="BK135" s="33"/>
      <c r="BL135" s="33" t="n">
        <v>1.66</v>
      </c>
      <c r="BM135" s="33" t="n">
        <v>6.387</v>
      </c>
      <c r="BN135" s="29" t="n">
        <v>13.893</v>
      </c>
      <c r="BO135" s="33" t="n">
        <v>0.244</v>
      </c>
      <c r="BP135" s="33" t="n">
        <v>0.025</v>
      </c>
      <c r="BQ135" s="29" t="n">
        <v>2024</v>
      </c>
      <c r="BR135" s="36" t="n">
        <v>4.52</v>
      </c>
      <c r="BS135" s="36" t="n">
        <v>0</v>
      </c>
      <c r="BT135" s="36" t="n">
        <v>0</v>
      </c>
      <c r="BU135" s="36" t="n">
        <v>1.7</v>
      </c>
      <c r="BV135" s="16" t="n">
        <f aca="false">F135*(1+N(H135)/100)*(1+N(I135)/100)^5</f>
        <v>24.9515954810942</v>
      </c>
      <c r="BW135" s="16" t="n">
        <f aca="false">IF(N(G135)&gt;0,G135,F135)</f>
        <v>60.315</v>
      </c>
      <c r="BX135" s="12" t="n">
        <f aca="false">F135/BW135</f>
        <v>0.326568846887176</v>
      </c>
      <c r="BY135" s="13" t="n">
        <f aca="false">IF(ISNUMBER(K135),1,0)</f>
        <v>1</v>
      </c>
      <c r="BZ135" s="16" t="n">
        <f aca="false">IF(BY135=0,"",N(N135)+N(O135)+N(P135))</f>
        <v>5.19164442963591</v>
      </c>
      <c r="CA135" s="37" t="n">
        <f aca="false">IF(BY135=0,"",(N(Y135)*34.2+N(Z135)*38.6)/1000)</f>
        <v>0.045715677372699</v>
      </c>
      <c r="CB135" s="37" t="n">
        <f aca="false">IF(BY135=0,"",N(O135)*0.0036+N(R135)+N(V135)+(N(AA135)*25.3+N(AB135)*37)/1000)</f>
        <v>0.0130229380414985</v>
      </c>
      <c r="CC135" s="37" t="n">
        <f aca="false">IF(BY135=0,"",N(N135)*0.0036+N(Q135)+N(U135)+N(T135)+N(X135)+N(AC135)*38/1000)</f>
        <v>0.0286353945064522</v>
      </c>
      <c r="CD135" s="37" t="n">
        <f aca="false">IF(BY135=0,"",N(Q135)+N(R135)+N(S135)+N(T135)+N(U135)+N(V135)+N(W135)+N(X135)+(N(Y135)*34.2+N(Z135)*38.6+N(AA135)*25.3+N(AB135)*37+N(AC135)*38)/1000)</f>
        <v>0.0692923473162241</v>
      </c>
      <c r="CE135" s="16" t="n">
        <f aca="false">IF(BY135=0,"",MAX(0,N(L135)-N(K135))+MAX(0,N(M135)-N(L135)))</f>
        <v>34.635</v>
      </c>
      <c r="CF135" s="16" t="n">
        <f aca="false">IF(BY135=0,"",N(Y135)*N(AD135)+N(Z135)*N(AE135)+N(AA135)*N(AF135)+N(AB135)*N(AG135)+N(AC135)*N(AH135)+N(U135)*N(AI135)+N(V135)*N(AJ135)+N(W135)*N(AK135)+N(X135)*N(AL135)+N(Q135)*N(AM135)+N(R135)*N(AN135)+N(S135)*N(AO135)+N(T135)*N(AP135))</f>
        <v>1.29961455076076</v>
      </c>
      <c r="CG135" s="16" t="n">
        <f aca="false">IF(AND(BY135=1,N(K135)&gt;0),K135,0)</f>
        <v>5.756</v>
      </c>
      <c r="CH135" s="16" t="n">
        <f aca="false">IF(CG135&gt;0,CF135*1000/CG135,"")</f>
        <v>225.784320840993</v>
      </c>
      <c r="CI135" s="16" t="n">
        <f aca="false">IF(BY135=0,"",N(AQ135)+p_road*(N(AR135)+N(AS135)+N(AT135)))</f>
        <v>0.0203133032506755</v>
      </c>
      <c r="CJ135" s="16" t="n">
        <f aca="false">IF(CG135&gt;0,CI135*1000/CG135,"")</f>
        <v>3.52906588788664</v>
      </c>
      <c r="CK135" s="12" t="n">
        <f aca="false">IF(CH135="",1,MIN(p_idx_max,MAX(p_idx_min,CH135/p_fc_world)))</f>
        <v>1.40232311308389</v>
      </c>
      <c r="CL135" s="12" t="n">
        <f aca="false">IF(CJ135="",1,MIN(p_idx_max,MAX(p_idx_min,CJ135/p_cb_world)))</f>
        <v>0.25</v>
      </c>
      <c r="CM135" s="37" t="n">
        <f aca="false">p_b*(1-p_wb_idx+p_wb_idx*CK135)</f>
        <v>0.186508974040157</v>
      </c>
      <c r="CN135" s="37" t="n">
        <f aca="false">p_c*(1-p_wc_idx+p_wc_idx*CL135)</f>
        <v>0.03225</v>
      </c>
      <c r="CO135" s="28" t="n">
        <f aca="false">IF(N(BR135)&gt;0,(N(BS135)+N(BT135)+N(BU135))/BR135,"")</f>
        <v>0.376106194690266</v>
      </c>
      <c r="CP135" s="16" t="n">
        <f aca="false">N(BS135)+N(BT135)+N(BU135)</f>
        <v>1.7</v>
      </c>
      <c r="CQ135" s="28" t="n">
        <f aca="false">IF(CP135&gt;0,N(BS135)/CP135,"")</f>
        <v>0</v>
      </c>
      <c r="CR135" s="28" t="n">
        <f aca="false">IF(CP135&gt;0,N(BT135)/CP135,"")</f>
        <v>0</v>
      </c>
      <c r="CS135" s="28" t="n">
        <f aca="false">IF(CP135&gt;0,N(BU135)/CP135,"")</f>
        <v>1</v>
      </c>
      <c r="CT135" s="7" t="n">
        <f aca="false">1000*(p_sh_pv*p_cf_pv/p_capex_pv+(1-p_sh_pv)*p_cf_wind/p_capex_wind)*8760</f>
        <v>2301.28856624319</v>
      </c>
      <c r="CU135" s="13" t="n">
        <f aca="false">IF(AND(ISNUMBER(CO135),ISNUMBER(CQ135),BY135=1),1,0)</f>
        <v>1</v>
      </c>
      <c r="CV135" s="16" t="n">
        <f aca="false">IF(CU135=0,"",CQ135*p_hr_coal*N(AK135)+CR135*p_hr_gas*N(AO135)+CS135*p_hr_oil*N(AH135)/p_gj_l_oil)</f>
        <v>141.304672669396</v>
      </c>
      <c r="CW135" s="37" t="n">
        <f aca="false">IF(CU135=0,"",CQ135*p_hr_coal*p_ef_coal+CR135*p_hr_gas*p_ef_gas+CS135*p_hr_oil*p_ef_oil)</f>
        <v>0.8127</v>
      </c>
      <c r="CX135" s="16" t="n">
        <f aca="false">IF(CU135=0,"",CQ135*p_hr_coal*N(AW135)+CR135*p_hr_gas*N(AX135)+CS135*p_hr_oil*N(AY135)/p_gj_l_oil)</f>
        <v>8.49524448088641</v>
      </c>
      <c r="CY135" s="37" t="n">
        <f aca="false">IF(CU135=0,"",CO135*CW135)</f>
        <v>0.305661504424779</v>
      </c>
      <c r="CZ135" s="37" t="n">
        <f aca="false">IF(CU135=0,"",CT135*CO135*CV135/1000/1000-p_om_re)</f>
        <v>0.107303275856281</v>
      </c>
      <c r="DA135" s="37" t="n">
        <f aca="false">IF(CU135=0,"",CT135*CO135*CX135/1000/1000)</f>
        <v>0.00735287948788</v>
      </c>
      <c r="DB135" s="37" t="n">
        <f aca="false">IF(CU135=0,"",CT135*CO135*CW135/1000)</f>
        <v>0.703415325273437</v>
      </c>
      <c r="DC135" s="13" t="n">
        <f aca="false">IF(AND(CU135=1,ISNUMBER(AD135),ISNUMBER(AV135)),1,0)</f>
        <v>1</v>
      </c>
      <c r="DD135" s="7" t="n">
        <f aca="false">IF(DC135=0,"",p_ev_km*p_ice_l/100*AD135-p_ev_km*p_ev_kwh*AV135+p_ev_km*p_ev_maint)</f>
        <v>456.302475</v>
      </c>
      <c r="DE135" s="37" t="n">
        <f aca="false">IF(DC135=0,"",DD135/p_ev_prem)</f>
        <v>0.091260495</v>
      </c>
      <c r="DF135" s="37" t="n">
        <f aca="false">IF(DC135=0,"",p_ev_km*p_ice_l/100*N(AZ135)/p_ev_prem)</f>
        <v>0.00154125</v>
      </c>
      <c r="DG135" s="37" t="n">
        <f aca="false">IF(DC135=0,"",1000/p_ev_prem*(p_ev_km*p_ice_l/100*p_gj_l_gso*p_ef_gso-p_ev_km*p_ev_kwh/1000*CY135))</f>
        <v>0.368206287610619</v>
      </c>
      <c r="DH135" s="11" t="str">
        <f aca="false">IFERROR(IF(INDEX(Damodaran!$D:$D,MATCH(A135,Damodaran!$A:$A,0))="","",INDEX(Damodaran!$D:$D,MATCH(A135,Damodaran!$A:$A,0))),"")</f>
        <v/>
      </c>
      <c r="DI135" s="11" t="str">
        <f aca="false">IFERROR(IF(INDEX(Damodaran!$E:$E,MATCH(A135,Damodaran!$A:$A,0))="","",INDEX(Damodaran!$E:$E,MATCH(A135,Damodaran!$A:$A,0))),"")</f>
        <v/>
      </c>
      <c r="DJ135" s="11" t="str">
        <f aca="false">IFERROR(IF(INDEX(Damodaran!$G:$G,MATCH(A135,Damodaran!$A:$A,0))="","",INDEX(Damodaran!$G:$G,MATCH(A135,Damodaran!$A:$A,0))),"")</f>
        <v/>
      </c>
      <c r="DK135" s="11" t="str">
        <f aca="false">IF(ISNUMBER(BG135),(1+BG135/100)*(1+p_infl)-1,"")</f>
        <v/>
      </c>
      <c r="DL135" s="11" t="str">
        <f aca="false">IF(ISNUMBER(BH135),BH135/100,"")</f>
        <v/>
      </c>
      <c r="DM135" s="11" t="str">
        <f aca="false">IF(COUNT(DK135,DL135)=0,"",AVERAGE(DK135,DL135))</f>
        <v/>
      </c>
      <c r="DN135" s="11" t="str">
        <f aca="false">IF(OR(DH135="",DI135=""),"",p_dv*(p_rf+DH135)*(1-IF(DJ135="",p_tax_def,DJ135))+(1-p_dv)*(p_rf+p_beta*p_erp+p_lambda*DI135))</f>
        <v/>
      </c>
      <c r="DO135" s="13" t="n">
        <f aca="false">IF(AND(ISNUMBER(DM135),ISNUMBER(DN135)),1,0)</f>
        <v>0</v>
      </c>
      <c r="DP135" s="11" t="n">
        <f aca="false">IF(DO135=1,DM135,0)</f>
        <v>0</v>
      </c>
      <c r="DQ135" s="11" t="n">
        <f aca="false">IF(DO135=1,DN135,0)</f>
        <v>0</v>
      </c>
      <c r="DR135" s="11" t="str">
        <f aca="false">IF(DN135="","",DN135+p_shift)</f>
        <v/>
      </c>
      <c r="DS135" s="11" t="n">
        <f aca="false">IF(E135="AE",p_r_ae,IF(E135="China",p_r_chn,p_r_emdc))</f>
        <v>0.105</v>
      </c>
      <c r="DT135" s="11" t="n">
        <f aca="false">IF(E135="AE",p_rh_ae,IF(E135="China",p_rh_chn,p_rh_emdc))</f>
        <v>0.15</v>
      </c>
      <c r="DU135" s="11" t="n">
        <f aca="false">IF(AND(p_use_obs=1,ISNUMBER(DM135)),DM135,IF(AND(p_use_dam=1,ISNUMBER(DR135)),DR135,DS135))</f>
        <v>0.105</v>
      </c>
      <c r="DV135" s="6" t="str">
        <f aca="false">IF(AND(p_use_obs=1,ISNUMBER(DM135)),"Observed (IRENA/Steffen)",IF(AND(p_use_dam=1,ISNUMBER(DR135)),"Damodaran (eq. 5)","Group default (IHLEG)"))</f>
        <v>Group default (IHLEG)</v>
      </c>
      <c r="DW135" s="11" t="n">
        <f aca="false">IF(p_basis=1,(1+DU135)/(1+p_infl)-1,DU135)</f>
        <v>0.105</v>
      </c>
      <c r="DX135" s="11" t="n">
        <f aca="false">DW135+(DT135-DS135)</f>
        <v>0.15</v>
      </c>
      <c r="DY135" s="28" t="n">
        <f aca="false">IF(AND(p_use_pefa=1,ISNUMBER(BD135)),p_gap_lic-(BD135-1)/3*(p_gap_lic-p_gap_ae),IF(E135="AE",p_gap_ae,IF(D135="Low income",p_gap_lic,p_gap_em)))*(1-p_reform*p_reform_close)</f>
        <v>0.27</v>
      </c>
      <c r="DZ135" s="6" t="str">
        <f aca="false">IF(AND(p_use_pefa=1,ISNUMBER(BD135)),"PEFA PI-11","Income-group default (IMF 2015)")</f>
        <v>Income-group default (IMF 2015)</v>
      </c>
      <c r="EA135" s="28" t="n">
        <f aca="false">IF(E135="AE",p_ps_ae,IF(E135="China",p_ps_chn,p_ps_emdc))</f>
        <v>0.4</v>
      </c>
      <c r="EB135" s="37" t="n">
        <f aca="false">(1-EA135)+EA135/(1-DY135)</f>
        <v>1.14794520547945</v>
      </c>
      <c r="EC135" s="16" t="n">
        <f aca="false">Results_Country!F135</f>
        <v>1.69128883339352</v>
      </c>
      <c r="ED135" s="16" t="n">
        <f aca="false">IF(CH135="",0,CH135*EC135)</f>
        <v>381.866500593711</v>
      </c>
      <c r="EE135" s="16" t="n">
        <f aca="false">IF(CJ135="",0,CJ135*EC135)</f>
        <v>5.96866972849265</v>
      </c>
      <c r="EF135" s="16" t="n">
        <f aca="false">IF(CH135="",0,EC135)</f>
        <v>1.69128883339352</v>
      </c>
    </row>
    <row r="136" customFormat="false" ht="15" hidden="false" customHeight="false" outlineLevel="0" collapsed="false">
      <c r="A136" s="35" t="s">
        <v>1029</v>
      </c>
      <c r="B136" s="35" t="s">
        <v>1030</v>
      </c>
      <c r="C136" s="35" t="s">
        <v>847</v>
      </c>
      <c r="D136" s="35" t="s">
        <v>763</v>
      </c>
      <c r="E136" s="35" t="s">
        <v>31</v>
      </c>
      <c r="F136" s="36" t="n">
        <v>19.356</v>
      </c>
      <c r="G136" s="36" t="n">
        <v>51.855</v>
      </c>
      <c r="H136" s="33" t="n">
        <v>-0.887</v>
      </c>
      <c r="I136" s="33" t="n">
        <v>4.749</v>
      </c>
      <c r="J136" s="36" t="n">
        <v>2.521139</v>
      </c>
      <c r="K136" s="36" t="n">
        <v>8.276</v>
      </c>
      <c r="L136" s="36" t="n">
        <v>13.09</v>
      </c>
      <c r="M136" s="36" t="n">
        <v>52.183</v>
      </c>
      <c r="N136" s="36" t="n">
        <v>2.60757236711686</v>
      </c>
      <c r="O136" s="36" t="n">
        <v>1.72816464070427</v>
      </c>
      <c r="P136" s="36" t="n">
        <v>0.180865724043542</v>
      </c>
      <c r="Q136" s="31" t="n">
        <v>0</v>
      </c>
      <c r="R136" s="31" t="n">
        <v>0</v>
      </c>
      <c r="S136" s="31" t="n">
        <v>0</v>
      </c>
      <c r="T136" s="31" t="n">
        <v>0</v>
      </c>
      <c r="U136" s="31" t="n">
        <v>0.00217737692700947</v>
      </c>
      <c r="V136" s="31" t="n">
        <v>0.000195412999231403</v>
      </c>
      <c r="W136" s="31" t="n">
        <v>0.0429332052108983</v>
      </c>
      <c r="X136" s="31" t="n">
        <v>0</v>
      </c>
      <c r="Y136" s="36" t="n">
        <v>0.692336768738711</v>
      </c>
      <c r="Z136" s="36" t="n">
        <v>0.570111002825505</v>
      </c>
      <c r="AA136" s="36" t="n">
        <v>0.0454150945127893</v>
      </c>
      <c r="AB136" s="36" t="n">
        <v>0.00408370956047402</v>
      </c>
      <c r="AC136" s="36" t="n">
        <v>0.0175587424261009</v>
      </c>
      <c r="AD136" s="31" t="n">
        <v>0.81088</v>
      </c>
      <c r="AE136" s="31" t="n">
        <v>0.783534</v>
      </c>
      <c r="AF136" s="31" t="n">
        <v>0.551477</v>
      </c>
      <c r="AG136" s="31" t="n">
        <v>0.66192</v>
      </c>
      <c r="AH136" s="31" t="n">
        <v>0.519462891908447</v>
      </c>
      <c r="AI136" s="31" t="n">
        <v>3.373</v>
      </c>
      <c r="AJ136" s="31" t="n">
        <v>6.00096</v>
      </c>
      <c r="AK136" s="31" t="n">
        <v>2.049</v>
      </c>
      <c r="AL136" s="31" t="n">
        <v>2.12967610912726</v>
      </c>
      <c r="AM136" s="31" t="n">
        <v>12.08</v>
      </c>
      <c r="AN136" s="31" t="n">
        <v>22.42464</v>
      </c>
      <c r="AO136" s="31" t="n">
        <v>10.757</v>
      </c>
      <c r="AP136" s="31" t="n">
        <v>15.0872133333333</v>
      </c>
      <c r="AQ136" s="36" t="n">
        <v>0.15702863246285</v>
      </c>
      <c r="AR136" s="36" t="n">
        <v>0.0130886791245082</v>
      </c>
      <c r="AS136" s="36" t="n">
        <v>0.1174955049025</v>
      </c>
      <c r="AT136" s="36" t="n">
        <v>0.0449348621702362</v>
      </c>
      <c r="AU136" s="31" t="n">
        <v>0.123730604875392</v>
      </c>
      <c r="AV136" s="36" t="n">
        <v>0.133914</v>
      </c>
      <c r="AW136" s="31" t="n">
        <v>1.710211</v>
      </c>
      <c r="AX136" s="31" t="n">
        <v>0.001511</v>
      </c>
      <c r="AY136" s="31" t="n">
        <v>0.302040769948673</v>
      </c>
      <c r="AZ136" s="31" t="n">
        <v>0.045323</v>
      </c>
      <c r="BA136" s="33" t="n">
        <v>33.182</v>
      </c>
      <c r="BB136" s="33" t="n">
        <v>4.724</v>
      </c>
      <c r="BC136" s="33" t="n">
        <v>100.531</v>
      </c>
      <c r="BD136" s="33" t="n">
        <v>2</v>
      </c>
      <c r="BE136" s="33" t="n">
        <v>1</v>
      </c>
      <c r="BF136" s="33" t="n">
        <v>0</v>
      </c>
      <c r="BG136" s="33"/>
      <c r="BH136" s="33"/>
      <c r="BI136" s="29"/>
      <c r="BJ136" s="33"/>
      <c r="BK136" s="33"/>
      <c r="BL136" s="33"/>
      <c r="BM136" s="33"/>
      <c r="BN136" s="29" t="n">
        <v>17.583</v>
      </c>
      <c r="BO136" s="33" t="n">
        <v>0.396</v>
      </c>
      <c r="BP136" s="33" t="n">
        <v>0.229</v>
      </c>
      <c r="BQ136" s="29" t="n">
        <v>2024</v>
      </c>
      <c r="BR136" s="36" t="n">
        <v>3.43</v>
      </c>
      <c r="BS136" s="36" t="n">
        <v>3.37</v>
      </c>
      <c r="BT136" s="36" t="n">
        <v>0</v>
      </c>
      <c r="BU136" s="36" t="n">
        <v>0.05</v>
      </c>
      <c r="BV136" s="16" t="n">
        <f aca="false">F136*(1+N(H136)/100)*(1+N(I136)/100)^5</f>
        <v>24.1933307768325</v>
      </c>
      <c r="BW136" s="16" t="n">
        <f aca="false">IF(N(G136)&gt;0,G136,F136)</f>
        <v>51.855</v>
      </c>
      <c r="BX136" s="12" t="n">
        <f aca="false">F136/BW136</f>
        <v>0.37327162279433</v>
      </c>
      <c r="BY136" s="13" t="n">
        <f aca="false">IF(ISNUMBER(K136),1,0)</f>
        <v>1</v>
      </c>
      <c r="BZ136" s="16" t="n">
        <f aca="false">IF(BY136=0,"",N(N136)+N(O136)+N(P136))</f>
        <v>4.51660273186467</v>
      </c>
      <c r="CA136" s="37" t="n">
        <f aca="false">IF(BY136=0,"",(N(Y136)*34.2+N(Z136)*38.6)/1000)</f>
        <v>0.0456842021999284</v>
      </c>
      <c r="CB136" s="37" t="n">
        <f aca="false">IF(BY136=0,"",N(O136)*0.0036+N(R136)+N(V136)+(N(AA136)*25.3+N(AB136)*37)/1000)</f>
        <v>0.00771690485067789</v>
      </c>
      <c r="CC136" s="37" t="n">
        <f aca="false">IF(BY136=0,"",N(N136)*0.0036+N(Q136)+N(U136)+N(T136)+N(X136)+N(AC136)*38/1000)</f>
        <v>0.012231869660822</v>
      </c>
      <c r="CD136" s="37" t="n">
        <f aca="false">IF(BY136=0,"",N(Q136)+N(R136)+N(S136)+N(T136)+N(U136)+N(V136)+N(W136)+N(X136)+(N(Y136)*34.2+N(Z136)*38.6+N(AA136)*25.3+N(AB136)*37+N(AC136)*38)/1000)</f>
        <v>0.0929575286941706</v>
      </c>
      <c r="CE136" s="16" t="n">
        <f aca="false">IF(BY136=0,"",MAX(0,N(L136)-N(K136))+MAX(0,N(M136)-N(L136)))</f>
        <v>43.907</v>
      </c>
      <c r="CF136" s="16" t="n">
        <f aca="false">IF(BY136=0,"",N(Y136)*N(AD136)+N(Z136)*N(AE136)+N(AA136)*N(AF136)+N(AB136)*N(AG136)+N(AC136)*N(AH136)+N(U136)*N(AI136)+N(V136)*N(AJ136)+N(W136)*N(AK136)+N(X136)*N(AL136)+N(Q136)*N(AM136)+N(R136)*N(AN136)+N(S136)*N(AO136)+N(T136)*N(AP136))</f>
        <v>1.14146007319436</v>
      </c>
      <c r="CG136" s="16" t="n">
        <f aca="false">IF(AND(BY136=1,N(K136)&gt;0),K136,0)</f>
        <v>8.276</v>
      </c>
      <c r="CH136" s="16" t="n">
        <f aca="false">IF(CG136&gt;0,CF136*1000/CG136,"")</f>
        <v>137.924126775539</v>
      </c>
      <c r="CI136" s="16" t="n">
        <f aca="false">IF(BY136=0,"",N(AQ136)+p_road*(N(AR136)+N(AS136)+N(AT136)))</f>
        <v>0.15702863246285</v>
      </c>
      <c r="CJ136" s="16" t="n">
        <f aca="false">IF(CG136&gt;0,CI136*1000/CG136,"")</f>
        <v>18.9739768563134</v>
      </c>
      <c r="CK136" s="12" t="n">
        <f aca="false">IF(CH136="",1,MIN(p_idx_max,MAX(p_idx_min,CH136/p_fc_world)))</f>
        <v>0.856632515972895</v>
      </c>
      <c r="CL136" s="12" t="n">
        <f aca="false">IF(CJ136="",1,MIN(p_idx_max,MAX(p_idx_min,CJ136/p_cb_world)))</f>
        <v>0.360785132677057</v>
      </c>
      <c r="CM136" s="37" t="n">
        <f aca="false">p_b*(1-p_wb_idx+p_wb_idx*CK136)</f>
        <v>0.113932124624395</v>
      </c>
      <c r="CN136" s="37" t="n">
        <f aca="false">p_c*(1-p_wc_idx+p_wc_idx*CL136)</f>
        <v>0.0465412821153403</v>
      </c>
      <c r="CO136" s="28" t="n">
        <f aca="false">IF(N(BR136)&gt;0,(N(BS136)+N(BT136)+N(BU136))/BR136,"")</f>
        <v>0.997084548104956</v>
      </c>
      <c r="CP136" s="16" t="n">
        <f aca="false">N(BS136)+N(BT136)+N(BU136)</f>
        <v>3.42</v>
      </c>
      <c r="CQ136" s="28" t="n">
        <f aca="false">IF(CP136&gt;0,N(BS136)/CP136,"")</f>
        <v>0.985380116959064</v>
      </c>
      <c r="CR136" s="28" t="n">
        <f aca="false">IF(CP136&gt;0,N(BT136)/CP136,"")</f>
        <v>0</v>
      </c>
      <c r="CS136" s="28" t="n">
        <f aca="false">IF(CP136&gt;0,N(BU136)/CP136,"")</f>
        <v>0.0146198830409357</v>
      </c>
      <c r="CT136" s="7" t="n">
        <f aca="false">1000*(p_sh_pv*p_cf_pv/p_capex_pv+(1-p_sh_pv)*p_cf_wind/p_capex_wind)*8760</f>
        <v>2301.28856624319</v>
      </c>
      <c r="CU136" s="13" t="n">
        <f aca="false">IF(AND(ISNUMBER(CO136),ISNUMBER(CQ136),BY136=1),1,0)</f>
        <v>1</v>
      </c>
      <c r="CV136" s="16" t="n">
        <f aca="false">IF(CU136=0,"",CQ136*p_hr_coal*N(AK136)+CR136*p_hr_gas*N(AO136)+CS136*p_hr_oil*N(AH136)/p_gj_l_oil)</f>
        <v>22.2562963840555</v>
      </c>
      <c r="CW136" s="37" t="n">
        <f aca="false">IF(CU136=0,"",CQ136*p_hr_coal*p_ef_coal+CR136*p_hr_gas*p_ef_gas+CS136*p_hr_oil*p_ef_oil)</f>
        <v>0.944051169590643</v>
      </c>
      <c r="CX136" s="16" t="n">
        <f aca="false">IF(CU136=0,"",CQ136*p_hr_coal*N(AW136)+CR136*p_hr_gas*N(AX136)+CS136*p_hr_oil*N(AY136)/p_gj_l_oil)</f>
        <v>18.0532684698592</v>
      </c>
      <c r="CY136" s="37" t="n">
        <f aca="false">IF(CU136=0,"",CO136*CW136)</f>
        <v>0.941298833819242</v>
      </c>
      <c r="CZ136" s="37" t="n">
        <f aca="false">IF(CU136=0,"",CT136*CO136*CV136/1000/1000-p_om_re)</f>
        <v>0.0360688363127608</v>
      </c>
      <c r="DA136" s="37" t="n">
        <f aca="false">IF(CU136=0,"",CT136*CO136*CX136/1000/1000)</f>
        <v>0.0414246555890611</v>
      </c>
      <c r="DB136" s="37" t="n">
        <f aca="false">IF(CU136=0,"",CT136*CO136*CW136/1000)</f>
        <v>2.16620024368627</v>
      </c>
      <c r="DC136" s="13" t="n">
        <f aca="false">IF(AND(CU136=1,ISNUMBER(AD136),ISNUMBER(AV136)),1,0)</f>
        <v>1</v>
      </c>
      <c r="DD136" s="7" t="n">
        <f aca="false">IF(DC136=0,"",p_ev_km*p_ice_l/100*AD136-p_ev_km*p_ev_kwh*AV136+p_ev_km*p_ev_maint)</f>
        <v>730.6722</v>
      </c>
      <c r="DE136" s="37" t="n">
        <f aca="false">IF(DC136=0,"",DD136/p_ev_prem)</f>
        <v>0.14613444</v>
      </c>
      <c r="DF136" s="37" t="n">
        <f aca="false">IF(DC136=0,"",p_ev_km*p_ice_l/100*N(AZ136)/p_ev_prem)</f>
        <v>0.010197675</v>
      </c>
      <c r="DG136" s="37" t="n">
        <f aca="false">IF(DC136=0,"",1000/p_ev_prem*(p_ev_km*p_ice_l/100*p_gj_l_gso*p_ef_gso-p_ev_km*p_ev_kwh/1000*CY136))</f>
        <v>0.0249621297376094</v>
      </c>
      <c r="DH136" s="11" t="str">
        <f aca="false">IFERROR(IF(INDEX(Damodaran!$D:$D,MATCH(A136,Damodaran!$A:$A,0))="","",INDEX(Damodaran!$D:$D,MATCH(A136,Damodaran!$A:$A,0))),"")</f>
        <v/>
      </c>
      <c r="DI136" s="11" t="str">
        <f aca="false">IFERROR(IF(INDEX(Damodaran!$E:$E,MATCH(A136,Damodaran!$A:$A,0))="","",INDEX(Damodaran!$E:$E,MATCH(A136,Damodaran!$A:$A,0))),"")</f>
        <v/>
      </c>
      <c r="DJ136" s="11" t="str">
        <f aca="false">IFERROR(IF(INDEX(Damodaran!$G:$G,MATCH(A136,Damodaran!$A:$A,0))="","",INDEX(Damodaran!$G:$G,MATCH(A136,Damodaran!$A:$A,0))),"")</f>
        <v/>
      </c>
      <c r="DK136" s="11" t="str">
        <f aca="false">IF(ISNUMBER(BG136),(1+BG136/100)*(1+p_infl)-1,"")</f>
        <v/>
      </c>
      <c r="DL136" s="11" t="str">
        <f aca="false">IF(ISNUMBER(BH136),BH136/100,"")</f>
        <v/>
      </c>
      <c r="DM136" s="11" t="str">
        <f aca="false">IF(COUNT(DK136,DL136)=0,"",AVERAGE(DK136,DL136))</f>
        <v/>
      </c>
      <c r="DN136" s="11" t="str">
        <f aca="false">IF(OR(DH136="",DI136=""),"",p_dv*(p_rf+DH136)*(1-IF(DJ136="",p_tax_def,DJ136))+(1-p_dv)*(p_rf+p_beta*p_erp+p_lambda*DI136))</f>
        <v/>
      </c>
      <c r="DO136" s="13" t="n">
        <f aca="false">IF(AND(ISNUMBER(DM136),ISNUMBER(DN136)),1,0)</f>
        <v>0</v>
      </c>
      <c r="DP136" s="11" t="n">
        <f aca="false">IF(DO136=1,DM136,0)</f>
        <v>0</v>
      </c>
      <c r="DQ136" s="11" t="n">
        <f aca="false">IF(DO136=1,DN136,0)</f>
        <v>0</v>
      </c>
      <c r="DR136" s="11" t="str">
        <f aca="false">IF(DN136="","",DN136+p_shift)</f>
        <v/>
      </c>
      <c r="DS136" s="11" t="n">
        <f aca="false">IF(E136="AE",p_r_ae,IF(E136="China",p_r_chn,p_r_emdc))</f>
        <v>0.105</v>
      </c>
      <c r="DT136" s="11" t="n">
        <f aca="false">IF(E136="AE",p_rh_ae,IF(E136="China",p_rh_chn,p_rh_emdc))</f>
        <v>0.15</v>
      </c>
      <c r="DU136" s="11" t="n">
        <f aca="false">IF(AND(p_use_obs=1,ISNUMBER(DM136)),DM136,IF(AND(p_use_dam=1,ISNUMBER(DR136)),DR136,DS136))</f>
        <v>0.105</v>
      </c>
      <c r="DV136" s="6" t="str">
        <f aca="false">IF(AND(p_use_obs=1,ISNUMBER(DM136)),"Observed (IRENA/Steffen)",IF(AND(p_use_dam=1,ISNUMBER(DR136)),"Damodaran (eq. 5)","Group default (IHLEG)"))</f>
        <v>Group default (IHLEG)</v>
      </c>
      <c r="DW136" s="11" t="n">
        <f aca="false">IF(p_basis=1,(1+DU136)/(1+p_infl)-1,DU136)</f>
        <v>0.105</v>
      </c>
      <c r="DX136" s="11" t="n">
        <f aca="false">DW136+(DT136-DS136)</f>
        <v>0.15</v>
      </c>
      <c r="DY136" s="28" t="n">
        <f aca="false">IF(AND(p_use_pefa=1,ISNUMBER(BD136)),p_gap_lic-(BD136-1)/3*(p_gap_lic-p_gap_ae),IF(E136="AE",p_gap_ae,IF(D136="Low income",p_gap_lic,p_gap_em)))*(1-p_reform*p_reform_close)</f>
        <v>0.31</v>
      </c>
      <c r="DZ136" s="6" t="str">
        <f aca="false">IF(AND(p_use_pefa=1,ISNUMBER(BD136)),"PEFA PI-11","Income-group default (IMF 2015)")</f>
        <v>PEFA PI-11</v>
      </c>
      <c r="EA136" s="28" t="n">
        <f aca="false">IF(E136="AE",p_ps_ae,IF(E136="China",p_ps_chn,p_ps_emdc))</f>
        <v>0.4</v>
      </c>
      <c r="EB136" s="37" t="n">
        <f aca="false">(1-EA136)+EA136/(1-DY136)</f>
        <v>1.17971014492754</v>
      </c>
      <c r="EC136" s="16" t="n">
        <f aca="false">Results_Country!F136</f>
        <v>1.78120803595045</v>
      </c>
      <c r="ED136" s="16" t="n">
        <f aca="false">IF(CH136="",0,CH136*EC136)</f>
        <v>245.671562964039</v>
      </c>
      <c r="EE136" s="16" t="n">
        <f aca="false">IF(CJ136="",0,CJ136*EC136)</f>
        <v>33.7966000504033</v>
      </c>
      <c r="EF136" s="16" t="n">
        <f aca="false">IF(CH136="",0,EC136)</f>
        <v>1.78120803595045</v>
      </c>
    </row>
    <row r="137" customFormat="false" ht="15" hidden="false" customHeight="false" outlineLevel="0" collapsed="false">
      <c r="A137" s="35" t="s">
        <v>1031</v>
      </c>
      <c r="B137" s="35" t="s">
        <v>1032</v>
      </c>
      <c r="C137" s="35" t="s">
        <v>766</v>
      </c>
      <c r="D137" s="35" t="s">
        <v>763</v>
      </c>
      <c r="E137" s="35" t="s">
        <v>31</v>
      </c>
      <c r="F137" s="36" t="n">
        <v>18.208</v>
      </c>
      <c r="G137" s="36" t="n">
        <v>44.872</v>
      </c>
      <c r="H137" s="33" t="n">
        <v>2.416</v>
      </c>
      <c r="I137" s="33" t="n">
        <v>1.9</v>
      </c>
      <c r="J137" s="36" t="n">
        <v>3.034961</v>
      </c>
      <c r="K137" s="36" t="n">
        <v>10.107</v>
      </c>
      <c r="L137" s="36" t="n">
        <v>14.001</v>
      </c>
      <c r="M137" s="36" t="n">
        <v>14.178</v>
      </c>
      <c r="N137" s="36" t="n">
        <v>2.77639734478143</v>
      </c>
      <c r="O137" s="36" t="n">
        <v>1.85206456772062</v>
      </c>
      <c r="P137" s="36" t="n">
        <v>0.0808539611500416</v>
      </c>
      <c r="Q137" s="31" t="n">
        <v>0.0212904053608244</v>
      </c>
      <c r="R137" s="31" t="n">
        <v>0.0279323680131512</v>
      </c>
      <c r="S137" s="31" t="n">
        <v>0.0531058514587122</v>
      </c>
      <c r="T137" s="31" t="n">
        <v>0.00149755037470039</v>
      </c>
      <c r="U137" s="31" t="n">
        <v>0.0012214833819096</v>
      </c>
      <c r="V137" s="31" t="n">
        <v>0.0027237204518174</v>
      </c>
      <c r="W137" s="31" t="n">
        <v>0</v>
      </c>
      <c r="X137" s="31" t="n">
        <v>0</v>
      </c>
      <c r="Y137" s="36" t="n">
        <v>0.232772421186209</v>
      </c>
      <c r="Z137" s="36" t="n">
        <v>0.754835155473025</v>
      </c>
      <c r="AA137" s="36" t="n">
        <v>0.109038535360393</v>
      </c>
      <c r="AB137" s="36" t="n">
        <v>1.10996818663837E-006</v>
      </c>
      <c r="AC137" s="36" t="n">
        <v>0.0991550406680529</v>
      </c>
      <c r="AD137" s="31" t="n">
        <v>0.868041</v>
      </c>
      <c r="AE137" s="31" t="n">
        <v>0.800315</v>
      </c>
      <c r="AF137" s="31" t="n">
        <v>0.595491</v>
      </c>
      <c r="AG137" s="31" t="n">
        <v>0.591</v>
      </c>
      <c r="AH137" s="31" t="n">
        <v>0.519462891908447</v>
      </c>
      <c r="AI137" s="31" t="n">
        <v>6.942</v>
      </c>
      <c r="AJ137" s="31" t="n">
        <v>12.8364</v>
      </c>
      <c r="AK137" s="31" t="n">
        <v>4.239</v>
      </c>
      <c r="AL137" s="31" t="n">
        <v>11.0114216339199</v>
      </c>
      <c r="AM137" s="31" t="n">
        <v>22.26</v>
      </c>
      <c r="AN137" s="31" t="n">
        <v>32.9688</v>
      </c>
      <c r="AO137" s="31" t="n">
        <v>20.206</v>
      </c>
      <c r="AP137" s="31" t="n">
        <v>24.1171804711904</v>
      </c>
      <c r="AQ137" s="36" t="n">
        <v>0.382732191922316</v>
      </c>
      <c r="AR137" s="36" t="n">
        <v>0.0313231839054641</v>
      </c>
      <c r="AS137" s="36" t="n">
        <v>0.0746348039100969</v>
      </c>
      <c r="AT137" s="36" t="n">
        <v>0.0984497299788422</v>
      </c>
      <c r="AU137" s="31" t="n">
        <v>0.0747147075385284</v>
      </c>
      <c r="AV137" s="36" t="n">
        <v>0.1656</v>
      </c>
      <c r="AW137" s="31" t="n">
        <v>2.602423</v>
      </c>
      <c r="AX137" s="31" t="n">
        <v>0.180252</v>
      </c>
      <c r="AY137" s="31" t="n">
        <v>0.0247368169203543</v>
      </c>
      <c r="AZ137" s="31" t="n">
        <v>0.076577</v>
      </c>
      <c r="BA137" s="33" t="n">
        <v>38.777</v>
      </c>
      <c r="BB137" s="33" t="n">
        <v>4.043</v>
      </c>
      <c r="BC137" s="33" t="n">
        <v>105.979</v>
      </c>
      <c r="BD137" s="33" t="n">
        <v>1.5</v>
      </c>
      <c r="BE137" s="33" t="n">
        <v>3</v>
      </c>
      <c r="BF137" s="33" t="n">
        <v>0</v>
      </c>
      <c r="BG137" s="33"/>
      <c r="BH137" s="33"/>
      <c r="BI137" s="29"/>
      <c r="BJ137" s="33"/>
      <c r="BK137" s="33"/>
      <c r="BL137" s="33" t="n">
        <v>-3.121</v>
      </c>
      <c r="BM137" s="33" t="n">
        <v>0.108</v>
      </c>
      <c r="BN137" s="29" t="n">
        <v>22.655</v>
      </c>
      <c r="BO137" s="33" t="n">
        <v>2.494</v>
      </c>
      <c r="BP137" s="33"/>
      <c r="BQ137" s="29" t="n">
        <v>2025</v>
      </c>
      <c r="BR137" s="36" t="n">
        <v>2.89</v>
      </c>
      <c r="BS137" s="36" t="n">
        <v>0</v>
      </c>
      <c r="BT137" s="36" t="n">
        <v>1.85</v>
      </c>
      <c r="BU137" s="36" t="n">
        <v>0.22</v>
      </c>
      <c r="BV137" s="16" t="n">
        <f aca="false">F137*(1+N(H137)/100)*(1+N(I137)/100)^5</f>
        <v>20.4880664767263</v>
      </c>
      <c r="BW137" s="16" t="n">
        <f aca="false">IF(N(G137)&gt;0,G137,F137)</f>
        <v>44.872</v>
      </c>
      <c r="BX137" s="12" t="n">
        <f aca="false">F137/BW137</f>
        <v>0.405776430736317</v>
      </c>
      <c r="BY137" s="13" t="n">
        <f aca="false">IF(ISNUMBER(K137),1,0)</f>
        <v>1</v>
      </c>
      <c r="BZ137" s="16" t="n">
        <f aca="false">IF(BY137=0,"",N(N137)+N(O137)+N(P137))</f>
        <v>4.7093158736521</v>
      </c>
      <c r="CA137" s="37" t="n">
        <f aca="false">IF(BY137=0,"",(N(Y137)*34.2+N(Z137)*38.6)/1000)</f>
        <v>0.0370974538058271</v>
      </c>
      <c r="CB137" s="37" t="n">
        <f aca="false">IF(BY137=0,"",N(O137)*0.0036+N(R137)+N(V137)+(N(AA137)*25.3+N(AB137)*37)/1000)</f>
        <v>0.0400822369222036</v>
      </c>
      <c r="CC137" s="37" t="n">
        <f aca="false">IF(BY137=0,"",N(N137)*0.0036+N(Q137)+N(U137)+N(T137)+N(X137)+N(AC137)*38/1000)</f>
        <v>0.0377723611040336</v>
      </c>
      <c r="CD137" s="37" t="n">
        <f aca="false">IF(BY137=0,"",N(Q137)+N(R137)+N(S137)+N(T137)+N(U137)+N(V137)+N(W137)+N(X137)+(N(Y137)*34.2+N(Z137)*38.6+N(AA137)*25.3+N(AB137)*37+N(AC137)*38)/1000)</f>
        <v>0.151395440405769</v>
      </c>
      <c r="CE137" s="16" t="n">
        <f aca="false">IF(BY137=0,"",MAX(0,N(L137)-N(K137))+MAX(0,N(M137)-N(L137)))</f>
        <v>4.071</v>
      </c>
      <c r="CF137" s="16" t="n">
        <f aca="false">IF(BY137=0,"",N(Y137)*N(AD137)+N(Z137)*N(AE137)+N(AA137)*N(AF137)+N(AB137)*N(AG137)+N(AC137)*N(AH137)+N(U137)*N(AI137)+N(V137)*N(AJ137)+N(W137)*N(AK137)+N(X137)*N(AL137)+N(Q137)*N(AM137)+N(R137)*N(AN137)+N(S137)*N(AO137)+N(T137)*N(AP137))</f>
        <v>3.47003829729045</v>
      </c>
      <c r="CG137" s="16" t="n">
        <f aca="false">IF(AND(BY137=1,N(K137)&gt;0),K137,0)</f>
        <v>10.107</v>
      </c>
      <c r="CH137" s="16" t="n">
        <f aca="false">IF(CG137&gt;0,CF137*1000/CG137,"")</f>
        <v>343.330196625156</v>
      </c>
      <c r="CI137" s="16" t="n">
        <f aca="false">IF(BY137=0,"",N(AQ137)+p_road*(N(AR137)+N(AS137)+N(AT137)))</f>
        <v>0.382732191922316</v>
      </c>
      <c r="CJ137" s="16" t="n">
        <f aca="false">IF(CG137&gt;0,CI137*1000/CG137,"")</f>
        <v>37.8680312577734</v>
      </c>
      <c r="CK137" s="12" t="n">
        <f aca="false">IF(CH137="",1,MIN(p_idx_max,MAX(p_idx_min,CH137/p_fc_world)))</f>
        <v>2.13238841543013</v>
      </c>
      <c r="CL137" s="12" t="n">
        <f aca="false">IF(CJ137="",1,MIN(p_idx_max,MAX(p_idx_min,CJ137/p_cb_world)))</f>
        <v>0.720050561093034</v>
      </c>
      <c r="CM137" s="37" t="n">
        <f aca="false">p_b*(1-p_wb_idx+p_wb_idx*CK137)</f>
        <v>0.283607659252207</v>
      </c>
      <c r="CN137" s="37" t="n">
        <f aca="false">p_c*(1-p_wc_idx+p_wc_idx*CL137)</f>
        <v>0.0928865223810014</v>
      </c>
      <c r="CO137" s="28" t="n">
        <f aca="false">IF(N(BR137)&gt;0,(N(BS137)+N(BT137)+N(BU137))/BR137,"")</f>
        <v>0.716262975778547</v>
      </c>
      <c r="CP137" s="16" t="n">
        <f aca="false">N(BS137)+N(BT137)+N(BU137)</f>
        <v>2.07</v>
      </c>
      <c r="CQ137" s="28" t="n">
        <f aca="false">IF(CP137&gt;0,N(BS137)/CP137,"")</f>
        <v>0</v>
      </c>
      <c r="CR137" s="28" t="n">
        <f aca="false">IF(CP137&gt;0,N(BT137)/CP137,"")</f>
        <v>0.893719806763285</v>
      </c>
      <c r="CS137" s="28" t="n">
        <f aca="false">IF(CP137&gt;0,N(BU137)/CP137,"")</f>
        <v>0.106280193236715</v>
      </c>
      <c r="CT137" s="7" t="n">
        <f aca="false">1000*(p_sh_pv*p_cf_pv/p_capex_pv+(1-p_sh_pv)*p_cf_wind/p_capex_wind)*8760</f>
        <v>2301.28856624319</v>
      </c>
      <c r="CU137" s="13" t="n">
        <f aca="false">IF(AND(ISNUMBER(CO137),ISNUMBER(CQ137),BY137=1),1,0)</f>
        <v>1</v>
      </c>
      <c r="CV137" s="16" t="n">
        <f aca="false">IF(CU137=0,"",CQ137*p_hr_coal*N(AK137)+CR137*p_hr_gas*N(AO137)+CS137*p_hr_oil*N(AH137)/p_gj_l_oil)</f>
        <v>150.456656032496</v>
      </c>
      <c r="CW137" s="37" t="n">
        <f aca="false">IF(CU137=0,"",CQ137*p_hr_coal*p_ef_coal+CR137*p_hr_gas*p_ef_gas+CS137*p_hr_oil*p_ef_oil)</f>
        <v>0.46240652173913</v>
      </c>
      <c r="CX137" s="16" t="n">
        <f aca="false">IF(CU137=0,"",CQ137*p_hr_coal*N(AW137)+CR137*p_hr_gas*N(AX137)+CS137*p_hr_oil*N(AY137)/p_gj_l_oil)</f>
        <v>1.9233625189109</v>
      </c>
      <c r="CY137" s="37" t="n">
        <f aca="false">IF(CU137=0,"",CO137*CW137)</f>
        <v>0.331204671280277</v>
      </c>
      <c r="CZ137" s="37" t="n">
        <f aca="false">IF(CU137=0,"",CT137*CO137*CV137/1000/1000-p_om_re)</f>
        <v>0.233001888319215</v>
      </c>
      <c r="DA137" s="37" t="n">
        <f aca="false">IF(CU137=0,"",CT137*CO137*CX137/1000/1000)</f>
        <v>0.00317033190282576</v>
      </c>
      <c r="DB137" s="37" t="n">
        <f aca="false">IF(CU137=0,"",CT137*CO137*CW137/1000)</f>
        <v>0.762197523103637</v>
      </c>
      <c r="DC137" s="13" t="n">
        <f aca="false">IF(AND(CU137=1,ISNUMBER(AD137),ISNUMBER(AV137)),1,0)</f>
        <v>1</v>
      </c>
      <c r="DD137" s="7" t="n">
        <f aca="false">IF(DC137=0,"",p_ev_km*p_ice_l/100*AD137-p_ev_km*p_ev_kwh*AV137+p_ev_km*p_ev_maint)</f>
        <v>709.426125</v>
      </c>
      <c r="DE137" s="37" t="n">
        <f aca="false">IF(DC137=0,"",DD137/p_ev_prem)</f>
        <v>0.141885225</v>
      </c>
      <c r="DF137" s="37" t="n">
        <f aca="false">IF(DC137=0,"",p_ev_km*p_ice_l/100*N(AZ137)/p_ev_prem)</f>
        <v>0.017229825</v>
      </c>
      <c r="DG137" s="37" t="n">
        <f aca="false">IF(DC137=0,"",1000/p_ev_prem*(p_ev_km*p_ice_l/100*p_gj_l_gso*p_ef_gso-p_ev_km*p_ev_kwh/1000*CY137))</f>
        <v>0.354412977508651</v>
      </c>
      <c r="DH137" s="11" t="str">
        <f aca="false">IFERROR(IF(INDEX(Damodaran!$D:$D,MATCH(A137,Damodaran!$A:$A,0))="","",INDEX(Damodaran!$D:$D,MATCH(A137,Damodaran!$A:$A,0))),"")</f>
        <v/>
      </c>
      <c r="DI137" s="11" t="str">
        <f aca="false">IFERROR(IF(INDEX(Damodaran!$E:$E,MATCH(A137,Damodaran!$A:$A,0))="","",INDEX(Damodaran!$E:$E,MATCH(A137,Damodaran!$A:$A,0))),"")</f>
        <v/>
      </c>
      <c r="DJ137" s="11" t="str">
        <f aca="false">IFERROR(IF(INDEX(Damodaran!$G:$G,MATCH(A137,Damodaran!$A:$A,0))="","",INDEX(Damodaran!$G:$G,MATCH(A137,Damodaran!$A:$A,0))),"")</f>
        <v/>
      </c>
      <c r="DK137" s="11" t="str">
        <f aca="false">IF(ISNUMBER(BG137),(1+BG137/100)*(1+p_infl)-1,"")</f>
        <v/>
      </c>
      <c r="DL137" s="11" t="str">
        <f aca="false">IF(ISNUMBER(BH137),BH137/100,"")</f>
        <v/>
      </c>
      <c r="DM137" s="11" t="str">
        <f aca="false">IF(COUNT(DK137,DL137)=0,"",AVERAGE(DK137,DL137))</f>
        <v/>
      </c>
      <c r="DN137" s="11" t="str">
        <f aca="false">IF(OR(DH137="",DI137=""),"",p_dv*(p_rf+DH137)*(1-IF(DJ137="",p_tax_def,DJ137))+(1-p_dv)*(p_rf+p_beta*p_erp+p_lambda*DI137))</f>
        <v/>
      </c>
      <c r="DO137" s="13" t="n">
        <f aca="false">IF(AND(ISNUMBER(DM137),ISNUMBER(DN137)),1,0)</f>
        <v>0</v>
      </c>
      <c r="DP137" s="11" t="n">
        <f aca="false">IF(DO137=1,DM137,0)</f>
        <v>0</v>
      </c>
      <c r="DQ137" s="11" t="n">
        <f aca="false">IF(DO137=1,DN137,0)</f>
        <v>0</v>
      </c>
      <c r="DR137" s="11" t="str">
        <f aca="false">IF(DN137="","",DN137+p_shift)</f>
        <v/>
      </c>
      <c r="DS137" s="11" t="n">
        <f aca="false">IF(E137="AE",p_r_ae,IF(E137="China",p_r_chn,p_r_emdc))</f>
        <v>0.105</v>
      </c>
      <c r="DT137" s="11" t="n">
        <f aca="false">IF(E137="AE",p_rh_ae,IF(E137="China",p_rh_chn,p_rh_emdc))</f>
        <v>0.15</v>
      </c>
      <c r="DU137" s="11" t="n">
        <f aca="false">IF(AND(p_use_obs=1,ISNUMBER(DM137)),DM137,IF(AND(p_use_dam=1,ISNUMBER(DR137)),DR137,DS137))</f>
        <v>0.105</v>
      </c>
      <c r="DV137" s="6" t="str">
        <f aca="false">IF(AND(p_use_obs=1,ISNUMBER(DM137)),"Observed (IRENA/Steffen)",IF(AND(p_use_dam=1,ISNUMBER(DR137)),"Damodaran (eq. 5)","Group default (IHLEG)"))</f>
        <v>Group default (IHLEG)</v>
      </c>
      <c r="DW137" s="11" t="n">
        <f aca="false">IF(p_basis=1,(1+DU137)/(1+p_infl)-1,DU137)</f>
        <v>0.105</v>
      </c>
      <c r="DX137" s="11" t="n">
        <f aca="false">DW137+(DT137-DS137)</f>
        <v>0.15</v>
      </c>
      <c r="DY137" s="28" t="n">
        <f aca="false">IF(AND(p_use_pefa=1,ISNUMBER(BD137)),p_gap_lic-(BD137-1)/3*(p_gap_lic-p_gap_ae),IF(E137="AE",p_gap_ae,IF(D137="Low income",p_gap_lic,p_gap_em)))*(1-p_reform*p_reform_close)</f>
        <v>0.355</v>
      </c>
      <c r="DZ137" s="6" t="str">
        <f aca="false">IF(AND(p_use_pefa=1,ISNUMBER(BD137)),"PEFA PI-11","Income-group default (IMF 2015)")</f>
        <v>PEFA PI-11</v>
      </c>
      <c r="EA137" s="28" t="n">
        <f aca="false">IF(E137="AE",p_ps_ae,IF(E137="China",p_ps_chn,p_ps_emdc))</f>
        <v>0.4</v>
      </c>
      <c r="EB137" s="37" t="n">
        <f aca="false">(1-EA137)+EA137/(1-DY137)</f>
        <v>1.22015503875969</v>
      </c>
      <c r="EC137" s="16" t="n">
        <f aca="false">Results_Country!F137</f>
        <v>1.27206698446299</v>
      </c>
      <c r="ED137" s="16" t="n">
        <f aca="false">IF(CH137="",0,CH137*EC137)</f>
        <v>436.739007896048</v>
      </c>
      <c r="EE137" s="16" t="n">
        <f aca="false">IF(CJ137="",0,CJ137*EC137)</f>
        <v>48.1706723296261</v>
      </c>
      <c r="EF137" s="16" t="n">
        <f aca="false">IF(CH137="",0,EC137)</f>
        <v>1.27206698446299</v>
      </c>
    </row>
    <row r="138" customFormat="false" ht="15" hidden="false" customHeight="false" outlineLevel="0" collapsed="false">
      <c r="A138" s="35" t="s">
        <v>1033</v>
      </c>
      <c r="B138" s="35" t="s">
        <v>1034</v>
      </c>
      <c r="C138" s="35" t="s">
        <v>766</v>
      </c>
      <c r="D138" s="35" t="s">
        <v>771</v>
      </c>
      <c r="E138" s="35" t="s">
        <v>31</v>
      </c>
      <c r="F138" s="36" t="n">
        <v>18.175</v>
      </c>
      <c r="G138" s="36" t="n">
        <v>59.277</v>
      </c>
      <c r="H138" s="33" t="n">
        <v>11.096</v>
      </c>
      <c r="I138" s="33" t="n">
        <v>6.075</v>
      </c>
      <c r="J138" s="36" t="n">
        <v>7.186009</v>
      </c>
      <c r="K138" s="36" t="n">
        <v>10.812</v>
      </c>
      <c r="L138" s="36" t="n">
        <v>22.672</v>
      </c>
      <c r="M138" s="36" t="n">
        <v>19.405</v>
      </c>
      <c r="N138" s="36" t="n">
        <v>3.74369909242784</v>
      </c>
      <c r="O138" s="36" t="n">
        <v>11.1148014180367</v>
      </c>
      <c r="P138" s="36" t="n">
        <v>0.1960317382936</v>
      </c>
      <c r="Q138" s="31" t="n">
        <v>0.0040686001096396</v>
      </c>
      <c r="R138" s="31" t="n">
        <v>0.00837169833499481</v>
      </c>
      <c r="S138" s="31" t="n">
        <v>0.00281554995931318</v>
      </c>
      <c r="T138" s="31" t="n">
        <v>2.62449265915654E-006</v>
      </c>
      <c r="U138" s="31" t="n">
        <v>0.00432002024883163</v>
      </c>
      <c r="V138" s="31" t="n">
        <v>0.015754741006622</v>
      </c>
      <c r="W138" s="31" t="n">
        <v>0.025095665608123</v>
      </c>
      <c r="X138" s="31" t="n">
        <v>0.000161756628438357</v>
      </c>
      <c r="Y138" s="36" t="n">
        <v>0.772919843866973</v>
      </c>
      <c r="Z138" s="36" t="n">
        <v>0.77454750742931</v>
      </c>
      <c r="AA138" s="36" t="n">
        <v>0.190889802056094</v>
      </c>
      <c r="AB138" s="36" t="n">
        <v>0.011396196342207</v>
      </c>
      <c r="AC138" s="36" t="n">
        <v>0.0284611035260763</v>
      </c>
      <c r="AD138" s="31" t="n">
        <v>0.750608</v>
      </c>
      <c r="AE138" s="31" t="n">
        <v>0.816504</v>
      </c>
      <c r="AF138" s="31" t="n">
        <v>0.567256</v>
      </c>
      <c r="AG138" s="31" t="n">
        <v>0.591</v>
      </c>
      <c r="AH138" s="31" t="n">
        <v>0.519462891908447</v>
      </c>
      <c r="AI138" s="31" t="n">
        <v>4.374</v>
      </c>
      <c r="AJ138" s="31" t="n">
        <v>2.5928</v>
      </c>
      <c r="AK138" s="31" t="n">
        <v>2.664</v>
      </c>
      <c r="AL138" s="31" t="n">
        <v>2.80270794457519</v>
      </c>
      <c r="AM138" s="31" t="n">
        <v>5.97</v>
      </c>
      <c r="AN138" s="31" t="n">
        <v>15.32496</v>
      </c>
      <c r="AO138" s="31" t="n">
        <v>4.685</v>
      </c>
      <c r="AP138" s="31" t="n">
        <v>10.8664121417788</v>
      </c>
      <c r="AQ138" s="36" t="n">
        <v>0.571845365450864</v>
      </c>
      <c r="AR138" s="36" t="n">
        <v>0.0219806284912914</v>
      </c>
      <c r="AS138" s="36" t="n">
        <v>0.1244193930606</v>
      </c>
      <c r="AT138" s="36" t="n">
        <v>0.0870741953129737</v>
      </c>
      <c r="AU138" s="31" t="n">
        <v>0.872454803160663</v>
      </c>
      <c r="AV138" s="36" t="n">
        <v>0.151404</v>
      </c>
      <c r="AW138" s="31" t="n">
        <v>1.588974</v>
      </c>
      <c r="AX138" s="31" t="n">
        <v>2E-006</v>
      </c>
      <c r="AY138" s="31" t="n">
        <v>0.0169387989104278</v>
      </c>
      <c r="AZ138" s="31" t="n">
        <v>0.061296</v>
      </c>
      <c r="BA138" s="33" t="n">
        <v>36.23</v>
      </c>
      <c r="BB138" s="33" t="n">
        <v>2.459</v>
      </c>
      <c r="BC138" s="33" t="n">
        <v>101.036</v>
      </c>
      <c r="BD138" s="33" t="n">
        <v>2.5</v>
      </c>
      <c r="BE138" s="33" t="n">
        <v>2</v>
      </c>
      <c r="BF138" s="33" t="n">
        <v>0</v>
      </c>
      <c r="BG138" s="33"/>
      <c r="BH138" s="33"/>
      <c r="BI138" s="29"/>
      <c r="BJ138" s="33"/>
      <c r="BK138" s="33"/>
      <c r="BL138" s="33"/>
      <c r="BM138" s="33"/>
      <c r="BN138" s="29" t="n">
        <v>34.904</v>
      </c>
      <c r="BO138" s="33" t="n">
        <v>0.741</v>
      </c>
      <c r="BP138" s="33" t="n">
        <v>0.37</v>
      </c>
      <c r="BQ138" s="29" t="n">
        <v>2024</v>
      </c>
      <c r="BR138" s="36" t="n">
        <v>15.77</v>
      </c>
      <c r="BS138" s="36" t="n">
        <v>1.53</v>
      </c>
      <c r="BT138" s="36" t="n">
        <v>0.19</v>
      </c>
      <c r="BU138" s="36" t="n">
        <v>0.05</v>
      </c>
      <c r="BV138" s="16" t="n">
        <f aca="false">F138*(1+N(H138)/100)*(1+N(I138)/100)^5</f>
        <v>27.1167754137512</v>
      </c>
      <c r="BW138" s="16" t="n">
        <f aca="false">IF(N(G138)&gt;0,G138,F138)</f>
        <v>59.277</v>
      </c>
      <c r="BX138" s="12" t="n">
        <f aca="false">F138/BW138</f>
        <v>0.306611333232114</v>
      </c>
      <c r="BY138" s="13" t="n">
        <f aca="false">IF(ISNUMBER(K138),1,0)</f>
        <v>1</v>
      </c>
      <c r="BZ138" s="16" t="n">
        <f aca="false">IF(BY138=0,"",N(N138)+N(O138)+N(P138))</f>
        <v>15.0545322487581</v>
      </c>
      <c r="CA138" s="37" t="n">
        <f aca="false">IF(BY138=0,"",(N(Y138)*34.2+N(Z138)*38.6)/1000)</f>
        <v>0.0563313924470218</v>
      </c>
      <c r="CB138" s="37" t="n">
        <f aca="false">IF(BY138=0,"",N(O138)*0.0036+N(R138)+N(V138)+(N(AA138)*25.3+N(AB138)*37)/1000)</f>
        <v>0.0693908957032296</v>
      </c>
      <c r="CC138" s="37" t="n">
        <f aca="false">IF(BY138=0,"",N(N138)*0.0036+N(Q138)+N(U138)+N(T138)+N(X138)+N(AC138)*38/1000)</f>
        <v>0.0231118401462999</v>
      </c>
      <c r="CD138" s="37" t="n">
        <f aca="false">IF(BY138=0,"",N(Q138)+N(R138)+N(S138)+N(T138)+N(U138)+N(V138)+N(W138)+N(X138)+(N(Y138)*34.2+N(Z138)*38.6+N(AA138)*25.3+N(AB138)*37+N(AC138)*38)/1000)</f>
        <v>0.123254742026315</v>
      </c>
      <c r="CE138" s="16" t="n">
        <f aca="false">IF(BY138=0,"",MAX(0,N(L138)-N(K138))+MAX(0,N(M138)-N(L138)))</f>
        <v>11.86</v>
      </c>
      <c r="CF138" s="16" t="n">
        <f aca="false">IF(BY138=0,"",N(Y138)*N(AD138)+N(Z138)*N(AE138)+N(AA138)*N(AF138)+N(AB138)*N(AG138)+N(AC138)*N(AH138)+N(U138)*N(AI138)+N(V138)*N(AJ138)+N(W138)*N(AK138)+N(X138)*N(AL138)+N(Q138)*N(AM138)+N(R138)*N(AN138)+N(S138)*N(AO138)+N(T138)*N(AP138))</f>
        <v>1.635241706876</v>
      </c>
      <c r="CG138" s="16" t="n">
        <f aca="false">IF(AND(BY138=1,N(K138)&gt;0),K138,0)</f>
        <v>10.812</v>
      </c>
      <c r="CH138" s="16" t="n">
        <f aca="false">IF(CG138&gt;0,CF138*1000/CG138,"")</f>
        <v>151.243221131706</v>
      </c>
      <c r="CI138" s="16" t="n">
        <f aca="false">IF(BY138=0,"",N(AQ138)+p_road*(N(AR138)+N(AS138)+N(AT138)))</f>
        <v>0.571845365450864</v>
      </c>
      <c r="CJ138" s="16" t="n">
        <f aca="false">IF(CG138&gt;0,CI138*1000/CG138,"")</f>
        <v>52.889878417579</v>
      </c>
      <c r="CK138" s="12" t="n">
        <f aca="false">IF(CH138="",1,MIN(p_idx_max,MAX(p_idx_min,CH138/p_fc_world)))</f>
        <v>0.939356036328194</v>
      </c>
      <c r="CL138" s="12" t="n">
        <f aca="false">IF(CJ138="",1,MIN(p_idx_max,MAX(p_idx_min,CJ138/p_cb_world)))</f>
        <v>1.00568699680954</v>
      </c>
      <c r="CM138" s="37" t="n">
        <f aca="false">p_b*(1-p_wb_idx+p_wb_idx*CK138)</f>
        <v>0.12493435283165</v>
      </c>
      <c r="CN138" s="37" t="n">
        <f aca="false">p_c*(1-p_wc_idx+p_wc_idx*CL138)</f>
        <v>0.129733622588431</v>
      </c>
      <c r="CO138" s="28" t="n">
        <f aca="false">IF(N(BR138)&gt;0,(N(BS138)+N(BT138)+N(BU138))/BR138,"")</f>
        <v>0.112238427393786</v>
      </c>
      <c r="CP138" s="16" t="n">
        <f aca="false">N(BS138)+N(BT138)+N(BU138)</f>
        <v>1.77</v>
      </c>
      <c r="CQ138" s="28" t="n">
        <f aca="false">IF(CP138&gt;0,N(BS138)/CP138,"")</f>
        <v>0.864406779661017</v>
      </c>
      <c r="CR138" s="28" t="n">
        <f aca="false">IF(CP138&gt;0,N(BT138)/CP138,"")</f>
        <v>0.107344632768362</v>
      </c>
      <c r="CS138" s="28" t="n">
        <f aca="false">IF(CP138&gt;0,N(BU138)/CP138,"")</f>
        <v>0.0282485875706215</v>
      </c>
      <c r="CT138" s="7" t="n">
        <f aca="false">1000*(p_sh_pv*p_cf_pv/p_capex_pv+(1-p_sh_pv)*p_cf_wind/p_capex_wind)*8760</f>
        <v>2301.28856624319</v>
      </c>
      <c r="CU138" s="13" t="n">
        <f aca="false">IF(AND(ISNUMBER(CO138),ISNUMBER(CQ138),BY138=1),1,0)</f>
        <v>1</v>
      </c>
      <c r="CV138" s="16" t="n">
        <f aca="false">IF(CU138=0,"",CQ138*p_hr_coal*N(AK138)+CR138*p_hr_gas*N(AO138)+CS138*p_hr_oil*N(AH138)/p_gj_l_oil)</f>
        <v>30.7912760641072</v>
      </c>
      <c r="CW138" s="37" t="n">
        <f aca="false">IF(CU138=0,"",CQ138*p_hr_coal*p_ef_coal+CR138*p_hr_gas*p_ef_gas+CS138*p_hr_oil*p_ef_oil)</f>
        <v>0.885851694915254</v>
      </c>
      <c r="CX138" s="16" t="n">
        <f aca="false">IF(CU138=0,"",CQ138*p_hr_coal*N(AW138)+CR138*p_hr_gas*N(AX138)+CS138*p_hr_oil*N(AY138)/p_gj_l_oil)</f>
        <v>13.8653617335262</v>
      </c>
      <c r="CY138" s="37" t="n">
        <f aca="false">IF(CU138=0,"",CO138*CW138)</f>
        <v>0.0994266011414077</v>
      </c>
      <c r="CZ138" s="37" t="n">
        <f aca="false">IF(CU138=0,"",CT138*CO138*CV138/1000/1000-p_om_re)</f>
        <v>-0.00704682863430115</v>
      </c>
      <c r="DA138" s="37" t="n">
        <f aca="false">IF(CU138=0,"",CT138*CO138*CX138/1000/1000)</f>
        <v>0.00358132601209992</v>
      </c>
      <c r="DB138" s="37" t="n">
        <f aca="false">IF(CU138=0,"",CT138*CO138*CW138/1000)</f>
        <v>0.228809300387144</v>
      </c>
      <c r="DC138" s="13" t="n">
        <f aca="false">IF(AND(CU138=1,ISNUMBER(AD138),ISNUMBER(AV138)),1,0)</f>
        <v>1</v>
      </c>
      <c r="DD138" s="7" t="n">
        <f aca="false">IF(DC138=0,"",p_ev_km*p_ice_l/100*AD138-p_ev_km*p_ev_kwh*AV138+p_ev_km*p_ev_maint)</f>
        <v>615.6432</v>
      </c>
      <c r="DE138" s="37" t="n">
        <f aca="false">IF(DC138=0,"",DD138/p_ev_prem)</f>
        <v>0.12312864</v>
      </c>
      <c r="DF138" s="37" t="n">
        <f aca="false">IF(DC138=0,"",p_ev_km*p_ice_l/100*N(AZ138)/p_ev_prem)</f>
        <v>0.0137916</v>
      </c>
      <c r="DG138" s="37" t="n">
        <f aca="false">IF(DC138=0,"",1000/p_ev_prem*(p_ev_km*p_ice_l/100*p_gj_l_gso*p_ef_gso-p_ev_km*p_ev_kwh/1000*CY138))</f>
        <v>0.47957313538364</v>
      </c>
      <c r="DH138" s="11" t="str">
        <f aca="false">IFERROR(IF(INDEX(Damodaran!$D:$D,MATCH(A138,Damodaran!$A:$A,0))="","",INDEX(Damodaran!$D:$D,MATCH(A138,Damodaran!$A:$A,0))),"")</f>
        <v/>
      </c>
      <c r="DI138" s="11" t="str">
        <f aca="false">IFERROR(IF(INDEX(Damodaran!$E:$E,MATCH(A138,Damodaran!$A:$A,0))="","",INDEX(Damodaran!$E:$E,MATCH(A138,Damodaran!$A:$A,0))),"")</f>
        <v/>
      </c>
      <c r="DJ138" s="11" t="str">
        <f aca="false">IFERROR(IF(INDEX(Damodaran!$G:$G,MATCH(A138,Damodaran!$A:$A,0))="","",INDEX(Damodaran!$G:$G,MATCH(A138,Damodaran!$A:$A,0))),"")</f>
        <v/>
      </c>
      <c r="DK138" s="11" t="str">
        <f aca="false">IF(ISNUMBER(BG138),(1+BG138/100)*(1+p_infl)-1,"")</f>
        <v/>
      </c>
      <c r="DL138" s="11" t="str">
        <f aca="false">IF(ISNUMBER(BH138),BH138/100,"")</f>
        <v/>
      </c>
      <c r="DM138" s="11" t="str">
        <f aca="false">IF(COUNT(DK138,DL138)=0,"",AVERAGE(DK138,DL138))</f>
        <v/>
      </c>
      <c r="DN138" s="11" t="str">
        <f aca="false">IF(OR(DH138="",DI138=""),"",p_dv*(p_rf+DH138)*(1-IF(DJ138="",p_tax_def,DJ138))+(1-p_dv)*(p_rf+p_beta*p_erp+p_lambda*DI138))</f>
        <v/>
      </c>
      <c r="DO138" s="13" t="n">
        <f aca="false">IF(AND(ISNUMBER(DM138),ISNUMBER(DN138)),1,0)</f>
        <v>0</v>
      </c>
      <c r="DP138" s="11" t="n">
        <f aca="false">IF(DO138=1,DM138,0)</f>
        <v>0</v>
      </c>
      <c r="DQ138" s="11" t="n">
        <f aca="false">IF(DO138=1,DN138,0)</f>
        <v>0</v>
      </c>
      <c r="DR138" s="11" t="str">
        <f aca="false">IF(DN138="","",DN138+p_shift)</f>
        <v/>
      </c>
      <c r="DS138" s="11" t="n">
        <f aca="false">IF(E138="AE",p_r_ae,IF(E138="China",p_r_chn,p_r_emdc))</f>
        <v>0.105</v>
      </c>
      <c r="DT138" s="11" t="n">
        <f aca="false">IF(E138="AE",p_rh_ae,IF(E138="China",p_rh_chn,p_rh_emdc))</f>
        <v>0.15</v>
      </c>
      <c r="DU138" s="11" t="n">
        <f aca="false">IF(AND(p_use_obs=1,ISNUMBER(DM138)),DM138,IF(AND(p_use_dam=1,ISNUMBER(DR138)),DR138,DS138))</f>
        <v>0.105</v>
      </c>
      <c r="DV138" s="6" t="str">
        <f aca="false">IF(AND(p_use_obs=1,ISNUMBER(DM138)),"Observed (IRENA/Steffen)",IF(AND(p_use_dam=1,ISNUMBER(DR138)),"Damodaran (eq. 5)","Group default (IHLEG)"))</f>
        <v>Group default (IHLEG)</v>
      </c>
      <c r="DW138" s="11" t="n">
        <f aca="false">IF(p_basis=1,(1+DU138)/(1+p_infl)-1,DU138)</f>
        <v>0.105</v>
      </c>
      <c r="DX138" s="11" t="n">
        <f aca="false">DW138+(DT138-DS138)</f>
        <v>0.15</v>
      </c>
      <c r="DY138" s="28" t="n">
        <f aca="false">IF(AND(p_use_pefa=1,ISNUMBER(BD138)),p_gap_lic-(BD138-1)/3*(p_gap_lic-p_gap_ae),IF(E138="AE",p_gap_ae,IF(D138="Low income",p_gap_lic,p_gap_em)))*(1-p_reform*p_reform_close)</f>
        <v>0.265</v>
      </c>
      <c r="DZ138" s="6" t="str">
        <f aca="false">IF(AND(p_use_pefa=1,ISNUMBER(BD138)),"PEFA PI-11","Income-group default (IMF 2015)")</f>
        <v>PEFA PI-11</v>
      </c>
      <c r="EA138" s="28" t="n">
        <f aca="false">IF(E138="AE",p_ps_ae,IF(E138="China",p_ps_chn,p_ps_emdc))</f>
        <v>0.4</v>
      </c>
      <c r="EB138" s="37" t="n">
        <f aca="false">(1-EA138)+EA138/(1-DY138)</f>
        <v>1.14421768707483</v>
      </c>
      <c r="EC138" s="16" t="n">
        <f aca="false">Results_Country!F138</f>
        <v>2.02433798304838</v>
      </c>
      <c r="ED138" s="16" t="n">
        <f aca="false">IF(CH138="",0,CH138*EC138)</f>
        <v>306.167397215498</v>
      </c>
      <c r="EE138" s="16" t="n">
        <f aca="false">IF(CJ138="",0,CJ138*EC138)</f>
        <v>107.066989799516</v>
      </c>
      <c r="EF138" s="16" t="n">
        <f aca="false">IF(CH138="",0,EC138)</f>
        <v>2.02433798304838</v>
      </c>
    </row>
    <row r="139" customFormat="false" ht="15" hidden="false" customHeight="false" outlineLevel="0" collapsed="false">
      <c r="A139" s="35" t="s">
        <v>1035</v>
      </c>
      <c r="B139" s="35" t="s">
        <v>1036</v>
      </c>
      <c r="C139" s="35" t="s">
        <v>799</v>
      </c>
      <c r="D139" s="35" t="s">
        <v>888</v>
      </c>
      <c r="E139" s="35" t="s">
        <v>31</v>
      </c>
      <c r="F139" s="36" t="n">
        <v>17.817</v>
      </c>
      <c r="G139" s="36" t="n">
        <v>95.368</v>
      </c>
      <c r="H139" s="33" t="n">
        <v>3.004</v>
      </c>
      <c r="I139" s="33"/>
      <c r="J139" s="36" t="n">
        <v>42.647492</v>
      </c>
      <c r="K139" s="36" t="n">
        <v>5.893</v>
      </c>
      <c r="L139" s="36" t="n">
        <v>29.715</v>
      </c>
      <c r="M139" s="36" t="n">
        <v>29.862</v>
      </c>
      <c r="N139" s="36" t="n">
        <v>2.23247401749438</v>
      </c>
      <c r="O139" s="36" t="n">
        <v>3.30159193915127</v>
      </c>
      <c r="P139" s="36" t="n">
        <v>0</v>
      </c>
      <c r="Q139" s="31" t="n">
        <v>0.00287982003060738</v>
      </c>
      <c r="R139" s="31" t="n">
        <v>0</v>
      </c>
      <c r="S139" s="31" t="n">
        <v>0</v>
      </c>
      <c r="T139" s="31" t="n">
        <v>0</v>
      </c>
      <c r="U139" s="31" t="n">
        <v>0.0372627375805809</v>
      </c>
      <c r="V139" s="31" t="n">
        <v>0</v>
      </c>
      <c r="W139" s="31" t="n">
        <v>0.00138762838939224</v>
      </c>
      <c r="X139" s="31" t="n">
        <v>0</v>
      </c>
      <c r="Y139" s="36" t="n">
        <v>1.21288396414908</v>
      </c>
      <c r="Z139" s="36" t="n">
        <v>0.619476583171377</v>
      </c>
      <c r="AA139" s="36" t="n">
        <v>1.1450875288413</v>
      </c>
      <c r="AB139" s="36" t="n">
        <v>0.0690665713661189</v>
      </c>
      <c r="AC139" s="36" t="n">
        <v>0.0117752065618043</v>
      </c>
      <c r="AD139" s="31" t="n">
        <v>0.792</v>
      </c>
      <c r="AE139" s="31" t="n">
        <v>0.757109</v>
      </c>
      <c r="AF139" s="31" t="n">
        <v>0.559102</v>
      </c>
      <c r="AG139" s="31" t="n">
        <v>0.7172</v>
      </c>
      <c r="AH139" s="31" t="n">
        <v>0.543345303403777</v>
      </c>
      <c r="AI139" s="31" t="n">
        <v>7.124</v>
      </c>
      <c r="AJ139" s="31" t="n">
        <v>12.5961</v>
      </c>
      <c r="AK139" s="31" t="n">
        <v>4.833</v>
      </c>
      <c r="AL139" s="31" t="n">
        <v>7.04174834311873</v>
      </c>
      <c r="AM139" s="31" t="n">
        <v>6.449</v>
      </c>
      <c r="AN139" s="31" t="n">
        <v>15.829</v>
      </c>
      <c r="AO139" s="31" t="n">
        <v>5.125</v>
      </c>
      <c r="AP139" s="31" t="n">
        <v>6.449</v>
      </c>
      <c r="AQ139" s="36" t="n">
        <v>0.049553746532039</v>
      </c>
      <c r="AR139" s="36" t="n">
        <v>0.022970473238581</v>
      </c>
      <c r="AS139" s="36" t="n">
        <v>0.286099096335081</v>
      </c>
      <c r="AT139" s="36" t="n">
        <v>0.130628097723106</v>
      </c>
      <c r="AU139" s="31" t="n">
        <v>0.938597626147537</v>
      </c>
      <c r="AV139" s="36" t="n">
        <v>0.171584</v>
      </c>
      <c r="AW139" s="31" t="n">
        <v>0.004124</v>
      </c>
      <c r="AX139" s="31" t="n">
        <v>0.002521</v>
      </c>
      <c r="AY139" s="31" t="n">
        <v>0.0334175613745159</v>
      </c>
      <c r="AZ139" s="31" t="n">
        <v>0.005912</v>
      </c>
      <c r="BA139" s="33" t="n">
        <v>8.912</v>
      </c>
      <c r="BB139" s="33" t="n">
        <v>0.241</v>
      </c>
      <c r="BC139" s="33" t="n">
        <v>94.541</v>
      </c>
      <c r="BD139" s="33" t="n">
        <v>1.5</v>
      </c>
      <c r="BE139" s="33" t="n">
        <v>1</v>
      </c>
      <c r="BF139" s="33" t="n">
        <v>0</v>
      </c>
      <c r="BG139" s="33"/>
      <c r="BH139" s="33"/>
      <c r="BI139" s="29"/>
      <c r="BJ139" s="33"/>
      <c r="BK139" s="33"/>
      <c r="BL139" s="33"/>
      <c r="BM139" s="33"/>
      <c r="BN139" s="29" t="n">
        <v>39.833</v>
      </c>
      <c r="BO139" s="33" t="n">
        <v>0.056</v>
      </c>
      <c r="BP139" s="33"/>
      <c r="BQ139" s="29" t="n">
        <v>2024</v>
      </c>
      <c r="BR139" s="36" t="n">
        <v>0.99</v>
      </c>
      <c r="BS139" s="36" t="n">
        <v>0.03</v>
      </c>
      <c r="BT139" s="36" t="n">
        <v>0</v>
      </c>
      <c r="BU139" s="36" t="n">
        <v>0.1</v>
      </c>
      <c r="BV139" s="16" t="n">
        <f aca="false">F139*(1+N(H139)/100)*(1+N(I139)/100)^5</f>
        <v>18.35222268</v>
      </c>
      <c r="BW139" s="16" t="n">
        <f aca="false">IF(N(G139)&gt;0,G139,F139)</f>
        <v>95.368</v>
      </c>
      <c r="BX139" s="12" t="n">
        <f aca="false">F139/BW139</f>
        <v>0.186823672510695</v>
      </c>
      <c r="BY139" s="13" t="n">
        <f aca="false">IF(ISNUMBER(K139),1,0)</f>
        <v>1</v>
      </c>
      <c r="BZ139" s="16" t="n">
        <f aca="false">IF(BY139=0,"",N(N139)+N(O139)+N(P139))</f>
        <v>5.53406595664564</v>
      </c>
      <c r="CA139" s="37" t="n">
        <f aca="false">IF(BY139=0,"",(N(Y139)*34.2+N(Z139)*38.6)/1000)</f>
        <v>0.0653924276843136</v>
      </c>
      <c r="CB139" s="37" t="n">
        <f aca="false">IF(BY139=0,"",N(O139)*0.0036+N(R139)+N(V139)+(N(AA139)*25.3+N(AB139)*37)/1000)</f>
        <v>0.0434119086011759</v>
      </c>
      <c r="CC139" s="37" t="n">
        <f aca="false">IF(BY139=0,"",N(N139)*0.0036+N(Q139)+N(U139)+N(T139)+N(X139)+N(AC139)*38/1000)</f>
        <v>0.0486269219235165</v>
      </c>
      <c r="CD139" s="37" t="n">
        <f aca="false">IF(BY139=0,"",N(Q139)+N(R139)+N(S139)+N(T139)+N(U139)+N(V139)+N(W139)+N(X139)+(N(Y139)*34.2+N(Z139)*38.6+N(AA139)*25.3+N(AB139)*37+N(AC139)*38)/1000)</f>
        <v>0.138896249154474</v>
      </c>
      <c r="CE139" s="16" t="n">
        <f aca="false">IF(BY139=0,"",MAX(0,N(L139)-N(K139))+MAX(0,N(M139)-N(L139)))</f>
        <v>23.969</v>
      </c>
      <c r="CF139" s="16" t="n">
        <f aca="false">IF(BY139=0,"",N(Y139)*N(AD139)+N(Z139)*N(AE139)+N(AA139)*N(AF139)+N(AB139)*N(AG139)+N(AC139)*N(AH139)+N(U139)*N(AI139)+N(V139)*N(AJ139)+N(W139)*N(AK139)+N(X139)*N(AL139)+N(Q139)*N(AM139)+N(R139)*N(AN139)+N(S139)*N(AO139)+N(T139)*N(AP139))</f>
        <v>2.41650678163772</v>
      </c>
      <c r="CG139" s="16" t="n">
        <f aca="false">IF(AND(BY139=1,N(K139)&gt;0),K139,0)</f>
        <v>5.893</v>
      </c>
      <c r="CH139" s="16" t="n">
        <f aca="false">IF(CG139&gt;0,CF139*1000/CG139,"")</f>
        <v>410.063937152167</v>
      </c>
      <c r="CI139" s="16" t="n">
        <f aca="false">IF(BY139=0,"",N(AQ139)+p_road*(N(AR139)+N(AS139)+N(AT139)))</f>
        <v>0.049553746532039</v>
      </c>
      <c r="CJ139" s="16" t="n">
        <f aca="false">IF(CG139&gt;0,CI139*1000/CG139,"")</f>
        <v>8.40891677109096</v>
      </c>
      <c r="CK139" s="12" t="n">
        <f aca="false">IF(CH139="",1,MIN(p_idx_max,MAX(p_idx_min,CH139/p_fc_world)))</f>
        <v>2.54686479011815</v>
      </c>
      <c r="CL139" s="12" t="n">
        <f aca="false">IF(CJ139="",1,MIN(p_idx_max,MAX(p_idx_min,CJ139/p_cb_world)))</f>
        <v>0.25</v>
      </c>
      <c r="CM139" s="37" t="n">
        <f aca="false">p_b*(1-p_wb_idx+p_wb_idx*CK139)</f>
        <v>0.338733017085714</v>
      </c>
      <c r="CN139" s="37" t="n">
        <f aca="false">p_c*(1-p_wc_idx+p_wc_idx*CL139)</f>
        <v>0.03225</v>
      </c>
      <c r="CO139" s="28" t="n">
        <f aca="false">IF(N(BR139)&gt;0,(N(BS139)+N(BT139)+N(BU139))/BR139,"")</f>
        <v>0.131313131313131</v>
      </c>
      <c r="CP139" s="16" t="n">
        <f aca="false">N(BS139)+N(BT139)+N(BU139)</f>
        <v>0.13</v>
      </c>
      <c r="CQ139" s="28" t="n">
        <f aca="false">IF(CP139&gt;0,N(BS139)/CP139,"")</f>
        <v>0.230769230769231</v>
      </c>
      <c r="CR139" s="28" t="n">
        <f aca="false">IF(CP139&gt;0,N(BT139)/CP139,"")</f>
        <v>0</v>
      </c>
      <c r="CS139" s="28" t="n">
        <f aca="false">IF(CP139&gt;0,N(BU139)/CP139,"")</f>
        <v>0.769230769230769</v>
      </c>
      <c r="CT139" s="7" t="n">
        <f aca="false">1000*(p_sh_pv*p_cf_pv/p_capex_pv+(1-p_sh_pv)*p_cf_wind/p_capex_wind)*8760</f>
        <v>2301.28856624319</v>
      </c>
      <c r="CU139" s="13" t="n">
        <f aca="false">IF(AND(ISNUMBER(CO139),ISNUMBER(CQ139),BY139=1),1,0)</f>
        <v>1</v>
      </c>
      <c r="CV139" s="16" t="n">
        <f aca="false">IF(CU139=0,"",CQ139*p_hr_coal*N(AK139)+CR139*p_hr_gas*N(AO139)+CS139*p_hr_oil*N(AH139)/p_gj_l_oil)</f>
        <v>124.846295052604</v>
      </c>
      <c r="CW139" s="37" t="n">
        <f aca="false">IF(CU139=0,"",CQ139*p_hr_coal*p_ef_coal+CR139*p_hr_gas*p_ef_gas+CS139*p_hr_oil*p_ef_oil)</f>
        <v>0.843461538461538</v>
      </c>
      <c r="CX139" s="16" t="n">
        <f aca="false">IF(CU139=0,"",CQ139*p_hr_coal*N(AW139)+CR139*p_hr_gas*N(AX139)+CS139*p_hr_oil*N(AY139)/p_gj_l_oil)</f>
        <v>7.0020317583184</v>
      </c>
      <c r="CY139" s="37" t="n">
        <f aca="false">IF(CU139=0,"",CO139*CW139)</f>
        <v>0.110757575757576</v>
      </c>
      <c r="CZ139" s="37" t="n">
        <f aca="false">IF(CU139=0,"",CT139*CO139*CV139/1000/1000-p_om_re)</f>
        <v>0.0227272279540501</v>
      </c>
      <c r="DA139" s="37" t="n">
        <f aca="false">IF(CU139=0,"",CT139*CO139*CX139/1000/1000)</f>
        <v>0.0021159398296623</v>
      </c>
      <c r="DB139" s="37" t="n">
        <f aca="false">IF(CU139=0,"",CT139*CO139*CW139/1000)</f>
        <v>0.254885142715723</v>
      </c>
      <c r="DC139" s="13" t="n">
        <f aca="false">IF(AND(CU139=1,ISNUMBER(AD139),ISNUMBER(AV139)),1,0)</f>
        <v>1</v>
      </c>
      <c r="DD139" s="7" t="n">
        <f aca="false">IF(DC139=0,"",p_ev_km*p_ice_l/100*AD139-p_ev_km*p_ev_kwh*AV139+p_ev_km*p_ev_maint)</f>
        <v>607.7232</v>
      </c>
      <c r="DE139" s="37" t="n">
        <f aca="false">IF(DC139=0,"",DD139/p_ev_prem)</f>
        <v>0.12154464</v>
      </c>
      <c r="DF139" s="37" t="n">
        <f aca="false">IF(DC139=0,"",p_ev_km*p_ice_l/100*N(AZ139)/p_ev_prem)</f>
        <v>0.0013302</v>
      </c>
      <c r="DG139" s="37" t="n">
        <f aca="false">IF(DC139=0,"",1000/p_ev_prem*(p_ev_km*p_ice_l/100*p_gj_l_gso*p_ef_gso-p_ev_km*p_ev_kwh/1000*CY139))</f>
        <v>0.473454409090909</v>
      </c>
      <c r="DH139" s="11" t="str">
        <f aca="false">IFERROR(IF(INDEX(Damodaran!$D:$D,MATCH(A139,Damodaran!$A:$A,0))="","",INDEX(Damodaran!$D:$D,MATCH(A139,Damodaran!$A:$A,0))),"")</f>
        <v/>
      </c>
      <c r="DI139" s="11" t="str">
        <f aca="false">IFERROR(IF(INDEX(Damodaran!$E:$E,MATCH(A139,Damodaran!$A:$A,0))="","",INDEX(Damodaran!$E:$E,MATCH(A139,Damodaran!$A:$A,0))),"")</f>
        <v/>
      </c>
      <c r="DJ139" s="11" t="str">
        <f aca="false">IFERROR(IF(INDEX(Damodaran!$G:$G,MATCH(A139,Damodaran!$A:$A,0))="","",INDEX(Damodaran!$G:$G,MATCH(A139,Damodaran!$A:$A,0))),"")</f>
        <v/>
      </c>
      <c r="DK139" s="11" t="str">
        <f aca="false">IF(ISNUMBER(BG139),(1+BG139/100)*(1+p_infl)-1,"")</f>
        <v/>
      </c>
      <c r="DL139" s="11" t="str">
        <f aca="false">IF(ISNUMBER(BH139),BH139/100,"")</f>
        <v/>
      </c>
      <c r="DM139" s="11" t="str">
        <f aca="false">IF(COUNT(DK139,DL139)=0,"",AVERAGE(DK139,DL139))</f>
        <v/>
      </c>
      <c r="DN139" s="11" t="str">
        <f aca="false">IF(OR(DH139="",DI139=""),"",p_dv*(p_rf+DH139)*(1-IF(DJ139="",p_tax_def,DJ139))+(1-p_dv)*(p_rf+p_beta*p_erp+p_lambda*DI139))</f>
        <v/>
      </c>
      <c r="DO139" s="13" t="n">
        <f aca="false">IF(AND(ISNUMBER(DM139),ISNUMBER(DN139)),1,0)</f>
        <v>0</v>
      </c>
      <c r="DP139" s="11" t="n">
        <f aca="false">IF(DO139=1,DM139,0)</f>
        <v>0</v>
      </c>
      <c r="DQ139" s="11" t="n">
        <f aca="false">IF(DO139=1,DN139,0)</f>
        <v>0</v>
      </c>
      <c r="DR139" s="11" t="str">
        <f aca="false">IF(DN139="","",DN139+p_shift)</f>
        <v/>
      </c>
      <c r="DS139" s="11" t="n">
        <f aca="false">IF(E139="AE",p_r_ae,IF(E139="China",p_r_chn,p_r_emdc))</f>
        <v>0.105</v>
      </c>
      <c r="DT139" s="11" t="n">
        <f aca="false">IF(E139="AE",p_rh_ae,IF(E139="China",p_rh_chn,p_rh_emdc))</f>
        <v>0.15</v>
      </c>
      <c r="DU139" s="11" t="n">
        <f aca="false">IF(AND(p_use_obs=1,ISNUMBER(DM139)),DM139,IF(AND(p_use_dam=1,ISNUMBER(DR139)),DR139,DS139))</f>
        <v>0.105</v>
      </c>
      <c r="DV139" s="6" t="str">
        <f aca="false">IF(AND(p_use_obs=1,ISNUMBER(DM139)),"Observed (IRENA/Steffen)",IF(AND(p_use_dam=1,ISNUMBER(DR139)),"Damodaran (eq. 5)","Group default (IHLEG)"))</f>
        <v>Group default (IHLEG)</v>
      </c>
      <c r="DW139" s="11" t="n">
        <f aca="false">IF(p_basis=1,(1+DU139)/(1+p_infl)-1,DU139)</f>
        <v>0.105</v>
      </c>
      <c r="DX139" s="11" t="n">
        <f aca="false">DW139+(DT139-DS139)</f>
        <v>0.15</v>
      </c>
      <c r="DY139" s="28" t="n">
        <f aca="false">IF(AND(p_use_pefa=1,ISNUMBER(BD139)),p_gap_lic-(BD139-1)/3*(p_gap_lic-p_gap_ae),IF(E139="AE",p_gap_ae,IF(D139="Low income",p_gap_lic,p_gap_em)))*(1-p_reform*p_reform_close)</f>
        <v>0.355</v>
      </c>
      <c r="DZ139" s="6" t="str">
        <f aca="false">IF(AND(p_use_pefa=1,ISNUMBER(BD139)),"PEFA PI-11","Income-group default (IMF 2015)")</f>
        <v>PEFA PI-11</v>
      </c>
      <c r="EA139" s="28" t="n">
        <f aca="false">IF(E139="AE",p_ps_ae,IF(E139="China",p_ps_chn,p_ps_emdc))</f>
        <v>0.4</v>
      </c>
      <c r="EB139" s="37" t="n">
        <f aca="false">(1-EA139)+EA139/(1-DY139)</f>
        <v>1.22015503875969</v>
      </c>
      <c r="EC139" s="16" t="n">
        <f aca="false">Results_Country!F139</f>
        <v>1.63204299307394</v>
      </c>
      <c r="ED139" s="16" t="n">
        <f aca="false">IF(CH139="",0,CH139*EC139)</f>
        <v>669.241975341507</v>
      </c>
      <c r="EE139" s="16" t="n">
        <f aca="false">IF(CJ139="",0,CJ139*EC139)</f>
        <v>13.7237136956009</v>
      </c>
      <c r="EF139" s="16" t="n">
        <f aca="false">IF(CH139="",0,EC139)</f>
        <v>1.63204299307394</v>
      </c>
    </row>
    <row r="140" customFormat="false" ht="15" hidden="false" customHeight="false" outlineLevel="0" collapsed="false">
      <c r="A140" s="35" t="s">
        <v>1037</v>
      </c>
      <c r="B140" s="35" t="s">
        <v>1038</v>
      </c>
      <c r="C140" s="35" t="s">
        <v>847</v>
      </c>
      <c r="D140" s="35" t="s">
        <v>888</v>
      </c>
      <c r="E140" s="35" t="s">
        <v>31</v>
      </c>
      <c r="F140" s="36" t="n">
        <v>17.593</v>
      </c>
      <c r="G140" s="36" t="n">
        <v>60.371</v>
      </c>
      <c r="H140" s="33" t="n">
        <v>2.835</v>
      </c>
      <c r="I140" s="33" t="n">
        <v>3.636</v>
      </c>
      <c r="J140" s="36" t="n">
        <v>31.964956</v>
      </c>
      <c r="K140" s="36" t="n">
        <v>3.565</v>
      </c>
      <c r="L140" s="36" t="n">
        <v>38.051</v>
      </c>
      <c r="M140" s="36" t="n">
        <v>47.292</v>
      </c>
      <c r="N140" s="36" t="n">
        <v>1.54221422670336</v>
      </c>
      <c r="O140" s="36" t="n">
        <v>0.902367417370557</v>
      </c>
      <c r="P140" s="36" t="n">
        <v>0.657330508213314</v>
      </c>
      <c r="Q140" s="31" t="n">
        <v>0</v>
      </c>
      <c r="R140" s="31" t="n">
        <v>0</v>
      </c>
      <c r="S140" s="31" t="n">
        <v>0</v>
      </c>
      <c r="T140" s="31" t="n">
        <v>0</v>
      </c>
      <c r="U140" s="31" t="n">
        <v>0.00456102169876081</v>
      </c>
      <c r="V140" s="31" t="n">
        <v>0</v>
      </c>
      <c r="W140" s="31" t="n">
        <v>0.0178436757566481</v>
      </c>
      <c r="X140" s="31" t="n">
        <v>0</v>
      </c>
      <c r="Y140" s="36" t="n">
        <v>0.192222352994359</v>
      </c>
      <c r="Z140" s="36" t="n">
        <v>0.537056508414287</v>
      </c>
      <c r="AA140" s="36" t="n">
        <v>0.0323994027736034</v>
      </c>
      <c r="AB140" s="36" t="n">
        <v>0.0537131589731846</v>
      </c>
      <c r="AC140" s="36" t="n">
        <v>0.143265526540149</v>
      </c>
      <c r="AD140" s="31" t="n">
        <v>0.819504</v>
      </c>
      <c r="AE140" s="31" t="n">
        <v>0.626009</v>
      </c>
      <c r="AF140" s="31" t="n">
        <v>0.570797</v>
      </c>
      <c r="AG140" s="31" t="n">
        <v>0.672</v>
      </c>
      <c r="AH140" s="31" t="n">
        <v>0.491165033252273</v>
      </c>
      <c r="AI140" s="31" t="n">
        <v>6.83</v>
      </c>
      <c r="AJ140" s="31" t="n">
        <v>13.98</v>
      </c>
      <c r="AK140" s="31" t="n">
        <v>5.362</v>
      </c>
      <c r="AL140" s="31" t="n">
        <v>5.66084714431457</v>
      </c>
      <c r="AM140" s="31" t="n">
        <v>8.176</v>
      </c>
      <c r="AN140" s="31" t="n">
        <v>19.3416</v>
      </c>
      <c r="AO140" s="31" t="n">
        <v>6.853</v>
      </c>
      <c r="AP140" s="31" t="n">
        <v>11.4568666666667</v>
      </c>
      <c r="AQ140" s="36" t="n">
        <v>0.00644463019116737</v>
      </c>
      <c r="AR140" s="36" t="n">
        <v>0.00222931083001964</v>
      </c>
      <c r="AS140" s="36" t="n">
        <v>0.0921249952144748</v>
      </c>
      <c r="AT140" s="36" t="n">
        <v>0.0436711480792456</v>
      </c>
      <c r="AU140" s="31" t="n">
        <v>0.488315392280432</v>
      </c>
      <c r="AV140" s="36" t="n">
        <v>0.211238</v>
      </c>
      <c r="AW140" s="31" t="n">
        <v>0.172157</v>
      </c>
      <c r="AX140" s="31" t="n">
        <v>0.000472</v>
      </c>
      <c r="AY140" s="31" t="n">
        <v>0.013931991143322</v>
      </c>
      <c r="AZ140" s="31" t="n">
        <v>0.000299</v>
      </c>
      <c r="BA140" s="33" t="n">
        <v>49.805</v>
      </c>
      <c r="BB140" s="33" t="n">
        <v>4.599</v>
      </c>
      <c r="BC140" s="33" t="n">
        <v>61.416</v>
      </c>
      <c r="BD140" s="33" t="n">
        <v>1</v>
      </c>
      <c r="BE140" s="33" t="n">
        <v>1</v>
      </c>
      <c r="BF140" s="33" t="n">
        <v>1</v>
      </c>
      <c r="BG140" s="33"/>
      <c r="BH140" s="33"/>
      <c r="BI140" s="29"/>
      <c r="BJ140" s="33"/>
      <c r="BK140" s="33"/>
      <c r="BL140" s="33" t="n">
        <v>0.542</v>
      </c>
      <c r="BM140" s="33" t="n">
        <v>1.04</v>
      </c>
      <c r="BN140" s="29" t="n">
        <v>34.192</v>
      </c>
      <c r="BO140" s="33" t="n">
        <v>3.009</v>
      </c>
      <c r="BP140" s="33" t="n">
        <v>0.08</v>
      </c>
      <c r="BQ140" s="29" t="n">
        <v>2024</v>
      </c>
      <c r="BR140" s="36" t="n">
        <v>2.43</v>
      </c>
      <c r="BS140" s="36" t="n">
        <v>0.5</v>
      </c>
      <c r="BT140" s="36" t="n">
        <v>0</v>
      </c>
      <c r="BU140" s="36" t="n">
        <v>0.9</v>
      </c>
      <c r="BV140" s="16" t="n">
        <f aca="false">F140*(1+N(H140)/100)*(1+N(I140)/100)^5</f>
        <v>21.6288817757559</v>
      </c>
      <c r="BW140" s="16" t="n">
        <f aca="false">IF(N(G140)&gt;0,G140,F140)</f>
        <v>60.371</v>
      </c>
      <c r="BX140" s="12" t="n">
        <f aca="false">F140/BW140</f>
        <v>0.291414752116082</v>
      </c>
      <c r="BY140" s="13" t="n">
        <f aca="false">IF(ISNUMBER(K140),1,0)</f>
        <v>1</v>
      </c>
      <c r="BZ140" s="16" t="n">
        <f aca="false">IF(BY140=0,"",N(N140)+N(O140)+N(P140))</f>
        <v>3.10191215228723</v>
      </c>
      <c r="CA140" s="37" t="n">
        <f aca="false">IF(BY140=0,"",(N(Y140)*34.2+N(Z140)*38.6)/1000)</f>
        <v>0.0273043856971986</v>
      </c>
      <c r="CB140" s="37" t="n">
        <f aca="false">IF(BY140=0,"",N(O140)*0.0036+N(R140)+N(V140)+(N(AA140)*25.3+N(AB140)*37)/1000)</f>
        <v>0.006055614474714</v>
      </c>
      <c r="CC140" s="37" t="n">
        <f aca="false">IF(BY140=0,"",N(N140)*0.0036+N(Q140)+N(U140)+N(T140)+N(X140)+N(AC140)*38/1000)</f>
        <v>0.0155570829234186</v>
      </c>
      <c r="CD140" s="37" t="n">
        <f aca="false">IF(BY140=0,"",N(Q140)+N(R140)+N(S140)+N(T140)+N(U140)+N(V140)+N(W140)+N(X140)+(N(Y140)*34.2+N(Z140)*38.6+N(AA140)*25.3+N(AB140)*37+N(AC140)*38)/1000)</f>
        <v>0.0579602649333131</v>
      </c>
      <c r="CE140" s="16" t="n">
        <f aca="false">IF(BY140=0,"",MAX(0,N(L140)-N(K140))+MAX(0,N(M140)-N(L140)))</f>
        <v>43.727</v>
      </c>
      <c r="CF140" s="16" t="n">
        <f aca="false">IF(BY140=0,"",N(Y140)*N(AD140)+N(Z140)*N(AE140)+N(AA140)*N(AF140)+N(AB140)*N(AG140)+N(AC140)*N(AH140)+N(U140)*N(AI140)+N(V140)*N(AJ140)+N(W140)*N(AK140)+N(X140)*N(AL140)+N(Q140)*N(AM140)+N(R140)*N(AN140)+N(S140)*N(AO140)+N(T140)*N(AP140))</f>
        <v>0.745514504395833</v>
      </c>
      <c r="CG140" s="16" t="n">
        <f aca="false">IF(AND(BY140=1,N(K140)&gt;0),K140,0)</f>
        <v>3.565</v>
      </c>
      <c r="CH140" s="16" t="n">
        <f aca="false">IF(CG140&gt;0,CF140*1000/CG140,"")</f>
        <v>209.120478091398</v>
      </c>
      <c r="CI140" s="16" t="n">
        <f aca="false">IF(BY140=0,"",N(AQ140)+p_road*(N(AR140)+N(AS140)+N(AT140)))</f>
        <v>0.00644463019116737</v>
      </c>
      <c r="CJ140" s="16" t="n">
        <f aca="false">IF(CG140&gt;0,CI140*1000/CG140,"")</f>
        <v>1.80775040425452</v>
      </c>
      <c r="CK140" s="12" t="n">
        <f aca="false">IF(CH140="",1,MIN(p_idx_max,MAX(p_idx_min,CH140/p_fc_world)))</f>
        <v>1.2988257056753</v>
      </c>
      <c r="CL140" s="12" t="n">
        <f aca="false">IF(CJ140="",1,MIN(p_idx_max,MAX(p_idx_min,CJ140/p_cb_world)))</f>
        <v>0.25</v>
      </c>
      <c r="CM140" s="37" t="n">
        <f aca="false">p_b*(1-p_wb_idx+p_wb_idx*CK140)</f>
        <v>0.172743818854815</v>
      </c>
      <c r="CN140" s="37" t="n">
        <f aca="false">p_c*(1-p_wc_idx+p_wc_idx*CL140)</f>
        <v>0.03225</v>
      </c>
      <c r="CO140" s="28" t="n">
        <f aca="false">IF(N(BR140)&gt;0,(N(BS140)+N(BT140)+N(BU140))/BR140,"")</f>
        <v>0.576131687242798</v>
      </c>
      <c r="CP140" s="16" t="n">
        <f aca="false">N(BS140)+N(BT140)+N(BU140)</f>
        <v>1.4</v>
      </c>
      <c r="CQ140" s="28" t="n">
        <f aca="false">IF(CP140&gt;0,N(BS140)/CP140,"")</f>
        <v>0.357142857142857</v>
      </c>
      <c r="CR140" s="28" t="n">
        <f aca="false">IF(CP140&gt;0,N(BT140)/CP140,"")</f>
        <v>0</v>
      </c>
      <c r="CS140" s="28" t="n">
        <f aca="false">IF(CP140&gt;0,N(BU140)/CP140,"")</f>
        <v>0.642857142857143</v>
      </c>
      <c r="CT140" s="7" t="n">
        <f aca="false">1000*(p_sh_pv*p_cf_pv/p_capex_pv+(1-p_sh_pv)*p_cf_wind/p_capex_wind)*8760</f>
        <v>2301.28856624319</v>
      </c>
      <c r="CU140" s="13" t="n">
        <f aca="false">IF(AND(ISNUMBER(CO140),ISNUMBER(CQ140),BY140=1),1,0)</f>
        <v>1</v>
      </c>
      <c r="CV140" s="16" t="n">
        <f aca="false">IF(CU140=0,"",CQ140*p_hr_coal*N(AK140)+CR140*p_hr_gas*N(AO140)+CS140*p_hr_oil*N(AH140)/p_gj_l_oil)</f>
        <v>105.040258405514</v>
      </c>
      <c r="CW140" s="37" t="n">
        <f aca="false">IF(CU140=0,"",CQ140*p_hr_coal*p_ef_coal+CR140*p_hr_gas*p_ef_gas+CS140*p_hr_oil*p_ef_oil)</f>
        <v>0.860307142857143</v>
      </c>
      <c r="CX140" s="16" t="n">
        <f aca="false">IF(CU140=0,"",CQ140*p_hr_coal*N(AW140)+CR140*p_hr_gas*N(AX140)+CS140*p_hr_oil*N(AY140)/p_gj_l_oil)</f>
        <v>3.05114021658757</v>
      </c>
      <c r="CY140" s="37" t="n">
        <f aca="false">IF(CU140=0,"",CO140*CW140)</f>
        <v>0.495650205761317</v>
      </c>
      <c r="CZ140" s="37" t="n">
        <f aca="false">IF(CU140=0,"",CT140*CO140*CV140/1000/1000-p_om_re)</f>
        <v>0.124267129189044</v>
      </c>
      <c r="DA140" s="37" t="n">
        <f aca="false">IF(CU140=0,"",CT140*CO140*CX140/1000/1000)</f>
        <v>0.00404533980749501</v>
      </c>
      <c r="DB140" s="37" t="n">
        <f aca="false">IF(CU140=0,"",CT140*CO140*CW140/1000)</f>
        <v>1.1406341513746</v>
      </c>
      <c r="DC140" s="13" t="n">
        <f aca="false">IF(AND(CU140=1,ISNUMBER(AD140),ISNUMBER(AV140)),1,0)</f>
        <v>1</v>
      </c>
      <c r="DD140" s="7" t="n">
        <f aca="false">IF(DC140=0,"",p_ev_km*p_ice_l/100*AD140-p_ev_km*p_ev_kwh*AV140+p_ev_km*p_ev_maint)</f>
        <v>531.5994</v>
      </c>
      <c r="DE140" s="37" t="n">
        <f aca="false">IF(DC140=0,"",DD140/p_ev_prem)</f>
        <v>0.10631988</v>
      </c>
      <c r="DF140" s="37" t="n">
        <f aca="false">IF(DC140=0,"",p_ev_km*p_ice_l/100*N(AZ140)/p_ev_prem)</f>
        <v>6.7275E-005</v>
      </c>
      <c r="DG140" s="37" t="n">
        <f aca="false">IF(DC140=0,"",1000/p_ev_prem*(p_ev_km*p_ice_l/100*p_gj_l_gso*p_ef_gso-p_ev_km*p_ev_kwh/1000*CY140))</f>
        <v>0.265612388888889</v>
      </c>
      <c r="DH140" s="11" t="str">
        <f aca="false">IFERROR(IF(INDEX(Damodaran!$D:$D,MATCH(A140,Damodaran!$A:$A,0))="","",INDEX(Damodaran!$D:$D,MATCH(A140,Damodaran!$A:$A,0))),"")</f>
        <v/>
      </c>
      <c r="DI140" s="11" t="str">
        <f aca="false">IFERROR(IF(INDEX(Damodaran!$E:$E,MATCH(A140,Damodaran!$A:$A,0))="","",INDEX(Damodaran!$E:$E,MATCH(A140,Damodaran!$A:$A,0))),"")</f>
        <v/>
      </c>
      <c r="DJ140" s="11" t="str">
        <f aca="false">IFERROR(IF(INDEX(Damodaran!$G:$G,MATCH(A140,Damodaran!$A:$A,0))="","",INDEX(Damodaran!$G:$G,MATCH(A140,Damodaran!$A:$A,0))),"")</f>
        <v/>
      </c>
      <c r="DK140" s="11" t="str">
        <f aca="false">IF(ISNUMBER(BG140),(1+BG140/100)*(1+p_infl)-1,"")</f>
        <v/>
      </c>
      <c r="DL140" s="11" t="str">
        <f aca="false">IF(ISNUMBER(BH140),BH140/100,"")</f>
        <v/>
      </c>
      <c r="DM140" s="11" t="str">
        <f aca="false">IF(COUNT(DK140,DL140)=0,"",AVERAGE(DK140,DL140))</f>
        <v/>
      </c>
      <c r="DN140" s="11" t="str">
        <f aca="false">IF(OR(DH140="",DI140=""),"",p_dv*(p_rf+DH140)*(1-IF(DJ140="",p_tax_def,DJ140))+(1-p_dv)*(p_rf+p_beta*p_erp+p_lambda*DI140))</f>
        <v/>
      </c>
      <c r="DO140" s="13" t="n">
        <f aca="false">IF(AND(ISNUMBER(DM140),ISNUMBER(DN140)),1,0)</f>
        <v>0</v>
      </c>
      <c r="DP140" s="11" t="n">
        <f aca="false">IF(DO140=1,DM140,0)</f>
        <v>0</v>
      </c>
      <c r="DQ140" s="11" t="n">
        <f aca="false">IF(DO140=1,DN140,0)</f>
        <v>0</v>
      </c>
      <c r="DR140" s="11" t="str">
        <f aca="false">IF(DN140="","",DN140+p_shift)</f>
        <v/>
      </c>
      <c r="DS140" s="11" t="n">
        <f aca="false">IF(E140="AE",p_r_ae,IF(E140="China",p_r_chn,p_r_emdc))</f>
        <v>0.105</v>
      </c>
      <c r="DT140" s="11" t="n">
        <f aca="false">IF(E140="AE",p_rh_ae,IF(E140="China",p_rh_chn,p_rh_emdc))</f>
        <v>0.15</v>
      </c>
      <c r="DU140" s="11" t="n">
        <f aca="false">IF(AND(p_use_obs=1,ISNUMBER(DM140)),DM140,IF(AND(p_use_dam=1,ISNUMBER(DR140)),DR140,DS140))</f>
        <v>0.105</v>
      </c>
      <c r="DV140" s="6" t="str">
        <f aca="false">IF(AND(p_use_obs=1,ISNUMBER(DM140)),"Observed (IRENA/Steffen)",IF(AND(p_use_dam=1,ISNUMBER(DR140)),"Damodaran (eq. 5)","Group default (IHLEG)"))</f>
        <v>Group default (IHLEG)</v>
      </c>
      <c r="DW140" s="11" t="n">
        <f aca="false">IF(p_basis=1,(1+DU140)/(1+p_infl)-1,DU140)</f>
        <v>0.105</v>
      </c>
      <c r="DX140" s="11" t="n">
        <f aca="false">DW140+(DT140-DS140)</f>
        <v>0.15</v>
      </c>
      <c r="DY140" s="28" t="n">
        <f aca="false">IF(AND(p_use_pefa=1,ISNUMBER(BD140)),p_gap_lic-(BD140-1)/3*(p_gap_lic-p_gap_ae),IF(E140="AE",p_gap_ae,IF(D140="Low income",p_gap_lic,p_gap_em)))*(1-p_reform*p_reform_close)</f>
        <v>0.4</v>
      </c>
      <c r="DZ140" s="6" t="str">
        <f aca="false">IF(AND(p_use_pefa=1,ISNUMBER(BD140)),"PEFA PI-11","Income-group default (IMF 2015)")</f>
        <v>PEFA PI-11</v>
      </c>
      <c r="EA140" s="28" t="n">
        <f aca="false">IF(E140="AE",p_ps_ae,IF(E140="China",p_ps_chn,p_ps_emdc))</f>
        <v>0.4</v>
      </c>
      <c r="EB140" s="37" t="n">
        <f aca="false">(1-EA140)+EA140/(1-DY140)</f>
        <v>1.26666666666667</v>
      </c>
      <c r="EC140" s="16" t="n">
        <f aca="false">Results_Country!F140</f>
        <v>1.53543369628715</v>
      </c>
      <c r="ED140" s="16" t="n">
        <f aca="false">IF(CH140="",0,CH140*EC140)</f>
        <v>321.09062864521</v>
      </c>
      <c r="EE140" s="16" t="n">
        <f aca="false">IF(CJ140="",0,CJ140*EC140)</f>
        <v>2.7756808851691</v>
      </c>
      <c r="EF140" s="16" t="n">
        <f aca="false">IF(CH140="",0,EC140)</f>
        <v>1.53543369628715</v>
      </c>
    </row>
    <row r="141" customFormat="false" ht="15" hidden="false" customHeight="false" outlineLevel="0" collapsed="false">
      <c r="A141" s="35" t="s">
        <v>1039</v>
      </c>
      <c r="B141" s="35" t="s">
        <v>1040</v>
      </c>
      <c r="C141" s="35" t="s">
        <v>766</v>
      </c>
      <c r="D141" s="35" t="s">
        <v>763</v>
      </c>
      <c r="E141" s="35" t="s">
        <v>31</v>
      </c>
      <c r="F141" s="36" t="n">
        <v>16.954</v>
      </c>
      <c r="G141" s="36" t="n">
        <v>50.782</v>
      </c>
      <c r="H141" s="33" t="n">
        <v>3.487</v>
      </c>
      <c r="I141" s="33" t="n">
        <v>3.1</v>
      </c>
      <c r="J141" s="36" t="n">
        <v>1.823009</v>
      </c>
      <c r="K141" s="36" t="n">
        <v>9.271</v>
      </c>
      <c r="L141" s="36" t="n">
        <v>12.22</v>
      </c>
      <c r="M141" s="36" t="n">
        <v>12.22</v>
      </c>
      <c r="N141" s="36" t="n">
        <v>3.98653204370593</v>
      </c>
      <c r="O141" s="36" t="n">
        <v>4.08972296461832</v>
      </c>
      <c r="P141" s="36" t="n">
        <v>0.0174407810436558</v>
      </c>
      <c r="Q141" s="31" t="n">
        <v>0.00382039510255934</v>
      </c>
      <c r="R141" s="31" t="n">
        <v>0.000946005851308967</v>
      </c>
      <c r="S141" s="31" t="n">
        <v>0.0172230902810238</v>
      </c>
      <c r="T141" s="31" t="n">
        <v>0.000222974614054033</v>
      </c>
      <c r="U141" s="31" t="n">
        <v>0.00492118422693992</v>
      </c>
      <c r="V141" s="31" t="n">
        <v>7.58648714318857E-005</v>
      </c>
      <c r="W141" s="31" t="n">
        <v>0.0158984869847173</v>
      </c>
      <c r="X141" s="31" t="n">
        <v>0</v>
      </c>
      <c r="Y141" s="36" t="n">
        <v>0.139633131341929</v>
      </c>
      <c r="Z141" s="36" t="n">
        <v>1.00891348571463</v>
      </c>
      <c r="AA141" s="36" t="n">
        <v>0.160094055779035</v>
      </c>
      <c r="AB141" s="36" t="n">
        <v>5.97681721268675E-005</v>
      </c>
      <c r="AC141" s="36" t="n">
        <v>0.24903242760084</v>
      </c>
      <c r="AD141" s="31" t="n">
        <v>0.853682</v>
      </c>
      <c r="AE141" s="31" t="n">
        <v>0.818365</v>
      </c>
      <c r="AF141" s="31" t="n">
        <v>0.518872</v>
      </c>
      <c r="AG141" s="31" t="n">
        <v>0.591</v>
      </c>
      <c r="AH141" s="31" t="n">
        <v>0.519462891908447</v>
      </c>
      <c r="AI141" s="31" t="n">
        <v>4.418</v>
      </c>
      <c r="AJ141" s="31" t="n">
        <v>8.16796</v>
      </c>
      <c r="AK141" s="31" t="n">
        <v>2.691</v>
      </c>
      <c r="AL141" s="31" t="n">
        <v>3.11761714878793</v>
      </c>
      <c r="AM141" s="31" t="n">
        <v>14.265</v>
      </c>
      <c r="AN141" s="31" t="n">
        <v>29.9071</v>
      </c>
      <c r="AO141" s="31" t="n">
        <v>14.265</v>
      </c>
      <c r="AP141" s="31" t="n">
        <v>14.9379359023678</v>
      </c>
      <c r="AQ141" s="36" t="n">
        <v>0.228981040135852</v>
      </c>
      <c r="AR141" s="36" t="n">
        <v>0.0270048928683059</v>
      </c>
      <c r="AS141" s="36" t="n">
        <v>0.0413105868085911</v>
      </c>
      <c r="AT141" s="36" t="n">
        <v>0.126184759674294</v>
      </c>
      <c r="AU141" s="31" t="n">
        <v>0.430461641603442</v>
      </c>
      <c r="AV141" s="36" t="n">
        <v>0.114177</v>
      </c>
      <c r="AW141" s="31" t="n">
        <v>3.067695</v>
      </c>
      <c r="AX141" s="31" t="n">
        <v>0.133938</v>
      </c>
      <c r="AY141" s="31" t="n">
        <v>0.189979789615743</v>
      </c>
      <c r="AZ141" s="31" t="n">
        <v>0.022002</v>
      </c>
      <c r="BA141" s="33" t="n">
        <v>52.929</v>
      </c>
      <c r="BB141" s="33" t="n">
        <v>5.867</v>
      </c>
      <c r="BC141" s="33" t="n">
        <v>81.139</v>
      </c>
      <c r="BD141" s="33" t="n">
        <v>1.5</v>
      </c>
      <c r="BE141" s="33" t="n">
        <v>1</v>
      </c>
      <c r="BF141" s="33" t="n">
        <v>0</v>
      </c>
      <c r="BG141" s="33"/>
      <c r="BH141" s="33"/>
      <c r="BI141" s="29"/>
      <c r="BJ141" s="33"/>
      <c r="BK141" s="33"/>
      <c r="BL141" s="33" t="n">
        <v>3.413</v>
      </c>
      <c r="BM141" s="33" t="n">
        <v>6.96</v>
      </c>
      <c r="BN141" s="29" t="n">
        <v>14.73</v>
      </c>
      <c r="BO141" s="33" t="n">
        <v>1.99</v>
      </c>
      <c r="BP141" s="33" t="n">
        <v>0.089</v>
      </c>
      <c r="BQ141" s="29" t="n">
        <v>2025</v>
      </c>
      <c r="BR141" s="36" t="n">
        <v>7.1</v>
      </c>
      <c r="BS141" s="36" t="n">
        <v>2.07</v>
      </c>
      <c r="BT141" s="36" t="n">
        <v>1.09</v>
      </c>
      <c r="BU141" s="36" t="n">
        <v>0.17</v>
      </c>
      <c r="BV141" s="16" t="n">
        <f aca="false">F141*(1+N(H141)/100)*(1+N(I141)/100)^5</f>
        <v>20.4386074495654</v>
      </c>
      <c r="BW141" s="16" t="n">
        <f aca="false">IF(N(G141)&gt;0,G141,F141)</f>
        <v>50.782</v>
      </c>
      <c r="BX141" s="12" t="n">
        <f aca="false">F141/BW141</f>
        <v>0.333858453782836</v>
      </c>
      <c r="BY141" s="13" t="n">
        <f aca="false">IF(ISNUMBER(K141),1,0)</f>
        <v>1</v>
      </c>
      <c r="BZ141" s="16" t="n">
        <f aca="false">IF(BY141=0,"",N(N141)+N(O141)+N(P141))</f>
        <v>8.09369578936791</v>
      </c>
      <c r="CA141" s="37" t="n">
        <f aca="false">IF(BY141=0,"",(N(Y141)*34.2+N(Z141)*38.6)/1000)</f>
        <v>0.0437195136404786</v>
      </c>
      <c r="CB141" s="37" t="n">
        <f aca="false">IF(BY141=0,"",N(O141)*0.0036+N(R141)+N(V141)+(N(AA141)*25.3+N(AB141)*37)/1000)</f>
        <v>0.0197974644289451</v>
      </c>
      <c r="CC141" s="37" t="n">
        <f aca="false">IF(BY141=0,"",N(N141)*0.0036+N(Q141)+N(U141)+N(T141)+N(X141)+N(AC141)*38/1000)</f>
        <v>0.0327793015497266</v>
      </c>
      <c r="CD141" s="37" t="n">
        <f aca="false">IF(BY141=0,"",N(Q141)+N(R141)+N(S141)+N(T141)+N(U141)+N(V141)+N(W141)+N(X141)+(N(Y141)*34.2+N(Z141)*38.6+N(AA141)*25.3+N(AB141)*37+N(AC141)*38)/1000)</f>
        <v>0.100343338854924</v>
      </c>
      <c r="CE141" s="16" t="n">
        <f aca="false">IF(BY141=0,"",MAX(0,N(L141)-N(K141))+MAX(0,N(M141)-N(L141)))</f>
        <v>2.949</v>
      </c>
      <c r="CF141" s="16" t="n">
        <f aca="false">IF(BY141=0,"",N(Y141)*N(AD141)+N(Z141)*N(AE141)+N(AA141)*N(AF141)+N(AB141)*N(AG141)+N(AC141)*N(AH141)+N(U141)*N(AI141)+N(V141)*N(AJ141)+N(W141)*N(AK141)+N(X141)*N(AL141)+N(Q141)*N(AM141)+N(R141)*N(AN141)+N(S141)*N(AO141)+N(T141)*N(AP141))</f>
        <v>1.55428119919836</v>
      </c>
      <c r="CG141" s="16" t="n">
        <f aca="false">IF(AND(BY141=1,N(K141)&gt;0),K141,0)</f>
        <v>9.271</v>
      </c>
      <c r="CH141" s="16" t="n">
        <f aca="false">IF(CG141&gt;0,CF141*1000/CG141,"")</f>
        <v>167.649789580235</v>
      </c>
      <c r="CI141" s="16" t="n">
        <f aca="false">IF(BY141=0,"",N(AQ141)+p_road*(N(AR141)+N(AS141)+N(AT141)))</f>
        <v>0.228981040135852</v>
      </c>
      <c r="CJ141" s="16" t="n">
        <f aca="false">IF(CG141&gt;0,CI141*1000/CG141,"")</f>
        <v>24.6986344661689</v>
      </c>
      <c r="CK141" s="12" t="n">
        <f aca="false">IF(CH141="",1,MIN(p_idx_max,MAX(p_idx_min,CH141/p_fc_world)))</f>
        <v>1.04125553960667</v>
      </c>
      <c r="CL141" s="12" t="n">
        <f aca="false">IF(CJ141="",1,MIN(p_idx_max,MAX(p_idx_min,CJ141/p_cb_world)))</f>
        <v>0.469637977335988</v>
      </c>
      <c r="CM141" s="37" t="n">
        <f aca="false">p_b*(1-p_wb_idx+p_wb_idx*CK141)</f>
        <v>0.138486986767687</v>
      </c>
      <c r="CN141" s="37" t="n">
        <f aca="false">p_c*(1-p_wc_idx+p_wc_idx*CL141)</f>
        <v>0.0605832990763425</v>
      </c>
      <c r="CO141" s="28" t="n">
        <f aca="false">IF(N(BR141)&gt;0,(N(BS141)+N(BT141)+N(BU141))/BR141,"")</f>
        <v>0.469014084507042</v>
      </c>
      <c r="CP141" s="16" t="n">
        <f aca="false">N(BS141)+N(BT141)+N(BU141)</f>
        <v>3.33</v>
      </c>
      <c r="CQ141" s="28" t="n">
        <f aca="false">IF(CP141&gt;0,N(BS141)/CP141,"")</f>
        <v>0.621621621621622</v>
      </c>
      <c r="CR141" s="28" t="n">
        <f aca="false">IF(CP141&gt;0,N(BT141)/CP141,"")</f>
        <v>0.327327327327327</v>
      </c>
      <c r="CS141" s="28" t="n">
        <f aca="false">IF(CP141&gt;0,N(BU141)/CP141,"")</f>
        <v>0.0510510510510511</v>
      </c>
      <c r="CT141" s="7" t="n">
        <f aca="false">1000*(p_sh_pv*p_cf_pv/p_capex_pv+(1-p_sh_pv)*p_cf_wind/p_capex_wind)*8760</f>
        <v>2301.28856624319</v>
      </c>
      <c r="CU141" s="13" t="n">
        <f aca="false">IF(AND(ISNUMBER(CO141),ISNUMBER(CQ141),BY141=1),1,0)</f>
        <v>1</v>
      </c>
      <c r="CV141" s="16" t="n">
        <f aca="false">IF(CU141=0,"",CQ141*p_hr_coal*N(AK141)+CR141*p_hr_gas*N(AO141)+CS141*p_hr_oil*N(AH141)/p_gj_l_oil)</f>
        <v>58.9615223284677</v>
      </c>
      <c r="CW141" s="37" t="n">
        <f aca="false">IF(CU141=0,"",CQ141*p_hr_coal*p_ef_coal+CR141*p_hr_gas*p_ef_gas+CS141*p_hr_oil*p_ef_oil)</f>
        <v>0.767266216216216</v>
      </c>
      <c r="CX141" s="16" t="n">
        <f aca="false">IF(CU141=0,"",CQ141*p_hr_coal*N(AW141)+CR141*p_hr_gas*N(AX141)+CS141*p_hr_oil*N(AY141)/p_gj_l_oil)</f>
        <v>22.0365058500529</v>
      </c>
      <c r="CY141" s="37" t="n">
        <f aca="false">IF(CU141=0,"",CO141*CW141)</f>
        <v>0.359858661971831</v>
      </c>
      <c r="CZ141" s="37" t="n">
        <f aca="false">IF(CU141=0,"",CT141*CO141*CV141/1000/1000-p_om_re)</f>
        <v>0.048639337889959</v>
      </c>
      <c r="DA141" s="37" t="n">
        <f aca="false">IF(CU141=0,"",CT141*CO141*CX141/1000/1000)</f>
        <v>0.0237848106073828</v>
      </c>
      <c r="DB141" s="37" t="n">
        <f aca="false">IF(CU141=0,"",CT141*CO141*CW141/1000)</f>
        <v>0.828138624259349</v>
      </c>
      <c r="DC141" s="13" t="n">
        <f aca="false">IF(AND(CU141=1,ISNUMBER(AD141),ISNUMBER(AV141)),1,0)</f>
        <v>1</v>
      </c>
      <c r="DD141" s="7" t="n">
        <f aca="false">IF(DC141=0,"",p_ev_km*p_ice_l/100*AD141-p_ev_km*p_ev_kwh*AV141+p_ev_km*p_ev_maint)</f>
        <v>832.11435</v>
      </c>
      <c r="DE141" s="37" t="n">
        <f aca="false">IF(DC141=0,"",DD141/p_ev_prem)</f>
        <v>0.16642287</v>
      </c>
      <c r="DF141" s="37" t="n">
        <f aca="false">IF(DC141=0,"",p_ev_km*p_ice_l/100*N(AZ141)/p_ev_prem)</f>
        <v>0.00495045</v>
      </c>
      <c r="DG141" s="37" t="n">
        <f aca="false">IF(DC141=0,"",1000/p_ev_prem*(p_ev_km*p_ice_l/100*p_gj_l_gso*p_ef_gso-p_ev_km*p_ev_kwh/1000*CY141))</f>
        <v>0.338939822535211</v>
      </c>
      <c r="DH141" s="11" t="str">
        <f aca="false">IFERROR(IF(INDEX(Damodaran!$D:$D,MATCH(A141,Damodaran!$A:$A,0))="","",INDEX(Damodaran!$D:$D,MATCH(A141,Damodaran!$A:$A,0))),"")</f>
        <v/>
      </c>
      <c r="DI141" s="11" t="str">
        <f aca="false">IFERROR(IF(INDEX(Damodaran!$E:$E,MATCH(A141,Damodaran!$A:$A,0))="","",INDEX(Damodaran!$E:$E,MATCH(A141,Damodaran!$A:$A,0))),"")</f>
        <v/>
      </c>
      <c r="DJ141" s="11" t="str">
        <f aca="false">IFERROR(IF(INDEX(Damodaran!$G:$G,MATCH(A141,Damodaran!$A:$A,0))="","",INDEX(Damodaran!$G:$G,MATCH(A141,Damodaran!$A:$A,0))),"")</f>
        <v/>
      </c>
      <c r="DK141" s="11" t="str">
        <f aca="false">IF(ISNUMBER(BG141),(1+BG141/100)*(1+p_infl)-1,"")</f>
        <v/>
      </c>
      <c r="DL141" s="11" t="str">
        <f aca="false">IF(ISNUMBER(BH141),BH141/100,"")</f>
        <v/>
      </c>
      <c r="DM141" s="11" t="str">
        <f aca="false">IF(COUNT(DK141,DL141)=0,"",AVERAGE(DK141,DL141))</f>
        <v/>
      </c>
      <c r="DN141" s="11" t="str">
        <f aca="false">IF(OR(DH141="",DI141=""),"",p_dv*(p_rf+DH141)*(1-IF(DJ141="",p_tax_def,DJ141))+(1-p_dv)*(p_rf+p_beta*p_erp+p_lambda*DI141))</f>
        <v/>
      </c>
      <c r="DO141" s="13" t="n">
        <f aca="false">IF(AND(ISNUMBER(DM141),ISNUMBER(DN141)),1,0)</f>
        <v>0</v>
      </c>
      <c r="DP141" s="11" t="n">
        <f aca="false">IF(DO141=1,DM141,0)</f>
        <v>0</v>
      </c>
      <c r="DQ141" s="11" t="n">
        <f aca="false">IF(DO141=1,DN141,0)</f>
        <v>0</v>
      </c>
      <c r="DR141" s="11" t="str">
        <f aca="false">IF(DN141="","",DN141+p_shift)</f>
        <v/>
      </c>
      <c r="DS141" s="11" t="n">
        <f aca="false">IF(E141="AE",p_r_ae,IF(E141="China",p_r_chn,p_r_emdc))</f>
        <v>0.105</v>
      </c>
      <c r="DT141" s="11" t="n">
        <f aca="false">IF(E141="AE",p_rh_ae,IF(E141="China",p_rh_chn,p_rh_emdc))</f>
        <v>0.15</v>
      </c>
      <c r="DU141" s="11" t="n">
        <f aca="false">IF(AND(p_use_obs=1,ISNUMBER(DM141)),DM141,IF(AND(p_use_dam=1,ISNUMBER(DR141)),DR141,DS141))</f>
        <v>0.105</v>
      </c>
      <c r="DV141" s="6" t="str">
        <f aca="false">IF(AND(p_use_obs=1,ISNUMBER(DM141)),"Observed (IRENA/Steffen)",IF(AND(p_use_dam=1,ISNUMBER(DR141)),"Damodaran (eq. 5)","Group default (IHLEG)"))</f>
        <v>Group default (IHLEG)</v>
      </c>
      <c r="DW141" s="11" t="n">
        <f aca="false">IF(p_basis=1,(1+DU141)/(1+p_infl)-1,DU141)</f>
        <v>0.105</v>
      </c>
      <c r="DX141" s="11" t="n">
        <f aca="false">DW141+(DT141-DS141)</f>
        <v>0.15</v>
      </c>
      <c r="DY141" s="28" t="n">
        <f aca="false">IF(AND(p_use_pefa=1,ISNUMBER(BD141)),p_gap_lic-(BD141-1)/3*(p_gap_lic-p_gap_ae),IF(E141="AE",p_gap_ae,IF(D141="Low income",p_gap_lic,p_gap_em)))*(1-p_reform*p_reform_close)</f>
        <v>0.355</v>
      </c>
      <c r="DZ141" s="6" t="str">
        <f aca="false">IF(AND(p_use_pefa=1,ISNUMBER(BD141)),"PEFA PI-11","Income-group default (IMF 2015)")</f>
        <v>PEFA PI-11</v>
      </c>
      <c r="EA141" s="28" t="n">
        <f aca="false">IF(E141="AE",p_ps_ae,IF(E141="China",p_ps_chn,p_ps_emdc))</f>
        <v>0.4</v>
      </c>
      <c r="EB141" s="37" t="n">
        <f aca="false">(1-EA141)+EA141/(1-DY141)</f>
        <v>1.22015503875969</v>
      </c>
      <c r="EC141" s="16" t="n">
        <f aca="false">Results_Country!F141</f>
        <v>1.32767302625756</v>
      </c>
      <c r="ED141" s="16" t="n">
        <f aca="false">IF(CH141="",0,CH141*EC141)</f>
        <v>222.584103483434</v>
      </c>
      <c r="EE141" s="16" t="n">
        <f aca="false">IF(CJ141="",0,CJ141*EC141)</f>
        <v>32.7917107661278</v>
      </c>
      <c r="EF141" s="16" t="n">
        <f aca="false">IF(CH141="",0,EC141)</f>
        <v>1.32767302625756</v>
      </c>
    </row>
    <row r="142" customFormat="false" ht="15" hidden="false" customHeight="false" outlineLevel="0" collapsed="false">
      <c r="A142" s="35" t="s">
        <v>1041</v>
      </c>
      <c r="B142" s="35" t="s">
        <v>1042</v>
      </c>
      <c r="C142" s="35" t="s">
        <v>799</v>
      </c>
      <c r="D142" s="35" t="s">
        <v>771</v>
      </c>
      <c r="E142" s="35" t="s">
        <v>31</v>
      </c>
      <c r="F142" s="36" t="n">
        <v>16.017</v>
      </c>
      <c r="G142" s="36" t="n">
        <v>25.233</v>
      </c>
      <c r="H142" s="33"/>
      <c r="I142" s="33"/>
      <c r="J142" s="36"/>
      <c r="K142" s="36"/>
      <c r="L142" s="36"/>
      <c r="M142" s="36"/>
      <c r="N142" s="36"/>
      <c r="O142" s="36"/>
      <c r="P142" s="36"/>
      <c r="Q142" s="31"/>
      <c r="R142" s="31"/>
      <c r="S142" s="31"/>
      <c r="T142" s="31"/>
      <c r="U142" s="31"/>
      <c r="V142" s="31"/>
      <c r="W142" s="31"/>
      <c r="X142" s="31"/>
      <c r="Y142" s="36"/>
      <c r="Z142" s="36"/>
      <c r="AA142" s="36"/>
      <c r="AB142" s="36"/>
      <c r="AC142" s="36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6"/>
      <c r="AR142" s="36"/>
      <c r="AS142" s="36"/>
      <c r="AT142" s="36"/>
      <c r="AU142" s="31"/>
      <c r="AV142" s="36"/>
      <c r="AW142" s="31"/>
      <c r="AX142" s="31"/>
      <c r="AY142" s="31"/>
      <c r="AZ142" s="31"/>
      <c r="BA142" s="33" t="n">
        <v>56.133</v>
      </c>
      <c r="BB142" s="33"/>
      <c r="BC142" s="33"/>
      <c r="BD142" s="33" t="n">
        <v>1.5</v>
      </c>
      <c r="BE142" s="33" t="n">
        <v>2</v>
      </c>
      <c r="BF142" s="33" t="n">
        <v>0</v>
      </c>
      <c r="BG142" s="33"/>
      <c r="BH142" s="33"/>
      <c r="BI142" s="29"/>
      <c r="BJ142" s="33"/>
      <c r="BK142" s="33"/>
      <c r="BL142" s="33"/>
      <c r="BM142" s="33"/>
      <c r="BN142" s="29"/>
      <c r="BO142" s="33" t="n">
        <v>0.541</v>
      </c>
      <c r="BP142" s="33"/>
      <c r="BQ142" s="29" t="n">
        <v>2024</v>
      </c>
      <c r="BR142" s="36" t="n">
        <v>0.99</v>
      </c>
      <c r="BS142" s="36" t="n">
        <v>0</v>
      </c>
      <c r="BT142" s="36" t="n">
        <v>0</v>
      </c>
      <c r="BU142" s="36" t="n">
        <v>0.6</v>
      </c>
      <c r="BV142" s="16" t="n">
        <f aca="false">F142*(1+N(H142)/100)*(1+N(I142)/100)^5</f>
        <v>16.017</v>
      </c>
      <c r="BW142" s="16" t="n">
        <f aca="false">IF(N(G142)&gt;0,G142,F142)</f>
        <v>25.233</v>
      </c>
      <c r="BX142" s="12" t="n">
        <f aca="false">F142/BW142</f>
        <v>0.634763999524432</v>
      </c>
      <c r="BY142" s="13" t="n">
        <f aca="false">IF(ISNUMBER(K142),1,0)</f>
        <v>0</v>
      </c>
      <c r="BZ142" s="16" t="str">
        <f aca="false">IF(BY142=0,"",N(N142)+N(O142)+N(P142))</f>
        <v/>
      </c>
      <c r="CA142" s="37" t="str">
        <f aca="false">IF(BY142=0,"",(N(Y142)*34.2+N(Z142)*38.6)/1000)</f>
        <v/>
      </c>
      <c r="CB142" s="37" t="str">
        <f aca="false">IF(BY142=0,"",N(O142)*0.0036+N(R142)+N(V142)+(N(AA142)*25.3+N(AB142)*37)/1000)</f>
        <v/>
      </c>
      <c r="CC142" s="37" t="str">
        <f aca="false">IF(BY142=0,"",N(N142)*0.0036+N(Q142)+N(U142)+N(T142)+N(X142)+N(AC142)*38/1000)</f>
        <v/>
      </c>
      <c r="CD142" s="37" t="str">
        <f aca="false">IF(BY142=0,"",N(Q142)+N(R142)+N(S142)+N(T142)+N(U142)+N(V142)+N(W142)+N(X142)+(N(Y142)*34.2+N(Z142)*38.6+N(AA142)*25.3+N(AB142)*37+N(AC142)*38)/1000)</f>
        <v/>
      </c>
      <c r="CE142" s="16" t="str">
        <f aca="false">IF(BY142=0,"",MAX(0,N(L142)-N(K142))+MAX(0,N(M142)-N(L142)))</f>
        <v/>
      </c>
      <c r="CF142" s="16" t="str">
        <f aca="false">IF(BY142=0,"",N(Y142)*N(AD142)+N(Z142)*N(AE142)+N(AA142)*N(AF142)+N(AB142)*N(AG142)+N(AC142)*N(AH142)+N(U142)*N(AI142)+N(V142)*N(AJ142)+N(W142)*N(AK142)+N(X142)*N(AL142)+N(Q142)*N(AM142)+N(R142)*N(AN142)+N(S142)*N(AO142)+N(T142)*N(AP142))</f>
        <v/>
      </c>
      <c r="CG142" s="16" t="n">
        <f aca="false">IF(AND(BY142=1,N(K142)&gt;0),K142,0)</f>
        <v>0</v>
      </c>
      <c r="CH142" s="16" t="str">
        <f aca="false">IF(CG142&gt;0,CF142*1000/CG142,"")</f>
        <v/>
      </c>
      <c r="CI142" s="16" t="str">
        <f aca="false">IF(BY142=0,"",N(AQ142)+p_road*(N(AR142)+N(AS142)+N(AT142)))</f>
        <v/>
      </c>
      <c r="CJ142" s="16" t="str">
        <f aca="false">IF(CG142&gt;0,CI142*1000/CG142,"")</f>
        <v/>
      </c>
      <c r="CK142" s="12" t="n">
        <f aca="false">IF(CH142="",1,MIN(p_idx_max,MAX(p_idx_min,CH142/p_fc_world)))</f>
        <v>1</v>
      </c>
      <c r="CL142" s="12" t="n">
        <f aca="false">IF(CJ142="",1,MIN(p_idx_max,MAX(p_idx_min,CJ142/p_cb_world)))</f>
        <v>1</v>
      </c>
      <c r="CM142" s="37" t="n">
        <f aca="false">p_b*(1-p_wb_idx+p_wb_idx*CK142)</f>
        <v>0.133</v>
      </c>
      <c r="CN142" s="37" t="n">
        <f aca="false">p_c*(1-p_wc_idx+p_wc_idx*CL142)</f>
        <v>0.129</v>
      </c>
      <c r="CO142" s="28" t="n">
        <f aca="false">IF(N(BR142)&gt;0,(N(BS142)+N(BT142)+N(BU142))/BR142,"")</f>
        <v>0.606060606060606</v>
      </c>
      <c r="CP142" s="16" t="n">
        <f aca="false">N(BS142)+N(BT142)+N(BU142)</f>
        <v>0.6</v>
      </c>
      <c r="CQ142" s="28" t="n">
        <f aca="false">IF(CP142&gt;0,N(BS142)/CP142,"")</f>
        <v>0</v>
      </c>
      <c r="CR142" s="28" t="n">
        <f aca="false">IF(CP142&gt;0,N(BT142)/CP142,"")</f>
        <v>0</v>
      </c>
      <c r="CS142" s="28" t="n">
        <f aca="false">IF(CP142&gt;0,N(BU142)/CP142,"")</f>
        <v>1</v>
      </c>
      <c r="CT142" s="7" t="n">
        <f aca="false">1000*(p_sh_pv*p_cf_pv/p_capex_pv+(1-p_sh_pv)*p_cf_wind/p_capex_wind)*8760</f>
        <v>2301.28856624319</v>
      </c>
      <c r="CU142" s="13" t="n">
        <f aca="false">IF(AND(ISNUMBER(CO142),ISNUMBER(CQ142),BY142=1),1,0)</f>
        <v>0</v>
      </c>
      <c r="CV142" s="16" t="str">
        <f aca="false">IF(CU142=0,"",CQ142*p_hr_coal*N(AK142)+CR142*p_hr_gas*N(AO142)+CS142*p_hr_oil*N(AH142)/p_gj_l_oil)</f>
        <v/>
      </c>
      <c r="CW142" s="37" t="str">
        <f aca="false">IF(CU142=0,"",CQ142*p_hr_coal*p_ef_coal+CR142*p_hr_gas*p_ef_gas+CS142*p_hr_oil*p_ef_oil)</f>
        <v/>
      </c>
      <c r="CX142" s="16" t="str">
        <f aca="false">IF(CU142=0,"",CQ142*p_hr_coal*N(AW142)+CR142*p_hr_gas*N(AX142)+CS142*p_hr_oil*N(AY142)/p_gj_l_oil)</f>
        <v/>
      </c>
      <c r="CY142" s="37" t="str">
        <f aca="false">IF(CU142=0,"",CO142*CW142)</f>
        <v/>
      </c>
      <c r="CZ142" s="37" t="str">
        <f aca="false">IF(CU142=0,"",CT142*CO142*CV142/1000/1000-p_om_re)</f>
        <v/>
      </c>
      <c r="DA142" s="37" t="str">
        <f aca="false">IF(CU142=0,"",CT142*CO142*CX142/1000/1000)</f>
        <v/>
      </c>
      <c r="DB142" s="37" t="str">
        <f aca="false">IF(CU142=0,"",CT142*CO142*CW142/1000)</f>
        <v/>
      </c>
      <c r="DC142" s="13" t="n">
        <f aca="false">IF(AND(CU142=1,ISNUMBER(AD142),ISNUMBER(AV142)),1,0)</f>
        <v>0</v>
      </c>
      <c r="DD142" s="7" t="str">
        <f aca="false">IF(DC142=0,"",p_ev_km*p_ice_l/100*AD142-p_ev_km*p_ev_kwh*AV142+p_ev_km*p_ev_maint)</f>
        <v/>
      </c>
      <c r="DE142" s="37" t="str">
        <f aca="false">IF(DC142=0,"",DD142/p_ev_prem)</f>
        <v/>
      </c>
      <c r="DF142" s="37" t="str">
        <f aca="false">IF(DC142=0,"",p_ev_km*p_ice_l/100*N(AZ142)/p_ev_prem)</f>
        <v/>
      </c>
      <c r="DG142" s="37" t="str">
        <f aca="false">IF(DC142=0,"",1000/p_ev_prem*(p_ev_km*p_ice_l/100*p_gj_l_gso*p_ef_gso-p_ev_km*p_ev_kwh/1000*CY142))</f>
        <v/>
      </c>
      <c r="DH142" s="11" t="str">
        <f aca="false">IFERROR(IF(INDEX(Damodaran!$D:$D,MATCH(A142,Damodaran!$A:$A,0))="","",INDEX(Damodaran!$D:$D,MATCH(A142,Damodaran!$A:$A,0))),"")</f>
        <v/>
      </c>
      <c r="DI142" s="11" t="str">
        <f aca="false">IFERROR(IF(INDEX(Damodaran!$E:$E,MATCH(A142,Damodaran!$A:$A,0))="","",INDEX(Damodaran!$E:$E,MATCH(A142,Damodaran!$A:$A,0))),"")</f>
        <v/>
      </c>
      <c r="DJ142" s="11" t="str">
        <f aca="false">IFERROR(IF(INDEX(Damodaran!$G:$G,MATCH(A142,Damodaran!$A:$A,0))="","",INDEX(Damodaran!$G:$G,MATCH(A142,Damodaran!$A:$A,0))),"")</f>
        <v/>
      </c>
      <c r="DK142" s="11" t="str">
        <f aca="false">IF(ISNUMBER(BG142),(1+BG142/100)*(1+p_infl)-1,"")</f>
        <v/>
      </c>
      <c r="DL142" s="11" t="str">
        <f aca="false">IF(ISNUMBER(BH142),BH142/100,"")</f>
        <v/>
      </c>
      <c r="DM142" s="11" t="str">
        <f aca="false">IF(COUNT(DK142,DL142)=0,"",AVERAGE(DK142,DL142))</f>
        <v/>
      </c>
      <c r="DN142" s="11" t="str">
        <f aca="false">IF(OR(DH142="",DI142=""),"",p_dv*(p_rf+DH142)*(1-IF(DJ142="",p_tax_def,DJ142))+(1-p_dv)*(p_rf+p_beta*p_erp+p_lambda*DI142))</f>
        <v/>
      </c>
      <c r="DO142" s="13" t="n">
        <f aca="false">IF(AND(ISNUMBER(DM142),ISNUMBER(DN142)),1,0)</f>
        <v>0</v>
      </c>
      <c r="DP142" s="11" t="n">
        <f aca="false">IF(DO142=1,DM142,0)</f>
        <v>0</v>
      </c>
      <c r="DQ142" s="11" t="n">
        <f aca="false">IF(DO142=1,DN142,0)</f>
        <v>0</v>
      </c>
      <c r="DR142" s="11" t="str">
        <f aca="false">IF(DN142="","",DN142+p_shift)</f>
        <v/>
      </c>
      <c r="DS142" s="11" t="n">
        <f aca="false">IF(E142="AE",p_r_ae,IF(E142="China",p_r_chn,p_r_emdc))</f>
        <v>0.105</v>
      </c>
      <c r="DT142" s="11" t="n">
        <f aca="false">IF(E142="AE",p_rh_ae,IF(E142="China",p_rh_chn,p_rh_emdc))</f>
        <v>0.15</v>
      </c>
      <c r="DU142" s="11" t="n">
        <f aca="false">IF(AND(p_use_obs=1,ISNUMBER(DM142)),DM142,IF(AND(p_use_dam=1,ISNUMBER(DR142)),DR142,DS142))</f>
        <v>0.105</v>
      </c>
      <c r="DV142" s="6" t="str">
        <f aca="false">IF(AND(p_use_obs=1,ISNUMBER(DM142)),"Observed (IRENA/Steffen)",IF(AND(p_use_dam=1,ISNUMBER(DR142)),"Damodaran (eq. 5)","Group default (IHLEG)"))</f>
        <v>Group default (IHLEG)</v>
      </c>
      <c r="DW142" s="11" t="n">
        <f aca="false">IF(p_basis=1,(1+DU142)/(1+p_infl)-1,DU142)</f>
        <v>0.105</v>
      </c>
      <c r="DX142" s="11" t="n">
        <f aca="false">DW142+(DT142-DS142)</f>
        <v>0.15</v>
      </c>
      <c r="DY142" s="28" t="n">
        <f aca="false">IF(AND(p_use_pefa=1,ISNUMBER(BD142)),p_gap_lic-(BD142-1)/3*(p_gap_lic-p_gap_ae),IF(E142="AE",p_gap_ae,IF(D142="Low income",p_gap_lic,p_gap_em)))*(1-p_reform*p_reform_close)</f>
        <v>0.355</v>
      </c>
      <c r="DZ142" s="6" t="str">
        <f aca="false">IF(AND(p_use_pefa=1,ISNUMBER(BD142)),"PEFA PI-11","Income-group default (IMF 2015)")</f>
        <v>PEFA PI-11</v>
      </c>
      <c r="EA142" s="28" t="n">
        <f aca="false">IF(E142="AE",p_ps_ae,IF(E142="China",p_ps_chn,p_ps_emdc))</f>
        <v>0.4</v>
      </c>
      <c r="EB142" s="37" t="n">
        <f aca="false">(1-EA142)+EA142/(1-DY142)</f>
        <v>1.22015503875969</v>
      </c>
      <c r="EC142" s="16" t="n">
        <f aca="false">Results_Country!F142</f>
        <v>0.838920836843488</v>
      </c>
      <c r="ED142" s="16" t="n">
        <f aca="false">IF(CH142="",0,CH142*EC142)</f>
        <v>0</v>
      </c>
      <c r="EE142" s="16" t="n">
        <f aca="false">IF(CJ142="",0,CJ142*EC142)</f>
        <v>0</v>
      </c>
      <c r="EF142" s="16" t="n">
        <f aca="false">IF(CH142="",0,EC142)</f>
        <v>0</v>
      </c>
    </row>
    <row r="143" customFormat="false" ht="15" hidden="false" customHeight="false" outlineLevel="0" collapsed="false">
      <c r="A143" s="35" t="s">
        <v>1043</v>
      </c>
      <c r="B143" s="35" t="s">
        <v>1044</v>
      </c>
      <c r="C143" s="35" t="s">
        <v>784</v>
      </c>
      <c r="D143" s="35" t="s">
        <v>760</v>
      </c>
      <c r="E143" s="35" t="s">
        <v>31</v>
      </c>
      <c r="F143" s="36" t="n">
        <v>15.833</v>
      </c>
      <c r="G143" s="36" t="n">
        <v>16.556</v>
      </c>
      <c r="H143" s="33" t="n">
        <v>2.8</v>
      </c>
      <c r="I143" s="33" t="n">
        <v>2.1</v>
      </c>
      <c r="J143" s="36" t="n">
        <v>0.401283</v>
      </c>
      <c r="K143" s="36" t="n">
        <v>1.324</v>
      </c>
      <c r="L143" s="36" t="n">
        <v>1.751</v>
      </c>
      <c r="M143" s="36" t="n">
        <v>1.807</v>
      </c>
      <c r="N143" s="36" t="n">
        <v>0.951561473181209</v>
      </c>
      <c r="O143" s="36" t="n">
        <v>0.655797108612485</v>
      </c>
      <c r="P143" s="36" t="n">
        <v>0</v>
      </c>
      <c r="Q143" s="31" t="n">
        <v>0</v>
      </c>
      <c r="R143" s="31" t="n">
        <v>0</v>
      </c>
      <c r="S143" s="31" t="n">
        <v>0</v>
      </c>
      <c r="T143" s="31" t="n">
        <v>0</v>
      </c>
      <c r="U143" s="31" t="n">
        <v>6.10303781763219E-005</v>
      </c>
      <c r="V143" s="31" t="n">
        <v>0</v>
      </c>
      <c r="W143" s="31" t="n">
        <v>0</v>
      </c>
      <c r="X143" s="31" t="n">
        <v>0</v>
      </c>
      <c r="Y143" s="36" t="n">
        <v>0.353056232190601</v>
      </c>
      <c r="Z143" s="36" t="n">
        <v>0.174805875594976</v>
      </c>
      <c r="AA143" s="36" t="n">
        <v>0.0205578124147929</v>
      </c>
      <c r="AB143" s="36" t="n">
        <v>0.0272518202057957</v>
      </c>
      <c r="AC143" s="36" t="n">
        <v>0.375395463732932</v>
      </c>
      <c r="AD143" s="31" t="n">
        <v>0.814631</v>
      </c>
      <c r="AE143" s="31" t="n">
        <v>0.657057</v>
      </c>
      <c r="AF143" s="31" t="n">
        <v>0.580842</v>
      </c>
      <c r="AG143" s="31" t="n">
        <v>0.6248</v>
      </c>
      <c r="AH143" s="31" t="n">
        <v>0.519462892287313</v>
      </c>
      <c r="AI143" s="31" t="n">
        <v>7.124</v>
      </c>
      <c r="AJ143" s="31" t="n">
        <v>13.4123</v>
      </c>
      <c r="AK143" s="31" t="n">
        <v>5.575</v>
      </c>
      <c r="AL143" s="31" t="n">
        <v>7.124</v>
      </c>
      <c r="AM143" s="31" t="n">
        <v>12.77</v>
      </c>
      <c r="AN143" s="31" t="n">
        <v>22.7832</v>
      </c>
      <c r="AO143" s="31" t="n">
        <v>11.446</v>
      </c>
      <c r="AP143" s="31" t="n">
        <v>15.6664</v>
      </c>
      <c r="AQ143" s="36" t="n">
        <v>0.0288604116499805</v>
      </c>
      <c r="AR143" s="36" t="n">
        <v>0.165551615912192</v>
      </c>
      <c r="AS143" s="36" t="n">
        <v>0.0281663246002176</v>
      </c>
      <c r="AT143" s="36" t="n">
        <v>0.000718881510159984</v>
      </c>
      <c r="AU143" s="31" t="n">
        <v>0.135283463109884</v>
      </c>
      <c r="AV143" s="36" t="n">
        <v>0.25841</v>
      </c>
      <c r="AW143" s="31" t="n">
        <v>1.288143</v>
      </c>
      <c r="AX143" s="31" t="n">
        <v>0.010755</v>
      </c>
      <c r="AY143" s="31" t="n">
        <v>0.057798747071943</v>
      </c>
      <c r="AZ143" s="31" t="n">
        <v>0.030224</v>
      </c>
      <c r="BA143" s="33" t="n">
        <v>73.813</v>
      </c>
      <c r="BB143" s="33" t="n">
        <v>19.934</v>
      </c>
      <c r="BC143" s="33" t="n">
        <v>89.195</v>
      </c>
      <c r="BD143" s="33"/>
      <c r="BE143" s="33"/>
      <c r="BF143" s="33" t="n">
        <v>0</v>
      </c>
      <c r="BG143" s="33"/>
      <c r="BH143" s="33"/>
      <c r="BI143" s="29"/>
      <c r="BJ143" s="33"/>
      <c r="BK143" s="33"/>
      <c r="BL143" s="33"/>
      <c r="BM143" s="33"/>
      <c r="BN143" s="29"/>
      <c r="BO143" s="33"/>
      <c r="BP143" s="33"/>
      <c r="BQ143" s="29" t="n">
        <v>2024</v>
      </c>
      <c r="BR143" s="36" t="n">
        <v>2.25</v>
      </c>
      <c r="BS143" s="36" t="n">
        <v>0</v>
      </c>
      <c r="BT143" s="36" t="n">
        <v>0</v>
      </c>
      <c r="BU143" s="36" t="n">
        <v>2.23</v>
      </c>
      <c r="BV143" s="16" t="n">
        <f aca="false">F143*(1+N(H143)/100)*(1+N(I143)/100)^5</f>
        <v>18.0586398528586</v>
      </c>
      <c r="BW143" s="16" t="n">
        <f aca="false">IF(N(G143)&gt;0,G143,F143)</f>
        <v>16.556</v>
      </c>
      <c r="BX143" s="12" t="n">
        <f aca="false">F143/BW143</f>
        <v>0.956330031408553</v>
      </c>
      <c r="BY143" s="13" t="n">
        <f aca="false">IF(ISNUMBER(K143),1,0)</f>
        <v>1</v>
      </c>
      <c r="BZ143" s="16" t="n">
        <f aca="false">IF(BY143=0,"",N(N143)+N(O143)+N(P143))</f>
        <v>1.60735858179369</v>
      </c>
      <c r="CA143" s="37" t="n">
        <f aca="false">IF(BY143=0,"",(N(Y143)*34.2+N(Z143)*38.6)/1000)</f>
        <v>0.0188220299388846</v>
      </c>
      <c r="CB143" s="37" t="n">
        <f aca="false">IF(BY143=0,"",N(O143)*0.0036+N(R143)+N(V143)+(N(AA143)*25.3+N(AB143)*37)/1000)</f>
        <v>0.00388929959271365</v>
      </c>
      <c r="CC143" s="37" t="n">
        <f aca="false">IF(BY143=0,"",N(N143)*0.0036+N(Q143)+N(U143)+N(T143)+N(X143)+N(AC143)*38/1000)</f>
        <v>0.0177516793034801</v>
      </c>
      <c r="CD143" s="37" t="n">
        <f aca="false">IF(BY143=0,"",N(Q143)+N(R143)+N(S143)+N(T143)+N(U143)+N(V143)+N(W143)+N(X143)+(N(Y143)*34.2+N(Z143)*38.6+N(AA143)*25.3+N(AB143)*37+N(AC143)*38)/1000)</f>
        <v>0.0346765179406211</v>
      </c>
      <c r="CE143" s="16" t="n">
        <f aca="false">IF(BY143=0,"",MAX(0,N(L143)-N(K143))+MAX(0,N(M143)-N(L143)))</f>
        <v>0.483</v>
      </c>
      <c r="CF143" s="16" t="n">
        <f aca="false">IF(BY143=0,"",N(Y143)*N(AD143)+N(Z143)*N(AE143)+N(AA143)*N(AF143)+N(AB143)*N(AG143)+N(AC143)*N(AH143)+N(U143)*N(AI143)+N(V143)*N(AJ143)+N(W143)*N(AK143)+N(X143)*N(AL143)+N(Q143)*N(AM143)+N(R143)*N(AN143)+N(S143)*N(AO143)+N(T143)*N(AP143))</f>
        <v>0.626874547586058</v>
      </c>
      <c r="CG143" s="16" t="n">
        <f aca="false">IF(AND(BY143=1,N(K143)&gt;0),K143,0)</f>
        <v>1.324</v>
      </c>
      <c r="CH143" s="16" t="n">
        <f aca="false">IF(CG143&gt;0,CF143*1000/CG143,"")</f>
        <v>473.470202104273</v>
      </c>
      <c r="CI143" s="16" t="n">
        <f aca="false">IF(BY143=0,"",N(AQ143)+p_road*(N(AR143)+N(AS143)+N(AT143)))</f>
        <v>0.0288604116499805</v>
      </c>
      <c r="CJ143" s="16" t="n">
        <f aca="false">IF(CG143&gt;0,CI143*1000/CG143,"")</f>
        <v>21.7978939954535</v>
      </c>
      <c r="CK143" s="12" t="n">
        <f aca="false">IF(CH143="",1,MIN(p_idx_max,MAX(p_idx_min,CH143/p_fc_world)))</f>
        <v>2.94067455744596</v>
      </c>
      <c r="CL143" s="12" t="n">
        <f aca="false">IF(CJ143="",1,MIN(p_idx_max,MAX(p_idx_min,CJ143/p_cb_world)))</f>
        <v>0.414481167379169</v>
      </c>
      <c r="CM143" s="37" t="n">
        <f aca="false">p_b*(1-p_wb_idx+p_wb_idx*CK143)</f>
        <v>0.391109716140312</v>
      </c>
      <c r="CN143" s="37" t="n">
        <f aca="false">p_c*(1-p_wc_idx+p_wc_idx*CL143)</f>
        <v>0.0534680705919128</v>
      </c>
      <c r="CO143" s="28" t="n">
        <f aca="false">IF(N(BR143)&gt;0,(N(BS143)+N(BT143)+N(BU143))/BR143,"")</f>
        <v>0.991111111111111</v>
      </c>
      <c r="CP143" s="16" t="n">
        <f aca="false">N(BS143)+N(BT143)+N(BU143)</f>
        <v>2.23</v>
      </c>
      <c r="CQ143" s="28" t="n">
        <f aca="false">IF(CP143&gt;0,N(BS143)/CP143,"")</f>
        <v>0</v>
      </c>
      <c r="CR143" s="28" t="n">
        <f aca="false">IF(CP143&gt;0,N(BT143)/CP143,"")</f>
        <v>0</v>
      </c>
      <c r="CS143" s="28" t="n">
        <f aca="false">IF(CP143&gt;0,N(BU143)/CP143,"")</f>
        <v>1</v>
      </c>
      <c r="CT143" s="7" t="n">
        <f aca="false">1000*(p_sh_pv*p_cf_pv/p_capex_pv+(1-p_sh_pv)*p_cf_wind/p_capex_wind)*8760</f>
        <v>2301.28856624319</v>
      </c>
      <c r="CU143" s="13" t="n">
        <f aca="false">IF(AND(ISNUMBER(CO143),ISNUMBER(CQ143),BY143=1),1,0)</f>
        <v>1</v>
      </c>
      <c r="CV143" s="16" t="n">
        <f aca="false">IF(CU143=0,"",CQ143*p_hr_coal*N(AK143)+CR143*p_hr_gas*N(AO143)+CS143*p_hr_oil*N(AH143)/p_gj_l_oil)</f>
        <v>141.304672772456</v>
      </c>
      <c r="CW143" s="37" t="n">
        <f aca="false">IF(CU143=0,"",CQ143*p_hr_coal*p_ef_coal+CR143*p_hr_gas*p_ef_gas+CS143*p_hr_oil*p_ef_oil)</f>
        <v>0.8127</v>
      </c>
      <c r="CX143" s="16" t="n">
        <f aca="false">IF(CU143=0,"",CQ143*p_hr_coal*N(AW143)+CR143*p_hr_gas*N(AX143)+CS143*p_hr_oil*N(AY143)/p_gj_l_oil)</f>
        <v>15.7224571050622</v>
      </c>
      <c r="CY143" s="37" t="n">
        <f aca="false">IF(CU143=0,"",CO143*CW143)</f>
        <v>0.805476</v>
      </c>
      <c r="CZ143" s="37" t="n">
        <f aca="false">IF(CU143=0,"",CT143*CO143*CV143/1000/1000-p_om_re)</f>
        <v>0.307292313783028</v>
      </c>
      <c r="DA143" s="37" t="n">
        <f aca="false">IF(CU143=0,"",CT143*CO143*CX143/1000/1000)</f>
        <v>0.0358602937845143</v>
      </c>
      <c r="DB143" s="37" t="n">
        <f aca="false">IF(CU143=0,"",CT143*CO143*CW143/1000)</f>
        <v>1.8536327091833</v>
      </c>
      <c r="DC143" s="13" t="n">
        <f aca="false">IF(AND(CU143=1,ISNUMBER(AD143),ISNUMBER(AV143)),1,0)</f>
        <v>1</v>
      </c>
      <c r="DD143" s="7" t="n">
        <f aca="false">IF(DC143=0,"",p_ev_km*p_ice_l/100*AD143-p_ev_km*p_ev_kwh*AV143+p_ev_km*p_ev_maint)</f>
        <v>398.752875</v>
      </c>
      <c r="DE143" s="37" t="n">
        <f aca="false">IF(DC143=0,"",DD143/p_ev_prem)</f>
        <v>0.079750575</v>
      </c>
      <c r="DF143" s="37" t="n">
        <f aca="false">IF(DC143=0,"",p_ev_km*p_ice_l/100*N(AZ143)/p_ev_prem)</f>
        <v>0.0068004</v>
      </c>
      <c r="DG143" s="37" t="n">
        <f aca="false">IF(DC143=0,"",1000/p_ev_prem*(p_ev_km*p_ice_l/100*p_gj_l_gso*p_ef_gso-p_ev_km*p_ev_kwh/1000*CY143))</f>
        <v>0.09830646</v>
      </c>
      <c r="DH143" s="11" t="str">
        <f aca="false">IFERROR(IF(INDEX(Damodaran!$D:$D,MATCH(A143,Damodaran!$A:$A,0))="","",INDEX(Damodaran!$D:$D,MATCH(A143,Damodaran!$A:$A,0))),"")</f>
        <v/>
      </c>
      <c r="DI143" s="11" t="str">
        <f aca="false">IFERROR(IF(INDEX(Damodaran!$E:$E,MATCH(A143,Damodaran!$A:$A,0))="","",INDEX(Damodaran!$E:$E,MATCH(A143,Damodaran!$A:$A,0))),"")</f>
        <v/>
      </c>
      <c r="DJ143" s="11" t="str">
        <f aca="false">IFERROR(IF(INDEX(Damodaran!$G:$G,MATCH(A143,Damodaran!$A:$A,0))="","",INDEX(Damodaran!$G:$G,MATCH(A143,Damodaran!$A:$A,0))),"")</f>
        <v/>
      </c>
      <c r="DK143" s="11" t="str">
        <f aca="false">IF(ISNUMBER(BG143),(1+BG143/100)*(1+p_infl)-1,"")</f>
        <v/>
      </c>
      <c r="DL143" s="11" t="str">
        <f aca="false">IF(ISNUMBER(BH143),BH143/100,"")</f>
        <v/>
      </c>
      <c r="DM143" s="11" t="str">
        <f aca="false">IF(COUNT(DK143,DL143)=0,"",AVERAGE(DK143,DL143))</f>
        <v/>
      </c>
      <c r="DN143" s="11" t="str">
        <f aca="false">IF(OR(DH143="",DI143=""),"",p_dv*(p_rf+DH143)*(1-IF(DJ143="",p_tax_def,DJ143))+(1-p_dv)*(p_rf+p_beta*p_erp+p_lambda*DI143))</f>
        <v/>
      </c>
      <c r="DO143" s="13" t="n">
        <f aca="false">IF(AND(ISNUMBER(DM143),ISNUMBER(DN143)),1,0)</f>
        <v>0</v>
      </c>
      <c r="DP143" s="11" t="n">
        <f aca="false">IF(DO143=1,DM143,0)</f>
        <v>0</v>
      </c>
      <c r="DQ143" s="11" t="n">
        <f aca="false">IF(DO143=1,DN143,0)</f>
        <v>0</v>
      </c>
      <c r="DR143" s="11" t="str">
        <f aca="false">IF(DN143="","",DN143+p_shift)</f>
        <v/>
      </c>
      <c r="DS143" s="11" t="n">
        <f aca="false">IF(E143="AE",p_r_ae,IF(E143="China",p_r_chn,p_r_emdc))</f>
        <v>0.105</v>
      </c>
      <c r="DT143" s="11" t="n">
        <f aca="false">IF(E143="AE",p_rh_ae,IF(E143="China",p_rh_chn,p_rh_emdc))</f>
        <v>0.15</v>
      </c>
      <c r="DU143" s="11" t="n">
        <f aca="false">IF(AND(p_use_obs=1,ISNUMBER(DM143)),DM143,IF(AND(p_use_dam=1,ISNUMBER(DR143)),DR143,DS143))</f>
        <v>0.105</v>
      </c>
      <c r="DV143" s="6" t="str">
        <f aca="false">IF(AND(p_use_obs=1,ISNUMBER(DM143)),"Observed (IRENA/Steffen)",IF(AND(p_use_dam=1,ISNUMBER(DR143)),"Damodaran (eq. 5)","Group default (IHLEG)"))</f>
        <v>Group default (IHLEG)</v>
      </c>
      <c r="DW143" s="11" t="n">
        <f aca="false">IF(p_basis=1,(1+DU143)/(1+p_infl)-1,DU143)</f>
        <v>0.105</v>
      </c>
      <c r="DX143" s="11" t="n">
        <f aca="false">DW143+(DT143-DS143)</f>
        <v>0.15</v>
      </c>
      <c r="DY143" s="28" t="n">
        <f aca="false">IF(AND(p_use_pefa=1,ISNUMBER(BD143)),p_gap_lic-(BD143-1)/3*(p_gap_lic-p_gap_ae),IF(E143="AE",p_gap_ae,IF(D143="Low income",p_gap_lic,p_gap_em)))*(1-p_reform*p_reform_close)</f>
        <v>0.27</v>
      </c>
      <c r="DZ143" s="6" t="str">
        <f aca="false">IF(AND(p_use_pefa=1,ISNUMBER(BD143)),"PEFA PI-11","Income-group default (IMF 2015)")</f>
        <v>Income-group default (IMF 2015)</v>
      </c>
      <c r="EA143" s="28" t="n">
        <f aca="false">IF(E143="AE",p_ps_ae,IF(E143="China",p_ps_chn,p_ps_emdc))</f>
        <v>0.4</v>
      </c>
      <c r="EB143" s="37" t="n">
        <f aca="false">(1-EA143)+EA143/(1-DY143)</f>
        <v>1.14794520547945</v>
      </c>
      <c r="EC143" s="16" t="n">
        <f aca="false">Results_Country!F143</f>
        <v>0.645761765688644</v>
      </c>
      <c r="ED143" s="16" t="n">
        <f aca="false">IF(CH143="",0,CH143*EC143)</f>
        <v>305.748953711815</v>
      </c>
      <c r="EE143" s="16" t="n">
        <f aca="false">IF(CJ143="",0,CJ143*EC143)</f>
        <v>14.076246514798</v>
      </c>
      <c r="EF143" s="16" t="n">
        <f aca="false">IF(CH143="",0,EC143)</f>
        <v>0.645761765688644</v>
      </c>
    </row>
    <row r="144" customFormat="false" ht="15" hidden="false" customHeight="false" outlineLevel="0" collapsed="false">
      <c r="A144" s="35" t="s">
        <v>1045</v>
      </c>
      <c r="B144" s="35" t="s">
        <v>1046</v>
      </c>
      <c r="C144" s="35" t="s">
        <v>762</v>
      </c>
      <c r="D144" s="35" t="s">
        <v>771</v>
      </c>
      <c r="E144" s="35" t="s">
        <v>31</v>
      </c>
      <c r="F144" s="36" t="n">
        <v>15.792</v>
      </c>
      <c r="G144" s="36" t="n">
        <v>75.027</v>
      </c>
      <c r="H144" s="33" t="n">
        <v>4.772</v>
      </c>
      <c r="I144" s="33" t="n">
        <v>4.013</v>
      </c>
      <c r="J144" s="36" t="n">
        <v>7.769819</v>
      </c>
      <c r="K144" s="36" t="n">
        <v>19.593</v>
      </c>
      <c r="L144" s="36" t="n">
        <v>36.392</v>
      </c>
      <c r="M144" s="36" t="n">
        <v>53.894</v>
      </c>
      <c r="N144" s="36" t="n">
        <v>8.02794699717821</v>
      </c>
      <c r="O144" s="36" t="n">
        <v>2.5437072140766</v>
      </c>
      <c r="P144" s="36" t="n">
        <v>0</v>
      </c>
      <c r="Q144" s="31" t="n">
        <v>0</v>
      </c>
      <c r="R144" s="31" t="n">
        <v>0</v>
      </c>
      <c r="S144" s="31" t="n">
        <v>0</v>
      </c>
      <c r="T144" s="31" t="n">
        <v>0</v>
      </c>
      <c r="U144" s="31" t="n">
        <v>0.00601705440738601</v>
      </c>
      <c r="V144" s="31" t="n">
        <v>0</v>
      </c>
      <c r="W144" s="31" t="n">
        <v>0.145967975511775</v>
      </c>
      <c r="X144" s="31" t="n">
        <v>0</v>
      </c>
      <c r="Y144" s="36" t="n">
        <v>0.17498026820413</v>
      </c>
      <c r="Z144" s="36" t="n">
        <v>0.64405563159198</v>
      </c>
      <c r="AA144" s="36" t="n">
        <v>0.0417716020297095</v>
      </c>
      <c r="AB144" s="36" t="n">
        <v>0.000675695004710829</v>
      </c>
      <c r="AC144" s="36" t="n">
        <v>0.00632474663043357</v>
      </c>
      <c r="AD144" s="31" t="n">
        <v>0.858</v>
      </c>
      <c r="AE144" s="31" t="n">
        <v>0.731329</v>
      </c>
      <c r="AF144" s="31" t="n">
        <v>0.530094</v>
      </c>
      <c r="AG144" s="31" t="n">
        <v>0.652</v>
      </c>
      <c r="AH144" s="31" t="n">
        <v>0.543345303403777</v>
      </c>
      <c r="AI144" s="31" t="n">
        <v>3.373</v>
      </c>
      <c r="AJ144" s="31" t="n">
        <v>5.8938</v>
      </c>
      <c r="AK144" s="31" t="n">
        <v>2.049</v>
      </c>
      <c r="AL144" s="31" t="n">
        <v>2.10141687315926</v>
      </c>
      <c r="AM144" s="31" t="n">
        <v>8.18</v>
      </c>
      <c r="AN144" s="31" t="n">
        <v>17.7342</v>
      </c>
      <c r="AO144" s="31" t="n">
        <v>6.857</v>
      </c>
      <c r="AP144" s="31" t="n">
        <v>10.9237333333333</v>
      </c>
      <c r="AQ144" s="36" t="n">
        <v>0.403381143032168</v>
      </c>
      <c r="AR144" s="36" t="n">
        <v>0.00769752403381274</v>
      </c>
      <c r="AS144" s="36" t="n">
        <v>0.0869157141128169</v>
      </c>
      <c r="AT144" s="36" t="n">
        <v>0.0794341388377278</v>
      </c>
      <c r="AU144" s="31" t="n">
        <v>0.750383988303421</v>
      </c>
      <c r="AV144" s="36" t="n">
        <v>0.121172</v>
      </c>
      <c r="AW144" s="31" t="n">
        <v>2.074593</v>
      </c>
      <c r="AX144" s="31" t="n">
        <v>0.011284</v>
      </c>
      <c r="AY144" s="31" t="n">
        <v>0.28472641033051</v>
      </c>
      <c r="AZ144" s="31" t="n">
        <v>0.03844</v>
      </c>
      <c r="BA144" s="33" t="n">
        <v>94.682</v>
      </c>
      <c r="BB144" s="33" t="n">
        <v>20.064</v>
      </c>
      <c r="BC144" s="33" t="n">
        <v>86.455</v>
      </c>
      <c r="BD144" s="33" t="n">
        <v>1</v>
      </c>
      <c r="BE144" s="33" t="n">
        <v>2</v>
      </c>
      <c r="BF144" s="33" t="n">
        <v>0</v>
      </c>
      <c r="BG144" s="33"/>
      <c r="BH144" s="33"/>
      <c r="BI144" s="29"/>
      <c r="BJ144" s="33"/>
      <c r="BK144" s="33"/>
      <c r="BL144" s="33" t="n">
        <v>6.261</v>
      </c>
      <c r="BM144" s="33" t="n">
        <v>7.8</v>
      </c>
      <c r="BN144" s="29" t="n">
        <v>29.556</v>
      </c>
      <c r="BO144" s="33" t="n">
        <v>0.76</v>
      </c>
      <c r="BP144" s="33" t="n">
        <v>1.33</v>
      </c>
      <c r="BQ144" s="29" t="n">
        <v>2024</v>
      </c>
      <c r="BR144" s="36" t="n">
        <v>52.31</v>
      </c>
      <c r="BS144" s="36" t="n">
        <v>12.18</v>
      </c>
      <c r="BT144" s="36" t="n">
        <v>0</v>
      </c>
      <c r="BU144" s="36" t="n">
        <v>0</v>
      </c>
      <c r="BV144" s="16" t="n">
        <f aca="false">F144*(1+N(H144)/100)*(1+N(I144)/100)^5</f>
        <v>20.1428298030565</v>
      </c>
      <c r="BW144" s="16" t="n">
        <f aca="false">IF(N(G144)&gt;0,G144,F144)</f>
        <v>75.027</v>
      </c>
      <c r="BX144" s="12" t="n">
        <f aca="false">F144/BW144</f>
        <v>0.210484225678756</v>
      </c>
      <c r="BY144" s="13" t="n">
        <f aca="false">IF(ISNUMBER(K144),1,0)</f>
        <v>1</v>
      </c>
      <c r="BZ144" s="16" t="n">
        <f aca="false">IF(BY144=0,"",N(N144)+N(O144)+N(P144))</f>
        <v>10.5716542112548</v>
      </c>
      <c r="CA144" s="37" t="n">
        <f aca="false">IF(BY144=0,"",(N(Y144)*34.2+N(Z144)*38.6)/1000)</f>
        <v>0.0308448725520317</v>
      </c>
      <c r="CB144" s="37" t="n">
        <f aca="false">IF(BY144=0,"",N(O144)*0.0036+N(R144)+N(V144)+(N(AA144)*25.3+N(AB144)*37)/1000)</f>
        <v>0.0102391682172017</v>
      </c>
      <c r="CC144" s="37" t="n">
        <f aca="false">IF(BY144=0,"",N(N144)*0.0036+N(Q144)+N(U144)+N(T144)+N(X144)+N(AC144)*38/1000)</f>
        <v>0.035158003969184</v>
      </c>
      <c r="CD144" s="37" t="n">
        <f aca="false">IF(BY144=0,"",N(Q144)+N(R144)+N(S144)+N(T144)+N(U144)+N(V144)+N(W144)+N(X144)+(N(Y144)*34.2+N(Z144)*38.6+N(AA144)*25.3+N(AB144)*37+N(AC144)*38)/1000)</f>
        <v>0.184152065089675</v>
      </c>
      <c r="CE144" s="16" t="n">
        <f aca="false">IF(BY144=0,"",MAX(0,N(L144)-N(K144))+MAX(0,N(M144)-N(L144)))</f>
        <v>34.301</v>
      </c>
      <c r="CF144" s="16" t="n">
        <f aca="false">IF(BY144=0,"",N(Y144)*N(AD144)+N(Z144)*N(AE144)+N(AA144)*N(AF144)+N(AB144)*N(AG144)+N(AC144)*N(AH144)+N(U144)*N(AI144)+N(V144)*N(AJ144)+N(W144)*N(AK144)+N(X144)*N(AL144)+N(Q144)*N(AM144)+N(R144)*N(AN144)+N(S144)*N(AO144)+N(T144)*N(AP144))</f>
        <v>0.966553487581689</v>
      </c>
      <c r="CG144" s="16" t="n">
        <f aca="false">IF(AND(BY144=1,N(K144)&gt;0),K144,0)</f>
        <v>19.593</v>
      </c>
      <c r="CH144" s="16" t="n">
        <f aca="false">IF(CG144&gt;0,CF144*1000/CG144,"")</f>
        <v>49.3315718665691</v>
      </c>
      <c r="CI144" s="16" t="n">
        <f aca="false">IF(BY144=0,"",N(AQ144)+p_road*(N(AR144)+N(AS144)+N(AT144)))</f>
        <v>0.403381143032168</v>
      </c>
      <c r="CJ144" s="16" t="n">
        <f aca="false">IF(CG144&gt;0,CI144*1000/CG144,"")</f>
        <v>20.5880234283759</v>
      </c>
      <c r="CK144" s="12" t="n">
        <f aca="false">IF(CH144="",1,MIN(p_idx_max,MAX(p_idx_min,CH144/p_fc_world)))</f>
        <v>0.306393301251275</v>
      </c>
      <c r="CL144" s="12" t="n">
        <f aca="false">IF(CJ144="",1,MIN(p_idx_max,MAX(p_idx_min,CJ144/p_cb_world)))</f>
        <v>0.391475799744817</v>
      </c>
      <c r="CM144" s="37" t="n">
        <f aca="false">p_b*(1-p_wb_idx+p_wb_idx*CK144)</f>
        <v>0.0407503090664196</v>
      </c>
      <c r="CN144" s="37" t="n">
        <f aca="false">p_c*(1-p_wc_idx+p_wc_idx*CL144)</f>
        <v>0.0505003781670814</v>
      </c>
      <c r="CO144" s="28" t="n">
        <f aca="false">IF(N(BR144)&gt;0,(N(BS144)+N(BT144)+N(BU144))/BR144,"")</f>
        <v>0.232842668705792</v>
      </c>
      <c r="CP144" s="16" t="n">
        <f aca="false">N(BS144)+N(BT144)+N(BU144)</f>
        <v>12.18</v>
      </c>
      <c r="CQ144" s="28" t="n">
        <f aca="false">IF(CP144&gt;0,N(BS144)/CP144,"")</f>
        <v>1</v>
      </c>
      <c r="CR144" s="28" t="n">
        <f aca="false">IF(CP144&gt;0,N(BT144)/CP144,"")</f>
        <v>0</v>
      </c>
      <c r="CS144" s="28" t="n">
        <f aca="false">IF(CP144&gt;0,N(BU144)/CP144,"")</f>
        <v>0</v>
      </c>
      <c r="CT144" s="7" t="n">
        <f aca="false">1000*(p_sh_pv*p_cf_pv/p_capex_pv+(1-p_sh_pv)*p_cf_wind/p_capex_wind)*8760</f>
        <v>2301.28856624319</v>
      </c>
      <c r="CU144" s="13" t="n">
        <f aca="false">IF(AND(ISNUMBER(CO144),ISNUMBER(CQ144),BY144=1),1,0)</f>
        <v>1</v>
      </c>
      <c r="CV144" s="16" t="n">
        <f aca="false">IF(CU144=0,"",CQ144*p_hr_coal*N(AK144)+CR144*p_hr_gas*N(AO144)+CS144*p_hr_oil*N(AH144)/p_gj_l_oil)</f>
        <v>20.49</v>
      </c>
      <c r="CW144" s="37" t="n">
        <f aca="false">IF(CU144=0,"",CQ144*p_hr_coal*p_ef_coal+CR144*p_hr_gas*p_ef_gas+CS144*p_hr_oil*p_ef_oil)</f>
        <v>0.946</v>
      </c>
      <c r="CX144" s="16" t="n">
        <f aca="false">IF(CU144=0,"",CQ144*p_hr_coal*N(AW144)+CR144*p_hr_gas*N(AX144)+CS144*p_hr_oil*N(AY144)/p_gj_l_oil)</f>
        <v>20.74593</v>
      </c>
      <c r="CY144" s="37" t="n">
        <f aca="false">IF(CU144=0,"",CO144*CW144)</f>
        <v>0.22026916459568</v>
      </c>
      <c r="CZ144" s="37" t="n">
        <f aca="false">IF(CU144=0,"",CT144*CO144*CV144/1000/1000-p_om_re)</f>
        <v>-0.00402067587157533</v>
      </c>
      <c r="DA144" s="37" t="n">
        <f aca="false">IF(CU144=0,"",CT144*CO144*CX144/1000/1000)</f>
        <v>0.0111164611915866</v>
      </c>
      <c r="DB144" s="37" t="n">
        <f aca="false">IF(CU144=0,"",CT144*CO144*CW144/1000)</f>
        <v>0.506902909979978</v>
      </c>
      <c r="DC144" s="13" t="n">
        <f aca="false">IF(AND(CU144=1,ISNUMBER(AD144),ISNUMBER(AV144)),1,0)</f>
        <v>1</v>
      </c>
      <c r="DD144" s="7" t="n">
        <f aca="false">IF(DC144=0,"",p_ev_km*p_ice_l/100*AD144-p_ev_km*p_ev_kwh*AV144+p_ev_km*p_ev_maint)</f>
        <v>818.0856</v>
      </c>
      <c r="DE144" s="37" t="n">
        <f aca="false">IF(DC144=0,"",DD144/p_ev_prem)</f>
        <v>0.16361712</v>
      </c>
      <c r="DF144" s="37" t="n">
        <f aca="false">IF(DC144=0,"",p_ev_km*p_ice_l/100*N(AZ144)/p_ev_prem)</f>
        <v>0.008649</v>
      </c>
      <c r="DG144" s="37" t="n">
        <f aca="false">IF(DC144=0,"",1000/p_ev_prem*(p_ev_km*p_ice_l/100*p_gj_l_gso*p_ef_gso-p_ev_km*p_ev_kwh/1000*CY144))</f>
        <v>0.414318151118333</v>
      </c>
      <c r="DH144" s="11" t="str">
        <f aca="false">IFERROR(IF(INDEX(Damodaran!$D:$D,MATCH(A144,Damodaran!$A:$A,0))="","",INDEX(Damodaran!$D:$D,MATCH(A144,Damodaran!$A:$A,0))),"")</f>
        <v/>
      </c>
      <c r="DI144" s="11" t="str">
        <f aca="false">IFERROR(IF(INDEX(Damodaran!$E:$E,MATCH(A144,Damodaran!$A:$A,0))="","",INDEX(Damodaran!$E:$E,MATCH(A144,Damodaran!$A:$A,0))),"")</f>
        <v/>
      </c>
      <c r="DJ144" s="11" t="str">
        <f aca="false">IFERROR(IF(INDEX(Damodaran!$G:$G,MATCH(A144,Damodaran!$A:$A,0))="","",INDEX(Damodaran!$G:$G,MATCH(A144,Damodaran!$A:$A,0))),"")</f>
        <v/>
      </c>
      <c r="DK144" s="11" t="str">
        <f aca="false">IF(ISNUMBER(BG144),(1+BG144/100)*(1+p_infl)-1,"")</f>
        <v/>
      </c>
      <c r="DL144" s="11" t="str">
        <f aca="false">IF(ISNUMBER(BH144),BH144/100,"")</f>
        <v/>
      </c>
      <c r="DM144" s="11" t="str">
        <f aca="false">IF(COUNT(DK144,DL144)=0,"",AVERAGE(DK144,DL144))</f>
        <v/>
      </c>
      <c r="DN144" s="11" t="str">
        <f aca="false">IF(OR(DH144="",DI144=""),"",p_dv*(p_rf+DH144)*(1-IF(DJ144="",p_tax_def,DJ144))+(1-p_dv)*(p_rf+p_beta*p_erp+p_lambda*DI144))</f>
        <v/>
      </c>
      <c r="DO144" s="13" t="n">
        <f aca="false">IF(AND(ISNUMBER(DM144),ISNUMBER(DN144)),1,0)</f>
        <v>0</v>
      </c>
      <c r="DP144" s="11" t="n">
        <f aca="false">IF(DO144=1,DM144,0)</f>
        <v>0</v>
      </c>
      <c r="DQ144" s="11" t="n">
        <f aca="false">IF(DO144=1,DN144,0)</f>
        <v>0</v>
      </c>
      <c r="DR144" s="11" t="str">
        <f aca="false">IF(DN144="","",DN144+p_shift)</f>
        <v/>
      </c>
      <c r="DS144" s="11" t="n">
        <f aca="false">IF(E144="AE",p_r_ae,IF(E144="China",p_r_chn,p_r_emdc))</f>
        <v>0.105</v>
      </c>
      <c r="DT144" s="11" t="n">
        <f aca="false">IF(E144="AE",p_rh_ae,IF(E144="China",p_rh_chn,p_rh_emdc))</f>
        <v>0.15</v>
      </c>
      <c r="DU144" s="11" t="n">
        <f aca="false">IF(AND(p_use_obs=1,ISNUMBER(DM144)),DM144,IF(AND(p_use_dam=1,ISNUMBER(DR144)),DR144,DS144))</f>
        <v>0.105</v>
      </c>
      <c r="DV144" s="6" t="str">
        <f aca="false">IF(AND(p_use_obs=1,ISNUMBER(DM144)),"Observed (IRENA/Steffen)",IF(AND(p_use_dam=1,ISNUMBER(DR144)),"Damodaran (eq. 5)","Group default (IHLEG)"))</f>
        <v>Group default (IHLEG)</v>
      </c>
      <c r="DW144" s="11" t="n">
        <f aca="false">IF(p_basis=1,(1+DU144)/(1+p_infl)-1,DU144)</f>
        <v>0.105</v>
      </c>
      <c r="DX144" s="11" t="n">
        <f aca="false">DW144+(DT144-DS144)</f>
        <v>0.15</v>
      </c>
      <c r="DY144" s="28" t="n">
        <f aca="false">IF(AND(p_use_pefa=1,ISNUMBER(BD144)),p_gap_lic-(BD144-1)/3*(p_gap_lic-p_gap_ae),IF(E144="AE",p_gap_ae,IF(D144="Low income",p_gap_lic,p_gap_em)))*(1-p_reform*p_reform_close)</f>
        <v>0.4</v>
      </c>
      <c r="DZ144" s="6" t="str">
        <f aca="false">IF(AND(p_use_pefa=1,ISNUMBER(BD144)),"PEFA PI-11","Income-group default (IMF 2015)")</f>
        <v>PEFA PI-11</v>
      </c>
      <c r="EA144" s="28" t="n">
        <f aca="false">IF(E144="AE",p_ps_ae,IF(E144="China",p_ps_chn,p_ps_emdc))</f>
        <v>0.4</v>
      </c>
      <c r="EB144" s="37" t="n">
        <f aca="false">(1-EA144)+EA144/(1-DY144)</f>
        <v>1.26666666666667</v>
      </c>
      <c r="EC144" s="16" t="n">
        <f aca="false">Results_Country!F144</f>
        <v>1.72236210373281</v>
      </c>
      <c r="ED144" s="16" t="n">
        <f aca="false">IF(CH144="",0,CH144*EC144)</f>
        <v>84.9668299005502</v>
      </c>
      <c r="EE144" s="16" t="n">
        <f aca="false">IF(CJ144="",0,CJ144*EC144)</f>
        <v>35.4600313437978</v>
      </c>
      <c r="EF144" s="16" t="n">
        <f aca="false">IF(CH144="",0,EC144)</f>
        <v>1.72236210373281</v>
      </c>
    </row>
    <row r="145" customFormat="false" ht="15" hidden="false" customHeight="false" outlineLevel="0" collapsed="false">
      <c r="A145" s="35" t="s">
        <v>1047</v>
      </c>
      <c r="B145" s="35" t="s">
        <v>1048</v>
      </c>
      <c r="C145" s="35" t="s">
        <v>762</v>
      </c>
      <c r="D145" s="35" t="s">
        <v>760</v>
      </c>
      <c r="E145" s="35" t="s">
        <v>31</v>
      </c>
      <c r="F145" s="36" t="n">
        <v>15.334</v>
      </c>
      <c r="G145" s="36" t="n">
        <v>41.649</v>
      </c>
      <c r="H145" s="33" t="n">
        <v>0.6</v>
      </c>
      <c r="I145" s="33" t="n">
        <v>2.6</v>
      </c>
      <c r="J145" s="36" t="n">
        <v>0.462722</v>
      </c>
      <c r="K145" s="36" t="n">
        <v>9.571</v>
      </c>
      <c r="L145" s="36" t="n">
        <v>15.542</v>
      </c>
      <c r="M145" s="36" t="n">
        <v>15.977</v>
      </c>
      <c r="N145" s="36" t="n">
        <v>3.64582031988187</v>
      </c>
      <c r="O145" s="36" t="n">
        <v>1.53722337795363</v>
      </c>
      <c r="P145" s="36" t="n">
        <v>0</v>
      </c>
      <c r="Q145" s="31" t="n">
        <v>0.0330814810957124</v>
      </c>
      <c r="R145" s="31" t="n">
        <v>0.000810015486880608</v>
      </c>
      <c r="S145" s="31" t="n">
        <v>0.0555031928565475</v>
      </c>
      <c r="T145" s="31" t="n">
        <v>0</v>
      </c>
      <c r="U145" s="31" t="n">
        <v>0.00750853285188224</v>
      </c>
      <c r="V145" s="31" t="n">
        <v>0</v>
      </c>
      <c r="W145" s="31" t="n">
        <v>0.00586968260335008</v>
      </c>
      <c r="X145" s="31" t="n">
        <v>0</v>
      </c>
      <c r="Y145" s="36" t="n">
        <v>0.356197765703299</v>
      </c>
      <c r="Z145" s="36" t="n">
        <v>0.294220491157854</v>
      </c>
      <c r="AA145" s="36" t="n">
        <v>0.0333641481663917</v>
      </c>
      <c r="AB145" s="36" t="n">
        <v>0.00622568863609812</v>
      </c>
      <c r="AC145" s="36" t="n">
        <v>0.329903721925144</v>
      </c>
      <c r="AD145" s="31" t="n">
        <v>0.72</v>
      </c>
      <c r="AE145" s="31" t="n">
        <v>0.734</v>
      </c>
      <c r="AF145" s="31" t="n">
        <v>0.51</v>
      </c>
      <c r="AG145" s="31" t="n">
        <v>0.652</v>
      </c>
      <c r="AH145" s="31" t="n">
        <v>0.543345303403777</v>
      </c>
      <c r="AI145" s="31" t="n">
        <v>7.124</v>
      </c>
      <c r="AJ145" s="31" t="n">
        <v>11.451</v>
      </c>
      <c r="AK145" s="31" t="n">
        <v>4.833</v>
      </c>
      <c r="AL145" s="31" t="n">
        <v>6.1188253644685</v>
      </c>
      <c r="AM145" s="31" t="n">
        <v>4.68</v>
      </c>
      <c r="AN145" s="31" t="n">
        <v>8.651</v>
      </c>
      <c r="AO145" s="31" t="n">
        <v>4.018</v>
      </c>
      <c r="AP145" s="31" t="n">
        <v>4.30496047155624</v>
      </c>
      <c r="AQ145" s="36" t="n">
        <v>0.0501768925575511</v>
      </c>
      <c r="AR145" s="36" t="n">
        <v>0.12024414721818</v>
      </c>
      <c r="AS145" s="36" t="n">
        <v>0.0267160746984952</v>
      </c>
      <c r="AT145" s="36" t="n">
        <v>0.0279274211232774</v>
      </c>
      <c r="AU145" s="31" t="n">
        <v>0.140949071416176</v>
      </c>
      <c r="AV145" s="36" t="n">
        <v>0.11</v>
      </c>
      <c r="AW145" s="31" t="n">
        <v>0.020944</v>
      </c>
      <c r="AX145" s="31" t="n">
        <v>0.006566</v>
      </c>
      <c r="AY145" s="31" t="n">
        <v>0.0374745756682535</v>
      </c>
      <c r="AZ145" s="31" t="n">
        <v>0.023576</v>
      </c>
      <c r="BA145" s="33" t="n">
        <v>1.568</v>
      </c>
      <c r="BB145" s="33" t="n">
        <v>0</v>
      </c>
      <c r="BC145" s="33"/>
      <c r="BD145" s="33"/>
      <c r="BE145" s="33"/>
      <c r="BF145" s="33" t="n">
        <v>0</v>
      </c>
      <c r="BG145" s="33"/>
      <c r="BH145" s="33"/>
      <c r="BI145" s="29"/>
      <c r="BJ145" s="33"/>
      <c r="BK145" s="33"/>
      <c r="BL145" s="33"/>
      <c r="BM145" s="33"/>
      <c r="BN145" s="29"/>
      <c r="BO145" s="33"/>
      <c r="BP145" s="33"/>
      <c r="BQ145" s="29" t="n">
        <v>2024</v>
      </c>
      <c r="BR145" s="36" t="n">
        <v>5.56</v>
      </c>
      <c r="BS145" s="36" t="n">
        <v>1.1</v>
      </c>
      <c r="BT145" s="36" t="n">
        <v>4.4</v>
      </c>
      <c r="BU145" s="36" t="n">
        <v>0.05</v>
      </c>
      <c r="BV145" s="16" t="n">
        <f aca="false">F145*(1+N(H145)/100)*(1+N(I145)/100)^5</f>
        <v>17.5384110113532</v>
      </c>
      <c r="BW145" s="16" t="n">
        <f aca="false">IF(N(G145)&gt;0,G145,F145)</f>
        <v>41.649</v>
      </c>
      <c r="BX145" s="12" t="n">
        <f aca="false">F145/BW145</f>
        <v>0.368172104972508</v>
      </c>
      <c r="BY145" s="13" t="n">
        <f aca="false">IF(ISNUMBER(K145),1,0)</f>
        <v>1</v>
      </c>
      <c r="BZ145" s="16" t="n">
        <f aca="false">IF(BY145=0,"",N(N145)+N(O145)+N(P145))</f>
        <v>5.18304369783551</v>
      </c>
      <c r="CA145" s="37" t="n">
        <f aca="false">IF(BY145=0,"",(N(Y145)*34.2+N(Z145)*38.6)/1000)</f>
        <v>0.023538874545746</v>
      </c>
      <c r="CB145" s="37" t="n">
        <f aca="false">IF(BY145=0,"",N(O145)*0.0036+N(R145)+N(V145)+(N(AA145)*25.3+N(AB145)*37)/1000)</f>
        <v>0.00741848307565902</v>
      </c>
      <c r="CC145" s="37" t="n">
        <f aca="false">IF(BY145=0,"",N(N145)*0.0036+N(Q145)+N(U145)+N(T145)+N(X145)+N(AC145)*38/1000)</f>
        <v>0.0662513085323248</v>
      </c>
      <c r="CD145" s="37" t="n">
        <f aca="false">IF(BY145=0,"",N(Q145)+N(R145)+N(S145)+N(T145)+N(U145)+N(V145)+N(W145)+N(X145)+(N(Y145)*34.2+N(Z145)*38.6+N(AA145)*25.3+N(AB145)*37+N(AC145)*38)/1000)</f>
        <v>0.13992258430142</v>
      </c>
      <c r="CE145" s="16" t="n">
        <f aca="false">IF(BY145=0,"",MAX(0,N(L145)-N(K145))+MAX(0,N(M145)-N(L145)))</f>
        <v>6.406</v>
      </c>
      <c r="CF145" s="16" t="n">
        <f aca="false">IF(BY145=0,"",N(Y145)*N(AD145)+N(Z145)*N(AE145)+N(AA145)*N(AF145)+N(AB145)*N(AG145)+N(AC145)*N(AH145)+N(U145)*N(AI145)+N(V145)*N(AJ145)+N(W145)*N(AK145)+N(X145)*N(AL145)+N(Q145)*N(AM145)+N(R145)*N(AN145)+N(S145)*N(AO145)+N(T145)*N(AP145))</f>
        <v>1.13944630271663</v>
      </c>
      <c r="CG145" s="16" t="n">
        <f aca="false">IF(AND(BY145=1,N(K145)&gt;0),K145,0)</f>
        <v>9.571</v>
      </c>
      <c r="CH145" s="16" t="n">
        <f aca="false">IF(CG145&gt;0,CF145*1000/CG145,"")</f>
        <v>119.051959326782</v>
      </c>
      <c r="CI145" s="16" t="n">
        <f aca="false">IF(BY145=0,"",N(AQ145)+p_road*(N(AR145)+N(AS145)+N(AT145)))</f>
        <v>0.0501768925575511</v>
      </c>
      <c r="CJ145" s="16" t="n">
        <f aca="false">IF(CG145&gt;0,CI145*1000/CG145,"")</f>
        <v>5.24259665213155</v>
      </c>
      <c r="CK145" s="12" t="n">
        <f aca="false">IF(CH145="",1,MIN(p_idx_max,MAX(p_idx_min,CH145/p_fc_world)))</f>
        <v>0.739419431783498</v>
      </c>
      <c r="CL145" s="12" t="n">
        <f aca="false">IF(CJ145="",1,MIN(p_idx_max,MAX(p_idx_min,CJ145/p_cb_world)))</f>
        <v>0.25</v>
      </c>
      <c r="CM145" s="37" t="n">
        <f aca="false">p_b*(1-p_wb_idx+p_wb_idx*CK145)</f>
        <v>0.0983427844272053</v>
      </c>
      <c r="CN145" s="37" t="n">
        <f aca="false">p_c*(1-p_wc_idx+p_wc_idx*CL145)</f>
        <v>0.03225</v>
      </c>
      <c r="CO145" s="28" t="n">
        <f aca="false">IF(N(BR145)&gt;0,(N(BS145)+N(BT145)+N(BU145))/BR145,"")</f>
        <v>0.998201438848921</v>
      </c>
      <c r="CP145" s="16" t="n">
        <f aca="false">N(BS145)+N(BT145)+N(BU145)</f>
        <v>5.55</v>
      </c>
      <c r="CQ145" s="28" t="n">
        <f aca="false">IF(CP145&gt;0,N(BS145)/CP145,"")</f>
        <v>0.198198198198198</v>
      </c>
      <c r="CR145" s="28" t="n">
        <f aca="false">IF(CP145&gt;0,N(BT145)/CP145,"")</f>
        <v>0.792792792792793</v>
      </c>
      <c r="CS145" s="28" t="n">
        <f aca="false">IF(CP145&gt;0,N(BU145)/CP145,"")</f>
        <v>0.00900900900900901</v>
      </c>
      <c r="CT145" s="7" t="n">
        <f aca="false">1000*(p_sh_pv*p_cf_pv/p_capex_pv+(1-p_sh_pv)*p_cf_wind/p_capex_wind)*8760</f>
        <v>2301.28856624319</v>
      </c>
      <c r="CU145" s="13" t="n">
        <f aca="false">IF(AND(ISNUMBER(CO145),ISNUMBER(CQ145),BY145=1),1,0)</f>
        <v>1</v>
      </c>
      <c r="CV145" s="16" t="n">
        <f aca="false">IF(CU145=0,"",CQ145*p_hr_coal*N(AK145)+CR145*p_hr_gas*N(AO145)+CS145*p_hr_oil*N(AH145)/p_gj_l_oil)</f>
        <v>34.8012719240395</v>
      </c>
      <c r="CW145" s="37" t="n">
        <f aca="false">IF(CU145=0,"",CQ145*p_hr_coal*p_ef_coal+CR145*p_hr_gas*p_ef_gas+CS145*p_hr_oil*p_ef_oil)</f>
        <v>0.528384684684685</v>
      </c>
      <c r="CX145" s="16" t="n">
        <f aca="false">IF(CU145=0,"",CQ145*p_hr_coal*N(AW145)+CR145*p_hr_gas*N(AX145)+CS145*p_hr_oil*N(AY145)/p_gj_l_oil)</f>
        <v>0.172388299611787</v>
      </c>
      <c r="CY145" s="37" t="n">
        <f aca="false">IF(CU145=0,"",CO145*CW145)</f>
        <v>0.527434352517986</v>
      </c>
      <c r="CZ145" s="37" t="n">
        <f aca="false">IF(CU145=0,"",CT145*CO145*CV145/1000/1000-p_om_re)</f>
        <v>0.0649437264192075</v>
      </c>
      <c r="DA145" s="37" t="n">
        <f aca="false">IF(CU145=0,"",CT145*CO145*CX145/1000/1000)</f>
        <v>0.00039600170626285</v>
      </c>
      <c r="DB145" s="37" t="n">
        <f aca="false">IF(CU145=0,"",CT145*CO145*CW145/1000)</f>
        <v>1.21377864489352</v>
      </c>
      <c r="DC145" s="13" t="n">
        <f aca="false">IF(AND(CU145=1,ISNUMBER(AD145),ISNUMBER(AV145)),1,0)</f>
        <v>1</v>
      </c>
      <c r="DD145" s="7" t="n">
        <f aca="false">IF(DC145=0,"",p_ev_km*p_ice_l/100*AD145-p_ev_km*p_ev_kwh*AV145+p_ev_km*p_ev_maint)</f>
        <v>693</v>
      </c>
      <c r="DE145" s="37" t="n">
        <f aca="false">IF(DC145=0,"",DD145/p_ev_prem)</f>
        <v>0.1386</v>
      </c>
      <c r="DF145" s="37" t="n">
        <f aca="false">IF(DC145=0,"",p_ev_km*p_ice_l/100*N(AZ145)/p_ev_prem)</f>
        <v>0.0053046</v>
      </c>
      <c r="DG145" s="37" t="n">
        <f aca="false">IF(DC145=0,"",1000/p_ev_prem*(p_ev_km*p_ice_l/100*p_gj_l_gso*p_ef_gso-p_ev_km*p_ev_kwh/1000*CY145))</f>
        <v>0.248448949640288</v>
      </c>
      <c r="DH145" s="11" t="str">
        <f aca="false">IFERROR(IF(INDEX(Damodaran!$D:$D,MATCH(A145,Damodaran!$A:$A,0))="","",INDEX(Damodaran!$D:$D,MATCH(A145,Damodaran!$A:$A,0))),"")</f>
        <v/>
      </c>
      <c r="DI145" s="11" t="str">
        <f aca="false">IFERROR(IF(INDEX(Damodaran!$E:$E,MATCH(A145,Damodaran!$A:$A,0))="","",INDEX(Damodaran!$E:$E,MATCH(A145,Damodaran!$A:$A,0))),"")</f>
        <v/>
      </c>
      <c r="DJ145" s="11" t="str">
        <f aca="false">IFERROR(IF(INDEX(Damodaran!$G:$G,MATCH(A145,Damodaran!$A:$A,0))="","",INDEX(Damodaran!$G:$G,MATCH(A145,Damodaran!$A:$A,0))),"")</f>
        <v/>
      </c>
      <c r="DK145" s="11" t="str">
        <f aca="false">IF(ISNUMBER(BG145),(1+BG145/100)*(1+p_infl)-1,"")</f>
        <v/>
      </c>
      <c r="DL145" s="11" t="str">
        <f aca="false">IF(ISNUMBER(BH145),BH145/100,"")</f>
        <v/>
      </c>
      <c r="DM145" s="11" t="str">
        <f aca="false">IF(COUNT(DK145,DL145)=0,"",AVERAGE(DK145,DL145))</f>
        <v/>
      </c>
      <c r="DN145" s="11" t="str">
        <f aca="false">IF(OR(DH145="",DI145=""),"",p_dv*(p_rf+DH145)*(1-IF(DJ145="",p_tax_def,DJ145))+(1-p_dv)*(p_rf+p_beta*p_erp+p_lambda*DI145))</f>
        <v/>
      </c>
      <c r="DO145" s="13" t="n">
        <f aca="false">IF(AND(ISNUMBER(DM145),ISNUMBER(DN145)),1,0)</f>
        <v>0</v>
      </c>
      <c r="DP145" s="11" t="n">
        <f aca="false">IF(DO145=1,DM145,0)</f>
        <v>0</v>
      </c>
      <c r="DQ145" s="11" t="n">
        <f aca="false">IF(DO145=1,DN145,0)</f>
        <v>0</v>
      </c>
      <c r="DR145" s="11" t="str">
        <f aca="false">IF(DN145="","",DN145+p_shift)</f>
        <v/>
      </c>
      <c r="DS145" s="11" t="n">
        <f aca="false">IF(E145="AE",p_r_ae,IF(E145="China",p_r_chn,p_r_emdc))</f>
        <v>0.105</v>
      </c>
      <c r="DT145" s="11" t="n">
        <f aca="false">IF(E145="AE",p_rh_ae,IF(E145="China",p_rh_chn,p_rh_emdc))</f>
        <v>0.15</v>
      </c>
      <c r="DU145" s="11" t="n">
        <f aca="false">IF(AND(p_use_obs=1,ISNUMBER(DM145)),DM145,IF(AND(p_use_dam=1,ISNUMBER(DR145)),DR145,DS145))</f>
        <v>0.105</v>
      </c>
      <c r="DV145" s="6" t="str">
        <f aca="false">IF(AND(p_use_obs=1,ISNUMBER(DM145)),"Observed (IRENA/Steffen)",IF(AND(p_use_dam=1,ISNUMBER(DR145)),"Damodaran (eq. 5)","Group default (IHLEG)"))</f>
        <v>Group default (IHLEG)</v>
      </c>
      <c r="DW145" s="11" t="n">
        <f aca="false">IF(p_basis=1,(1+DU145)/(1+p_infl)-1,DU145)</f>
        <v>0.105</v>
      </c>
      <c r="DX145" s="11" t="n">
        <f aca="false">DW145+(DT145-DS145)</f>
        <v>0.15</v>
      </c>
      <c r="DY145" s="28" t="n">
        <f aca="false">IF(AND(p_use_pefa=1,ISNUMBER(BD145)),p_gap_lic-(BD145-1)/3*(p_gap_lic-p_gap_ae),IF(E145="AE",p_gap_ae,IF(D145="Low income",p_gap_lic,p_gap_em)))*(1-p_reform*p_reform_close)</f>
        <v>0.27</v>
      </c>
      <c r="DZ145" s="6" t="str">
        <f aca="false">IF(AND(p_use_pefa=1,ISNUMBER(BD145)),"PEFA PI-11","Income-group default (IMF 2015)")</f>
        <v>Income-group default (IMF 2015)</v>
      </c>
      <c r="EA145" s="28" t="n">
        <f aca="false">IF(E145="AE",p_ps_ae,IF(E145="China",p_ps_chn,p_ps_emdc))</f>
        <v>0.4</v>
      </c>
      <c r="EB145" s="37" t="n">
        <f aca="false">(1-EA145)+EA145/(1-DY145)</f>
        <v>1.14794520547945</v>
      </c>
      <c r="EC145" s="16" t="n">
        <f aca="false">Results_Country!F145</f>
        <v>1.11135583230304</v>
      </c>
      <c r="ED145" s="16" t="n">
        <f aca="false">IF(CH145="",0,CH145*EC145)</f>
        <v>132.309089344923</v>
      </c>
      <c r="EE145" s="16" t="n">
        <f aca="false">IF(CJ145="",0,CJ145*EC145)</f>
        <v>5.82639036575877</v>
      </c>
      <c r="EF145" s="16" t="n">
        <f aca="false">IF(CH145="",0,EC145)</f>
        <v>1.11135583230304</v>
      </c>
    </row>
    <row r="146" customFormat="false" ht="15" hidden="false" customHeight="false" outlineLevel="0" collapsed="false">
      <c r="A146" s="35" t="s">
        <v>1049</v>
      </c>
      <c r="B146" s="35" t="s">
        <v>1050</v>
      </c>
      <c r="C146" s="35" t="s">
        <v>847</v>
      </c>
      <c r="D146" s="35" t="s">
        <v>888</v>
      </c>
      <c r="E146" s="35" t="s">
        <v>31</v>
      </c>
      <c r="F146" s="36" t="n">
        <v>15.111</v>
      </c>
      <c r="G146" s="36" t="n">
        <v>53.943</v>
      </c>
      <c r="H146" s="33" t="n">
        <v>6.978</v>
      </c>
      <c r="I146" s="33" t="n">
        <v>7.233</v>
      </c>
      <c r="J146" s="36" t="n">
        <v>14.256567</v>
      </c>
      <c r="K146" s="36" t="n">
        <v>1.886</v>
      </c>
      <c r="L146" s="36" t="n">
        <v>9.76</v>
      </c>
      <c r="M146" s="36" t="n">
        <v>10.949</v>
      </c>
      <c r="N146" s="36" t="n">
        <v>0.888391291521458</v>
      </c>
      <c r="O146" s="36" t="n">
        <v>0.202367539016293</v>
      </c>
      <c r="P146" s="36" t="n">
        <v>0</v>
      </c>
      <c r="Q146" s="31" t="n">
        <v>0</v>
      </c>
      <c r="R146" s="31" t="n">
        <v>0</v>
      </c>
      <c r="S146" s="31" t="n">
        <v>0.00285083976812535</v>
      </c>
      <c r="T146" s="31" t="n">
        <v>0</v>
      </c>
      <c r="U146" s="31" t="n">
        <v>0.000765762423321169</v>
      </c>
      <c r="V146" s="31" t="n">
        <v>0</v>
      </c>
      <c r="W146" s="31" t="n">
        <v>0.00389705909918066</v>
      </c>
      <c r="X146" s="31" t="n">
        <v>0</v>
      </c>
      <c r="Y146" s="36" t="n">
        <v>0.157449715608978</v>
      </c>
      <c r="Z146" s="36" t="n">
        <v>0.198356913929566</v>
      </c>
      <c r="AA146" s="36" t="n">
        <v>0.0628299808282651</v>
      </c>
      <c r="AB146" s="36" t="n">
        <v>0.00582130184807864</v>
      </c>
      <c r="AC146" s="36" t="n">
        <v>0.0160417614250269</v>
      </c>
      <c r="AD146" s="31" t="n">
        <v>0.848184</v>
      </c>
      <c r="AE146" s="31" t="n">
        <v>0.785122</v>
      </c>
      <c r="AF146" s="31" t="n">
        <v>0.57302</v>
      </c>
      <c r="AG146" s="31" t="n">
        <v>0.591</v>
      </c>
      <c r="AH146" s="31" t="n">
        <v>0.519462891908447</v>
      </c>
      <c r="AI146" s="31" t="n">
        <v>2.618</v>
      </c>
      <c r="AJ146" s="31" t="n">
        <v>3.20842</v>
      </c>
      <c r="AK146" s="31" t="n">
        <v>4.268</v>
      </c>
      <c r="AL146" s="31" t="n">
        <v>3.99702501363552</v>
      </c>
      <c r="AM146" s="31" t="n">
        <v>12.805</v>
      </c>
      <c r="AN146" s="31" t="n">
        <v>24.48146</v>
      </c>
      <c r="AO146" s="31" t="n">
        <v>11.482</v>
      </c>
      <c r="AP146" s="31" t="n">
        <v>11.482</v>
      </c>
      <c r="AQ146" s="36" t="n">
        <v>0.00246035129763866</v>
      </c>
      <c r="AR146" s="36" t="n">
        <v>0.00071261190433073</v>
      </c>
      <c r="AS146" s="36" t="n">
        <v>0.0513860679307171</v>
      </c>
      <c r="AT146" s="36" t="n">
        <v>0.00846460223997977</v>
      </c>
      <c r="AU146" s="31" t="n">
        <v>0.628182567990225</v>
      </c>
      <c r="AV146" s="36" t="n">
        <v>0.159654</v>
      </c>
      <c r="AW146" s="31" t="n">
        <v>0.000394</v>
      </c>
      <c r="AX146" s="31" t="n">
        <v>0.000947</v>
      </c>
      <c r="AY146" s="31" t="n">
        <v>0.0228491675698537</v>
      </c>
      <c r="AZ146" s="31" t="n">
        <v>0.00513</v>
      </c>
      <c r="BA146" s="33" t="n">
        <v>63.385</v>
      </c>
      <c r="BB146" s="33" t="n">
        <v>10.783</v>
      </c>
      <c r="BC146" s="33" t="n">
        <v>110.55</v>
      </c>
      <c r="BD146" s="33" t="n">
        <v>3.5</v>
      </c>
      <c r="BE146" s="33" t="n">
        <v>2</v>
      </c>
      <c r="BF146" s="33" t="n">
        <v>1</v>
      </c>
      <c r="BG146" s="33" t="n">
        <v>5.6</v>
      </c>
      <c r="BH146" s="33"/>
      <c r="BI146" s="29"/>
      <c r="BJ146" s="33" t="n">
        <v>1</v>
      </c>
      <c r="BK146" s="33"/>
      <c r="BL146" s="33" t="n">
        <v>3.592</v>
      </c>
      <c r="BM146" s="33" t="n">
        <v>4.724</v>
      </c>
      <c r="BN146" s="29" t="n">
        <v>32.185</v>
      </c>
      <c r="BO146" s="33" t="n">
        <v>3.775</v>
      </c>
      <c r="BP146" s="33" t="n">
        <v>0.067</v>
      </c>
      <c r="BQ146" s="29" t="n">
        <v>2024</v>
      </c>
      <c r="BR146" s="36" t="n">
        <v>1.13</v>
      </c>
      <c r="BS146" s="36" t="n">
        <v>0.17</v>
      </c>
      <c r="BT146" s="36" t="n">
        <v>0.3</v>
      </c>
      <c r="BU146" s="36" t="n">
        <v>0.1</v>
      </c>
      <c r="BV146" s="16" t="n">
        <f aca="false">F146*(1+N(H146)/100)*(1+N(I146)/100)^5</f>
        <v>22.9208099826116</v>
      </c>
      <c r="BW146" s="16" t="n">
        <f aca="false">IF(N(G146)&gt;0,G146,F146)</f>
        <v>53.943</v>
      </c>
      <c r="BX146" s="12" t="n">
        <f aca="false">F146/BW146</f>
        <v>0.280129025082031</v>
      </c>
      <c r="BY146" s="13" t="n">
        <f aca="false">IF(ISNUMBER(K146),1,0)</f>
        <v>1</v>
      </c>
      <c r="BZ146" s="16" t="n">
        <f aca="false">IF(BY146=0,"",N(N146)+N(O146)+N(P146))</f>
        <v>1.09075883053775</v>
      </c>
      <c r="CA146" s="37" t="n">
        <f aca="false">IF(BY146=0,"",(N(Y146)*34.2+N(Z146)*38.6)/1000)</f>
        <v>0.0130413571515083</v>
      </c>
      <c r="CB146" s="37" t="n">
        <f aca="false">IF(BY146=0,"",N(O146)*0.0036+N(R146)+N(V146)+(N(AA146)*25.3+N(AB146)*37)/1000)</f>
        <v>0.00253350982379267</v>
      </c>
      <c r="CC146" s="37" t="n">
        <f aca="false">IF(BY146=0,"",N(N146)*0.0036+N(Q146)+N(U146)+N(T146)+N(X146)+N(AC146)*38/1000)</f>
        <v>0.00457355800694944</v>
      </c>
      <c r="CD146" s="37" t="n">
        <f aca="false">IF(BY146=0,"",N(Q146)+N(R146)+N(S146)+N(T146)+N(U146)+N(V146)+N(W146)+N(X146)+(N(Y146)*34.2+N(Z146)*38.6+N(AA146)*25.3+N(AB146)*37+N(AC146)*38)/1000)</f>
        <v>0.0229695920596205</v>
      </c>
      <c r="CE146" s="16" t="n">
        <f aca="false">IF(BY146=0,"",MAX(0,N(L146)-N(K146))+MAX(0,N(M146)-N(L146)))</f>
        <v>9.063</v>
      </c>
      <c r="CF146" s="16" t="n">
        <f aca="false">IF(BY146=0,"",N(Y146)*N(AD146)+N(Z146)*N(AE146)+N(AA146)*N(AF146)+N(AB146)*N(AG146)+N(AC146)*N(AH146)+N(U146)*N(AI146)+N(V146)*N(AJ146)+N(W146)*N(AK146)+N(X146)*N(AL146)+N(Q146)*N(AM146)+N(R146)*N(AN146)+N(S146)*N(AO146)+N(T146)*N(AP146))</f>
        <v>0.388427787827044</v>
      </c>
      <c r="CG146" s="16" t="n">
        <f aca="false">IF(AND(BY146=1,N(K146)&gt;0),K146,0)</f>
        <v>1.886</v>
      </c>
      <c r="CH146" s="16" t="n">
        <f aca="false">IF(CG146&gt;0,CF146*1000/CG146,"")</f>
        <v>205.953227904053</v>
      </c>
      <c r="CI146" s="16" t="n">
        <f aca="false">IF(BY146=0,"",N(AQ146)+p_road*(N(AR146)+N(AS146)+N(AT146)))</f>
        <v>0.00246035129763866</v>
      </c>
      <c r="CJ146" s="16" t="n">
        <f aca="false">IF(CG146&gt;0,CI146*1000/CG146,"")</f>
        <v>1.30453409206716</v>
      </c>
      <c r="CK146" s="12" t="n">
        <f aca="false">IF(CH146="",1,MIN(p_idx_max,MAX(p_idx_min,CH146/p_fc_world)))</f>
        <v>1.27915424166004</v>
      </c>
      <c r="CL146" s="12" t="n">
        <f aca="false">IF(CJ146="",1,MIN(p_idx_max,MAX(p_idx_min,CJ146/p_cb_world)))</f>
        <v>0.25</v>
      </c>
      <c r="CM146" s="37" t="n">
        <f aca="false">p_b*(1-p_wb_idx+p_wb_idx*CK146)</f>
        <v>0.170127514140785</v>
      </c>
      <c r="CN146" s="37" t="n">
        <f aca="false">p_c*(1-p_wc_idx+p_wc_idx*CL146)</f>
        <v>0.03225</v>
      </c>
      <c r="CO146" s="28" t="n">
        <f aca="false">IF(N(BR146)&gt;0,(N(BS146)+N(BT146)+N(BU146))/BR146,"")</f>
        <v>0.504424778761062</v>
      </c>
      <c r="CP146" s="16" t="n">
        <f aca="false">N(BS146)+N(BT146)+N(BU146)</f>
        <v>0.57</v>
      </c>
      <c r="CQ146" s="28" t="n">
        <f aca="false">IF(CP146&gt;0,N(BS146)/CP146,"")</f>
        <v>0.298245614035088</v>
      </c>
      <c r="CR146" s="28" t="n">
        <f aca="false">IF(CP146&gt;0,N(BT146)/CP146,"")</f>
        <v>0.526315789473684</v>
      </c>
      <c r="CS146" s="28" t="n">
        <f aca="false">IF(CP146&gt;0,N(BU146)/CP146,"")</f>
        <v>0.175438596491228</v>
      </c>
      <c r="CT146" s="7" t="n">
        <f aca="false">1000*(p_sh_pv*p_cf_pv/p_capex_pv+(1-p_sh_pv)*p_cf_wind/p_capex_wind)*8760</f>
        <v>2301.28856624319</v>
      </c>
      <c r="CU146" s="13" t="n">
        <f aca="false">IF(AND(ISNUMBER(CO146),ISNUMBER(CQ146),BY146=1),1,0)</f>
        <v>1</v>
      </c>
      <c r="CV146" s="16" t="n">
        <f aca="false">IF(CU146=0,"",CQ146*p_hr_coal*N(AK146)+CR146*p_hr_gas*N(AO146)+CS146*p_hr_oil*N(AH146)/p_gj_l_oil)</f>
        <v>82.8431004683151</v>
      </c>
      <c r="CW146" s="37" t="n">
        <f aca="false">IF(CU146=0,"",CQ146*p_hr_coal*p_ef_coal+CR146*p_hr_gas*p_ef_gas+CS146*p_hr_oil*p_ef_oil)</f>
        <v>0.646166666666667</v>
      </c>
      <c r="CX146" s="16" t="n">
        <f aca="false">IF(CU146=0,"",CQ146*p_hr_coal*N(AW146)+CR146*p_hr_gas*N(AX146)+CS146*p_hr_oil*N(AY146)/p_gj_l_oil)</f>
        <v>1.09534256787321</v>
      </c>
      <c r="CY146" s="37" t="n">
        <f aca="false">IF(CU146=0,"",CO146*CW146)</f>
        <v>0.325942477876106</v>
      </c>
      <c r="CZ146" s="37" t="n">
        <f aca="false">IF(CU146=0,"",CT146*CO146*CV146/1000/1000-p_om_re)</f>
        <v>0.0811665057901998</v>
      </c>
      <c r="DA146" s="37" t="n">
        <f aca="false">IF(CU146=0,"",CT146*CO146*CX146/1000/1000)</f>
        <v>0.00127150320063068</v>
      </c>
      <c r="DB146" s="37" t="n">
        <f aca="false">IF(CU146=0,"",CT146*CO146*CW146/1000)</f>
        <v>0.750087697589258</v>
      </c>
      <c r="DC146" s="13" t="n">
        <f aca="false">IF(AND(CU146=1,ISNUMBER(AD146),ISNUMBER(AV146)),1,0)</f>
        <v>1</v>
      </c>
      <c r="DD146" s="7" t="n">
        <f aca="false">IF(DC146=0,"",p_ev_km*p_ice_l/100*AD146-p_ev_km*p_ev_kwh*AV146+p_ev_km*p_ev_maint)</f>
        <v>703.1412</v>
      </c>
      <c r="DE146" s="37" t="n">
        <f aca="false">IF(DC146=0,"",DD146/p_ev_prem)</f>
        <v>0.14062824</v>
      </c>
      <c r="DF146" s="37" t="n">
        <f aca="false">IF(DC146=0,"",p_ev_km*p_ice_l/100*N(AZ146)/p_ev_prem)</f>
        <v>0.00115425</v>
      </c>
      <c r="DG146" s="37" t="n">
        <f aca="false">IF(DC146=0,"",1000/p_ev_prem*(p_ev_km*p_ice_l/100*p_gj_l_gso*p_ef_gso-p_ev_km*p_ev_kwh/1000*CY146))</f>
        <v>0.357254561946903</v>
      </c>
      <c r="DH146" s="11" t="str">
        <f aca="false">IFERROR(IF(INDEX(Damodaran!$D:$D,MATCH(A146,Damodaran!$A:$A,0))="","",INDEX(Damodaran!$D:$D,MATCH(A146,Damodaran!$A:$A,0))),"")</f>
        <v/>
      </c>
      <c r="DI146" s="11" t="str">
        <f aca="false">IFERROR(IF(INDEX(Damodaran!$E:$E,MATCH(A146,Damodaran!$A:$A,0))="","",INDEX(Damodaran!$E:$E,MATCH(A146,Damodaran!$A:$A,0))),"")</f>
        <v/>
      </c>
      <c r="DJ146" s="11" t="str">
        <f aca="false">IFERROR(IF(INDEX(Damodaran!$G:$G,MATCH(A146,Damodaran!$A:$A,0))="","",INDEX(Damodaran!$G:$G,MATCH(A146,Damodaran!$A:$A,0))),"")</f>
        <v/>
      </c>
      <c r="DK146" s="11" t="n">
        <f aca="false">IF(ISNUMBER(BG146),(1+BG146/100)*(1+p_infl)-1,"")</f>
        <v>0.0771200000000001</v>
      </c>
      <c r="DL146" s="11" t="str">
        <f aca="false">IF(ISNUMBER(BH146),BH146/100,"")</f>
        <v/>
      </c>
      <c r="DM146" s="11" t="n">
        <f aca="false">IF(COUNT(DK146,DL146)=0,"",AVERAGE(DK146,DL146))</f>
        <v>0.0771200000000001</v>
      </c>
      <c r="DN146" s="11" t="str">
        <f aca="false">IF(OR(DH146="",DI146=""),"",p_dv*(p_rf+DH146)*(1-IF(DJ146="",p_tax_def,DJ146))+(1-p_dv)*(p_rf+p_beta*p_erp+p_lambda*DI146))</f>
        <v/>
      </c>
      <c r="DO146" s="13" t="n">
        <f aca="false">IF(AND(ISNUMBER(DM146),ISNUMBER(DN146)),1,0)</f>
        <v>0</v>
      </c>
      <c r="DP146" s="11" t="n">
        <f aca="false">IF(DO146=1,DM146,0)</f>
        <v>0</v>
      </c>
      <c r="DQ146" s="11" t="n">
        <f aca="false">IF(DO146=1,DN146,0)</f>
        <v>0</v>
      </c>
      <c r="DR146" s="11" t="str">
        <f aca="false">IF(DN146="","",DN146+p_shift)</f>
        <v/>
      </c>
      <c r="DS146" s="11" t="n">
        <f aca="false">IF(E146="AE",p_r_ae,IF(E146="China",p_r_chn,p_r_emdc))</f>
        <v>0.105</v>
      </c>
      <c r="DT146" s="11" t="n">
        <f aca="false">IF(E146="AE",p_rh_ae,IF(E146="China",p_rh_chn,p_rh_emdc))</f>
        <v>0.15</v>
      </c>
      <c r="DU146" s="11" t="n">
        <f aca="false">IF(AND(p_use_obs=1,ISNUMBER(DM146)),DM146,IF(AND(p_use_dam=1,ISNUMBER(DR146)),DR146,DS146))</f>
        <v>0.0771200000000001</v>
      </c>
      <c r="DV146" s="6" t="str">
        <f aca="false">IF(AND(p_use_obs=1,ISNUMBER(DM146)),"Observed (IRENA/Steffen)",IF(AND(p_use_dam=1,ISNUMBER(DR146)),"Damodaran (eq. 5)","Group default (IHLEG)"))</f>
        <v>Observed (IRENA/Steffen)</v>
      </c>
      <c r="DW146" s="11" t="n">
        <f aca="false">IF(p_basis=1,(1+DU146)/(1+p_infl)-1,DU146)</f>
        <v>0.0771200000000001</v>
      </c>
      <c r="DX146" s="11" t="n">
        <f aca="false">DW146+(DT146-DS146)</f>
        <v>0.12212</v>
      </c>
      <c r="DY146" s="28" t="n">
        <f aca="false">IF(AND(p_use_pefa=1,ISNUMBER(BD146)),p_gap_lic-(BD146-1)/3*(p_gap_lic-p_gap_ae),IF(E146="AE",p_gap_ae,IF(D146="Low income",p_gap_lic,p_gap_em)))*(1-p_reform*p_reform_close)</f>
        <v>0.175</v>
      </c>
      <c r="DZ146" s="6" t="str">
        <f aca="false">IF(AND(p_use_pefa=1,ISNUMBER(BD146)),"PEFA PI-11","Income-group default (IMF 2015)")</f>
        <v>PEFA PI-11</v>
      </c>
      <c r="EA146" s="28" t="n">
        <f aca="false">IF(E146="AE",p_ps_ae,IF(E146="China",p_ps_chn,p_ps_emdc))</f>
        <v>0.4</v>
      </c>
      <c r="EB146" s="37" t="n">
        <f aca="false">(1-EA146)+EA146/(1-DY146)</f>
        <v>1.08484848484849</v>
      </c>
      <c r="EC146" s="16" t="n">
        <f aca="false">Results_Country!F146</f>
        <v>0.818035762939832</v>
      </c>
      <c r="ED146" s="16" t="n">
        <f aca="false">IF(CH146="",0,CH146*EC146)</f>
        <v>168.477105918413</v>
      </c>
      <c r="EE146" s="16" t="n">
        <f aca="false">IF(CJ146="",0,CJ146*EC146)</f>
        <v>1.06715554128518</v>
      </c>
      <c r="EF146" s="16" t="n">
        <f aca="false">IF(CH146="",0,EC146)</f>
        <v>0.818035762939832</v>
      </c>
    </row>
    <row r="147" customFormat="false" ht="15" hidden="false" customHeight="false" outlineLevel="0" collapsed="false">
      <c r="A147" s="35" t="s">
        <v>1051</v>
      </c>
      <c r="B147" s="35" t="s">
        <v>1052</v>
      </c>
      <c r="C147" s="35" t="s">
        <v>847</v>
      </c>
      <c r="D147" s="35" t="s">
        <v>763</v>
      </c>
      <c r="E147" s="35" t="s">
        <v>31</v>
      </c>
      <c r="F147" s="36" t="n">
        <v>14.986</v>
      </c>
      <c r="G147" s="36" t="n">
        <v>39.252</v>
      </c>
      <c r="H147" s="33" t="n">
        <v>3.1</v>
      </c>
      <c r="I147" s="33" t="n">
        <v>3.4</v>
      </c>
      <c r="J147" s="36" t="n">
        <v>1.271169</v>
      </c>
      <c r="K147" s="36" t="n">
        <v>4.774</v>
      </c>
      <c r="L147" s="36" t="n">
        <v>6.966</v>
      </c>
      <c r="M147" s="36" t="n">
        <v>6.941</v>
      </c>
      <c r="N147" s="36" t="n">
        <v>2.24441491773187</v>
      </c>
      <c r="O147" s="36" t="n">
        <v>1.24192160637349</v>
      </c>
      <c r="P147" s="36" t="n">
        <v>0.0394330327570745</v>
      </c>
      <c r="Q147" s="31" t="n">
        <v>0</v>
      </c>
      <c r="R147" s="31" t="n">
        <v>0</v>
      </c>
      <c r="S147" s="31" t="n">
        <v>0</v>
      </c>
      <c r="T147" s="31" t="n">
        <v>0</v>
      </c>
      <c r="U147" s="31" t="n">
        <v>0.00116862706452848</v>
      </c>
      <c r="V147" s="31" t="n">
        <v>0</v>
      </c>
      <c r="W147" s="31" t="n">
        <v>0.0309457566216534</v>
      </c>
      <c r="X147" s="31" t="n">
        <v>0</v>
      </c>
      <c r="Y147" s="36" t="n">
        <v>0.225810708640023</v>
      </c>
      <c r="Z147" s="36" t="n">
        <v>0.224995226779021</v>
      </c>
      <c r="AA147" s="36" t="n">
        <v>0.151042815073529</v>
      </c>
      <c r="AB147" s="36" t="n">
        <v>0.00048247353093381</v>
      </c>
      <c r="AC147" s="36" t="n">
        <v>0.0846342079918119</v>
      </c>
      <c r="AD147" s="31" t="n">
        <v>0.816237</v>
      </c>
      <c r="AE147" s="31" t="n">
        <v>0.69595</v>
      </c>
      <c r="AF147" s="31" t="n">
        <v>0.326011</v>
      </c>
      <c r="AG147" s="31" t="n">
        <v>0.758</v>
      </c>
      <c r="AH147" s="31" t="n">
        <v>0.634547559575043</v>
      </c>
      <c r="AI147" s="31" t="n">
        <v>6.884</v>
      </c>
      <c r="AJ147" s="31" t="n">
        <v>13.52055</v>
      </c>
      <c r="AK147" s="31" t="n">
        <v>5.35</v>
      </c>
      <c r="AL147" s="31" t="n">
        <v>5.40582152640712</v>
      </c>
      <c r="AM147" s="31" t="n">
        <v>5.104</v>
      </c>
      <c r="AN147" s="31" t="n">
        <v>15.0029</v>
      </c>
      <c r="AO147" s="31" t="n">
        <v>3.781</v>
      </c>
      <c r="AP147" s="31" t="n">
        <v>7.96263333333333</v>
      </c>
      <c r="AQ147" s="36" t="n">
        <v>0.0814977761951379</v>
      </c>
      <c r="AR147" s="36" t="n">
        <v>0.0115113253481153</v>
      </c>
      <c r="AS147" s="36" t="n">
        <v>0.0374659668530575</v>
      </c>
      <c r="AT147" s="36" t="n">
        <v>0.0251126286926509</v>
      </c>
      <c r="AU147" s="31" t="n">
        <v>0.391398218404921</v>
      </c>
      <c r="AV147" s="36" t="n">
        <v>0.22105</v>
      </c>
      <c r="AW147" s="31" t="n">
        <v>1.754665</v>
      </c>
      <c r="AX147" s="31" t="n">
        <v>0.013101</v>
      </c>
      <c r="AY147" s="31" t="n">
        <v>0.0992155629034081</v>
      </c>
      <c r="AZ147" s="31" t="n">
        <v>0.027584</v>
      </c>
      <c r="BA147" s="33" t="n">
        <v>86.071</v>
      </c>
      <c r="BB147" s="33" t="n">
        <v>11.658</v>
      </c>
      <c r="BC147" s="33" t="n">
        <v>82.195</v>
      </c>
      <c r="BD147" s="33"/>
      <c r="BE147" s="33"/>
      <c r="BF147" s="33" t="n">
        <v>1</v>
      </c>
      <c r="BG147" s="33" t="n">
        <v>4.6</v>
      </c>
      <c r="BH147" s="33"/>
      <c r="BI147" s="29"/>
      <c r="BJ147" s="33" t="n">
        <v>1</v>
      </c>
      <c r="BK147" s="33"/>
      <c r="BL147" s="33" t="n">
        <v>-1.975</v>
      </c>
      <c r="BM147" s="33" t="n">
        <v>4.46</v>
      </c>
      <c r="BN147" s="29" t="n">
        <v>5.945</v>
      </c>
      <c r="BO147" s="33" t="n">
        <v>0.559</v>
      </c>
      <c r="BP147" s="33"/>
      <c r="BQ147" s="29" t="n">
        <v>2024</v>
      </c>
      <c r="BR147" s="36" t="n">
        <v>3.41</v>
      </c>
      <c r="BS147" s="36" t="n">
        <v>1.34</v>
      </c>
      <c r="BT147" s="36" t="n">
        <v>0</v>
      </c>
      <c r="BU147" s="36" t="n">
        <v>1.46</v>
      </c>
      <c r="BV147" s="16" t="n">
        <f aca="false">F147*(1+N(H147)/100)*(1+N(I147)/100)^5</f>
        <v>18.2619473911615</v>
      </c>
      <c r="BW147" s="16" t="n">
        <f aca="false">IF(N(G147)&gt;0,G147,F147)</f>
        <v>39.252</v>
      </c>
      <c r="BX147" s="12" t="n">
        <f aca="false">F147/BW147</f>
        <v>0.381789462957302</v>
      </c>
      <c r="BY147" s="13" t="n">
        <f aca="false">IF(ISNUMBER(K147),1,0)</f>
        <v>1</v>
      </c>
      <c r="BZ147" s="16" t="n">
        <f aca="false">IF(BY147=0,"",N(N147)+N(O147)+N(P147))</f>
        <v>3.52576955686243</v>
      </c>
      <c r="CA147" s="37" t="n">
        <f aca="false">IF(BY147=0,"",(N(Y147)*34.2+N(Z147)*38.6)/1000)</f>
        <v>0.016407541989159</v>
      </c>
      <c r="CB147" s="37" t="n">
        <f aca="false">IF(BY147=0,"",N(O147)*0.0036+N(R147)+N(V147)+(N(AA147)*25.3+N(AB147)*37)/1000)</f>
        <v>0.0083101525249494</v>
      </c>
      <c r="CC147" s="37" t="n">
        <f aca="false">IF(BY147=0,"",N(N147)*0.0036+N(Q147)+N(U147)+N(T147)+N(X147)+N(AC147)*38/1000)</f>
        <v>0.0124646206720521</v>
      </c>
      <c r="CD147" s="37" t="n">
        <f aca="false">IF(BY147=0,"",N(Q147)+N(R147)+N(S147)+N(T147)+N(U147)+N(V147)+N(W147)+N(X147)+(N(Y147)*34.2+N(Z147)*38.6+N(AA147)*25.3+N(AB147)*37+N(AC147)*38)/1000)</f>
        <v>0.0555772603210345</v>
      </c>
      <c r="CE147" s="16" t="n">
        <f aca="false">IF(BY147=0,"",MAX(0,N(L147)-N(K147))+MAX(0,N(M147)-N(L147)))</f>
        <v>2.192</v>
      </c>
      <c r="CF147" s="16" t="n">
        <f aca="false">IF(BY147=0,"",N(Y147)*N(AD147)+N(Z147)*N(AE147)+N(AA147)*N(AF147)+N(AB147)*N(AG147)+N(AC147)*N(AH147)+N(U147)*N(AI147)+N(V147)*N(AJ147)+N(W147)*N(AK147)+N(X147)*N(AL147)+N(Q147)*N(AM147)+N(R147)*N(AN147)+N(S147)*N(AO147)+N(T147)*N(AP147))</f>
        <v>0.617816874362281</v>
      </c>
      <c r="CG147" s="16" t="n">
        <f aca="false">IF(AND(BY147=1,N(K147)&gt;0),K147,0)</f>
        <v>4.774</v>
      </c>
      <c r="CH147" s="16" t="n">
        <f aca="false">IF(CG147&gt;0,CF147*1000/CG147,"")</f>
        <v>129.41283501514</v>
      </c>
      <c r="CI147" s="16" t="n">
        <f aca="false">IF(BY147=0,"",N(AQ147)+p_road*(N(AR147)+N(AS147)+N(AT147)))</f>
        <v>0.0814977761951379</v>
      </c>
      <c r="CJ147" s="16" t="n">
        <f aca="false">IF(CG147&gt;0,CI147*1000/CG147,"")</f>
        <v>17.0711722235312</v>
      </c>
      <c r="CK147" s="12" t="n">
        <f aca="false">IF(CH147="",1,MIN(p_idx_max,MAX(p_idx_min,CH147/p_fc_world)))</f>
        <v>0.803769761316813</v>
      </c>
      <c r="CL147" s="12" t="n">
        <f aca="false">IF(CJ147="",1,MIN(p_idx_max,MAX(p_idx_min,CJ147/p_cb_world)))</f>
        <v>0.324603807744723</v>
      </c>
      <c r="CM147" s="37" t="n">
        <f aca="false">p_b*(1-p_wb_idx+p_wb_idx*CK147)</f>
        <v>0.106901378255136</v>
      </c>
      <c r="CN147" s="37" t="n">
        <f aca="false">p_c*(1-p_wc_idx+p_wc_idx*CL147)</f>
        <v>0.0418738911990693</v>
      </c>
      <c r="CO147" s="28" t="n">
        <f aca="false">IF(N(BR147)&gt;0,(N(BS147)+N(BT147)+N(BU147))/BR147,"")</f>
        <v>0.821114369501466</v>
      </c>
      <c r="CP147" s="16" t="n">
        <f aca="false">N(BS147)+N(BT147)+N(BU147)</f>
        <v>2.8</v>
      </c>
      <c r="CQ147" s="28" t="n">
        <f aca="false">IF(CP147&gt;0,N(BS147)/CP147,"")</f>
        <v>0.478571428571429</v>
      </c>
      <c r="CR147" s="28" t="n">
        <f aca="false">IF(CP147&gt;0,N(BT147)/CP147,"")</f>
        <v>0</v>
      </c>
      <c r="CS147" s="28" t="n">
        <f aca="false">IF(CP147&gt;0,N(BU147)/CP147,"")</f>
        <v>0.521428571428572</v>
      </c>
      <c r="CT147" s="7" t="n">
        <f aca="false">1000*(p_sh_pv*p_cf_pv/p_capex_pv+(1-p_sh_pv)*p_cf_wind/p_capex_wind)*8760</f>
        <v>2301.28856624319</v>
      </c>
      <c r="CU147" s="13" t="n">
        <f aca="false">IF(AND(ISNUMBER(CO147),ISNUMBER(CQ147),BY147=1),1,0)</f>
        <v>1</v>
      </c>
      <c r="CV147" s="16" t="n">
        <f aca="false">IF(CU147=0,"",CQ147*p_hr_coal*N(AK147)+CR147*p_hr_gas*N(AO147)+CS147*p_hr_oil*N(AH147)/p_gj_l_oil)</f>
        <v>115.607402741353</v>
      </c>
      <c r="CW147" s="37" t="n">
        <f aca="false">IF(CU147=0,"",CQ147*p_hr_coal*p_ef_coal+CR147*p_hr_gas*p_ef_gas+CS147*p_hr_oil*p_ef_oil)</f>
        <v>0.876493571428572</v>
      </c>
      <c r="CX147" s="16" t="n">
        <f aca="false">IF(CU147=0,"",CQ147*p_hr_coal*N(AW147)+CR147*p_hr_gas*N(AX147)+CS147*p_hr_oil*N(AY147)/p_gj_l_oil)</f>
        <v>22.4699991109294</v>
      </c>
      <c r="CY147" s="37" t="n">
        <f aca="false">IF(CU147=0,"",CO147*CW147)</f>
        <v>0.71970146627566</v>
      </c>
      <c r="CZ147" s="37" t="n">
        <f aca="false">IF(CU147=0,"",CT147*CO147*CV147/1000/1000-p_om_re)</f>
        <v>0.203454188705247</v>
      </c>
      <c r="DA147" s="37" t="n">
        <f aca="false">IF(CU147=0,"",CT147*CO147*CX147/1000/1000)</f>
        <v>0.0424597846642036</v>
      </c>
      <c r="DB147" s="37" t="n">
        <f aca="false">IF(CU147=0,"",CT147*CO147*CW147/1000)</f>
        <v>1.65624075544864</v>
      </c>
      <c r="DC147" s="13" t="n">
        <f aca="false">IF(AND(CU147=1,ISNUMBER(AD147),ISNUMBER(AV147)),1,0)</f>
        <v>1</v>
      </c>
      <c r="DD147" s="7" t="n">
        <f aca="false">IF(DC147=0,"",p_ev_km*p_ice_l/100*AD147-p_ev_km*p_ev_kwh*AV147+p_ev_km*p_ev_maint)</f>
        <v>501.431625</v>
      </c>
      <c r="DE147" s="37" t="n">
        <f aca="false">IF(DC147=0,"",DD147/p_ev_prem)</f>
        <v>0.100286325</v>
      </c>
      <c r="DF147" s="37" t="n">
        <f aca="false">IF(DC147=0,"",p_ev_km*p_ice_l/100*N(AZ147)/p_ev_prem)</f>
        <v>0.0062064</v>
      </c>
      <c r="DG147" s="37" t="n">
        <f aca="false">IF(DC147=0,"",1000/p_ev_prem*(p_ev_km*p_ice_l/100*p_gj_l_gso*p_ef_gso-p_ev_km*p_ev_kwh/1000*CY147))</f>
        <v>0.144624708211144</v>
      </c>
      <c r="DH147" s="11" t="str">
        <f aca="false">IFERROR(IF(INDEX(Damodaran!$D:$D,MATCH(A147,Damodaran!$A:$A,0))="","",INDEX(Damodaran!$D:$D,MATCH(A147,Damodaran!$A:$A,0))),"")</f>
        <v/>
      </c>
      <c r="DI147" s="11" t="str">
        <f aca="false">IFERROR(IF(INDEX(Damodaran!$E:$E,MATCH(A147,Damodaran!$A:$A,0))="","",INDEX(Damodaran!$E:$E,MATCH(A147,Damodaran!$A:$A,0))),"")</f>
        <v/>
      </c>
      <c r="DJ147" s="11" t="str">
        <f aca="false">IFERROR(IF(INDEX(Damodaran!$G:$G,MATCH(A147,Damodaran!$A:$A,0))="","",INDEX(Damodaran!$G:$G,MATCH(A147,Damodaran!$A:$A,0))),"")</f>
        <v/>
      </c>
      <c r="DK147" s="11" t="n">
        <f aca="false">IF(ISNUMBER(BG147),(1+BG147/100)*(1+p_infl)-1,"")</f>
        <v>0.0669200000000001</v>
      </c>
      <c r="DL147" s="11" t="str">
        <f aca="false">IF(ISNUMBER(BH147),BH147/100,"")</f>
        <v/>
      </c>
      <c r="DM147" s="11" t="n">
        <f aca="false">IF(COUNT(DK147,DL147)=0,"",AVERAGE(DK147,DL147))</f>
        <v>0.0669200000000001</v>
      </c>
      <c r="DN147" s="11" t="str">
        <f aca="false">IF(OR(DH147="",DI147=""),"",p_dv*(p_rf+DH147)*(1-IF(DJ147="",p_tax_def,DJ147))+(1-p_dv)*(p_rf+p_beta*p_erp+p_lambda*DI147))</f>
        <v/>
      </c>
      <c r="DO147" s="13" t="n">
        <f aca="false">IF(AND(ISNUMBER(DM147),ISNUMBER(DN147)),1,0)</f>
        <v>0</v>
      </c>
      <c r="DP147" s="11" t="n">
        <f aca="false">IF(DO147=1,DM147,0)</f>
        <v>0</v>
      </c>
      <c r="DQ147" s="11" t="n">
        <f aca="false">IF(DO147=1,DN147,0)</f>
        <v>0</v>
      </c>
      <c r="DR147" s="11" t="str">
        <f aca="false">IF(DN147="","",DN147+p_shift)</f>
        <v/>
      </c>
      <c r="DS147" s="11" t="n">
        <f aca="false">IF(E147="AE",p_r_ae,IF(E147="China",p_r_chn,p_r_emdc))</f>
        <v>0.105</v>
      </c>
      <c r="DT147" s="11" t="n">
        <f aca="false">IF(E147="AE",p_rh_ae,IF(E147="China",p_rh_chn,p_rh_emdc))</f>
        <v>0.15</v>
      </c>
      <c r="DU147" s="11" t="n">
        <f aca="false">IF(AND(p_use_obs=1,ISNUMBER(DM147)),DM147,IF(AND(p_use_dam=1,ISNUMBER(DR147)),DR147,DS147))</f>
        <v>0.0669200000000001</v>
      </c>
      <c r="DV147" s="6" t="str">
        <f aca="false">IF(AND(p_use_obs=1,ISNUMBER(DM147)),"Observed (IRENA/Steffen)",IF(AND(p_use_dam=1,ISNUMBER(DR147)),"Damodaran (eq. 5)","Group default (IHLEG)"))</f>
        <v>Observed (IRENA/Steffen)</v>
      </c>
      <c r="DW147" s="11" t="n">
        <f aca="false">IF(p_basis=1,(1+DU147)/(1+p_infl)-1,DU147)</f>
        <v>0.0669200000000001</v>
      </c>
      <c r="DX147" s="11" t="n">
        <f aca="false">DW147+(DT147-DS147)</f>
        <v>0.11192</v>
      </c>
      <c r="DY147" s="28" t="n">
        <f aca="false">IF(AND(p_use_pefa=1,ISNUMBER(BD147)),p_gap_lic-(BD147-1)/3*(p_gap_lic-p_gap_ae),IF(E147="AE",p_gap_ae,IF(D147="Low income",p_gap_lic,p_gap_em)))*(1-p_reform*p_reform_close)</f>
        <v>0.27</v>
      </c>
      <c r="DZ147" s="6" t="str">
        <f aca="false">IF(AND(p_use_pefa=1,ISNUMBER(BD147)),"PEFA PI-11","Income-group default (IMF 2015)")</f>
        <v>Income-group default (IMF 2015)</v>
      </c>
      <c r="EA147" s="28" t="n">
        <f aca="false">IF(E147="AE",p_ps_ae,IF(E147="China",p_ps_chn,p_ps_emdc))</f>
        <v>0.4</v>
      </c>
      <c r="EB147" s="37" t="n">
        <f aca="false">(1-EA147)+EA147/(1-DY147)</f>
        <v>1.14794520547945</v>
      </c>
      <c r="EC147" s="16" t="n">
        <f aca="false">Results_Country!F147</f>
        <v>0.847565582484957</v>
      </c>
      <c r="ED147" s="16" t="n">
        <f aca="false">IF(CH147="",0,CH147*EC147)</f>
        <v>109.685864890637</v>
      </c>
      <c r="EE147" s="16" t="n">
        <f aca="false">IF(CJ147="",0,CJ147*EC147)</f>
        <v>14.4689380293382</v>
      </c>
      <c r="EF147" s="16" t="n">
        <f aca="false">IF(CH147="",0,EC147)</f>
        <v>0.847565582484957</v>
      </c>
    </row>
    <row r="148" customFormat="false" ht="15" hidden="false" customHeight="false" outlineLevel="0" collapsed="false">
      <c r="A148" s="35" t="s">
        <v>1053</v>
      </c>
      <c r="B148" s="35" t="s">
        <v>1054</v>
      </c>
      <c r="C148" s="35" t="s">
        <v>847</v>
      </c>
      <c r="D148" s="35" t="s">
        <v>771</v>
      </c>
      <c r="E148" s="35" t="s">
        <v>31</v>
      </c>
      <c r="F148" s="36" t="n">
        <v>14.774</v>
      </c>
      <c r="G148" s="36" t="n">
        <v>40.189</v>
      </c>
      <c r="H148" s="33" t="n">
        <v>2.367</v>
      </c>
      <c r="I148" s="33" t="n">
        <v>2.837</v>
      </c>
      <c r="J148" s="36" t="n">
        <v>6.332961</v>
      </c>
      <c r="K148" s="36" t="n">
        <v>7.173</v>
      </c>
      <c r="L148" s="36" t="n">
        <v>26.776</v>
      </c>
      <c r="M148" s="36" t="n">
        <v>36.275</v>
      </c>
      <c r="N148" s="36" t="n">
        <v>1.05458598642564</v>
      </c>
      <c r="O148" s="36" t="n">
        <v>0.943666498389862</v>
      </c>
      <c r="P148" s="36" t="n">
        <v>0</v>
      </c>
      <c r="Q148" s="31" t="n">
        <v>0</v>
      </c>
      <c r="R148" s="31" t="n">
        <v>0</v>
      </c>
      <c r="S148" s="31" t="n">
        <v>0.0411032635479301</v>
      </c>
      <c r="T148" s="31" t="n">
        <v>0</v>
      </c>
      <c r="U148" s="31" t="n">
        <v>0</v>
      </c>
      <c r="V148" s="31" t="n">
        <v>0</v>
      </c>
      <c r="W148" s="31" t="n">
        <v>0</v>
      </c>
      <c r="X148" s="31" t="n">
        <v>0</v>
      </c>
      <c r="Y148" s="36" t="n">
        <v>0.203572693870201</v>
      </c>
      <c r="Z148" s="36" t="n">
        <v>0.287075774781222</v>
      </c>
      <c r="AA148" s="36" t="n">
        <v>0.0179896611674205</v>
      </c>
      <c r="AB148" s="36" t="n">
        <v>0.0222925240510224</v>
      </c>
      <c r="AC148" s="36" t="n">
        <v>0.0476683508456959</v>
      </c>
      <c r="AD148" s="31" t="n">
        <v>0.840881</v>
      </c>
      <c r="AE148" s="31" t="n">
        <v>0.808136</v>
      </c>
      <c r="AF148" s="31" t="n">
        <v>0.60534</v>
      </c>
      <c r="AG148" s="31" t="n">
        <v>0.686754</v>
      </c>
      <c r="AH148" s="31" t="n">
        <v>0.522887522450653</v>
      </c>
      <c r="AI148" s="31" t="n">
        <v>7.124</v>
      </c>
      <c r="AJ148" s="31" t="n">
        <v>14.38774</v>
      </c>
      <c r="AK148" s="31" t="n">
        <v>5.575</v>
      </c>
      <c r="AL148" s="31" t="n">
        <v>9.02891333333333</v>
      </c>
      <c r="AM148" s="31" t="n">
        <v>8.036</v>
      </c>
      <c r="AN148" s="31" t="n">
        <v>14.16708</v>
      </c>
      <c r="AO148" s="31" t="n">
        <v>7.374</v>
      </c>
      <c r="AP148" s="31" t="n">
        <v>7.374</v>
      </c>
      <c r="AQ148" s="36" t="n">
        <v>0.0138882665394719</v>
      </c>
      <c r="AR148" s="36" t="n">
        <v>0.00404519599219844</v>
      </c>
      <c r="AS148" s="36" t="n">
        <v>0.0160211783490365</v>
      </c>
      <c r="AT148" s="36" t="n">
        <v>0.0404849625161429</v>
      </c>
      <c r="AU148" s="31" t="n">
        <v>0.394300678677001</v>
      </c>
      <c r="AV148" s="36" t="n">
        <v>0.172295</v>
      </c>
      <c r="AW148" s="31" t="n">
        <v>0.221172</v>
      </c>
      <c r="AX148" s="31" t="n">
        <v>0.000992</v>
      </c>
      <c r="AY148" s="31" t="n">
        <v>0.0587524948474046</v>
      </c>
      <c r="AZ148" s="31" t="n">
        <v>0.009765</v>
      </c>
      <c r="BA148" s="33" t="n">
        <v>98.028</v>
      </c>
      <c r="BB148" s="33" t="n">
        <v>18.447</v>
      </c>
      <c r="BC148" s="33"/>
      <c r="BD148" s="33"/>
      <c r="BE148" s="33"/>
      <c r="BF148" s="33" t="n">
        <v>0</v>
      </c>
      <c r="BG148" s="33"/>
      <c r="BH148" s="33"/>
      <c r="BI148" s="29"/>
      <c r="BJ148" s="33"/>
      <c r="BK148" s="33"/>
      <c r="BL148" s="33" t="n">
        <v>2.645</v>
      </c>
      <c r="BM148" s="33" t="n">
        <v>5.5</v>
      </c>
      <c r="BN148" s="29" t="n">
        <v>17.747</v>
      </c>
      <c r="BO148" s="33" t="n">
        <v>0.702</v>
      </c>
      <c r="BP148" s="33"/>
      <c r="BQ148" s="29" t="n">
        <v>2024</v>
      </c>
      <c r="BR148" s="36" t="n">
        <v>5.46</v>
      </c>
      <c r="BS148" s="36" t="n">
        <v>0</v>
      </c>
      <c r="BT148" s="36" t="n">
        <v>4.03</v>
      </c>
      <c r="BU148" s="36" t="n">
        <v>0.29</v>
      </c>
      <c r="BV148" s="16" t="n">
        <f aca="false">F148*(1+N(H148)/100)*(1+N(I148)/100)^5</f>
        <v>17.3942242321978</v>
      </c>
      <c r="BW148" s="16" t="n">
        <f aca="false">IF(N(G148)&gt;0,G148,F148)</f>
        <v>40.189</v>
      </c>
      <c r="BX148" s="12" t="n">
        <f aca="false">F148/BW148</f>
        <v>0.367613028440618</v>
      </c>
      <c r="BY148" s="13" t="n">
        <f aca="false">IF(ISNUMBER(K148),1,0)</f>
        <v>1</v>
      </c>
      <c r="BZ148" s="16" t="n">
        <f aca="false">IF(BY148=0,"",N(N148)+N(O148)+N(P148))</f>
        <v>1.9982524848155</v>
      </c>
      <c r="CA148" s="37" t="n">
        <f aca="false">IF(BY148=0,"",(N(Y148)*34.2+N(Z148)*38.6)/1000)</f>
        <v>0.018043311036916</v>
      </c>
      <c r="CB148" s="37" t="n">
        <f aca="false">IF(BY148=0,"",N(O148)*0.0036+N(R148)+N(V148)+(N(AA148)*25.3+N(AB148)*37)/1000)</f>
        <v>0.00467716121162707</v>
      </c>
      <c r="CC148" s="37" t="n">
        <f aca="false">IF(BY148=0,"",N(N148)*0.0036+N(Q148)+N(U148)+N(T148)+N(X148)+N(AC148)*38/1000)</f>
        <v>0.00560790688326875</v>
      </c>
      <c r="CD148" s="37" t="n">
        <f aca="false">IF(BY148=0,"",N(Q148)+N(R148)+N(S148)+N(T148)+N(U148)+N(V148)+N(W148)+N(X148)+(N(Y148)*34.2+N(Z148)*38.6+N(AA148)*25.3+N(AB148)*37+N(AC148)*38)/1000)</f>
        <v>0.0622379337344062</v>
      </c>
      <c r="CE148" s="16" t="n">
        <f aca="false">IF(BY148=0,"",MAX(0,N(L148)-N(K148))+MAX(0,N(M148)-N(L148)))</f>
        <v>29.102</v>
      </c>
      <c r="CF148" s="16" t="n">
        <f aca="false">IF(BY148=0,"",N(Y148)*N(AD148)+N(Z148)*N(AE148)+N(AA148)*N(AF148)+N(AB148)*N(AG148)+N(AC148)*N(AH148)+N(U148)*N(AI148)+N(V148)*N(AJ148)+N(W148)*N(AK148)+N(X148)*N(AL148)+N(Q148)*N(AM148)+N(R148)*N(AN148)+N(S148)*N(AO148)+N(T148)*N(AP148))</f>
        <v>0.757396671551539</v>
      </c>
      <c r="CG148" s="16" t="n">
        <f aca="false">IF(AND(BY148=1,N(K148)&gt;0),K148,0)</f>
        <v>7.173</v>
      </c>
      <c r="CH148" s="16" t="n">
        <f aca="false">IF(CG148&gt;0,CF148*1000/CG148,"")</f>
        <v>105.58994445163</v>
      </c>
      <c r="CI148" s="16" t="n">
        <f aca="false">IF(BY148=0,"",N(AQ148)+p_road*(N(AR148)+N(AS148)+N(AT148)))</f>
        <v>0.0138882665394719</v>
      </c>
      <c r="CJ148" s="16" t="n">
        <f aca="false">IF(CG148&gt;0,CI148*1000/CG148,"")</f>
        <v>1.93618660804013</v>
      </c>
      <c r="CK148" s="12" t="n">
        <f aca="false">IF(CH148="",1,MIN(p_idx_max,MAX(p_idx_min,CH148/p_fc_world)))</f>
        <v>0.655808246835892</v>
      </c>
      <c r="CL148" s="12" t="n">
        <f aca="false">IF(CJ148="",1,MIN(p_idx_max,MAX(p_idx_min,CJ148/p_cb_world)))</f>
        <v>0.25</v>
      </c>
      <c r="CM148" s="37" t="n">
        <f aca="false">p_b*(1-p_wb_idx+p_wb_idx*CK148)</f>
        <v>0.0872224968291737</v>
      </c>
      <c r="CN148" s="37" t="n">
        <f aca="false">p_c*(1-p_wc_idx+p_wc_idx*CL148)</f>
        <v>0.03225</v>
      </c>
      <c r="CO148" s="28" t="n">
        <f aca="false">IF(N(BR148)&gt;0,(N(BS148)+N(BT148)+N(BU148))/BR148,"")</f>
        <v>0.791208791208791</v>
      </c>
      <c r="CP148" s="16" t="n">
        <f aca="false">N(BS148)+N(BT148)+N(BU148)</f>
        <v>4.32</v>
      </c>
      <c r="CQ148" s="28" t="n">
        <f aca="false">IF(CP148&gt;0,N(BS148)/CP148,"")</f>
        <v>0</v>
      </c>
      <c r="CR148" s="28" t="n">
        <f aca="false">IF(CP148&gt;0,N(BT148)/CP148,"")</f>
        <v>0.93287037037037</v>
      </c>
      <c r="CS148" s="28" t="n">
        <f aca="false">IF(CP148&gt;0,N(BU148)/CP148,"")</f>
        <v>0.0671296296296296</v>
      </c>
      <c r="CT148" s="7" t="n">
        <f aca="false">1000*(p_sh_pv*p_cf_pv/p_capex_pv+(1-p_sh_pv)*p_cf_wind/p_capex_wind)*8760</f>
        <v>2301.28856624319</v>
      </c>
      <c r="CU148" s="13" t="n">
        <f aca="false">IF(AND(ISNUMBER(CO148),ISNUMBER(CQ148),BY148=1),1,0)</f>
        <v>1</v>
      </c>
      <c r="CV148" s="16" t="n">
        <f aca="false">IF(CU148=0,"",CQ148*p_hr_coal*N(AK148)+CR148*p_hr_gas*N(AO148)+CS148*p_hr_oil*N(AH148)/p_gj_l_oil)</f>
        <v>61.1406621561495</v>
      </c>
      <c r="CW148" s="37" t="n">
        <f aca="false">IF(CU148=0,"",CQ148*p_hr_coal*p_ef_coal+CR148*p_hr_gas*p_ef_gas+CS148*p_hr_oil*p_ef_oil)</f>
        <v>0.447061458333333</v>
      </c>
      <c r="CX148" s="16" t="n">
        <f aca="false">IF(CU148=0,"",CQ148*p_hr_coal*N(AW148)+CR148*p_hr_gas*N(AX148)+CS148*p_hr_oil*N(AY148)/p_gj_l_oil)</f>
        <v>1.07979933272373</v>
      </c>
      <c r="CY148" s="37" t="n">
        <f aca="false">IF(CU148=0,"",CO148*CW148)</f>
        <v>0.353718956043956</v>
      </c>
      <c r="CZ148" s="37" t="n">
        <f aca="false">IF(CU148=0,"",CT148*CO148*CV148/1000/1000-p_om_re)</f>
        <v>0.096324902045922</v>
      </c>
      <c r="DA148" s="37" t="n">
        <f aca="false">IF(CU148=0,"",CT148*CO148*CX148/1000/1000)</f>
        <v>0.00196609834937207</v>
      </c>
      <c r="DB148" s="37" t="n">
        <f aca="false">IF(CU148=0,"",CT148*CO148*CW148/1000)</f>
        <v>0.814009389207435</v>
      </c>
      <c r="DC148" s="13" t="n">
        <f aca="false">IF(AND(CU148=1,ISNUMBER(AD148),ISNUMBER(AV148)),1,0)</f>
        <v>1</v>
      </c>
      <c r="DD148" s="7" t="n">
        <f aca="false">IF(DC148=0,"",p_ev_km*p_ice_l/100*AD148-p_ev_km*p_ev_kwh*AV148+p_ev_km*p_ev_maint)</f>
        <v>660.794625</v>
      </c>
      <c r="DE148" s="37" t="n">
        <f aca="false">IF(DC148=0,"",DD148/p_ev_prem)</f>
        <v>0.132158925</v>
      </c>
      <c r="DF148" s="37" t="n">
        <f aca="false">IF(DC148=0,"",p_ev_km*p_ice_l/100*N(AZ148)/p_ev_prem)</f>
        <v>0.002197125</v>
      </c>
      <c r="DG148" s="37" t="n">
        <f aca="false">IF(DC148=0,"",1000/p_ev_prem*(p_ev_km*p_ice_l/100*p_gj_l_gso*p_ef_gso-p_ev_km*p_ev_kwh/1000*CY148))</f>
        <v>0.342255263736264</v>
      </c>
      <c r="DH148" s="11" t="str">
        <f aca="false">IFERROR(IF(INDEX(Damodaran!$D:$D,MATCH(A148,Damodaran!$A:$A,0))="","",INDEX(Damodaran!$D:$D,MATCH(A148,Damodaran!$A:$A,0))),"")</f>
        <v/>
      </c>
      <c r="DI148" s="11" t="str">
        <f aca="false">IFERROR(IF(INDEX(Damodaran!$E:$E,MATCH(A148,Damodaran!$A:$A,0))="","",INDEX(Damodaran!$E:$E,MATCH(A148,Damodaran!$A:$A,0))),"")</f>
        <v/>
      </c>
      <c r="DJ148" s="11" t="str">
        <f aca="false">IFERROR(IF(INDEX(Damodaran!$G:$G,MATCH(A148,Damodaran!$A:$A,0))="","",INDEX(Damodaran!$G:$G,MATCH(A148,Damodaran!$A:$A,0))),"")</f>
        <v/>
      </c>
      <c r="DK148" s="11" t="str">
        <f aca="false">IF(ISNUMBER(BG148),(1+BG148/100)*(1+p_infl)-1,"")</f>
        <v/>
      </c>
      <c r="DL148" s="11" t="str">
        <f aca="false">IF(ISNUMBER(BH148),BH148/100,"")</f>
        <v/>
      </c>
      <c r="DM148" s="11" t="str">
        <f aca="false">IF(COUNT(DK148,DL148)=0,"",AVERAGE(DK148,DL148))</f>
        <v/>
      </c>
      <c r="DN148" s="11" t="str">
        <f aca="false">IF(OR(DH148="",DI148=""),"",p_dv*(p_rf+DH148)*(1-IF(DJ148="",p_tax_def,DJ148))+(1-p_dv)*(p_rf+p_beta*p_erp+p_lambda*DI148))</f>
        <v/>
      </c>
      <c r="DO148" s="13" t="n">
        <f aca="false">IF(AND(ISNUMBER(DM148),ISNUMBER(DN148)),1,0)</f>
        <v>0</v>
      </c>
      <c r="DP148" s="11" t="n">
        <f aca="false">IF(DO148=1,DM148,0)</f>
        <v>0</v>
      </c>
      <c r="DQ148" s="11" t="n">
        <f aca="false">IF(DO148=1,DN148,0)</f>
        <v>0</v>
      </c>
      <c r="DR148" s="11" t="str">
        <f aca="false">IF(DN148="","",DN148+p_shift)</f>
        <v/>
      </c>
      <c r="DS148" s="11" t="n">
        <f aca="false">IF(E148="AE",p_r_ae,IF(E148="China",p_r_chn,p_r_emdc))</f>
        <v>0.105</v>
      </c>
      <c r="DT148" s="11" t="n">
        <f aca="false">IF(E148="AE",p_rh_ae,IF(E148="China",p_rh_chn,p_rh_emdc))</f>
        <v>0.15</v>
      </c>
      <c r="DU148" s="11" t="n">
        <f aca="false">IF(AND(p_use_obs=1,ISNUMBER(DM148)),DM148,IF(AND(p_use_dam=1,ISNUMBER(DR148)),DR148,DS148))</f>
        <v>0.105</v>
      </c>
      <c r="DV148" s="6" t="str">
        <f aca="false">IF(AND(p_use_obs=1,ISNUMBER(DM148)),"Observed (IRENA/Steffen)",IF(AND(p_use_dam=1,ISNUMBER(DR148)),"Damodaran (eq. 5)","Group default (IHLEG)"))</f>
        <v>Group default (IHLEG)</v>
      </c>
      <c r="DW148" s="11" t="n">
        <f aca="false">IF(p_basis=1,(1+DU148)/(1+p_infl)-1,DU148)</f>
        <v>0.105</v>
      </c>
      <c r="DX148" s="11" t="n">
        <f aca="false">DW148+(DT148-DS148)</f>
        <v>0.15</v>
      </c>
      <c r="DY148" s="28" t="n">
        <f aca="false">IF(AND(p_use_pefa=1,ISNUMBER(BD148)),p_gap_lic-(BD148-1)/3*(p_gap_lic-p_gap_ae),IF(E148="AE",p_gap_ae,IF(D148="Low income",p_gap_lic,p_gap_em)))*(1-p_reform*p_reform_close)</f>
        <v>0.27</v>
      </c>
      <c r="DZ148" s="6" t="str">
        <f aca="false">IF(AND(p_use_pefa=1,ISNUMBER(BD148)),"PEFA PI-11","Income-group default (IMF 2015)")</f>
        <v>Income-group default (IMF 2015)</v>
      </c>
      <c r="EA148" s="28" t="n">
        <f aca="false">IF(E148="AE",p_ps_ae,IF(E148="China",p_ps_chn,p_ps_emdc))</f>
        <v>0.4</v>
      </c>
      <c r="EB148" s="37" t="n">
        <f aca="false">(1-EA148)+EA148/(1-DY148)</f>
        <v>1.14794520547945</v>
      </c>
      <c r="EC148" s="16" t="n">
        <f aca="false">Results_Country!F148</f>
        <v>1.15088464673074</v>
      </c>
      <c r="ED148" s="16" t="n">
        <f aca="false">IF(CH148="",0,CH148*EC148)</f>
        <v>121.521845918533</v>
      </c>
      <c r="EE148" s="16" t="n">
        <f aca="false">IF(CJ148="",0,CJ148*EC148)</f>
        <v>2.22832744039906</v>
      </c>
      <c r="EF148" s="16" t="n">
        <f aca="false">IF(CH148="",0,EC148)</f>
        <v>1.15088464673074</v>
      </c>
    </row>
    <row r="149" customFormat="false" ht="15" hidden="false" customHeight="false" outlineLevel="0" collapsed="false">
      <c r="A149" s="35" t="s">
        <v>1055</v>
      </c>
      <c r="B149" s="35" t="s">
        <v>1056</v>
      </c>
      <c r="C149" s="35" t="s">
        <v>766</v>
      </c>
      <c r="D149" s="35" t="s">
        <v>771</v>
      </c>
      <c r="E149" s="35" t="s">
        <v>31</v>
      </c>
      <c r="F149" s="36" t="n">
        <v>14.426</v>
      </c>
      <c r="G149" s="36" t="n">
        <v>57.32</v>
      </c>
      <c r="H149" s="33" t="n">
        <v>8.4</v>
      </c>
      <c r="I149" s="33" t="n">
        <v>6</v>
      </c>
      <c r="J149" s="36" t="n">
        <v>10.590928</v>
      </c>
      <c r="K149" s="36" t="n">
        <v>10.211</v>
      </c>
      <c r="L149" s="36" t="n">
        <v>23.055</v>
      </c>
      <c r="M149" s="36" t="n">
        <v>22.926</v>
      </c>
      <c r="N149" s="36" t="n">
        <v>9.49322388573044</v>
      </c>
      <c r="O149" s="36" t="n">
        <v>6.05869151737026</v>
      </c>
      <c r="P149" s="36" t="n">
        <v>0.0109238685476539</v>
      </c>
      <c r="Q149" s="31" t="n">
        <v>0.00451974671898685</v>
      </c>
      <c r="R149" s="31" t="n">
        <v>0</v>
      </c>
      <c r="S149" s="31" t="n">
        <v>0.00137181083378329</v>
      </c>
      <c r="T149" s="31" t="n">
        <v>2.94041669966569E-005</v>
      </c>
      <c r="U149" s="31" t="n">
        <v>0.011144091022526</v>
      </c>
      <c r="V149" s="31" t="n">
        <v>0.010424921398099</v>
      </c>
      <c r="W149" s="31" t="n">
        <v>0.0178615586165265</v>
      </c>
      <c r="X149" s="31" t="n">
        <v>0.000903624572200778</v>
      </c>
      <c r="Y149" s="36" t="n">
        <v>0.304799923462042</v>
      </c>
      <c r="Z149" s="36" t="n">
        <v>0.399843263739981</v>
      </c>
      <c r="AA149" s="36" t="n">
        <v>0.710190036438698</v>
      </c>
      <c r="AB149" s="36" t="n">
        <v>1.11919397480909E-006</v>
      </c>
      <c r="AC149" s="36" t="n">
        <v>0.0107885380449581</v>
      </c>
      <c r="AD149" s="31" t="n">
        <v>0.85432</v>
      </c>
      <c r="AE149" s="31" t="n">
        <v>0.80028</v>
      </c>
      <c r="AF149" s="31" t="n">
        <v>0.513</v>
      </c>
      <c r="AG149" s="31" t="n">
        <v>0.591</v>
      </c>
      <c r="AH149" s="31" t="n">
        <v>0.519462891908447</v>
      </c>
      <c r="AI149" s="31" t="n">
        <v>3.554</v>
      </c>
      <c r="AJ149" s="31" t="n">
        <v>6.6434</v>
      </c>
      <c r="AK149" s="31" t="n">
        <v>2.161</v>
      </c>
      <c r="AL149" s="31" t="n">
        <v>3.73978480660509</v>
      </c>
      <c r="AM149" s="31" t="n">
        <v>8.101</v>
      </c>
      <c r="AN149" s="31" t="n">
        <v>18.91304</v>
      </c>
      <c r="AO149" s="31" t="n">
        <v>6.78</v>
      </c>
      <c r="AP149" s="31" t="n">
        <v>7.79341374709551</v>
      </c>
      <c r="AQ149" s="36" t="n">
        <v>0.0534506764936078</v>
      </c>
      <c r="AR149" s="36" t="n">
        <v>0.00970755184417326</v>
      </c>
      <c r="AS149" s="36" t="n">
        <v>0.126519659889548</v>
      </c>
      <c r="AT149" s="36" t="n">
        <v>0.0698421492710817</v>
      </c>
      <c r="AU149" s="31" t="n">
        <v>0.915354492492605</v>
      </c>
      <c r="AV149" s="36" t="n">
        <v>0.171736</v>
      </c>
      <c r="AW149" s="31" t="n">
        <v>0.016128</v>
      </c>
      <c r="AX149" s="31" t="n">
        <v>0.004129</v>
      </c>
      <c r="AY149" s="31" t="n">
        <v>0.0339664157973425</v>
      </c>
      <c r="AZ149" s="31" t="n">
        <v>0.011937</v>
      </c>
      <c r="BA149" s="33" t="n">
        <v>24.906</v>
      </c>
      <c r="BB149" s="33" t="n">
        <v>2.377</v>
      </c>
      <c r="BC149" s="33" t="n">
        <v>117.149</v>
      </c>
      <c r="BD149" s="33" t="n">
        <v>2.5</v>
      </c>
      <c r="BE149" s="33" t="n">
        <v>2</v>
      </c>
      <c r="BF149" s="33" t="n">
        <v>0</v>
      </c>
      <c r="BG149" s="33"/>
      <c r="BH149" s="33"/>
      <c r="BI149" s="29"/>
      <c r="BJ149" s="33"/>
      <c r="BK149" s="33"/>
      <c r="BL149" s="33" t="n">
        <v>1.152</v>
      </c>
      <c r="BM149" s="33" t="n">
        <v>7.125</v>
      </c>
      <c r="BN149" s="29" t="n">
        <v>24.489</v>
      </c>
      <c r="BO149" s="33" t="n">
        <v>4.71</v>
      </c>
      <c r="BP149" s="33" t="n">
        <v>0.006</v>
      </c>
      <c r="BQ149" s="29" t="n">
        <v>2025</v>
      </c>
      <c r="BR149" s="36" t="n">
        <v>23.94</v>
      </c>
      <c r="BS149" s="36" t="n">
        <v>1.12</v>
      </c>
      <c r="BT149" s="36" t="n">
        <v>0.27</v>
      </c>
      <c r="BU149" s="36" t="n">
        <v>0</v>
      </c>
      <c r="BV149" s="16" t="n">
        <f aca="false">F149*(1+N(H149)/100)*(1+N(I149)/100)^5</f>
        <v>20.926882525784</v>
      </c>
      <c r="BW149" s="16" t="n">
        <f aca="false">IF(N(G149)&gt;0,G149,F149)</f>
        <v>57.32</v>
      </c>
      <c r="BX149" s="12" t="n">
        <f aca="false">F149/BW149</f>
        <v>0.251674808094906</v>
      </c>
      <c r="BY149" s="13" t="n">
        <f aca="false">IF(ISNUMBER(K149),1,0)</f>
        <v>1</v>
      </c>
      <c r="BZ149" s="16" t="n">
        <f aca="false">IF(BY149=0,"",N(N149)+N(O149)+N(P149))</f>
        <v>15.5628392716483</v>
      </c>
      <c r="CA149" s="37" t="n">
        <f aca="false">IF(BY149=0,"",(N(Y149)*34.2+N(Z149)*38.6)/1000)</f>
        <v>0.0258581073627651</v>
      </c>
      <c r="CB149" s="37" t="n">
        <f aca="false">IF(BY149=0,"",N(O149)*0.0036+N(R149)+N(V149)+(N(AA149)*25.3+N(AB149)*37)/1000)</f>
        <v>0.050204060192708</v>
      </c>
      <c r="CC149" s="37" t="n">
        <f aca="false">IF(BY149=0,"",N(N149)*0.0036+N(Q149)+N(U149)+N(T149)+N(X149)+N(AC149)*38/1000)</f>
        <v>0.0511824369150483</v>
      </c>
      <c r="CD149" s="37" t="n">
        <f aca="false">IF(BY149=0,"",N(Q149)+N(R149)+N(S149)+N(T149)+N(U149)+N(V149)+N(W149)+N(X149)+(N(Y149)*34.2+N(Z149)*38.6+N(AA149)*25.3+N(AB149)*37+N(AC149)*38)/1000)</f>
        <v>0.0904910784696688</v>
      </c>
      <c r="CE149" s="16" t="n">
        <f aca="false">IF(BY149=0,"",MAX(0,N(L149)-N(K149))+MAX(0,N(M149)-N(L149)))</f>
        <v>12.844</v>
      </c>
      <c r="CF149" s="16" t="n">
        <f aca="false">IF(BY149=0,"",N(Y149)*N(AD149)+N(Z149)*N(AE149)+N(AA149)*N(AF149)+N(AB149)*N(AG149)+N(AC149)*N(AH149)+N(U149)*N(AI149)+N(V149)*N(AJ149)+N(W149)*N(AK149)+N(X149)*N(AL149)+N(Q149)*N(AM149)+N(R149)*N(AN149)+N(S149)*N(AO149)+N(T149)*N(AP149))</f>
        <v>1.14730134941626</v>
      </c>
      <c r="CG149" s="16" t="n">
        <f aca="false">IF(AND(BY149=1,N(K149)&gt;0),K149,0)</f>
        <v>10.211</v>
      </c>
      <c r="CH149" s="16" t="n">
        <f aca="false">IF(CG149&gt;0,CF149*1000/CG149,"")</f>
        <v>112.35935260173</v>
      </c>
      <c r="CI149" s="16" t="n">
        <f aca="false">IF(BY149=0,"",N(AQ149)+p_road*(N(AR149)+N(AS149)+N(AT149)))</f>
        <v>0.0534506764936078</v>
      </c>
      <c r="CJ149" s="16" t="n">
        <f aca="false">IF(CG149&gt;0,CI149*1000/CG149,"")</f>
        <v>5.23461722589441</v>
      </c>
      <c r="CK149" s="12" t="n">
        <f aca="false">IF(CH149="",1,MIN(p_idx_max,MAX(p_idx_min,CH149/p_fc_world)))</f>
        <v>0.697852342171765</v>
      </c>
      <c r="CL149" s="12" t="n">
        <f aca="false">IF(CJ149="",1,MIN(p_idx_max,MAX(p_idx_min,CJ149/p_cb_world)))</f>
        <v>0.25</v>
      </c>
      <c r="CM149" s="37" t="n">
        <f aca="false">p_b*(1-p_wb_idx+p_wb_idx*CK149)</f>
        <v>0.0928143615088448</v>
      </c>
      <c r="CN149" s="37" t="n">
        <f aca="false">p_c*(1-p_wc_idx+p_wc_idx*CL149)</f>
        <v>0.03225</v>
      </c>
      <c r="CO149" s="28" t="n">
        <f aca="false">IF(N(BR149)&gt;0,(N(BS149)+N(BT149)+N(BU149))/BR149,"")</f>
        <v>0.058061821219716</v>
      </c>
      <c r="CP149" s="16" t="n">
        <f aca="false">N(BS149)+N(BT149)+N(BU149)</f>
        <v>1.39</v>
      </c>
      <c r="CQ149" s="28" t="n">
        <f aca="false">IF(CP149&gt;0,N(BS149)/CP149,"")</f>
        <v>0.805755395683453</v>
      </c>
      <c r="CR149" s="28" t="n">
        <f aca="false">IF(CP149&gt;0,N(BT149)/CP149,"")</f>
        <v>0.194244604316547</v>
      </c>
      <c r="CS149" s="28" t="n">
        <f aca="false">IF(CP149&gt;0,N(BU149)/CP149,"")</f>
        <v>0</v>
      </c>
      <c r="CT149" s="7" t="n">
        <f aca="false">1000*(p_sh_pv*p_cf_pv/p_capex_pv+(1-p_sh_pv)*p_cf_wind/p_capex_wind)*8760</f>
        <v>2301.28856624319</v>
      </c>
      <c r="CU149" s="13" t="n">
        <f aca="false">IF(AND(ISNUMBER(CO149),ISNUMBER(CQ149),BY149=1),1,0)</f>
        <v>1</v>
      </c>
      <c r="CV149" s="16" t="n">
        <f aca="false">IF(CU149=0,"",CQ149*p_hr_coal*N(AK149)+CR149*p_hr_gas*N(AO149)+CS149*p_hr_oil*N(AH149)/p_gj_l_oil)</f>
        <v>27.2897122302158</v>
      </c>
      <c r="CW149" s="37" t="n">
        <f aca="false">IF(CU149=0,"",CQ149*p_hr_coal*p_ef_coal+CR149*p_hr_gas*p_ef_gas+CS149*p_hr_oil*p_ef_oil)</f>
        <v>0.843973021582734</v>
      </c>
      <c r="CX149" s="16" t="n">
        <f aca="false">IF(CU149=0,"",CQ149*p_hr_coal*N(AW149)+CR149*p_hr_gas*N(AX149)+CS149*p_hr_oil*N(AY149)/p_gj_l_oil)</f>
        <v>0.1359675</v>
      </c>
      <c r="CY149" s="37" t="n">
        <f aca="false">IF(CU149=0,"",CO149*CW149)</f>
        <v>0.0490026106934002</v>
      </c>
      <c r="CZ149" s="37" t="n">
        <f aca="false">IF(CU149=0,"",CT149*CO149*CV149/1000/1000-p_om_re)</f>
        <v>-0.0113536303760763</v>
      </c>
      <c r="DA149" s="37" t="n">
        <f aca="false">IF(CU149=0,"",CT149*CO149*CX149/1000/1000)</f>
        <v>1.81675701692412E-005</v>
      </c>
      <c r="DB149" s="37" t="n">
        <f aca="false">IF(CU149=0,"",CT149*CO149*CW149/1000)</f>
        <v>0.112769147704788</v>
      </c>
      <c r="DC149" s="13" t="n">
        <f aca="false">IF(AND(CU149=1,ISNUMBER(AD149),ISNUMBER(AV149)),1,0)</f>
        <v>1</v>
      </c>
      <c r="DD149" s="7" t="n">
        <f aca="false">IF(DC149=0,"",p_ev_km*p_ice_l/100*AD149-p_ev_km*p_ev_kwh*AV149+p_ev_km*p_ev_maint)</f>
        <v>677.4228</v>
      </c>
      <c r="DE149" s="37" t="n">
        <f aca="false">IF(DC149=0,"",DD149/p_ev_prem)</f>
        <v>0.13548456</v>
      </c>
      <c r="DF149" s="37" t="n">
        <f aca="false">IF(DC149=0,"",p_ev_km*p_ice_l/100*N(AZ149)/p_ev_prem)</f>
        <v>0.002685825</v>
      </c>
      <c r="DG149" s="37" t="n">
        <f aca="false">IF(DC149=0,"",1000/p_ev_prem*(p_ev_km*p_ice_l/100*p_gj_l_gso*p_ef_gso-p_ev_km*p_ev_kwh/1000*CY149))</f>
        <v>0.506802090225564</v>
      </c>
      <c r="DH149" s="11" t="str">
        <f aca="false">IFERROR(IF(INDEX(Damodaran!$D:$D,MATCH(A149,Damodaran!$A:$A,0))="","",INDEX(Damodaran!$D:$D,MATCH(A149,Damodaran!$A:$A,0))),"")</f>
        <v/>
      </c>
      <c r="DI149" s="11" t="str">
        <f aca="false">IFERROR(IF(INDEX(Damodaran!$E:$E,MATCH(A149,Damodaran!$A:$A,0))="","",INDEX(Damodaran!$E:$E,MATCH(A149,Damodaran!$A:$A,0))),"")</f>
        <v/>
      </c>
      <c r="DJ149" s="11" t="str">
        <f aca="false">IFERROR(IF(INDEX(Damodaran!$G:$G,MATCH(A149,Damodaran!$A:$A,0))="","",INDEX(Damodaran!$G:$G,MATCH(A149,Damodaran!$A:$A,0))),"")</f>
        <v/>
      </c>
      <c r="DK149" s="11" t="str">
        <f aca="false">IF(ISNUMBER(BG149),(1+BG149/100)*(1+p_infl)-1,"")</f>
        <v/>
      </c>
      <c r="DL149" s="11" t="str">
        <f aca="false">IF(ISNUMBER(BH149),BH149/100,"")</f>
        <v/>
      </c>
      <c r="DM149" s="11" t="str">
        <f aca="false">IF(COUNT(DK149,DL149)=0,"",AVERAGE(DK149,DL149))</f>
        <v/>
      </c>
      <c r="DN149" s="11" t="str">
        <f aca="false">IF(OR(DH149="",DI149=""),"",p_dv*(p_rf+DH149)*(1-IF(DJ149="",p_tax_def,DJ149))+(1-p_dv)*(p_rf+p_beta*p_erp+p_lambda*DI149))</f>
        <v/>
      </c>
      <c r="DO149" s="13" t="n">
        <f aca="false">IF(AND(ISNUMBER(DM149),ISNUMBER(DN149)),1,0)</f>
        <v>0</v>
      </c>
      <c r="DP149" s="11" t="n">
        <f aca="false">IF(DO149=1,DM149,0)</f>
        <v>0</v>
      </c>
      <c r="DQ149" s="11" t="n">
        <f aca="false">IF(DO149=1,DN149,0)</f>
        <v>0</v>
      </c>
      <c r="DR149" s="11" t="str">
        <f aca="false">IF(DN149="","",DN149+p_shift)</f>
        <v/>
      </c>
      <c r="DS149" s="11" t="n">
        <f aca="false">IF(E149="AE",p_r_ae,IF(E149="China",p_r_chn,p_r_emdc))</f>
        <v>0.105</v>
      </c>
      <c r="DT149" s="11" t="n">
        <f aca="false">IF(E149="AE",p_rh_ae,IF(E149="China",p_rh_chn,p_rh_emdc))</f>
        <v>0.15</v>
      </c>
      <c r="DU149" s="11" t="n">
        <f aca="false">IF(AND(p_use_obs=1,ISNUMBER(DM149)),DM149,IF(AND(p_use_dam=1,ISNUMBER(DR149)),DR149,DS149))</f>
        <v>0.105</v>
      </c>
      <c r="DV149" s="6" t="str">
        <f aca="false">IF(AND(p_use_obs=1,ISNUMBER(DM149)),"Observed (IRENA/Steffen)",IF(AND(p_use_dam=1,ISNUMBER(DR149)),"Damodaran (eq. 5)","Group default (IHLEG)"))</f>
        <v>Group default (IHLEG)</v>
      </c>
      <c r="DW149" s="11" t="n">
        <f aca="false">IF(p_basis=1,(1+DU149)/(1+p_infl)-1,DU149)</f>
        <v>0.105</v>
      </c>
      <c r="DX149" s="11" t="n">
        <f aca="false">DW149+(DT149-DS149)</f>
        <v>0.15</v>
      </c>
      <c r="DY149" s="28" t="n">
        <f aca="false">IF(AND(p_use_pefa=1,ISNUMBER(BD149)),p_gap_lic-(BD149-1)/3*(p_gap_lic-p_gap_ae),IF(E149="AE",p_gap_ae,IF(D149="Low income",p_gap_lic,p_gap_em)))*(1-p_reform*p_reform_close)</f>
        <v>0.265</v>
      </c>
      <c r="DZ149" s="6" t="str">
        <f aca="false">IF(AND(p_use_pefa=1,ISNUMBER(BD149)),"PEFA PI-11","Income-group default (IMF 2015)")</f>
        <v>PEFA PI-11</v>
      </c>
      <c r="EA149" s="28" t="n">
        <f aca="false">IF(E149="AE",p_ps_ae,IF(E149="China",p_ps_chn,p_ps_emdc))</f>
        <v>0.4</v>
      </c>
      <c r="EB149" s="37" t="n">
        <f aca="false">(1-EA149)+EA149/(1-DY149)</f>
        <v>1.14421768707483</v>
      </c>
      <c r="EC149" s="16" t="n">
        <f aca="false">Results_Country!F149</f>
        <v>1.73650297002149</v>
      </c>
      <c r="ED149" s="16" t="n">
        <f aca="false">IF(CH149="",0,CH149*EC149)</f>
        <v>195.112349502595</v>
      </c>
      <c r="EE149" s="16" t="n">
        <f aca="false">IF(CJ149="",0,CJ149*EC149)</f>
        <v>9.08992835969128</v>
      </c>
      <c r="EF149" s="16" t="n">
        <f aca="false">IF(CH149="",0,EC149)</f>
        <v>1.73650297002149</v>
      </c>
    </row>
    <row r="150" customFormat="false" ht="15" hidden="false" customHeight="false" outlineLevel="0" collapsed="false">
      <c r="A150" s="35" t="s">
        <v>1057</v>
      </c>
      <c r="B150" s="35" t="s">
        <v>1058</v>
      </c>
      <c r="C150" s="35" t="s">
        <v>847</v>
      </c>
      <c r="D150" s="35" t="s">
        <v>771</v>
      </c>
      <c r="E150" s="35" t="s">
        <v>31</v>
      </c>
      <c r="F150" s="36" t="n">
        <v>13.37</v>
      </c>
      <c r="G150" s="36" t="n">
        <v>35.463</v>
      </c>
      <c r="H150" s="33" t="n">
        <v>2.44</v>
      </c>
      <c r="I150" s="33" t="n">
        <v>2.396</v>
      </c>
      <c r="J150" s="36" t="n">
        <v>3.030131</v>
      </c>
      <c r="K150" s="36" t="n">
        <v>4.261</v>
      </c>
      <c r="L150" s="36" t="n">
        <v>13.577</v>
      </c>
      <c r="M150" s="36" t="n">
        <v>23.616</v>
      </c>
      <c r="N150" s="36" t="n">
        <v>2.72368580640585</v>
      </c>
      <c r="O150" s="36" t="n">
        <v>1.24181290569236</v>
      </c>
      <c r="P150" s="36" t="n">
        <v>0.367591775914421</v>
      </c>
      <c r="Q150" s="31" t="n">
        <v>0</v>
      </c>
      <c r="R150" s="31" t="n">
        <v>0</v>
      </c>
      <c r="S150" s="31" t="n">
        <v>0</v>
      </c>
      <c r="T150" s="31" t="n">
        <v>0</v>
      </c>
      <c r="U150" s="31" t="n">
        <v>0</v>
      </c>
      <c r="V150" s="31" t="n">
        <v>0</v>
      </c>
      <c r="W150" s="31" t="n">
        <v>0.00119091351469976</v>
      </c>
      <c r="X150" s="31" t="n">
        <v>0</v>
      </c>
      <c r="Y150" s="36" t="n">
        <v>0.389961429968261</v>
      </c>
      <c r="Z150" s="36" t="n">
        <v>0.827645537828502</v>
      </c>
      <c r="AA150" s="36" t="n">
        <v>0.0322849200301091</v>
      </c>
      <c r="AB150" s="36" t="n">
        <v>0.0139857573033136</v>
      </c>
      <c r="AC150" s="36" t="n">
        <v>0.0725728813385295</v>
      </c>
      <c r="AD150" s="31" t="n">
        <v>0.830428</v>
      </c>
      <c r="AE150" s="31" t="n">
        <v>0.784464</v>
      </c>
      <c r="AF150" s="31" t="n">
        <v>0.513</v>
      </c>
      <c r="AG150" s="31" t="n">
        <v>0.67965</v>
      </c>
      <c r="AH150" s="31" t="n">
        <v>0.519462891908447</v>
      </c>
      <c r="AI150" s="31" t="n">
        <v>7.124</v>
      </c>
      <c r="AJ150" s="31" t="n">
        <v>14.02195</v>
      </c>
      <c r="AK150" s="31" t="n">
        <v>5.575</v>
      </c>
      <c r="AL150" s="31" t="n">
        <v>5.575</v>
      </c>
      <c r="AM150" s="31" t="n">
        <v>12.766</v>
      </c>
      <c r="AN150" s="31" t="n">
        <v>23.81305</v>
      </c>
      <c r="AO150" s="31" t="n">
        <v>11.442</v>
      </c>
      <c r="AP150" s="31" t="n">
        <v>16.0070166666667</v>
      </c>
      <c r="AQ150" s="36" t="n">
        <v>0.0411835660502926</v>
      </c>
      <c r="AR150" s="36" t="n">
        <v>0.0107133033059627</v>
      </c>
      <c r="AS150" s="36" t="n">
        <v>0.0741546039394185</v>
      </c>
      <c r="AT150" s="36" t="n">
        <v>0.052820752378166</v>
      </c>
      <c r="AU150" s="31" t="n">
        <v>0.962446009443839</v>
      </c>
      <c r="AV150" s="36" t="n">
        <v>0.143264</v>
      </c>
      <c r="AW150" s="31" t="n">
        <v>0.091121</v>
      </c>
      <c r="AX150" s="31" t="n">
        <v>0.001267</v>
      </c>
      <c r="AY150" s="31" t="n">
        <v>0.011538629114516</v>
      </c>
      <c r="AZ150" s="31" t="n">
        <v>0.019975</v>
      </c>
      <c r="BA150" s="33" t="n">
        <v>69.837</v>
      </c>
      <c r="BB150" s="33" t="n">
        <v>14.573</v>
      </c>
      <c r="BC150" s="33" t="n">
        <v>81.128</v>
      </c>
      <c r="BD150" s="33"/>
      <c r="BE150" s="33"/>
      <c r="BF150" s="33" t="n">
        <v>0</v>
      </c>
      <c r="BG150" s="33" t="n">
        <v>4.2</v>
      </c>
      <c r="BH150" s="33"/>
      <c r="BI150" s="29"/>
      <c r="BJ150" s="33" t="n">
        <v>1</v>
      </c>
      <c r="BK150" s="33"/>
      <c r="BL150" s="33"/>
      <c r="BM150" s="33"/>
      <c r="BN150" s="29"/>
      <c r="BO150" s="33" t="n">
        <v>3.011</v>
      </c>
      <c r="BP150" s="33" t="n">
        <v>0.037</v>
      </c>
      <c r="BQ150" s="29" t="n">
        <v>2024</v>
      </c>
      <c r="BR150" s="36" t="n">
        <v>1.64</v>
      </c>
      <c r="BS150" s="36" t="n">
        <v>0.04</v>
      </c>
      <c r="BT150" s="36" t="n">
        <v>0</v>
      </c>
      <c r="BU150" s="36" t="n">
        <v>0</v>
      </c>
      <c r="BV150" s="16" t="n">
        <f aca="false">F150*(1+N(H150)/100)*(1+N(I150)/100)^5</f>
        <v>15.417570232197</v>
      </c>
      <c r="BW150" s="16" t="n">
        <f aca="false">IF(N(G150)&gt;0,G150,F150)</f>
        <v>35.463</v>
      </c>
      <c r="BX150" s="12" t="n">
        <f aca="false">F150/BW150</f>
        <v>0.377012661083383</v>
      </c>
      <c r="BY150" s="13" t="n">
        <f aca="false">IF(ISNUMBER(K150),1,0)</f>
        <v>1</v>
      </c>
      <c r="BZ150" s="16" t="n">
        <f aca="false">IF(BY150=0,"",N(N150)+N(O150)+N(P150))</f>
        <v>4.33309048801264</v>
      </c>
      <c r="CA150" s="37" t="n">
        <f aca="false">IF(BY150=0,"",(N(Y150)*34.2+N(Z150)*38.6)/1000)</f>
        <v>0.0452837986650947</v>
      </c>
      <c r="CB150" s="37" t="n">
        <f aca="false">IF(BY150=0,"",N(O150)*0.0036+N(R150)+N(V150)+(N(AA150)*25.3+N(AB150)*37)/1000)</f>
        <v>0.00580480795747687</v>
      </c>
      <c r="CC150" s="37" t="n">
        <f aca="false">IF(BY150=0,"",N(N150)*0.0036+N(Q150)+N(U150)+N(T150)+N(X150)+N(AC150)*38/1000)</f>
        <v>0.0125630383939252</v>
      </c>
      <c r="CD150" s="37" t="n">
        <f aca="false">IF(BY150=0,"",N(Q150)+N(R150)+N(S150)+N(T150)+N(U150)+N(V150)+N(W150)+N(X150)+(N(Y150)*34.2+N(Z150)*38.6+N(AA150)*25.3+N(AB150)*37+N(AC150)*38)/1000)</f>
        <v>0.0505667631676429</v>
      </c>
      <c r="CE150" s="16" t="n">
        <f aca="false">IF(BY150=0,"",MAX(0,N(L150)-N(K150))+MAX(0,N(M150)-N(L150)))</f>
        <v>19.355</v>
      </c>
      <c r="CF150" s="16" t="n">
        <f aca="false">IF(BY150=0,"",N(Y150)*N(AD150)+N(Z150)*N(AE150)+N(AA150)*N(AF150)+N(AB150)*N(AG150)+N(AC150)*N(AH150)+N(U150)*N(AI150)+N(V150)*N(AJ150)+N(W150)*N(AK150)+N(X150)*N(AL150)+N(Q150)*N(AM150)+N(R150)*N(AN150)+N(S150)*N(AO150)+N(T150)*N(AP150))</f>
        <v>1.04349886513812</v>
      </c>
      <c r="CG150" s="16" t="n">
        <f aca="false">IF(AND(BY150=1,N(K150)&gt;0),K150,0)</f>
        <v>4.261</v>
      </c>
      <c r="CH150" s="16" t="n">
        <f aca="false">IF(CG150&gt;0,CF150*1000/CG150,"")</f>
        <v>244.895298084514</v>
      </c>
      <c r="CI150" s="16" t="n">
        <f aca="false">IF(BY150=0,"",N(AQ150)+p_road*(N(AR150)+N(AS150)+N(AT150)))</f>
        <v>0.0411835660502926</v>
      </c>
      <c r="CJ150" s="16" t="n">
        <f aca="false">IF(CG150&gt;0,CI150*1000/CG150,"")</f>
        <v>9.66523493318297</v>
      </c>
      <c r="CK150" s="12" t="n">
        <f aca="false">IF(CH150="",1,MIN(p_idx_max,MAX(p_idx_min,CH150/p_fc_world)))</f>
        <v>1.52101942026053</v>
      </c>
      <c r="CL150" s="12" t="n">
        <f aca="false">IF(CJ150="",1,MIN(p_idx_max,MAX(p_idx_min,CJ150/p_cb_world)))</f>
        <v>0.25</v>
      </c>
      <c r="CM150" s="37" t="n">
        <f aca="false">p_b*(1-p_wb_idx+p_wb_idx*CK150)</f>
        <v>0.20229558289465</v>
      </c>
      <c r="CN150" s="37" t="n">
        <f aca="false">p_c*(1-p_wc_idx+p_wc_idx*CL150)</f>
        <v>0.03225</v>
      </c>
      <c r="CO150" s="28" t="n">
        <f aca="false">IF(N(BR150)&gt;0,(N(BS150)+N(BT150)+N(BU150))/BR150,"")</f>
        <v>0.024390243902439</v>
      </c>
      <c r="CP150" s="16" t="n">
        <f aca="false">N(BS150)+N(BT150)+N(BU150)</f>
        <v>0.04</v>
      </c>
      <c r="CQ150" s="28" t="n">
        <f aca="false">IF(CP150&gt;0,N(BS150)/CP150,"")</f>
        <v>1</v>
      </c>
      <c r="CR150" s="28" t="n">
        <f aca="false">IF(CP150&gt;0,N(BT150)/CP150,"")</f>
        <v>0</v>
      </c>
      <c r="CS150" s="28" t="n">
        <f aca="false">IF(CP150&gt;0,N(BU150)/CP150,"")</f>
        <v>0</v>
      </c>
      <c r="CT150" s="7" t="n">
        <f aca="false">1000*(p_sh_pv*p_cf_pv/p_capex_pv+(1-p_sh_pv)*p_cf_wind/p_capex_wind)*8760</f>
        <v>2301.28856624319</v>
      </c>
      <c r="CU150" s="13" t="n">
        <f aca="false">IF(AND(ISNUMBER(CO150),ISNUMBER(CQ150),BY150=1),1,0)</f>
        <v>1</v>
      </c>
      <c r="CV150" s="16" t="n">
        <f aca="false">IF(CU150=0,"",CQ150*p_hr_coal*N(AK150)+CR150*p_hr_gas*N(AO150)+CS150*p_hr_oil*N(AH150)/p_gj_l_oil)</f>
        <v>55.75</v>
      </c>
      <c r="CW150" s="37" t="n">
        <f aca="false">IF(CU150=0,"",CQ150*p_hr_coal*p_ef_coal+CR150*p_hr_gas*p_ef_gas+CS150*p_hr_oil*p_ef_oil)</f>
        <v>0.946</v>
      </c>
      <c r="CX150" s="16" t="n">
        <f aca="false">IF(CU150=0,"",CQ150*p_hr_coal*N(AW150)+CR150*p_hr_gas*N(AX150)+CS150*p_hr_oil*N(AY150)/p_gj_l_oil)</f>
        <v>0.91121</v>
      </c>
      <c r="CY150" s="37" t="n">
        <f aca="false">IF(CU150=0,"",CO150*CW150)</f>
        <v>0.0230731707317073</v>
      </c>
      <c r="CZ150" s="37" t="n">
        <f aca="false">IF(CU150=0,"",CT150*CO150*CV150/1000/1000-p_om_re)</f>
        <v>-0.0118708088398035</v>
      </c>
      <c r="DA150" s="37" t="n">
        <f aca="false">IF(CU150=0,"",CT150*CO150*CX150/1000/1000)</f>
        <v>5.11452964499137E-005</v>
      </c>
      <c r="DB150" s="37" t="n">
        <f aca="false">IF(CU150=0,"",CT150*CO150*CW150/1000)</f>
        <v>0.0530980239918552</v>
      </c>
      <c r="DC150" s="13" t="n">
        <f aca="false">IF(AND(CU150=1,ISNUMBER(AD150),ISNUMBER(AV150)),1,0)</f>
        <v>1</v>
      </c>
      <c r="DD150" s="7" t="n">
        <f aca="false">IF(DC150=0,"",p_ev_km*p_ice_l/100*AD150-p_ev_km*p_ev_kwh*AV150+p_ev_km*p_ev_maint)</f>
        <v>727.4187</v>
      </c>
      <c r="DE150" s="37" t="n">
        <f aca="false">IF(DC150=0,"",DD150/p_ev_prem)</f>
        <v>0.14548374</v>
      </c>
      <c r="DF150" s="37" t="n">
        <f aca="false">IF(DC150=0,"",p_ev_km*p_ice_l/100*N(AZ150)/p_ev_prem)</f>
        <v>0.004494375</v>
      </c>
      <c r="DG150" s="37" t="n">
        <f aca="false">IF(DC150=0,"",1000/p_ev_prem*(p_ev_km*p_ice_l/100*p_gj_l_gso*p_ef_gso-p_ev_km*p_ev_kwh/1000*CY150))</f>
        <v>0.520803987804878</v>
      </c>
      <c r="DH150" s="11" t="str">
        <f aca="false">IFERROR(IF(INDEX(Damodaran!$D:$D,MATCH(A150,Damodaran!$A:$A,0))="","",INDEX(Damodaran!$D:$D,MATCH(A150,Damodaran!$A:$A,0))),"")</f>
        <v/>
      </c>
      <c r="DI150" s="11" t="str">
        <f aca="false">IFERROR(IF(INDEX(Damodaran!$E:$E,MATCH(A150,Damodaran!$A:$A,0))="","",INDEX(Damodaran!$E:$E,MATCH(A150,Damodaran!$A:$A,0))),"")</f>
        <v/>
      </c>
      <c r="DJ150" s="11" t="str">
        <f aca="false">IFERROR(IF(INDEX(Damodaran!$G:$G,MATCH(A150,Damodaran!$A:$A,0))="","",INDEX(Damodaran!$G:$G,MATCH(A150,Damodaran!$A:$A,0))),"")</f>
        <v/>
      </c>
      <c r="DK150" s="11" t="n">
        <f aca="false">IF(ISNUMBER(BG150),(1+BG150/100)*(1+p_infl)-1,"")</f>
        <v>0.06284</v>
      </c>
      <c r="DL150" s="11" t="str">
        <f aca="false">IF(ISNUMBER(BH150),BH150/100,"")</f>
        <v/>
      </c>
      <c r="DM150" s="11" t="n">
        <f aca="false">IF(COUNT(DK150,DL150)=0,"",AVERAGE(DK150,DL150))</f>
        <v>0.06284</v>
      </c>
      <c r="DN150" s="11" t="str">
        <f aca="false">IF(OR(DH150="",DI150=""),"",p_dv*(p_rf+DH150)*(1-IF(DJ150="",p_tax_def,DJ150))+(1-p_dv)*(p_rf+p_beta*p_erp+p_lambda*DI150))</f>
        <v/>
      </c>
      <c r="DO150" s="13" t="n">
        <f aca="false">IF(AND(ISNUMBER(DM150),ISNUMBER(DN150)),1,0)</f>
        <v>0</v>
      </c>
      <c r="DP150" s="11" t="n">
        <f aca="false">IF(DO150=1,DM150,0)</f>
        <v>0</v>
      </c>
      <c r="DQ150" s="11" t="n">
        <f aca="false">IF(DO150=1,DN150,0)</f>
        <v>0</v>
      </c>
      <c r="DR150" s="11" t="str">
        <f aca="false">IF(DN150="","",DN150+p_shift)</f>
        <v/>
      </c>
      <c r="DS150" s="11" t="n">
        <f aca="false">IF(E150="AE",p_r_ae,IF(E150="China",p_r_chn,p_r_emdc))</f>
        <v>0.105</v>
      </c>
      <c r="DT150" s="11" t="n">
        <f aca="false">IF(E150="AE",p_rh_ae,IF(E150="China",p_rh_chn,p_rh_emdc))</f>
        <v>0.15</v>
      </c>
      <c r="DU150" s="11" t="n">
        <f aca="false">IF(AND(p_use_obs=1,ISNUMBER(DM150)),DM150,IF(AND(p_use_dam=1,ISNUMBER(DR150)),DR150,DS150))</f>
        <v>0.06284</v>
      </c>
      <c r="DV150" s="6" t="str">
        <f aca="false">IF(AND(p_use_obs=1,ISNUMBER(DM150)),"Observed (IRENA/Steffen)",IF(AND(p_use_dam=1,ISNUMBER(DR150)),"Damodaran (eq. 5)","Group default (IHLEG)"))</f>
        <v>Observed (IRENA/Steffen)</v>
      </c>
      <c r="DW150" s="11" t="n">
        <f aca="false">IF(p_basis=1,(1+DU150)/(1+p_infl)-1,DU150)</f>
        <v>0.06284</v>
      </c>
      <c r="DX150" s="11" t="n">
        <f aca="false">DW150+(DT150-DS150)</f>
        <v>0.10784</v>
      </c>
      <c r="DY150" s="28" t="n">
        <f aca="false">IF(AND(p_use_pefa=1,ISNUMBER(BD150)),p_gap_lic-(BD150-1)/3*(p_gap_lic-p_gap_ae),IF(E150="AE",p_gap_ae,IF(D150="Low income",p_gap_lic,p_gap_em)))*(1-p_reform*p_reform_close)</f>
        <v>0.27</v>
      </c>
      <c r="DZ150" s="6" t="str">
        <f aca="false">IF(AND(p_use_pefa=1,ISNUMBER(BD150)),"PEFA PI-11","Income-group default (IMF 2015)")</f>
        <v>Income-group default (IMF 2015)</v>
      </c>
      <c r="EA150" s="28" t="n">
        <f aca="false">IF(E150="AE",p_ps_ae,IF(E150="China",p_ps_chn,p_ps_emdc))</f>
        <v>0.4</v>
      </c>
      <c r="EB150" s="37" t="n">
        <f aca="false">(1-EA150)+EA150/(1-DY150)</f>
        <v>1.14794520547945</v>
      </c>
      <c r="EC150" s="16" t="n">
        <f aca="false">Results_Country!F150</f>
        <v>1.17433418130671</v>
      </c>
      <c r="ED150" s="16" t="n">
        <f aca="false">IF(CH150="",0,CH150*EC150)</f>
        <v>287.588919381942</v>
      </c>
      <c r="EE150" s="16" t="n">
        <f aca="false">IF(CJ150="",0,CJ150*EC150)</f>
        <v>11.3502157523965</v>
      </c>
      <c r="EF150" s="16" t="n">
        <f aca="false">IF(CH150="",0,EC150)</f>
        <v>1.17433418130671</v>
      </c>
    </row>
    <row r="151" customFormat="false" ht="15" hidden="false" customHeight="false" outlineLevel="0" collapsed="false">
      <c r="A151" s="35" t="s">
        <v>1059</v>
      </c>
      <c r="B151" s="35" t="s">
        <v>1060</v>
      </c>
      <c r="C151" s="35" t="s">
        <v>847</v>
      </c>
      <c r="D151" s="35" t="s">
        <v>763</v>
      </c>
      <c r="E151" s="35" t="s">
        <v>31</v>
      </c>
      <c r="F151" s="36" t="n">
        <v>12.769</v>
      </c>
      <c r="G151" s="36" t="n">
        <v>33.285</v>
      </c>
      <c r="H151" s="33" t="n">
        <v>-6.358</v>
      </c>
      <c r="I151" s="33" t="n">
        <v>-2.686</v>
      </c>
      <c r="J151" s="36" t="n">
        <v>1.892516</v>
      </c>
      <c r="K151" s="36" t="n">
        <v>4.959</v>
      </c>
      <c r="L151" s="36" t="n">
        <v>12.491</v>
      </c>
      <c r="M151" s="36" t="n">
        <v>16.133</v>
      </c>
      <c r="N151" s="36" t="n">
        <v>0.543746470659278</v>
      </c>
      <c r="O151" s="36" t="n">
        <v>0.457730322210327</v>
      </c>
      <c r="P151" s="36" t="n">
        <v>0.0232335389300211</v>
      </c>
      <c r="Q151" s="31" t="n">
        <v>0.0277878712686562</v>
      </c>
      <c r="R151" s="31" t="n">
        <v>0</v>
      </c>
      <c r="S151" s="31" t="n">
        <v>0.0085699291396473</v>
      </c>
      <c r="T151" s="31" t="n">
        <v>0</v>
      </c>
      <c r="U151" s="31" t="n">
        <v>0</v>
      </c>
      <c r="V151" s="31" t="n">
        <v>0</v>
      </c>
      <c r="W151" s="31" t="n">
        <v>0</v>
      </c>
      <c r="X151" s="31" t="n">
        <v>0</v>
      </c>
      <c r="Y151" s="36" t="n">
        <v>0.0782621436665859</v>
      </c>
      <c r="Z151" s="36" t="n">
        <v>0.105883988537658</v>
      </c>
      <c r="AA151" s="36" t="n">
        <v>0.0376925178114023</v>
      </c>
      <c r="AB151" s="36" t="n">
        <v>0.0168408617327585</v>
      </c>
      <c r="AC151" s="36" t="n">
        <v>0.000824725252767443</v>
      </c>
      <c r="AD151" s="31" t="n">
        <v>0.8326</v>
      </c>
      <c r="AE151" s="31" t="n">
        <v>0.799384</v>
      </c>
      <c r="AF151" s="31" t="n">
        <v>0.53593</v>
      </c>
      <c r="AG151" s="31" t="n">
        <v>0.67965</v>
      </c>
      <c r="AH151" s="31" t="n">
        <v>0.519462891908447</v>
      </c>
      <c r="AI151" s="31" t="n">
        <v>7.124</v>
      </c>
      <c r="AJ151" s="31" t="n">
        <v>14.02195</v>
      </c>
      <c r="AK151" s="31" t="n">
        <v>5.575</v>
      </c>
      <c r="AL151" s="31" t="n">
        <v>8.90698333333333</v>
      </c>
      <c r="AM151" s="31" t="n">
        <v>5.397</v>
      </c>
      <c r="AN151" s="31" t="n">
        <v>10.7732</v>
      </c>
      <c r="AO151" s="31" t="n">
        <v>4.735</v>
      </c>
      <c r="AP151" s="31" t="n">
        <v>5.24095939724806</v>
      </c>
      <c r="AQ151" s="36" t="n">
        <v>0.016404408793958</v>
      </c>
      <c r="AR151" s="36" t="n">
        <v>0.00275057423743812</v>
      </c>
      <c r="AS151" s="36" t="n">
        <v>0.0800191550628856</v>
      </c>
      <c r="AT151" s="36" t="n">
        <v>0.0155129984242987</v>
      </c>
      <c r="AU151" s="31" t="n">
        <v>0.371173802210821</v>
      </c>
      <c r="AV151" s="36" t="n">
        <v>0.138777</v>
      </c>
      <c r="AW151" s="31" t="n">
        <v>1.246237</v>
      </c>
      <c r="AX151" s="31" t="n">
        <v>0.003082</v>
      </c>
      <c r="AY151" s="31" t="n">
        <v>0.00139582233569782</v>
      </c>
      <c r="AZ151" s="31" t="n">
        <v>0.021087</v>
      </c>
      <c r="BA151" s="33" t="n">
        <v>36.436</v>
      </c>
      <c r="BB151" s="33" t="n">
        <v>6.118</v>
      </c>
      <c r="BC151" s="33" t="n">
        <v>152.021</v>
      </c>
      <c r="BD151" s="33"/>
      <c r="BE151" s="33"/>
      <c r="BF151" s="33" t="n">
        <v>0</v>
      </c>
      <c r="BG151" s="33"/>
      <c r="BH151" s="33"/>
      <c r="BI151" s="29"/>
      <c r="BJ151" s="33"/>
      <c r="BK151" s="33"/>
      <c r="BL151" s="33"/>
      <c r="BM151" s="33"/>
      <c r="BN151" s="29" t="n">
        <v>5</v>
      </c>
      <c r="BO151" s="33" t="n">
        <v>0.014</v>
      </c>
      <c r="BP151" s="33" t="n">
        <v>0.447</v>
      </c>
      <c r="BQ151" s="29" t="n">
        <v>2024</v>
      </c>
      <c r="BR151" s="36" t="n">
        <v>1.49</v>
      </c>
      <c r="BS151" s="36" t="n">
        <v>0</v>
      </c>
      <c r="BT151" s="36" t="n">
        <v>1.08</v>
      </c>
      <c r="BU151" s="36" t="n">
        <v>0.01</v>
      </c>
      <c r="BV151" s="16" t="n">
        <f aca="false">F151*(1+N(H151)/100)*(1+N(I151)/100)^5</f>
        <v>10.43528197255</v>
      </c>
      <c r="BW151" s="16" t="n">
        <f aca="false">IF(N(G151)&gt;0,G151,F151)</f>
        <v>33.285</v>
      </c>
      <c r="BX151" s="12" t="n">
        <f aca="false">F151/BW151</f>
        <v>0.383626258074208</v>
      </c>
      <c r="BY151" s="13" t="n">
        <f aca="false">IF(ISNUMBER(K151),1,0)</f>
        <v>1</v>
      </c>
      <c r="BZ151" s="16" t="n">
        <f aca="false">IF(BY151=0,"",N(N151)+N(O151)+N(P151))</f>
        <v>1.02471033179963</v>
      </c>
      <c r="CA151" s="37" t="n">
        <f aca="false">IF(BY151=0,"",(N(Y151)*34.2+N(Z151)*38.6)/1000)</f>
        <v>0.00676368727095083</v>
      </c>
      <c r="CB151" s="37" t="n">
        <f aca="false">IF(BY151=0,"",N(O151)*0.0036+N(R151)+N(V151)+(N(AA151)*25.3+N(AB151)*37)/1000)</f>
        <v>0.00322456174469772</v>
      </c>
      <c r="CC151" s="37" t="n">
        <f aca="false">IF(BY151=0,"",N(N151)*0.0036+N(Q151)+N(U151)+N(T151)+N(X151)+N(AC151)*38/1000)</f>
        <v>0.0297766981226348</v>
      </c>
      <c r="CD151" s="37" t="n">
        <f aca="false">IF(BY151=0,"",N(Q151)+N(R151)+N(S151)+N(T151)+N(U151)+N(V151)+N(W151)+N(X151)+(N(Y151)*34.2+N(Z151)*38.6+N(AA151)*25.3+N(AB151)*37+N(AC151)*38)/1000)</f>
        <v>0.0447295598236</v>
      </c>
      <c r="CE151" s="16" t="n">
        <f aca="false">IF(BY151=0,"",MAX(0,N(L151)-N(K151))+MAX(0,N(M151)-N(L151)))</f>
        <v>11.174</v>
      </c>
      <c r="CF151" s="16" t="n">
        <f aca="false">IF(BY151=0,"",N(Y151)*N(AD151)+N(Z151)*N(AE151)+N(AA151)*N(AF151)+N(AB151)*N(AG151)+N(AC151)*N(AH151)+N(U151)*N(AI151)+N(V151)*N(AJ151)+N(W151)*N(AK151)+N(X151)*N(AL151)+N(Q151)*N(AM151)+N(R151)*N(AN151)+N(S151)*N(AO151)+N(T151)*N(AP151))</f>
        <v>0.372427639735321</v>
      </c>
      <c r="CG151" s="16" t="n">
        <f aca="false">IF(AND(BY151=1,N(K151)&gt;0),K151,0)</f>
        <v>4.959</v>
      </c>
      <c r="CH151" s="16" t="n">
        <f aca="false">IF(CG151&gt;0,CF151*1000/CG151,"")</f>
        <v>75.1013590916154</v>
      </c>
      <c r="CI151" s="16" t="n">
        <f aca="false">IF(BY151=0,"",N(AQ151)+p_road*(N(AR151)+N(AS151)+N(AT151)))</f>
        <v>0.016404408793958</v>
      </c>
      <c r="CJ151" s="16" t="n">
        <f aca="false">IF(CG151&gt;0,CI151*1000/CG151,"")</f>
        <v>3.30800741963258</v>
      </c>
      <c r="CK151" s="12" t="n">
        <f aca="false">IF(CH151="",1,MIN(p_idx_max,MAX(p_idx_min,CH151/p_fc_world)))</f>
        <v>0.466446789953823</v>
      </c>
      <c r="CL151" s="12" t="n">
        <f aca="false">IF(CJ151="",1,MIN(p_idx_max,MAX(p_idx_min,CJ151/p_cb_world)))</f>
        <v>0.25</v>
      </c>
      <c r="CM151" s="37" t="n">
        <f aca="false">p_b*(1-p_wb_idx+p_wb_idx*CK151)</f>
        <v>0.0620374230638584</v>
      </c>
      <c r="CN151" s="37" t="n">
        <f aca="false">p_c*(1-p_wc_idx+p_wc_idx*CL151)</f>
        <v>0.03225</v>
      </c>
      <c r="CO151" s="28" t="n">
        <f aca="false">IF(N(BR151)&gt;0,(N(BS151)+N(BT151)+N(BU151))/BR151,"")</f>
        <v>0.731543624161074</v>
      </c>
      <c r="CP151" s="16" t="n">
        <f aca="false">N(BS151)+N(BT151)+N(BU151)</f>
        <v>1.09</v>
      </c>
      <c r="CQ151" s="28" t="n">
        <f aca="false">IF(CP151&gt;0,N(BS151)/CP151,"")</f>
        <v>0</v>
      </c>
      <c r="CR151" s="28" t="n">
        <f aca="false">IF(CP151&gt;0,N(BT151)/CP151,"")</f>
        <v>0.990825688073394</v>
      </c>
      <c r="CS151" s="28" t="n">
        <f aca="false">IF(CP151&gt;0,N(BU151)/CP151,"")</f>
        <v>0.0091743119266055</v>
      </c>
      <c r="CT151" s="7" t="n">
        <f aca="false">1000*(p_sh_pv*p_cf_pv/p_capex_pv+(1-p_sh_pv)*p_cf_wind/p_capex_wind)*8760</f>
        <v>2301.28856624319</v>
      </c>
      <c r="CU151" s="13" t="n">
        <f aca="false">IF(AND(ISNUMBER(CO151),ISNUMBER(CQ151),BY151=1),1,0)</f>
        <v>1</v>
      </c>
      <c r="CV151" s="16" t="n">
        <f aca="false">IF(CU151=0,"",CQ151*p_hr_coal*N(AK151)+CR151*p_hr_gas*N(AO151)+CS151*p_hr_oil*N(AH151)/p_gj_l_oil)</f>
        <v>36.4830703914624</v>
      </c>
      <c r="CW151" s="37" t="n">
        <f aca="false">IF(CU151=0,"",CQ151*p_hr_coal*p_ef_coal+CR151*p_hr_gas*p_ef_gas+CS151*p_hr_oil*p_ef_oil)</f>
        <v>0.424345871559633</v>
      </c>
      <c r="CX151" s="16" t="n">
        <f aca="false">IF(CU151=0,"",CQ151*p_hr_coal*N(AW151)+CR151*p_hr_gas*N(AX151)+CS151*p_hr_oil*N(AY151)/p_gj_l_oil)</f>
        <v>0.0263863541676159</v>
      </c>
      <c r="CY151" s="37" t="n">
        <f aca="false">IF(CU151=0,"",CO151*CW151)</f>
        <v>0.310427516778523</v>
      </c>
      <c r="CZ151" s="37" t="n">
        <f aca="false">IF(CU151=0,"",CT151*CO151*CV151/1000/1000-p_om_re)</f>
        <v>0.0464189928195413</v>
      </c>
      <c r="DA151" s="37" t="n">
        <f aca="false">IF(CU151=0,"",CT151*CO151*CX151/1000/1000)</f>
        <v>4.44212419559382E-005</v>
      </c>
      <c r="DB151" s="37" t="n">
        <f aca="false">IF(CU151=0,"",CT151*CO151*CW151/1000)</f>
        <v>0.714383295009683</v>
      </c>
      <c r="DC151" s="13" t="n">
        <f aca="false">IF(AND(CU151=1,ISNUMBER(AD151),ISNUMBER(AV151)),1,0)</f>
        <v>1</v>
      </c>
      <c r="DD151" s="7" t="n">
        <f aca="false">IF(DC151=0,"",p_ev_km*p_ice_l/100*AD151-p_ev_km*p_ev_kwh*AV151+p_ev_km*p_ev_maint)</f>
        <v>741.9771</v>
      </c>
      <c r="DE151" s="37" t="n">
        <f aca="false">IF(DC151=0,"",DD151/p_ev_prem)</f>
        <v>0.14839542</v>
      </c>
      <c r="DF151" s="37" t="n">
        <f aca="false">IF(DC151=0,"",p_ev_km*p_ice_l/100*N(AZ151)/p_ev_prem)</f>
        <v>0.004744575</v>
      </c>
      <c r="DG151" s="37" t="n">
        <f aca="false">IF(DC151=0,"",1000/p_ev_prem*(p_ev_km*p_ice_l/100*p_gj_l_gso*p_ef_gso-p_ev_km*p_ev_kwh/1000*CY151))</f>
        <v>0.365632640939597</v>
      </c>
      <c r="DH151" s="11" t="str">
        <f aca="false">IFERROR(IF(INDEX(Damodaran!$D:$D,MATCH(A151,Damodaran!$A:$A,0))="","",INDEX(Damodaran!$D:$D,MATCH(A151,Damodaran!$A:$A,0))),"")</f>
        <v/>
      </c>
      <c r="DI151" s="11" t="str">
        <f aca="false">IFERROR(IF(INDEX(Damodaran!$E:$E,MATCH(A151,Damodaran!$A:$A,0))="","",INDEX(Damodaran!$E:$E,MATCH(A151,Damodaran!$A:$A,0))),"")</f>
        <v/>
      </c>
      <c r="DJ151" s="11" t="str">
        <f aca="false">IFERROR(IF(INDEX(Damodaran!$G:$G,MATCH(A151,Damodaran!$A:$A,0))="","",INDEX(Damodaran!$G:$G,MATCH(A151,Damodaran!$A:$A,0))),"")</f>
        <v/>
      </c>
      <c r="DK151" s="11" t="str">
        <f aca="false">IF(ISNUMBER(BG151),(1+BG151/100)*(1+p_infl)-1,"")</f>
        <v/>
      </c>
      <c r="DL151" s="11" t="str">
        <f aca="false">IF(ISNUMBER(BH151),BH151/100,"")</f>
        <v/>
      </c>
      <c r="DM151" s="11" t="str">
        <f aca="false">IF(COUNT(DK151,DL151)=0,"",AVERAGE(DK151,DL151))</f>
        <v/>
      </c>
      <c r="DN151" s="11" t="str">
        <f aca="false">IF(OR(DH151="",DI151=""),"",p_dv*(p_rf+DH151)*(1-IF(DJ151="",p_tax_def,DJ151))+(1-p_dv)*(p_rf+p_beta*p_erp+p_lambda*DI151))</f>
        <v/>
      </c>
      <c r="DO151" s="13" t="n">
        <f aca="false">IF(AND(ISNUMBER(DM151),ISNUMBER(DN151)),1,0)</f>
        <v>0</v>
      </c>
      <c r="DP151" s="11" t="n">
        <f aca="false">IF(DO151=1,DM151,0)</f>
        <v>0</v>
      </c>
      <c r="DQ151" s="11" t="n">
        <f aca="false">IF(DO151=1,DN151,0)</f>
        <v>0</v>
      </c>
      <c r="DR151" s="11" t="str">
        <f aca="false">IF(DN151="","",DN151+p_shift)</f>
        <v/>
      </c>
      <c r="DS151" s="11" t="n">
        <f aca="false">IF(E151="AE",p_r_ae,IF(E151="China",p_r_chn,p_r_emdc))</f>
        <v>0.105</v>
      </c>
      <c r="DT151" s="11" t="n">
        <f aca="false">IF(E151="AE",p_rh_ae,IF(E151="China",p_rh_chn,p_rh_emdc))</f>
        <v>0.15</v>
      </c>
      <c r="DU151" s="11" t="n">
        <f aca="false">IF(AND(p_use_obs=1,ISNUMBER(DM151)),DM151,IF(AND(p_use_dam=1,ISNUMBER(DR151)),DR151,DS151))</f>
        <v>0.105</v>
      </c>
      <c r="DV151" s="6" t="str">
        <f aca="false">IF(AND(p_use_obs=1,ISNUMBER(DM151)),"Observed (IRENA/Steffen)",IF(AND(p_use_dam=1,ISNUMBER(DR151)),"Damodaran (eq. 5)","Group default (IHLEG)"))</f>
        <v>Group default (IHLEG)</v>
      </c>
      <c r="DW151" s="11" t="n">
        <f aca="false">IF(p_basis=1,(1+DU151)/(1+p_infl)-1,DU151)</f>
        <v>0.105</v>
      </c>
      <c r="DX151" s="11" t="n">
        <f aca="false">DW151+(DT151-DS151)</f>
        <v>0.15</v>
      </c>
      <c r="DY151" s="28" t="n">
        <f aca="false">IF(AND(p_use_pefa=1,ISNUMBER(BD151)),p_gap_lic-(BD151-1)/3*(p_gap_lic-p_gap_ae),IF(E151="AE",p_gap_ae,IF(D151="Low income",p_gap_lic,p_gap_em)))*(1-p_reform*p_reform_close)</f>
        <v>0.27</v>
      </c>
      <c r="DZ151" s="6" t="str">
        <f aca="false">IF(AND(p_use_pefa=1,ISNUMBER(BD151)),"PEFA PI-11","Income-group default (IMF 2015)")</f>
        <v>Income-group default (IMF 2015)</v>
      </c>
      <c r="EA151" s="28" t="n">
        <f aca="false">IF(E151="AE",p_ps_ae,IF(E151="China",p_ps_chn,p_ps_emdc))</f>
        <v>0.4</v>
      </c>
      <c r="EB151" s="37" t="n">
        <f aca="false">(1-EA151)+EA151/(1-DY151)</f>
        <v>1.14794520547945</v>
      </c>
      <c r="EC151" s="16" t="n">
        <f aca="false">Results_Country!F151</f>
        <v>0.731291534404296</v>
      </c>
      <c r="ED151" s="16" t="n">
        <f aca="false">IF(CH151="",0,CH151*EC151)</f>
        <v>54.9209881259554</v>
      </c>
      <c r="EE151" s="16" t="n">
        <f aca="false">IF(CJ151="",0,CJ151*EC151)</f>
        <v>2.4191178217239</v>
      </c>
      <c r="EF151" s="16" t="n">
        <f aca="false">IF(CH151="",0,EC151)</f>
        <v>0.731291534404296</v>
      </c>
    </row>
    <row r="152" customFormat="false" ht="15" hidden="false" customHeight="false" outlineLevel="0" collapsed="false">
      <c r="A152" s="35" t="s">
        <v>1061</v>
      </c>
      <c r="B152" s="35" t="s">
        <v>1062</v>
      </c>
      <c r="C152" s="35" t="s">
        <v>847</v>
      </c>
      <c r="D152" s="35" t="s">
        <v>888</v>
      </c>
      <c r="E152" s="35" t="s">
        <v>31</v>
      </c>
      <c r="F152" s="36" t="n">
        <v>12.161</v>
      </c>
      <c r="G152" s="36" t="n">
        <v>30.511</v>
      </c>
      <c r="H152" s="33" t="n">
        <v>3</v>
      </c>
      <c r="I152" s="33" t="n">
        <v>2.6</v>
      </c>
      <c r="J152" s="36" t="n">
        <v>19.009151</v>
      </c>
      <c r="K152" s="36" t="n">
        <v>0.943</v>
      </c>
      <c r="L152" s="36" t="n">
        <v>35.479</v>
      </c>
      <c r="M152" s="36" t="n">
        <v>51.964</v>
      </c>
      <c r="N152" s="36" t="n">
        <v>0.1251370283546</v>
      </c>
      <c r="O152" s="36" t="n">
        <v>0.414817872902012</v>
      </c>
      <c r="P152" s="36" t="n">
        <v>0</v>
      </c>
      <c r="Q152" s="31" t="n">
        <v>0</v>
      </c>
      <c r="R152" s="31" t="n">
        <v>0</v>
      </c>
      <c r="S152" s="31" t="n">
        <v>0</v>
      </c>
      <c r="T152" s="31" t="n">
        <v>0</v>
      </c>
      <c r="U152" s="31" t="n">
        <v>0</v>
      </c>
      <c r="V152" s="31" t="n">
        <v>0</v>
      </c>
      <c r="W152" s="31" t="n">
        <v>0</v>
      </c>
      <c r="X152" s="31" t="n">
        <v>0</v>
      </c>
      <c r="Y152" s="36" t="n">
        <v>0.116812752812437</v>
      </c>
      <c r="Z152" s="36" t="n">
        <v>0.0914277198507038</v>
      </c>
      <c r="AA152" s="36" t="n">
        <v>0.0195648657926696</v>
      </c>
      <c r="AB152" s="36" t="n">
        <v>0.0642485967081326</v>
      </c>
      <c r="AC152" s="36" t="n">
        <v>0.168740408256859</v>
      </c>
      <c r="AD152" s="31" t="n">
        <v>0.724</v>
      </c>
      <c r="AE152" s="31" t="n">
        <v>0.75</v>
      </c>
      <c r="AF152" s="31" t="n">
        <v>0.513</v>
      </c>
      <c r="AG152" s="31" t="n">
        <v>0.591</v>
      </c>
      <c r="AH152" s="31" t="n">
        <v>0.519462891908447</v>
      </c>
      <c r="AI152" s="31" t="n">
        <v>7.124</v>
      </c>
      <c r="AJ152" s="31" t="n">
        <v>12.193</v>
      </c>
      <c r="AK152" s="31" t="n">
        <v>5.575</v>
      </c>
      <c r="AL152" s="31" t="n">
        <v>8.29733333333333</v>
      </c>
      <c r="AM152" s="31" t="n">
        <v>12.815</v>
      </c>
      <c r="AN152" s="31" t="n">
        <v>20.757</v>
      </c>
      <c r="AO152" s="31" t="n">
        <v>11.492</v>
      </c>
      <c r="AP152" s="31" t="n">
        <v>15.0213333333333</v>
      </c>
      <c r="AQ152" s="36" t="n">
        <v>7.84244790127879E-005</v>
      </c>
      <c r="AR152" s="36" t="n">
        <v>0.00138706527699078</v>
      </c>
      <c r="AS152" s="36" t="n">
        <v>0.0644149027558675</v>
      </c>
      <c r="AT152" s="36" t="n">
        <v>0.0173719424109109</v>
      </c>
      <c r="AU152" s="31" t="n">
        <v>0.235576797131124</v>
      </c>
      <c r="AV152" s="36" t="n">
        <v>0.296642</v>
      </c>
      <c r="AW152" s="31" t="n">
        <v>0.014505</v>
      </c>
      <c r="AX152" s="31" t="n">
        <v>5.3E-005</v>
      </c>
      <c r="AY152" s="31" t="n">
        <v>6.40424515605726E-005</v>
      </c>
      <c r="AZ152" s="31" t="n">
        <v>0.000117</v>
      </c>
      <c r="BA152" s="33"/>
      <c r="BB152" s="33" t="n">
        <v>0.664</v>
      </c>
      <c r="BC152" s="33" t="n">
        <v>2.568</v>
      </c>
      <c r="BD152" s="33"/>
      <c r="BE152" s="33"/>
      <c r="BF152" s="33" t="n">
        <v>0</v>
      </c>
      <c r="BG152" s="33"/>
      <c r="BH152" s="33"/>
      <c r="BI152" s="29"/>
      <c r="BJ152" s="33"/>
      <c r="BK152" s="33"/>
      <c r="BL152" s="33"/>
      <c r="BM152" s="33"/>
      <c r="BN152" s="29" t="n">
        <v>3.333</v>
      </c>
      <c r="BO152" s="33" t="n">
        <v>1.615</v>
      </c>
      <c r="BP152" s="33" t="n">
        <v>0.207</v>
      </c>
      <c r="BQ152" s="29" t="n">
        <v>2024</v>
      </c>
      <c r="BR152" s="36" t="n">
        <v>0.43</v>
      </c>
      <c r="BS152" s="36" t="n">
        <v>0</v>
      </c>
      <c r="BT152" s="36" t="n">
        <v>0</v>
      </c>
      <c r="BU152" s="36" t="n">
        <v>0.34</v>
      </c>
      <c r="BV152" s="16" t="n">
        <f aca="false">F152*(1+N(H152)/100)*(1+N(I152)/100)^5</f>
        <v>14.2410928195233</v>
      </c>
      <c r="BW152" s="16" t="n">
        <f aca="false">IF(N(G152)&gt;0,G152,F152)</f>
        <v>30.511</v>
      </c>
      <c r="BX152" s="12" t="n">
        <f aca="false">F152/BW152</f>
        <v>0.398577562190685</v>
      </c>
      <c r="BY152" s="13" t="n">
        <f aca="false">IF(ISNUMBER(K152),1,0)</f>
        <v>1</v>
      </c>
      <c r="BZ152" s="16" t="n">
        <f aca="false">IF(BY152=0,"",N(N152)+N(O152)+N(P152))</f>
        <v>0.539954901256612</v>
      </c>
      <c r="CA152" s="37" t="n">
        <f aca="false">IF(BY152=0,"",(N(Y152)*34.2+N(Z152)*38.6)/1000)</f>
        <v>0.00752410613242251</v>
      </c>
      <c r="CB152" s="37" t="n">
        <f aca="false">IF(BY152=0,"",N(O152)*0.0036+N(R152)+N(V152)+(N(AA152)*25.3+N(AB152)*37)/1000)</f>
        <v>0.00436553352520269</v>
      </c>
      <c r="CC152" s="37" t="n">
        <f aca="false">IF(BY152=0,"",N(N152)*0.0036+N(Q152)+N(U152)+N(T152)+N(X152)+N(AC152)*38/1000)</f>
        <v>0.00686262881583719</v>
      </c>
      <c r="CD152" s="37" t="n">
        <f aca="false">IF(BY152=0,"",N(Q152)+N(R152)+N(S152)+N(T152)+N(U152)+N(V152)+N(W152)+N(X152)+(N(Y152)*34.2+N(Z152)*38.6+N(AA152)*25.3+N(AB152)*37+N(AC152)*38)/1000)</f>
        <v>0.0168084308289386</v>
      </c>
      <c r="CE152" s="16" t="n">
        <f aca="false">IF(BY152=0,"",MAX(0,N(L152)-N(K152))+MAX(0,N(M152)-N(L152)))</f>
        <v>51.021</v>
      </c>
      <c r="CF152" s="16" t="n">
        <f aca="false">IF(BY152=0,"",N(Y152)*N(AD152)+N(Z152)*N(AE152)+N(AA152)*N(AF152)+N(AB152)*N(AG152)+N(AC152)*N(AH152)+N(U152)*N(AI152)+N(V152)*N(AJ152)+N(W152)*N(AK152)+N(X152)*N(AL152)+N(Q152)*N(AM152)+N(R152)*N(AN152)+N(S152)*N(AO152)+N(T152)*N(AP152))</f>
        <v>0.288805300185298</v>
      </c>
      <c r="CG152" s="16" t="n">
        <f aca="false">IF(AND(BY152=1,N(K152)&gt;0),K152,0)</f>
        <v>0.943</v>
      </c>
      <c r="CH152" s="16" t="n">
        <f aca="false">IF(CG152&gt;0,CF152*1000/CG152,"")</f>
        <v>306.262248340719</v>
      </c>
      <c r="CI152" s="16" t="n">
        <f aca="false">IF(BY152=0,"",N(AQ152)+p_road*(N(AR152)+N(AS152)+N(AT152)))</f>
        <v>7.84244790127879E-005</v>
      </c>
      <c r="CJ152" s="16" t="n">
        <f aca="false">IF(CG152&gt;0,CI152*1000/CG152,"")</f>
        <v>0.083164877001896</v>
      </c>
      <c r="CK152" s="12" t="n">
        <f aca="false">IF(CH152="",1,MIN(p_idx_max,MAX(p_idx_min,CH152/p_fc_world)))</f>
        <v>1.90216321449391</v>
      </c>
      <c r="CL152" s="12" t="n">
        <f aca="false">IF(CJ152="",1,MIN(p_idx_max,MAX(p_idx_min,CJ152/p_cb_world)))</f>
        <v>0.25</v>
      </c>
      <c r="CM152" s="37" t="n">
        <f aca="false">p_b*(1-p_wb_idx+p_wb_idx*CK152)</f>
        <v>0.25298770752769</v>
      </c>
      <c r="CN152" s="37" t="n">
        <f aca="false">p_c*(1-p_wc_idx+p_wc_idx*CL152)</f>
        <v>0.03225</v>
      </c>
      <c r="CO152" s="28" t="n">
        <f aca="false">IF(N(BR152)&gt;0,(N(BS152)+N(BT152)+N(BU152))/BR152,"")</f>
        <v>0.790697674418605</v>
      </c>
      <c r="CP152" s="16" t="n">
        <f aca="false">N(BS152)+N(BT152)+N(BU152)</f>
        <v>0.34</v>
      </c>
      <c r="CQ152" s="28" t="n">
        <f aca="false">IF(CP152&gt;0,N(BS152)/CP152,"")</f>
        <v>0</v>
      </c>
      <c r="CR152" s="28" t="n">
        <f aca="false">IF(CP152&gt;0,N(BT152)/CP152,"")</f>
        <v>0</v>
      </c>
      <c r="CS152" s="28" t="n">
        <f aca="false">IF(CP152&gt;0,N(BU152)/CP152,"")</f>
        <v>1</v>
      </c>
      <c r="CT152" s="7" t="n">
        <f aca="false">1000*(p_sh_pv*p_cf_pv/p_capex_pv+(1-p_sh_pv)*p_cf_wind/p_capex_wind)*8760</f>
        <v>2301.28856624319</v>
      </c>
      <c r="CU152" s="13" t="n">
        <f aca="false">IF(AND(ISNUMBER(CO152),ISNUMBER(CQ152),BY152=1),1,0)</f>
        <v>1</v>
      </c>
      <c r="CV152" s="16" t="n">
        <f aca="false">IF(CU152=0,"",CQ152*p_hr_coal*N(AK152)+CR152*p_hr_gas*N(AO152)+CS152*p_hr_oil*N(AH152)/p_gj_l_oil)</f>
        <v>141.304672669396</v>
      </c>
      <c r="CW152" s="37" t="n">
        <f aca="false">IF(CU152=0,"",CQ152*p_hr_coal*p_ef_coal+CR152*p_hr_gas*p_ef_gas+CS152*p_hr_oil*p_ef_oil)</f>
        <v>0.8127</v>
      </c>
      <c r="CX152" s="16" t="n">
        <f aca="false">IF(CU152=0,"",CQ152*p_hr_coal*N(AW152)+CR152*p_hr_gas*N(AX152)+CS152*p_hr_oil*N(AY152)/p_gj_l_oil)</f>
        <v>0.0174208741291713</v>
      </c>
      <c r="CY152" s="37" t="n">
        <f aca="false">IF(CU152=0,"",CO152*CW152)</f>
        <v>0.6426</v>
      </c>
      <c r="CZ152" s="37" t="n">
        <f aca="false">IF(CU152=0,"",CT152*CO152*CV152/1000/1000-p_om_re)</f>
        <v>0.242121305521112</v>
      </c>
      <c r="DA152" s="37" t="n">
        <f aca="false">IF(CU152=0,"",CT152*CO152*CX152/1000/1000)</f>
        <v>3.16994322607537E-005</v>
      </c>
      <c r="DB152" s="37" t="n">
        <f aca="false">IF(CU152=0,"",CT152*CO152*CW152/1000)</f>
        <v>1.47880803266788</v>
      </c>
      <c r="DC152" s="13" t="n">
        <f aca="false">IF(AND(CU152=1,ISNUMBER(AD152),ISNUMBER(AV152)),1,0)</f>
        <v>1</v>
      </c>
      <c r="DD152" s="7" t="n">
        <f aca="false">IF(DC152=0,"",p_ev_km*p_ice_l/100*AD152-p_ev_km*p_ev_kwh*AV152+p_ev_km*p_ev_maint)</f>
        <v>193.5666</v>
      </c>
      <c r="DE152" s="37" t="n">
        <f aca="false">IF(DC152=0,"",DD152/p_ev_prem)</f>
        <v>0.03871332</v>
      </c>
      <c r="DF152" s="37" t="n">
        <f aca="false">IF(DC152=0,"",p_ev_km*p_ice_l/100*N(AZ152)/p_ev_prem)</f>
        <v>2.6325E-005</v>
      </c>
      <c r="DG152" s="37" t="n">
        <f aca="false">IF(DC152=0,"",1000/p_ev_prem*(p_ev_km*p_ice_l/100*p_gj_l_gso*p_ef_gso-p_ev_km*p_ev_kwh/1000*CY152))</f>
        <v>0.1862595</v>
      </c>
      <c r="DH152" s="11" t="str">
        <f aca="false">IFERROR(IF(INDEX(Damodaran!$D:$D,MATCH(A152,Damodaran!$A:$A,0))="","",INDEX(Damodaran!$D:$D,MATCH(A152,Damodaran!$A:$A,0))),"")</f>
        <v/>
      </c>
      <c r="DI152" s="11" t="str">
        <f aca="false">IFERROR(IF(INDEX(Damodaran!$E:$E,MATCH(A152,Damodaran!$A:$A,0))="","",INDEX(Damodaran!$E:$E,MATCH(A152,Damodaran!$A:$A,0))),"")</f>
        <v/>
      </c>
      <c r="DJ152" s="11" t="str">
        <f aca="false">IFERROR(IF(INDEX(Damodaran!$G:$G,MATCH(A152,Damodaran!$A:$A,0))="","",INDEX(Damodaran!$G:$G,MATCH(A152,Damodaran!$A:$A,0))),"")</f>
        <v/>
      </c>
      <c r="DK152" s="11" t="str">
        <f aca="false">IF(ISNUMBER(BG152),(1+BG152/100)*(1+p_infl)-1,"")</f>
        <v/>
      </c>
      <c r="DL152" s="11" t="str">
        <f aca="false">IF(ISNUMBER(BH152),BH152/100,"")</f>
        <v/>
      </c>
      <c r="DM152" s="11" t="str">
        <f aca="false">IF(COUNT(DK152,DL152)=0,"",AVERAGE(DK152,DL152))</f>
        <v/>
      </c>
      <c r="DN152" s="11" t="str">
        <f aca="false">IF(OR(DH152="",DI152=""),"",p_dv*(p_rf+DH152)*(1-IF(DJ152="",p_tax_def,DJ152))+(1-p_dv)*(p_rf+p_beta*p_erp+p_lambda*DI152))</f>
        <v/>
      </c>
      <c r="DO152" s="13" t="n">
        <f aca="false">IF(AND(ISNUMBER(DM152),ISNUMBER(DN152)),1,0)</f>
        <v>0</v>
      </c>
      <c r="DP152" s="11" t="n">
        <f aca="false">IF(DO152=1,DM152,0)</f>
        <v>0</v>
      </c>
      <c r="DQ152" s="11" t="n">
        <f aca="false">IF(DO152=1,DN152,0)</f>
        <v>0</v>
      </c>
      <c r="DR152" s="11" t="str">
        <f aca="false">IF(DN152="","",DN152+p_shift)</f>
        <v/>
      </c>
      <c r="DS152" s="11" t="n">
        <f aca="false">IF(E152="AE",p_r_ae,IF(E152="China",p_r_chn,p_r_emdc))</f>
        <v>0.105</v>
      </c>
      <c r="DT152" s="11" t="n">
        <f aca="false">IF(E152="AE",p_rh_ae,IF(E152="China",p_rh_chn,p_rh_emdc))</f>
        <v>0.15</v>
      </c>
      <c r="DU152" s="11" t="n">
        <f aca="false">IF(AND(p_use_obs=1,ISNUMBER(DM152)),DM152,IF(AND(p_use_dam=1,ISNUMBER(DR152)),DR152,DS152))</f>
        <v>0.105</v>
      </c>
      <c r="DV152" s="6" t="str">
        <f aca="false">IF(AND(p_use_obs=1,ISNUMBER(DM152)),"Observed (IRENA/Steffen)",IF(AND(p_use_dam=1,ISNUMBER(DR152)),"Damodaran (eq. 5)","Group default (IHLEG)"))</f>
        <v>Group default (IHLEG)</v>
      </c>
      <c r="DW152" s="11" t="n">
        <f aca="false">IF(p_basis=1,(1+DU152)/(1+p_infl)-1,DU152)</f>
        <v>0.105</v>
      </c>
      <c r="DX152" s="11" t="n">
        <f aca="false">DW152+(DT152-DS152)</f>
        <v>0.15</v>
      </c>
      <c r="DY152" s="28" t="n">
        <f aca="false">IF(AND(p_use_pefa=1,ISNUMBER(BD152)),p_gap_lic-(BD152-1)/3*(p_gap_lic-p_gap_ae),IF(E152="AE",p_gap_ae,IF(D152="Low income",p_gap_lic,p_gap_em)))*(1-p_reform*p_reform_close)</f>
        <v>0.4</v>
      </c>
      <c r="DZ152" s="6" t="str">
        <f aca="false">IF(AND(p_use_pefa=1,ISNUMBER(BD152)),"PEFA PI-11","Income-group default (IMF 2015)")</f>
        <v>Income-group default (IMF 2015)</v>
      </c>
      <c r="EA152" s="28" t="n">
        <f aca="false">IF(E152="AE",p_ps_ae,IF(E152="China",p_ps_chn,p_ps_emdc))</f>
        <v>0.4</v>
      </c>
      <c r="EB152" s="37" t="n">
        <f aca="false">(1-EA152)+EA152/(1-DY152)</f>
        <v>1.26666666666667</v>
      </c>
      <c r="EC152" s="16" t="n">
        <f aca="false">Results_Country!F152</f>
        <v>1.27782526026003</v>
      </c>
      <c r="ED152" s="16" t="n">
        <f aca="false">IF(CH152="",0,CH152*EC152)</f>
        <v>391.349637193801</v>
      </c>
      <c r="EE152" s="16" t="n">
        <f aca="false">IF(CJ152="",0,CJ152*EC152)</f>
        <v>0.106270180599441</v>
      </c>
      <c r="EF152" s="16" t="n">
        <f aca="false">IF(CH152="",0,EC152)</f>
        <v>1.27782526026003</v>
      </c>
    </row>
    <row r="153" customFormat="false" ht="15" hidden="false" customHeight="false" outlineLevel="0" collapsed="false">
      <c r="A153" s="35" t="s">
        <v>1063</v>
      </c>
      <c r="B153" s="35" t="s">
        <v>1064</v>
      </c>
      <c r="C153" s="35" t="s">
        <v>847</v>
      </c>
      <c r="D153" s="35" t="s">
        <v>888</v>
      </c>
      <c r="E153" s="35" t="s">
        <v>31</v>
      </c>
      <c r="F153" s="36" t="n">
        <v>11.79</v>
      </c>
      <c r="G153" s="36" t="n">
        <v>40.286</v>
      </c>
      <c r="H153" s="33" t="n">
        <v>2.087</v>
      </c>
      <c r="I153" s="33" t="n">
        <v>2.227</v>
      </c>
      <c r="J153" s="36" t="n">
        <v>21.655286</v>
      </c>
      <c r="K153" s="36" t="n">
        <v>5.956</v>
      </c>
      <c r="L153" s="36" t="n">
        <v>21.3</v>
      </c>
      <c r="M153" s="36" t="n">
        <v>29.604</v>
      </c>
      <c r="N153" s="36" t="n">
        <v>1.34670991421829</v>
      </c>
      <c r="O153" s="36" t="n">
        <v>0.793158674252362</v>
      </c>
      <c r="P153" s="36" t="n">
        <v>0</v>
      </c>
      <c r="Q153" s="31" t="n">
        <v>0</v>
      </c>
      <c r="R153" s="31" t="n">
        <v>0</v>
      </c>
      <c r="S153" s="31" t="n">
        <v>0</v>
      </c>
      <c r="T153" s="31" t="n">
        <v>0</v>
      </c>
      <c r="U153" s="31" t="n">
        <v>0.00122678839349675</v>
      </c>
      <c r="V153" s="31" t="n">
        <v>0.000213361807599479</v>
      </c>
      <c r="W153" s="31" t="n">
        <v>0</v>
      </c>
      <c r="X153" s="31" t="n">
        <v>0</v>
      </c>
      <c r="Y153" s="36" t="n">
        <v>0.293827710019825</v>
      </c>
      <c r="Z153" s="36" t="n">
        <v>0.265741157958578</v>
      </c>
      <c r="AA153" s="36" t="n">
        <v>0.00333710299191259</v>
      </c>
      <c r="AB153" s="36" t="n">
        <v>0.00122687933782632</v>
      </c>
      <c r="AC153" s="36" t="n">
        <v>0.0229470172614732</v>
      </c>
      <c r="AD153" s="31" t="n">
        <v>0.84346</v>
      </c>
      <c r="AE153" s="31" t="n">
        <v>0.783808</v>
      </c>
      <c r="AF153" s="31" t="n">
        <v>0.597645</v>
      </c>
      <c r="AG153" s="31" t="n">
        <v>0.688515</v>
      </c>
      <c r="AH153" s="31" t="n">
        <v>0.542107286233764</v>
      </c>
      <c r="AI153" s="31" t="n">
        <v>7.124</v>
      </c>
      <c r="AJ153" s="31" t="n">
        <v>14.204845</v>
      </c>
      <c r="AK153" s="31" t="n">
        <v>5.575</v>
      </c>
      <c r="AL153" s="31" t="n">
        <v>8.17304466727272</v>
      </c>
      <c r="AM153" s="31" t="n">
        <v>12.761</v>
      </c>
      <c r="AN153" s="31" t="n">
        <v>24.118995</v>
      </c>
      <c r="AO153" s="31" t="n">
        <v>11.438</v>
      </c>
      <c r="AP153" s="31" t="n">
        <v>16.1059983333333</v>
      </c>
      <c r="AQ153" s="36" t="n">
        <v>9.62668692658226E-005</v>
      </c>
      <c r="AR153" s="36" t="n">
        <v>0.000106669609500335</v>
      </c>
      <c r="AS153" s="36" t="n">
        <v>0.00197754722550005</v>
      </c>
      <c r="AT153" s="36" t="n">
        <v>0</v>
      </c>
      <c r="AU153" s="31" t="n">
        <v>0.9632889081942</v>
      </c>
      <c r="AV153" s="36" t="n">
        <v>0.183583</v>
      </c>
      <c r="AW153" s="31" t="n">
        <v>0.006138</v>
      </c>
      <c r="AX153" s="31" t="n">
        <v>0.000453</v>
      </c>
      <c r="AY153" s="31" t="n">
        <v>0.00185201713110997</v>
      </c>
      <c r="AZ153" s="31" t="n">
        <v>0.00011</v>
      </c>
      <c r="BA153" s="33" t="n">
        <v>87.628</v>
      </c>
      <c r="BB153" s="33" t="n">
        <v>35.579</v>
      </c>
      <c r="BC153" s="33" t="n">
        <v>47.112</v>
      </c>
      <c r="BD153" s="33" t="n">
        <v>1.5</v>
      </c>
      <c r="BE153" s="33" t="n">
        <v>1</v>
      </c>
      <c r="BF153" s="33" t="n">
        <v>0</v>
      </c>
      <c r="BG153" s="33"/>
      <c r="BH153" s="33"/>
      <c r="BI153" s="29"/>
      <c r="BJ153" s="33"/>
      <c r="BK153" s="33"/>
      <c r="BL153" s="33"/>
      <c r="BM153" s="33"/>
      <c r="BN153" s="29" t="n">
        <v>19.5</v>
      </c>
      <c r="BO153" s="33" t="n">
        <v>2.73</v>
      </c>
      <c r="BP153" s="33" t="n">
        <v>0.047</v>
      </c>
      <c r="BQ153" s="29" t="n">
        <v>2024</v>
      </c>
      <c r="BR153" s="36" t="n">
        <v>1.83</v>
      </c>
      <c r="BS153" s="36" t="n">
        <v>0</v>
      </c>
      <c r="BT153" s="36" t="n">
        <v>0</v>
      </c>
      <c r="BU153" s="36" t="n">
        <v>0.08</v>
      </c>
      <c r="BV153" s="16" t="n">
        <f aca="false">F153*(1+N(H153)/100)*(1+N(I153)/100)^5</f>
        <v>13.4373096910243</v>
      </c>
      <c r="BW153" s="16" t="n">
        <f aca="false">IF(N(G153)&gt;0,G153,F153)</f>
        <v>40.286</v>
      </c>
      <c r="BX153" s="12" t="n">
        <f aca="false">F153/BW153</f>
        <v>0.292657498882987</v>
      </c>
      <c r="BY153" s="13" t="n">
        <f aca="false">IF(ISNUMBER(K153),1,0)</f>
        <v>1</v>
      </c>
      <c r="BZ153" s="16" t="n">
        <f aca="false">IF(BY153=0,"",N(N153)+N(O153)+N(P153))</f>
        <v>2.13986858847065</v>
      </c>
      <c r="CA153" s="37" t="n">
        <f aca="false">IF(BY153=0,"",(N(Y153)*34.2+N(Z153)*38.6)/1000)</f>
        <v>0.0203065163798791</v>
      </c>
      <c r="CB153" s="37" t="n">
        <f aca="false">IF(BY153=0,"",N(O153)*0.0036+N(R153)+N(V153)+(N(AA153)*25.3+N(AB153)*37)/1000)</f>
        <v>0.00319855627610295</v>
      </c>
      <c r="CC153" s="37" t="n">
        <f aca="false">IF(BY153=0,"",N(N153)*0.0036+N(Q153)+N(U153)+N(T153)+N(X153)+N(AC153)*38/1000)</f>
        <v>0.00694693074061856</v>
      </c>
      <c r="CD153" s="37" t="n">
        <f aca="false">IF(BY153=0,"",N(Q153)+N(R153)+N(S153)+N(T153)+N(U153)+N(V153)+N(W153)+N(X153)+(N(Y153)*34.2+N(Z153)*38.6+N(AA153)*25.3+N(AB153)*37+N(AC153)*38)/1000)</f>
        <v>0.0227484764781063</v>
      </c>
      <c r="CE153" s="16" t="n">
        <f aca="false">IF(BY153=0,"",MAX(0,N(L153)-N(K153))+MAX(0,N(M153)-N(L153)))</f>
        <v>23.648</v>
      </c>
      <c r="CF153" s="16" t="n">
        <f aca="false">IF(BY153=0,"",N(Y153)*N(AD153)+N(Z153)*N(AE153)+N(AA153)*N(AF153)+N(AB153)*N(AG153)+N(AC153)*N(AH153)+N(U153)*N(AI153)+N(V153)*N(AJ153)+N(W153)*N(AK153)+N(X153)*N(AL153)+N(Q153)*N(AM153)+N(R153)*N(AN153)+N(S153)*N(AO153)+N(T153)*N(AP153))</f>
        <v>0.483171250751321</v>
      </c>
      <c r="CG153" s="16" t="n">
        <f aca="false">IF(AND(BY153=1,N(K153)&gt;0),K153,0)</f>
        <v>5.956</v>
      </c>
      <c r="CH153" s="16" t="n">
        <f aca="false">IF(CG153&gt;0,CF153*1000/CG153,"")</f>
        <v>81.1234470704032</v>
      </c>
      <c r="CI153" s="16" t="n">
        <f aca="false">IF(BY153=0,"",N(AQ153)+p_road*(N(AR153)+N(AS153)+N(AT153)))</f>
        <v>9.62668692658226E-005</v>
      </c>
      <c r="CJ153" s="16" t="n">
        <f aca="false">IF(CG153&gt;0,CI153*1000/CG153,"")</f>
        <v>0.0161630069284457</v>
      </c>
      <c r="CK153" s="12" t="n">
        <f aca="false">IF(CH153="",1,MIN(p_idx_max,MAX(p_idx_min,CH153/p_fc_world)))</f>
        <v>0.503849356838111</v>
      </c>
      <c r="CL153" s="12" t="n">
        <f aca="false">IF(CJ153="",1,MIN(p_idx_max,MAX(p_idx_min,CJ153/p_cb_world)))</f>
        <v>0.25</v>
      </c>
      <c r="CM153" s="37" t="n">
        <f aca="false">p_b*(1-p_wb_idx+p_wb_idx*CK153)</f>
        <v>0.0670119644594688</v>
      </c>
      <c r="CN153" s="37" t="n">
        <f aca="false">p_c*(1-p_wc_idx+p_wc_idx*CL153)</f>
        <v>0.03225</v>
      </c>
      <c r="CO153" s="28" t="n">
        <f aca="false">IF(N(BR153)&gt;0,(N(BS153)+N(BT153)+N(BU153))/BR153,"")</f>
        <v>0.0437158469945355</v>
      </c>
      <c r="CP153" s="16" t="n">
        <f aca="false">N(BS153)+N(BT153)+N(BU153)</f>
        <v>0.08</v>
      </c>
      <c r="CQ153" s="28" t="n">
        <f aca="false">IF(CP153&gt;0,N(BS153)/CP153,"")</f>
        <v>0</v>
      </c>
      <c r="CR153" s="28" t="n">
        <f aca="false">IF(CP153&gt;0,N(BT153)/CP153,"")</f>
        <v>0</v>
      </c>
      <c r="CS153" s="28" t="n">
        <f aca="false">IF(CP153&gt;0,N(BU153)/CP153,"")</f>
        <v>1</v>
      </c>
      <c r="CT153" s="7" t="n">
        <f aca="false">1000*(p_sh_pv*p_cf_pv/p_capex_pv+(1-p_sh_pv)*p_cf_wind/p_capex_wind)*8760</f>
        <v>2301.28856624319</v>
      </c>
      <c r="CU153" s="13" t="n">
        <f aca="false">IF(AND(ISNUMBER(CO153),ISNUMBER(CQ153),BY153=1),1,0)</f>
        <v>1</v>
      </c>
      <c r="CV153" s="16" t="n">
        <f aca="false">IF(CU153=0,"",CQ153*p_hr_coal*N(AK153)+CR153*p_hr_gas*N(AO153)+CS153*p_hr_oil*N(AH153)/p_gj_l_oil)</f>
        <v>147.464417239755</v>
      </c>
      <c r="CW153" s="37" t="n">
        <f aca="false">IF(CU153=0,"",CQ153*p_hr_coal*p_ef_coal+CR153*p_hr_gas*p_ef_gas+CS153*p_hr_oil*p_ef_oil)</f>
        <v>0.8127</v>
      </c>
      <c r="CX153" s="16" t="n">
        <f aca="false">IF(CU153=0,"",CQ153*p_hr_coal*N(AW153)+CR153*p_hr_gas*N(AX153)+CS153*p_hr_oil*N(AY153)/p_gj_l_oil)</f>
        <v>0.50378704343665</v>
      </c>
      <c r="CY153" s="37" t="n">
        <f aca="false">IF(CU153=0,"",CO153*CW153)</f>
        <v>0.035527868852459</v>
      </c>
      <c r="CZ153" s="37" t="n">
        <f aca="false">IF(CU153=0,"",CT153*CO153*CV153/1000/1000-p_om_re)</f>
        <v>-0.000164669843866103</v>
      </c>
      <c r="DA153" s="37" t="n">
        <f aca="false">IF(CU153=0,"",CT153*CO153*CX153/1000/1000)</f>
        <v>5.06823765194415E-005</v>
      </c>
      <c r="DB153" s="37" t="n">
        <f aca="false">IF(CU153=0,"",CT153*CO153*CW153/1000)</f>
        <v>0.0817598783731516</v>
      </c>
      <c r="DC153" s="13" t="n">
        <f aca="false">IF(AND(CU153=1,ISNUMBER(AD153),ISNUMBER(AV153)),1,0)</f>
        <v>1</v>
      </c>
      <c r="DD153" s="7" t="n">
        <f aca="false">IF(DC153=0,"",p_ev_km*p_ice_l/100*AD153-p_ev_km*p_ev_kwh*AV153+p_ev_km*p_ev_maint)</f>
        <v>633.2184</v>
      </c>
      <c r="DE153" s="37" t="n">
        <f aca="false">IF(DC153=0,"",DD153/p_ev_prem)</f>
        <v>0.12664368</v>
      </c>
      <c r="DF153" s="37" t="n">
        <f aca="false">IF(DC153=0,"",p_ev_km*p_ice_l/100*N(AZ153)/p_ev_prem)</f>
        <v>2.475E-005</v>
      </c>
      <c r="DG153" s="37" t="n">
        <f aca="false">IF(DC153=0,"",1000/p_ev_prem*(p_ev_km*p_ice_l/100*p_gj_l_gso*p_ef_gso-p_ev_km*p_ev_kwh/1000*CY153))</f>
        <v>0.514078450819672</v>
      </c>
      <c r="DH153" s="11" t="str">
        <f aca="false">IFERROR(IF(INDEX(Damodaran!$D:$D,MATCH(A153,Damodaran!$A:$A,0))="","",INDEX(Damodaran!$D:$D,MATCH(A153,Damodaran!$A:$A,0))),"")</f>
        <v/>
      </c>
      <c r="DI153" s="11" t="str">
        <f aca="false">IFERROR(IF(INDEX(Damodaran!$E:$E,MATCH(A153,Damodaran!$A:$A,0))="","",INDEX(Damodaran!$E:$E,MATCH(A153,Damodaran!$A:$A,0))),"")</f>
        <v/>
      </c>
      <c r="DJ153" s="11" t="str">
        <f aca="false">IFERROR(IF(INDEX(Damodaran!$G:$G,MATCH(A153,Damodaran!$A:$A,0))="","",INDEX(Damodaran!$G:$G,MATCH(A153,Damodaran!$A:$A,0))),"")</f>
        <v/>
      </c>
      <c r="DK153" s="11" t="str">
        <f aca="false">IF(ISNUMBER(BG153),(1+BG153/100)*(1+p_infl)-1,"")</f>
        <v/>
      </c>
      <c r="DL153" s="11" t="str">
        <f aca="false">IF(ISNUMBER(BH153),BH153/100,"")</f>
        <v/>
      </c>
      <c r="DM153" s="11" t="str">
        <f aca="false">IF(COUNT(DK153,DL153)=0,"",AVERAGE(DK153,DL153))</f>
        <v/>
      </c>
      <c r="DN153" s="11" t="str">
        <f aca="false">IF(OR(DH153="",DI153=""),"",p_dv*(p_rf+DH153)*(1-IF(DJ153="",p_tax_def,DJ153))+(1-p_dv)*(p_rf+p_beta*p_erp+p_lambda*DI153))</f>
        <v/>
      </c>
      <c r="DO153" s="13" t="n">
        <f aca="false">IF(AND(ISNUMBER(DM153),ISNUMBER(DN153)),1,0)</f>
        <v>0</v>
      </c>
      <c r="DP153" s="11" t="n">
        <f aca="false">IF(DO153=1,DM153,0)</f>
        <v>0</v>
      </c>
      <c r="DQ153" s="11" t="n">
        <f aca="false">IF(DO153=1,DN153,0)</f>
        <v>0</v>
      </c>
      <c r="DR153" s="11" t="str">
        <f aca="false">IF(DN153="","",DN153+p_shift)</f>
        <v/>
      </c>
      <c r="DS153" s="11" t="n">
        <f aca="false">IF(E153="AE",p_r_ae,IF(E153="China",p_r_chn,p_r_emdc))</f>
        <v>0.105</v>
      </c>
      <c r="DT153" s="11" t="n">
        <f aca="false">IF(E153="AE",p_rh_ae,IF(E153="China",p_rh_chn,p_rh_emdc))</f>
        <v>0.15</v>
      </c>
      <c r="DU153" s="11" t="n">
        <f aca="false">IF(AND(p_use_obs=1,ISNUMBER(DM153)),DM153,IF(AND(p_use_dam=1,ISNUMBER(DR153)),DR153,DS153))</f>
        <v>0.105</v>
      </c>
      <c r="DV153" s="6" t="str">
        <f aca="false">IF(AND(p_use_obs=1,ISNUMBER(DM153)),"Observed (IRENA/Steffen)",IF(AND(p_use_dam=1,ISNUMBER(DR153)),"Damodaran (eq. 5)","Group default (IHLEG)"))</f>
        <v>Group default (IHLEG)</v>
      </c>
      <c r="DW153" s="11" t="n">
        <f aca="false">IF(p_basis=1,(1+DU153)/(1+p_infl)-1,DU153)</f>
        <v>0.105</v>
      </c>
      <c r="DX153" s="11" t="n">
        <f aca="false">DW153+(DT153-DS153)</f>
        <v>0.15</v>
      </c>
      <c r="DY153" s="28" t="n">
        <f aca="false">IF(AND(p_use_pefa=1,ISNUMBER(BD153)),p_gap_lic-(BD153-1)/3*(p_gap_lic-p_gap_ae),IF(E153="AE",p_gap_ae,IF(D153="Low income",p_gap_lic,p_gap_em)))*(1-p_reform*p_reform_close)</f>
        <v>0.355</v>
      </c>
      <c r="DZ153" s="6" t="str">
        <f aca="false">IF(AND(p_use_pefa=1,ISNUMBER(BD153)),"PEFA PI-11","Income-group default (IMF 2015)")</f>
        <v>PEFA PI-11</v>
      </c>
      <c r="EA153" s="28" t="n">
        <f aca="false">IF(E153="AE",p_ps_ae,IF(E153="China",p_ps_chn,p_ps_emdc))</f>
        <v>0.4</v>
      </c>
      <c r="EB153" s="37" t="n">
        <f aca="false">(1-EA153)+EA153/(1-DY153)</f>
        <v>1.22015503875969</v>
      </c>
      <c r="EC153" s="16" t="n">
        <f aca="false">Results_Country!F153</f>
        <v>0.951675039345942</v>
      </c>
      <c r="ED153" s="16" t="n">
        <f aca="false">IF(CH153="",0,CH153*EC153)</f>
        <v>77.2031596826044</v>
      </c>
      <c r="EE153" s="16" t="n">
        <f aca="false">IF(CJ153="",0,CJ153*EC153)</f>
        <v>0.0153819302545773</v>
      </c>
      <c r="EF153" s="16" t="n">
        <f aca="false">IF(CH153="",0,EC153)</f>
        <v>0.951675039345942</v>
      </c>
    </row>
    <row r="154" customFormat="false" ht="15" hidden="false" customHeight="false" outlineLevel="0" collapsed="false">
      <c r="A154" s="35" t="s">
        <v>1065</v>
      </c>
      <c r="B154" s="35" t="s">
        <v>1066</v>
      </c>
      <c r="C154" s="35" t="s">
        <v>766</v>
      </c>
      <c r="D154" s="35" t="s">
        <v>763</v>
      </c>
      <c r="E154" s="35" t="s">
        <v>31</v>
      </c>
      <c r="F154" s="36" t="n">
        <v>11.2</v>
      </c>
      <c r="G154" s="36" t="n">
        <v>30.212</v>
      </c>
      <c r="H154" s="33" t="n">
        <v>3.591</v>
      </c>
      <c r="I154" s="33" t="n">
        <v>3.3</v>
      </c>
      <c r="J154" s="36" t="n">
        <v>1.68479</v>
      </c>
      <c r="K154" s="36" t="n">
        <v>8.674</v>
      </c>
      <c r="L154" s="36" t="n">
        <v>8.674</v>
      </c>
      <c r="M154" s="36" t="n">
        <v>8.674</v>
      </c>
      <c r="N154" s="36" t="n">
        <v>2.72818192166761</v>
      </c>
      <c r="O154" s="36" t="n">
        <v>3.68370529856507</v>
      </c>
      <c r="P154" s="36" t="n">
        <v>0</v>
      </c>
      <c r="Q154" s="31" t="n">
        <v>0</v>
      </c>
      <c r="R154" s="31" t="n">
        <v>0</v>
      </c>
      <c r="S154" s="31" t="n">
        <v>0</v>
      </c>
      <c r="T154" s="31" t="n">
        <v>0</v>
      </c>
      <c r="U154" s="31" t="n">
        <v>0.000809881434930381</v>
      </c>
      <c r="V154" s="31" t="n">
        <v>0.000620858494485254</v>
      </c>
      <c r="W154" s="31" t="n">
        <v>0.0619198440884904</v>
      </c>
      <c r="X154" s="31" t="n">
        <v>0</v>
      </c>
      <c r="Y154" s="36" t="n">
        <v>0.0868152508438944</v>
      </c>
      <c r="Z154" s="36" t="n">
        <v>0.743310625170273</v>
      </c>
      <c r="AA154" s="36" t="n">
        <v>0.0589425293275597</v>
      </c>
      <c r="AB154" s="36" t="n">
        <v>1.11919397480909E-006</v>
      </c>
      <c r="AC154" s="36" t="n">
        <v>0.0746689079197361</v>
      </c>
      <c r="AD154" s="31" t="n">
        <v>0.837079</v>
      </c>
      <c r="AE154" s="31" t="n">
        <v>0.788658</v>
      </c>
      <c r="AF154" s="31" t="n">
        <v>0.530693</v>
      </c>
      <c r="AG154" s="31" t="n">
        <v>0.591</v>
      </c>
      <c r="AH154" s="31" t="n">
        <v>0.519462891908447</v>
      </c>
      <c r="AI154" s="31" t="n">
        <v>3.402</v>
      </c>
      <c r="AJ154" s="31" t="n">
        <v>6.37436</v>
      </c>
      <c r="AK154" s="31" t="n">
        <v>2.067</v>
      </c>
      <c r="AL154" s="31" t="n">
        <v>2.12628047576289</v>
      </c>
      <c r="AM154" s="31" t="n">
        <v>12.815</v>
      </c>
      <c r="AN154" s="31" t="n">
        <v>24.49326</v>
      </c>
      <c r="AO154" s="31" t="n">
        <v>11.492</v>
      </c>
      <c r="AP154" s="31" t="n">
        <v>16.2667533333333</v>
      </c>
      <c r="AQ154" s="36" t="s">
        <v>844</v>
      </c>
      <c r="AR154" s="36" t="s">
        <v>844</v>
      </c>
      <c r="AS154" s="36" t="s">
        <v>844</v>
      </c>
      <c r="AT154" s="36" t="s">
        <v>844</v>
      </c>
      <c r="AU154" s="31" t="n">
        <v>0.157951368968677</v>
      </c>
      <c r="AV154" s="36" t="n">
        <v>0.084677</v>
      </c>
      <c r="AW154" s="31" t="s">
        <v>844</v>
      </c>
      <c r="AX154" s="31" t="s">
        <v>844</v>
      </c>
      <c r="AY154" s="31" t="s">
        <v>844</v>
      </c>
      <c r="AZ154" s="31" t="s">
        <v>844</v>
      </c>
      <c r="BA154" s="33" t="n">
        <v>17.916</v>
      </c>
      <c r="BB154" s="33" t="n">
        <v>1.305</v>
      </c>
      <c r="BC154" s="33" t="n">
        <v>67.605</v>
      </c>
      <c r="BD154" s="33" t="n">
        <v>2.5</v>
      </c>
      <c r="BE154" s="33" t="n">
        <v>2</v>
      </c>
      <c r="BF154" s="33" t="n">
        <v>0</v>
      </c>
      <c r="BG154" s="33"/>
      <c r="BH154" s="33"/>
      <c r="BI154" s="29"/>
      <c r="BJ154" s="33"/>
      <c r="BK154" s="33"/>
      <c r="BL154" s="33" t="n">
        <v>1.321</v>
      </c>
      <c r="BM154" s="33" t="n">
        <v>2.2</v>
      </c>
      <c r="BN154" s="29" t="n">
        <v>17.652</v>
      </c>
      <c r="BO154" s="33" t="n">
        <v>2.608</v>
      </c>
      <c r="BP154" s="33"/>
      <c r="BQ154" s="29" t="n">
        <v>2025</v>
      </c>
      <c r="BR154" s="36" t="n">
        <v>5.87</v>
      </c>
      <c r="BS154" s="36" t="n">
        <v>5.22</v>
      </c>
      <c r="BT154" s="36" t="n">
        <v>0</v>
      </c>
      <c r="BU154" s="36" t="n">
        <v>0.01</v>
      </c>
      <c r="BV154" s="16" t="n">
        <f aca="false">F154*(1+N(H154)/100)*(1+N(I154)/100)^5</f>
        <v>13.6471402810911</v>
      </c>
      <c r="BW154" s="16" t="n">
        <f aca="false">IF(N(G154)&gt;0,G154,F154)</f>
        <v>30.212</v>
      </c>
      <c r="BX154" s="12" t="n">
        <f aca="false">F154/BW154</f>
        <v>0.370713623725672</v>
      </c>
      <c r="BY154" s="13" t="n">
        <f aca="false">IF(ISNUMBER(K154),1,0)</f>
        <v>1</v>
      </c>
      <c r="BZ154" s="16" t="n">
        <f aca="false">IF(BY154=0,"",N(N154)+N(O154)+N(P154))</f>
        <v>6.41188722023268</v>
      </c>
      <c r="CA154" s="37" t="n">
        <f aca="false">IF(BY154=0,"",(N(Y154)*34.2+N(Z154)*38.6)/1000)</f>
        <v>0.0316608717104337</v>
      </c>
      <c r="CB154" s="37" t="n">
        <f aca="false">IF(BY154=0,"",N(O154)*0.0036+N(R154)+N(V154)+(N(AA154)*25.3+N(AB154)*37)/1000)</f>
        <v>0.0153734849714838</v>
      </c>
      <c r="CC154" s="37" t="n">
        <f aca="false">IF(BY154=0,"",N(N154)*0.0036+N(Q154)+N(U154)+N(T154)+N(X154)+N(AC154)*38/1000)</f>
        <v>0.0134687548538837</v>
      </c>
      <c r="CD154" s="37" t="n">
        <f aca="false">IF(BY154=0,"",N(Q154)+N(R154)+N(S154)+N(T154)+N(U154)+N(V154)+N(W154)+N(X154)+(N(Y154)*34.2+N(Z154)*38.6+N(AA154)*25.3+N(AB154)*37+N(AC154)*38)/1000)</f>
        <v>0.099340161631454</v>
      </c>
      <c r="CE154" s="16" t="n">
        <f aca="false">IF(BY154=0,"",MAX(0,N(L154)-N(K154))+MAX(0,N(M154)-N(L154)))</f>
        <v>0</v>
      </c>
      <c r="CF154" s="16" t="n">
        <f aca="false">IF(BY154=0,"",N(Y154)*N(AD154)+N(Z154)*N(AE154)+N(AA154)*N(AF154)+N(AB154)*N(AG154)+N(AC154)*N(AH154)+N(U154)*N(AI154)+N(V154)*N(AJ154)+N(W154)*N(AK154)+N(X154)*N(AL154)+N(Q154)*N(AM154)+N(R154)*N(AN154)+N(S154)*N(AO154)+N(T154)*N(AP154))</f>
        <v>0.863658980315844</v>
      </c>
      <c r="CG154" s="16" t="n">
        <f aca="false">IF(AND(BY154=1,N(K154)&gt;0),K154,0)</f>
        <v>8.674</v>
      </c>
      <c r="CH154" s="16" t="n">
        <f aca="false">IF(CG154&gt;0,CF154*1000/CG154,"")</f>
        <v>99.5687088212871</v>
      </c>
      <c r="CI154" s="16" t="n">
        <f aca="false">IF(BY154=0,"",N(AQ154)+p_road*(N(AR154)+N(AS154)+N(AT154)))</f>
        <v>0</v>
      </c>
      <c r="CJ154" s="16" t="n">
        <f aca="false">IF(CG154&gt;0,CI154*1000/CG154,"")</f>
        <v>0</v>
      </c>
      <c r="CK154" s="12" t="n">
        <f aca="false">IF(CH154="",1,MIN(p_idx_max,MAX(p_idx_min,CH154/p_fc_world)))</f>
        <v>0.618410973799826</v>
      </c>
      <c r="CL154" s="12" t="n">
        <f aca="false">IF(CJ154="",1,MIN(p_idx_max,MAX(p_idx_min,CJ154/p_cb_world)))</f>
        <v>0.25</v>
      </c>
      <c r="CM154" s="37" t="n">
        <f aca="false">p_b*(1-p_wb_idx+p_wb_idx*CK154)</f>
        <v>0.0822486595153768</v>
      </c>
      <c r="CN154" s="37" t="n">
        <f aca="false">p_c*(1-p_wc_idx+p_wc_idx*CL154)</f>
        <v>0.03225</v>
      </c>
      <c r="CO154" s="28" t="n">
        <f aca="false">IF(N(BR154)&gt;0,(N(BS154)+N(BT154)+N(BU154))/BR154,"")</f>
        <v>0.890971039182283</v>
      </c>
      <c r="CP154" s="16" t="n">
        <f aca="false">N(BS154)+N(BT154)+N(BU154)</f>
        <v>5.23</v>
      </c>
      <c r="CQ154" s="28" t="n">
        <f aca="false">IF(CP154&gt;0,N(BS154)/CP154,"")</f>
        <v>0.998087954110899</v>
      </c>
      <c r="CR154" s="28" t="n">
        <f aca="false">IF(CP154&gt;0,N(BT154)/CP154,"")</f>
        <v>0</v>
      </c>
      <c r="CS154" s="28" t="n">
        <f aca="false">IF(CP154&gt;0,N(BU154)/CP154,"")</f>
        <v>0.00191204588910134</v>
      </c>
      <c r="CT154" s="7" t="n">
        <f aca="false">1000*(p_sh_pv*p_cf_pv/p_capex_pv+(1-p_sh_pv)*p_cf_wind/p_capex_wind)*8760</f>
        <v>2301.28856624319</v>
      </c>
      <c r="CU154" s="13" t="n">
        <f aca="false">IF(AND(ISNUMBER(CO154),ISNUMBER(CQ154),BY154=1),1,0)</f>
        <v>1</v>
      </c>
      <c r="CV154" s="16" t="n">
        <f aca="false">IF(CU154=0,"",CQ154*p_hr_coal*N(AK154)+CR154*p_hr_gas*N(AO154)+CS154*p_hr_oil*N(AH154)/p_gj_l_oil)</f>
        <v>20.9006590299606</v>
      </c>
      <c r="CW154" s="37" t="n">
        <f aca="false">IF(CU154=0,"",CQ154*p_hr_coal*p_ef_coal+CR154*p_hr_gas*p_ef_gas+CS154*p_hr_oil*p_ef_oil)</f>
        <v>0.945745124282983</v>
      </c>
      <c r="CX154" s="16" t="n">
        <f aca="false">IF(CU154=0,"",CQ154*p_hr_coal*N(AW154)+CR154*p_hr_gas*N(AX154)+CS154*p_hr_oil*N(AY154)/p_gj_l_oil)</f>
        <v>0</v>
      </c>
      <c r="CY154" s="37" t="n">
        <f aca="false">IF(CU154=0,"",CO154*CW154)</f>
        <v>0.842631516183986</v>
      </c>
      <c r="CZ154" s="37" t="n">
        <f aca="false">IF(CU154=0,"",CT154*CO154*CV154/1000/1000-p_om_re)</f>
        <v>0.027854323888088</v>
      </c>
      <c r="DA154" s="37" t="n">
        <f aca="false">IF(CU154=0,"",CT154*CO154*CX154/1000/1000)</f>
        <v>0</v>
      </c>
      <c r="DB154" s="37" t="n">
        <f aca="false">IF(CU154=0,"",CT154*CO154*CW154/1000)</f>
        <v>1.93913827375037</v>
      </c>
      <c r="DC154" s="13" t="n">
        <f aca="false">IF(AND(CU154=1,ISNUMBER(AD154),ISNUMBER(AV154)),1,0)</f>
        <v>1</v>
      </c>
      <c r="DD154" s="7" t="n">
        <f aca="false">IF(DC154=0,"",p_ev_km*p_ice_l/100*AD154-p_ev_km*p_ev_kwh*AV154+p_ev_km*p_ev_maint)</f>
        <v>893.085975</v>
      </c>
      <c r="DE154" s="37" t="n">
        <f aca="false">IF(DC154=0,"",DD154/p_ev_prem)</f>
        <v>0.178617195</v>
      </c>
      <c r="DF154" s="37" t="n">
        <f aca="false">IF(DC154=0,"",p_ev_km*p_ice_l/100*N(AZ154)/p_ev_prem)</f>
        <v>0</v>
      </c>
      <c r="DG154" s="37" t="n">
        <f aca="false">IF(DC154=0,"",1000/p_ev_prem*(p_ev_km*p_ice_l/100*p_gj_l_gso*p_ef_gso-p_ev_km*p_ev_kwh/1000*CY154))</f>
        <v>0.0782424812606474</v>
      </c>
      <c r="DH154" s="11" t="str">
        <f aca="false">IFERROR(IF(INDEX(Damodaran!$D:$D,MATCH(A154,Damodaran!$A:$A,0))="","",INDEX(Damodaran!$D:$D,MATCH(A154,Damodaran!$A:$A,0))),"")</f>
        <v/>
      </c>
      <c r="DI154" s="11" t="str">
        <f aca="false">IFERROR(IF(INDEX(Damodaran!$E:$E,MATCH(A154,Damodaran!$A:$A,0))="","",INDEX(Damodaran!$E:$E,MATCH(A154,Damodaran!$A:$A,0))),"")</f>
        <v/>
      </c>
      <c r="DJ154" s="11" t="str">
        <f aca="false">IFERROR(IF(INDEX(Damodaran!$G:$G,MATCH(A154,Damodaran!$A:$A,0))="","",INDEX(Damodaran!$G:$G,MATCH(A154,Damodaran!$A:$A,0))),"")</f>
        <v/>
      </c>
      <c r="DK154" s="11" t="str">
        <f aca="false">IF(ISNUMBER(BG154),(1+BG154/100)*(1+p_infl)-1,"")</f>
        <v/>
      </c>
      <c r="DL154" s="11" t="str">
        <f aca="false">IF(ISNUMBER(BH154),BH154/100,"")</f>
        <v/>
      </c>
      <c r="DM154" s="11" t="str">
        <f aca="false">IF(COUNT(DK154,DL154)=0,"",AVERAGE(DK154,DL154))</f>
        <v/>
      </c>
      <c r="DN154" s="11" t="str">
        <f aca="false">IF(OR(DH154="",DI154=""),"",p_dv*(p_rf+DH154)*(1-IF(DJ154="",p_tax_def,DJ154))+(1-p_dv)*(p_rf+p_beta*p_erp+p_lambda*DI154))</f>
        <v/>
      </c>
      <c r="DO154" s="13" t="n">
        <f aca="false">IF(AND(ISNUMBER(DM154),ISNUMBER(DN154)),1,0)</f>
        <v>0</v>
      </c>
      <c r="DP154" s="11" t="n">
        <f aca="false">IF(DO154=1,DM154,0)</f>
        <v>0</v>
      </c>
      <c r="DQ154" s="11" t="n">
        <f aca="false">IF(DO154=1,DN154,0)</f>
        <v>0</v>
      </c>
      <c r="DR154" s="11" t="str">
        <f aca="false">IF(DN154="","",DN154+p_shift)</f>
        <v/>
      </c>
      <c r="DS154" s="11" t="n">
        <f aca="false">IF(E154="AE",p_r_ae,IF(E154="China",p_r_chn,p_r_emdc))</f>
        <v>0.105</v>
      </c>
      <c r="DT154" s="11" t="n">
        <f aca="false">IF(E154="AE",p_rh_ae,IF(E154="China",p_rh_chn,p_rh_emdc))</f>
        <v>0.15</v>
      </c>
      <c r="DU154" s="11" t="n">
        <f aca="false">IF(AND(p_use_obs=1,ISNUMBER(DM154)),DM154,IF(AND(p_use_dam=1,ISNUMBER(DR154)),DR154,DS154))</f>
        <v>0.105</v>
      </c>
      <c r="DV154" s="6" t="str">
        <f aca="false">IF(AND(p_use_obs=1,ISNUMBER(DM154)),"Observed (IRENA/Steffen)",IF(AND(p_use_dam=1,ISNUMBER(DR154)),"Damodaran (eq. 5)","Group default (IHLEG)"))</f>
        <v>Group default (IHLEG)</v>
      </c>
      <c r="DW154" s="11" t="n">
        <f aca="false">IF(p_basis=1,(1+DU154)/(1+p_infl)-1,DU154)</f>
        <v>0.105</v>
      </c>
      <c r="DX154" s="11" t="n">
        <f aca="false">DW154+(DT154-DS154)</f>
        <v>0.15</v>
      </c>
      <c r="DY154" s="28" t="n">
        <f aca="false">IF(AND(p_use_pefa=1,ISNUMBER(BD154)),p_gap_lic-(BD154-1)/3*(p_gap_lic-p_gap_ae),IF(E154="AE",p_gap_ae,IF(D154="Low income",p_gap_lic,p_gap_em)))*(1-p_reform*p_reform_close)</f>
        <v>0.265</v>
      </c>
      <c r="DZ154" s="6" t="str">
        <f aca="false">IF(AND(p_use_pefa=1,ISNUMBER(BD154)),"PEFA PI-11","Income-group default (IMF 2015)")</f>
        <v>PEFA PI-11</v>
      </c>
      <c r="EA154" s="28" t="n">
        <f aca="false">IF(E154="AE",p_ps_ae,IF(E154="China",p_ps_chn,p_ps_emdc))</f>
        <v>0.4</v>
      </c>
      <c r="EB154" s="37" t="n">
        <f aca="false">(1-EA154)+EA154/(1-DY154)</f>
        <v>1.14421768707483</v>
      </c>
      <c r="EC154" s="16" t="n">
        <f aca="false">Results_Country!F154</f>
        <v>0.933971717443655</v>
      </c>
      <c r="ED154" s="16" t="n">
        <f aca="false">IF(CH154="",0,CH154*EC154)</f>
        <v>92.9943579814647</v>
      </c>
      <c r="EE154" s="16" t="n">
        <f aca="false">IF(CJ154="",0,CJ154*EC154)</f>
        <v>0</v>
      </c>
      <c r="EF154" s="16" t="n">
        <f aca="false">IF(CH154="",0,EC154)</f>
        <v>0.933971717443655</v>
      </c>
    </row>
    <row r="155" customFormat="false" ht="15" hidden="false" customHeight="false" outlineLevel="0" collapsed="false">
      <c r="A155" s="35" t="s">
        <v>1067</v>
      </c>
      <c r="B155" s="35" t="s">
        <v>1068</v>
      </c>
      <c r="C155" s="35" t="s">
        <v>847</v>
      </c>
      <c r="D155" s="35" t="s">
        <v>771</v>
      </c>
      <c r="E155" s="35" t="s">
        <v>31</v>
      </c>
      <c r="F155" s="36" t="n">
        <v>11.003</v>
      </c>
      <c r="G155" s="36" t="n">
        <v>38.147</v>
      </c>
      <c r="H155" s="33" t="n">
        <v>4.215</v>
      </c>
      <c r="I155" s="33" t="n">
        <v>4.417</v>
      </c>
      <c r="J155" s="36" t="n">
        <v>5.169396</v>
      </c>
      <c r="K155" s="36" t="n">
        <v>4.812</v>
      </c>
      <c r="L155" s="36" t="n">
        <v>17.744</v>
      </c>
      <c r="M155" s="36" t="n">
        <v>16.662</v>
      </c>
      <c r="N155" s="36" t="n">
        <v>1.22783319046405</v>
      </c>
      <c r="O155" s="36" t="n">
        <v>0.800506621837467</v>
      </c>
      <c r="P155" s="36" t="n">
        <v>0</v>
      </c>
      <c r="Q155" s="31" t="n">
        <v>0</v>
      </c>
      <c r="R155" s="31" t="n">
        <v>0</v>
      </c>
      <c r="S155" s="31" t="n">
        <v>0</v>
      </c>
      <c r="T155" s="31" t="n">
        <v>0</v>
      </c>
      <c r="U155" s="31" t="n">
        <v>0</v>
      </c>
      <c r="V155" s="31" t="n">
        <v>0</v>
      </c>
      <c r="W155" s="31" t="n">
        <v>0</v>
      </c>
      <c r="X155" s="31" t="n">
        <v>0</v>
      </c>
      <c r="Y155" s="36" t="n">
        <v>0.0983560664656849</v>
      </c>
      <c r="Z155" s="36" t="n">
        <v>0.925129308632112</v>
      </c>
      <c r="AA155" s="36" t="n">
        <v>0.136785907187351</v>
      </c>
      <c r="AB155" s="36" t="n">
        <v>1.10996818663837E-006</v>
      </c>
      <c r="AC155" s="36" t="n">
        <v>0.615381423587017</v>
      </c>
      <c r="AD155" s="31" t="n">
        <v>0.83984</v>
      </c>
      <c r="AE155" s="31" t="n">
        <v>0.779738</v>
      </c>
      <c r="AF155" s="31" t="n">
        <v>0.59508</v>
      </c>
      <c r="AG155" s="31" t="n">
        <v>0.591</v>
      </c>
      <c r="AH155" s="31" t="n">
        <v>0.519462891908447</v>
      </c>
      <c r="AI155" s="31" t="n">
        <v>7.124</v>
      </c>
      <c r="AJ155" s="31" t="n">
        <v>14.14388</v>
      </c>
      <c r="AK155" s="31" t="n">
        <v>5.575</v>
      </c>
      <c r="AL155" s="31" t="n">
        <v>8.94762666666667</v>
      </c>
      <c r="AM155" s="31" t="n">
        <v>8.376</v>
      </c>
      <c r="AN155" s="31" t="n">
        <v>18.92888</v>
      </c>
      <c r="AO155" s="31" t="n">
        <v>7.053</v>
      </c>
      <c r="AP155" s="31" t="n">
        <v>11.4526266666667</v>
      </c>
      <c r="AQ155" s="36" t="n">
        <v>0.0084038128217693</v>
      </c>
      <c r="AR155" s="36" t="n">
        <v>0.0050298654969015</v>
      </c>
      <c r="AS155" s="36" t="n">
        <v>0.0329022728731712</v>
      </c>
      <c r="AT155" s="36" t="n">
        <v>0.064530771399552</v>
      </c>
      <c r="AU155" s="31" t="n">
        <v>0.301074967821196</v>
      </c>
      <c r="AV155" s="36" t="n">
        <v>0.448635</v>
      </c>
      <c r="AW155" s="31" t="n">
        <v>0.221364</v>
      </c>
      <c r="AX155" s="31" t="n">
        <v>0.001288</v>
      </c>
      <c r="AY155" s="31" t="n">
        <v>0.00423814765099955</v>
      </c>
      <c r="AZ155" s="31" t="n">
        <v>0.003136</v>
      </c>
      <c r="BA155" s="33" t="n">
        <v>45.064</v>
      </c>
      <c r="BB155" s="33" t="n">
        <v>4.432</v>
      </c>
      <c r="BC155" s="33" t="n">
        <v>100</v>
      </c>
      <c r="BD155" s="33" t="n">
        <v>2</v>
      </c>
      <c r="BE155" s="33" t="n">
        <v>1</v>
      </c>
      <c r="BF155" s="33" t="n">
        <v>0</v>
      </c>
      <c r="BG155" s="33"/>
      <c r="BH155" s="33"/>
      <c r="BI155" s="29"/>
      <c r="BJ155" s="33"/>
      <c r="BK155" s="33"/>
      <c r="BL155" s="33"/>
      <c r="BM155" s="33"/>
      <c r="BN155" s="29" t="n">
        <v>23.418</v>
      </c>
      <c r="BO155" s="33" t="n">
        <v>0.553</v>
      </c>
      <c r="BP155" s="33"/>
      <c r="BQ155" s="29" t="n">
        <v>2024</v>
      </c>
      <c r="BR155" s="36" t="n">
        <v>2.07</v>
      </c>
      <c r="BS155" s="36" t="n">
        <v>0</v>
      </c>
      <c r="BT155" s="36" t="n">
        <v>0</v>
      </c>
      <c r="BU155" s="36" t="n">
        <v>1.6</v>
      </c>
      <c r="BV155" s="16" t="n">
        <f aca="false">F155*(1+N(H155)/100)*(1+N(I155)/100)^5</f>
        <v>14.233031241059</v>
      </c>
      <c r="BW155" s="16" t="n">
        <f aca="false">IF(N(G155)&gt;0,G155,F155)</f>
        <v>38.147</v>
      </c>
      <c r="BX155" s="12" t="n">
        <f aca="false">F155/BW155</f>
        <v>0.288436836448476</v>
      </c>
      <c r="BY155" s="13" t="n">
        <f aca="false">IF(ISNUMBER(K155),1,0)</f>
        <v>1</v>
      </c>
      <c r="BZ155" s="16" t="n">
        <f aca="false">IF(BY155=0,"",N(N155)+N(O155)+N(P155))</f>
        <v>2.02833981230152</v>
      </c>
      <c r="CA155" s="37" t="n">
        <f aca="false">IF(BY155=0,"",(N(Y155)*34.2+N(Z155)*38.6)/1000)</f>
        <v>0.039073768786326</v>
      </c>
      <c r="CB155" s="37" t="n">
        <f aca="false">IF(BY155=0,"",N(O155)*0.0036+N(R155)+N(V155)+(N(AA155)*25.3+N(AB155)*37)/1000)</f>
        <v>0.00634254835927777</v>
      </c>
      <c r="CC155" s="37" t="n">
        <f aca="false">IF(BY155=0,"",N(N155)*0.0036+N(Q155)+N(U155)+N(T155)+N(X155)+N(AC155)*38/1000)</f>
        <v>0.0278046935819772</v>
      </c>
      <c r="CD155" s="37" t="n">
        <f aca="false">IF(BY155=0,"",N(Q155)+N(R155)+N(S155)+N(T155)+N(U155)+N(V155)+N(W155)+N(X155)+(N(Y155)*34.2+N(Z155)*38.6+N(AA155)*25.3+N(AB155)*37+N(AC155)*38)/1000)</f>
        <v>0.0659189874032955</v>
      </c>
      <c r="CE155" s="16" t="n">
        <f aca="false">IF(BY155=0,"",MAX(0,N(L155)-N(K155))+MAX(0,N(M155)-N(L155)))</f>
        <v>12.932</v>
      </c>
      <c r="CF155" s="16" t="n">
        <f aca="false">IF(BY155=0,"",N(Y155)*N(AD155)+N(Z155)*N(AE155)+N(AA155)*N(AF155)+N(AB155)*N(AG155)+N(AC155)*N(AH155)+N(U155)*N(AI155)+N(V155)*N(AJ155)+N(W155)*N(AK155)+N(X155)*N(AL155)+N(Q155)*N(AM155)+N(R155)*N(AN155)+N(S155)*N(AO155)+N(T155)*N(AP155))</f>
        <v>1.20502886327822</v>
      </c>
      <c r="CG155" s="16" t="n">
        <f aca="false">IF(AND(BY155=1,N(K155)&gt;0),K155,0)</f>
        <v>4.812</v>
      </c>
      <c r="CH155" s="16" t="n">
        <f aca="false">IF(CG155&gt;0,CF155*1000/CG155,"")</f>
        <v>250.421625785167</v>
      </c>
      <c r="CI155" s="16" t="n">
        <f aca="false">IF(BY155=0,"",N(AQ155)+p_road*(N(AR155)+N(AS155)+N(AT155)))</f>
        <v>0.0084038128217693</v>
      </c>
      <c r="CJ155" s="16" t="n">
        <f aca="false">IF(CG155&gt;0,CI155*1000/CG155,"")</f>
        <v>1.7464282672006</v>
      </c>
      <c r="CK155" s="12" t="n">
        <f aca="false">IF(CH155="",1,MIN(p_idx_max,MAX(p_idx_min,CH155/p_fc_world)))</f>
        <v>1.55534287122574</v>
      </c>
      <c r="CL155" s="12" t="n">
        <f aca="false">IF(CJ155="",1,MIN(p_idx_max,MAX(p_idx_min,CJ155/p_cb_world)))</f>
        <v>0.25</v>
      </c>
      <c r="CM155" s="37" t="n">
        <f aca="false">p_b*(1-p_wb_idx+p_wb_idx*CK155)</f>
        <v>0.206860601873024</v>
      </c>
      <c r="CN155" s="37" t="n">
        <f aca="false">p_c*(1-p_wc_idx+p_wc_idx*CL155)</f>
        <v>0.03225</v>
      </c>
      <c r="CO155" s="28" t="n">
        <f aca="false">IF(N(BR155)&gt;0,(N(BS155)+N(BT155)+N(BU155))/BR155,"")</f>
        <v>0.772946859903382</v>
      </c>
      <c r="CP155" s="16" t="n">
        <f aca="false">N(BS155)+N(BT155)+N(BU155)</f>
        <v>1.6</v>
      </c>
      <c r="CQ155" s="28" t="n">
        <f aca="false">IF(CP155&gt;0,N(BS155)/CP155,"")</f>
        <v>0</v>
      </c>
      <c r="CR155" s="28" t="n">
        <f aca="false">IF(CP155&gt;0,N(BT155)/CP155,"")</f>
        <v>0</v>
      </c>
      <c r="CS155" s="28" t="n">
        <f aca="false">IF(CP155&gt;0,N(BU155)/CP155,"")</f>
        <v>1</v>
      </c>
      <c r="CT155" s="7" t="n">
        <f aca="false">1000*(p_sh_pv*p_cf_pv/p_capex_pv+(1-p_sh_pv)*p_cf_wind/p_capex_wind)*8760</f>
        <v>2301.28856624319</v>
      </c>
      <c r="CU155" s="13" t="n">
        <f aca="false">IF(AND(ISNUMBER(CO155),ISNUMBER(CQ155),BY155=1),1,0)</f>
        <v>1</v>
      </c>
      <c r="CV155" s="16" t="n">
        <f aca="false">IF(CU155=0,"",CQ155*p_hr_coal*N(AK155)+CR155*p_hr_gas*N(AO155)+CS155*p_hr_oil*N(AH155)/p_gj_l_oil)</f>
        <v>141.304672669396</v>
      </c>
      <c r="CW155" s="37" t="n">
        <f aca="false">IF(CU155=0,"",CQ155*p_hr_coal*p_ef_coal+CR155*p_hr_gas*p_ef_gas+CS155*p_hr_oil*p_ef_oil)</f>
        <v>0.8127</v>
      </c>
      <c r="CX155" s="16" t="n">
        <f aca="false">IF(CU155=0,"",CQ155*p_hr_coal*N(AW155)+CR155*p_hr_gas*N(AX155)+CS155*p_hr_oil*N(AY155)/p_gj_l_oil)</f>
        <v>1.15286399832889</v>
      </c>
      <c r="CY155" s="37" t="n">
        <f aca="false">IF(CU155=0,"",CO155*CW155)</f>
        <v>0.628173913043478</v>
      </c>
      <c r="CZ155" s="37" t="n">
        <f aca="false">IF(CU155=0,"",CT155*CO155*CV155/1000/1000-p_om_re)</f>
        <v>0.236349045465367</v>
      </c>
      <c r="DA155" s="37" t="n">
        <f aca="false">IF(CU155=0,"",CT155*CO155*CX155/1000/1000)</f>
        <v>0.00205068424176827</v>
      </c>
      <c r="DB155" s="37" t="n">
        <f aca="false">IF(CU155=0,"",CT155*CO155*CW155/1000)</f>
        <v>1.4456094436992</v>
      </c>
      <c r="DC155" s="13" t="n">
        <f aca="false">IF(AND(CU155=1,ISNUMBER(AD155),ISNUMBER(AV155)),1,0)</f>
        <v>1</v>
      </c>
      <c r="DD155" s="7" t="n">
        <f aca="false">IF(DC155=0,"",p_ev_km*p_ice_l/100*AD155-p_ev_km*p_ev_kwh*AV155+p_ev_km*p_ev_maint)</f>
        <v>-86.4944999999999</v>
      </c>
      <c r="DE155" s="37" t="n">
        <f aca="false">IF(DC155=0,"",DD155/p_ev_prem)</f>
        <v>-0.0172989</v>
      </c>
      <c r="DF155" s="37" t="n">
        <f aca="false">IF(DC155=0,"",p_ev_km*p_ice_l/100*N(AZ155)/p_ev_prem)</f>
        <v>0.0007056</v>
      </c>
      <c r="DG155" s="37" t="n">
        <f aca="false">IF(DC155=0,"",1000/p_ev_prem*(p_ev_km*p_ice_l/100*p_gj_l_gso*p_ef_gso-p_ev_km*p_ev_kwh/1000*CY155))</f>
        <v>0.194049586956522</v>
      </c>
      <c r="DH155" s="11" t="str">
        <f aca="false">IFERROR(IF(INDEX(Damodaran!$D:$D,MATCH(A155,Damodaran!$A:$A,0))="","",INDEX(Damodaran!$D:$D,MATCH(A155,Damodaran!$A:$A,0))),"")</f>
        <v/>
      </c>
      <c r="DI155" s="11" t="str">
        <f aca="false">IFERROR(IF(INDEX(Damodaran!$E:$E,MATCH(A155,Damodaran!$A:$A,0))="","",INDEX(Damodaran!$E:$E,MATCH(A155,Damodaran!$A:$A,0))),"")</f>
        <v/>
      </c>
      <c r="DJ155" s="11" t="str">
        <f aca="false">IFERROR(IF(INDEX(Damodaran!$G:$G,MATCH(A155,Damodaran!$A:$A,0))="","",INDEX(Damodaran!$G:$G,MATCH(A155,Damodaran!$A:$A,0))),"")</f>
        <v/>
      </c>
      <c r="DK155" s="11" t="str">
        <f aca="false">IF(ISNUMBER(BG155),(1+BG155/100)*(1+p_infl)-1,"")</f>
        <v/>
      </c>
      <c r="DL155" s="11" t="str">
        <f aca="false">IF(ISNUMBER(BH155),BH155/100,"")</f>
        <v/>
      </c>
      <c r="DM155" s="11" t="str">
        <f aca="false">IF(COUNT(DK155,DL155)=0,"",AVERAGE(DK155,DL155))</f>
        <v/>
      </c>
      <c r="DN155" s="11" t="str">
        <f aca="false">IF(OR(DH155="",DI155=""),"",p_dv*(p_rf+DH155)*(1-IF(DJ155="",p_tax_def,DJ155))+(1-p_dv)*(p_rf+p_beta*p_erp+p_lambda*DI155))</f>
        <v/>
      </c>
      <c r="DO155" s="13" t="n">
        <f aca="false">IF(AND(ISNUMBER(DM155),ISNUMBER(DN155)),1,0)</f>
        <v>0</v>
      </c>
      <c r="DP155" s="11" t="n">
        <f aca="false">IF(DO155=1,DM155,0)</f>
        <v>0</v>
      </c>
      <c r="DQ155" s="11" t="n">
        <f aca="false">IF(DO155=1,DN155,0)</f>
        <v>0</v>
      </c>
      <c r="DR155" s="11" t="str">
        <f aca="false">IF(DN155="","",DN155+p_shift)</f>
        <v/>
      </c>
      <c r="DS155" s="11" t="n">
        <f aca="false">IF(E155="AE",p_r_ae,IF(E155="China",p_r_chn,p_r_emdc))</f>
        <v>0.105</v>
      </c>
      <c r="DT155" s="11" t="n">
        <f aca="false">IF(E155="AE",p_rh_ae,IF(E155="China",p_rh_chn,p_rh_emdc))</f>
        <v>0.15</v>
      </c>
      <c r="DU155" s="11" t="n">
        <f aca="false">IF(AND(p_use_obs=1,ISNUMBER(DM155)),DM155,IF(AND(p_use_dam=1,ISNUMBER(DR155)),DR155,DS155))</f>
        <v>0.105</v>
      </c>
      <c r="DV155" s="6" t="str">
        <f aca="false">IF(AND(p_use_obs=1,ISNUMBER(DM155)),"Observed (IRENA/Steffen)",IF(AND(p_use_dam=1,ISNUMBER(DR155)),"Damodaran (eq. 5)","Group default (IHLEG)"))</f>
        <v>Group default (IHLEG)</v>
      </c>
      <c r="DW155" s="11" t="n">
        <f aca="false">IF(p_basis=1,(1+DU155)/(1+p_infl)-1,DU155)</f>
        <v>0.105</v>
      </c>
      <c r="DX155" s="11" t="n">
        <f aca="false">DW155+(DT155-DS155)</f>
        <v>0.15</v>
      </c>
      <c r="DY155" s="28" t="n">
        <f aca="false">IF(AND(p_use_pefa=1,ISNUMBER(BD155)),p_gap_lic-(BD155-1)/3*(p_gap_lic-p_gap_ae),IF(E155="AE",p_gap_ae,IF(D155="Low income",p_gap_lic,p_gap_em)))*(1-p_reform*p_reform_close)</f>
        <v>0.31</v>
      </c>
      <c r="DZ155" s="6" t="str">
        <f aca="false">IF(AND(p_use_pefa=1,ISNUMBER(BD155)),"PEFA PI-11","Income-group default (IMF 2015)")</f>
        <v>PEFA PI-11</v>
      </c>
      <c r="EA155" s="28" t="n">
        <f aca="false">IF(E155="AE",p_ps_ae,IF(E155="China",p_ps_chn,p_ps_emdc))</f>
        <v>0.4</v>
      </c>
      <c r="EB155" s="37" t="n">
        <f aca="false">(1-EA155)+EA155/(1-DY155)</f>
        <v>1.17971014492754</v>
      </c>
      <c r="EC155" s="16" t="n">
        <f aca="false">Results_Country!F155</f>
        <v>0.858312152129229</v>
      </c>
      <c r="ED155" s="16" t="n">
        <f aca="false">IF(CH155="",0,CH155*EC155)</f>
        <v>214.939924567367</v>
      </c>
      <c r="EE155" s="16" t="n">
        <f aca="false">IF(CJ155="",0,CJ155*EC155)</f>
        <v>1.49898060456027</v>
      </c>
      <c r="EF155" s="16" t="n">
        <f aca="false">IF(CH155="",0,EC155)</f>
        <v>0.858312152129229</v>
      </c>
    </row>
    <row r="156" customFormat="false" ht="15" hidden="false" customHeight="false" outlineLevel="0" collapsed="false">
      <c r="A156" s="35" t="s">
        <v>1069</v>
      </c>
      <c r="B156" s="35" t="s">
        <v>1070</v>
      </c>
      <c r="C156" s="35" t="s">
        <v>847</v>
      </c>
      <c r="D156" s="35" t="s">
        <v>771</v>
      </c>
      <c r="E156" s="35" t="s">
        <v>31</v>
      </c>
      <c r="F156" s="36" t="n">
        <v>10.644</v>
      </c>
      <c r="G156" s="36" t="n">
        <v>32.007</v>
      </c>
      <c r="H156" s="33" t="n">
        <v>5.889</v>
      </c>
      <c r="I156" s="33" t="n">
        <v>5</v>
      </c>
      <c r="J156" s="36" t="n">
        <v>9.515235</v>
      </c>
      <c r="K156" s="36" t="n">
        <v>2.512</v>
      </c>
      <c r="L156" s="36" t="n">
        <v>11.393</v>
      </c>
      <c r="M156" s="36" t="n">
        <v>12.213</v>
      </c>
      <c r="N156" s="36" t="n">
        <v>0.526679039125194</v>
      </c>
      <c r="O156" s="36" t="n">
        <v>1.24954801160881</v>
      </c>
      <c r="P156" s="36" t="n">
        <v>0</v>
      </c>
      <c r="Q156" s="31" t="n">
        <v>0</v>
      </c>
      <c r="R156" s="31" t="n">
        <v>0</v>
      </c>
      <c r="S156" s="31" t="n">
        <v>0.00565665025297285</v>
      </c>
      <c r="T156" s="31" t="n">
        <v>0</v>
      </c>
      <c r="U156" s="31" t="n">
        <v>0</v>
      </c>
      <c r="V156" s="31" t="n">
        <v>0</v>
      </c>
      <c r="W156" s="31" t="n">
        <v>0</v>
      </c>
      <c r="X156" s="31" t="n">
        <v>0</v>
      </c>
      <c r="Y156" s="36" t="n">
        <v>0.330275718560589</v>
      </c>
      <c r="Z156" s="36" t="n">
        <v>0.225530593170442</v>
      </c>
      <c r="AA156" s="36" t="n">
        <v>0.0812138087653684</v>
      </c>
      <c r="AB156" s="36" t="n">
        <v>0.0104990581453272</v>
      </c>
      <c r="AC156" s="36" t="n">
        <v>0.0339217094559602</v>
      </c>
      <c r="AD156" s="31" t="n">
        <v>0.85432</v>
      </c>
      <c r="AE156" s="31" t="n">
        <v>0.786212</v>
      </c>
      <c r="AF156" s="31" t="n">
        <v>0.573024</v>
      </c>
      <c r="AG156" s="31" t="n">
        <v>0.69738</v>
      </c>
      <c r="AH156" s="31" t="n">
        <v>0.519462891908447</v>
      </c>
      <c r="AI156" s="31" t="n">
        <v>7.124</v>
      </c>
      <c r="AJ156" s="31" t="n">
        <v>14.38774</v>
      </c>
      <c r="AK156" s="31" t="n">
        <v>5.575</v>
      </c>
      <c r="AL156" s="31" t="n">
        <v>9.02891333333333</v>
      </c>
      <c r="AM156" s="31" t="n">
        <v>12.815</v>
      </c>
      <c r="AN156" s="31" t="n">
        <v>24.49326</v>
      </c>
      <c r="AO156" s="31" t="n">
        <v>11.492</v>
      </c>
      <c r="AP156" s="31" t="n">
        <v>11.492</v>
      </c>
      <c r="AQ156" s="36" t="n">
        <v>0.0028293075978027</v>
      </c>
      <c r="AR156" s="36" t="n">
        <v>0.00524010449292448</v>
      </c>
      <c r="AS156" s="36" t="n">
        <v>0.0460951699995317</v>
      </c>
      <c r="AT156" s="36" t="n">
        <v>0.0162884390395275</v>
      </c>
      <c r="AU156" s="31" t="n">
        <v>0.331505909362592</v>
      </c>
      <c r="AV156" s="36" t="n">
        <v>0.177239</v>
      </c>
      <c r="AW156" s="31" t="n">
        <v>0.0469</v>
      </c>
      <c r="AX156" s="31" t="n">
        <v>0.000509</v>
      </c>
      <c r="AY156" s="31" t="n">
        <v>0.000290391525754378</v>
      </c>
      <c r="AZ156" s="31" t="n">
        <v>0.004976</v>
      </c>
      <c r="BA156" s="33" t="n">
        <v>66.213</v>
      </c>
      <c r="BB156" s="33" t="n">
        <v>15.609</v>
      </c>
      <c r="BC156" s="33" t="n">
        <v>51.166</v>
      </c>
      <c r="BD156" s="33" t="n">
        <v>2</v>
      </c>
      <c r="BE156" s="33" t="n">
        <v>1</v>
      </c>
      <c r="BF156" s="33" t="n">
        <v>0</v>
      </c>
      <c r="BG156" s="33"/>
      <c r="BH156" s="33"/>
      <c r="BI156" s="29"/>
      <c r="BJ156" s="33"/>
      <c r="BK156" s="33"/>
      <c r="BL156" s="33" t="n">
        <v>5.505</v>
      </c>
      <c r="BM156" s="33" t="n">
        <v>7.735</v>
      </c>
      <c r="BN156" s="29" t="n">
        <v>24.936</v>
      </c>
      <c r="BO156" s="33" t="n">
        <v>2.262</v>
      </c>
      <c r="BP156" s="33" t="n">
        <v>0.599</v>
      </c>
      <c r="BQ156" s="29" t="n">
        <v>2024</v>
      </c>
      <c r="BR156" s="36" t="n">
        <v>0.71</v>
      </c>
      <c r="BS156" s="36" t="n">
        <v>0</v>
      </c>
      <c r="BT156" s="36" t="n">
        <v>0.5</v>
      </c>
      <c r="BU156" s="36" t="n">
        <v>0</v>
      </c>
      <c r="BV156" s="16" t="n">
        <f aca="false">F156*(1+N(H156)/100)*(1+N(I156)/100)^5</f>
        <v>14.3847463458691</v>
      </c>
      <c r="BW156" s="16" t="n">
        <f aca="false">IF(N(G156)&gt;0,G156,F156)</f>
        <v>32.007</v>
      </c>
      <c r="BX156" s="12" t="n">
        <f aca="false">F156/BW156</f>
        <v>0.332552254194395</v>
      </c>
      <c r="BY156" s="13" t="n">
        <f aca="false">IF(ISNUMBER(K156),1,0)</f>
        <v>1</v>
      </c>
      <c r="BZ156" s="16" t="n">
        <f aca="false">IF(BY156=0,"",N(N156)+N(O156)+N(P156))</f>
        <v>1.776227050734</v>
      </c>
      <c r="CA156" s="37" t="n">
        <f aca="false">IF(BY156=0,"",(N(Y156)*34.2+N(Z156)*38.6)/1000)</f>
        <v>0.0200009104711512</v>
      </c>
      <c r="CB156" s="37" t="n">
        <f aca="false">IF(BY156=0,"",N(O156)*0.0036+N(R156)+N(V156)+(N(AA156)*25.3+N(AB156)*37)/1000)</f>
        <v>0.00694154735493264</v>
      </c>
      <c r="CC156" s="37" t="n">
        <f aca="false">IF(BY156=0,"",N(N156)*0.0036+N(Q156)+N(U156)+N(T156)+N(X156)+N(AC156)*38/1000)</f>
        <v>0.00318506950017718</v>
      </c>
      <c r="CD156" s="37" t="n">
        <f aca="false">IF(BY156=0,"",N(Q156)+N(R156)+N(S156)+N(T156)+N(U156)+N(V156)+N(W156)+N(X156)+(N(Y156)*34.2+N(Z156)*38.6+N(AA156)*25.3+N(AB156)*37+N(AC156)*38)/1000)</f>
        <v>0.0293897601965915</v>
      </c>
      <c r="CE156" s="16" t="n">
        <f aca="false">IF(BY156=0,"",MAX(0,N(L156)-N(K156))+MAX(0,N(M156)-N(L156)))</f>
        <v>9.701</v>
      </c>
      <c r="CF156" s="16" t="n">
        <f aca="false">IF(BY156=0,"",N(Y156)*N(AD156)+N(Z156)*N(AE156)+N(AA156)*N(AF156)+N(AB156)*N(AG156)+N(AC156)*N(AH156)+N(U156)*N(AI156)+N(V156)*N(AJ156)+N(W156)*N(AK156)+N(X156)*N(AL156)+N(Q156)*N(AM156)+N(R156)*N(AN156)+N(S156)*N(AO156)+N(T156)*N(AP156))</f>
        <v>0.595962599321392</v>
      </c>
      <c r="CG156" s="16" t="n">
        <f aca="false">IF(AND(BY156=1,N(K156)&gt;0),K156,0)</f>
        <v>2.512</v>
      </c>
      <c r="CH156" s="16" t="n">
        <f aca="false">IF(CG156&gt;0,CF156*1000/CG156,"")</f>
        <v>237.246257691637</v>
      </c>
      <c r="CI156" s="16" t="n">
        <f aca="false">IF(BY156=0,"",N(AQ156)+p_road*(N(AR156)+N(AS156)+N(AT156)))</f>
        <v>0.0028293075978027</v>
      </c>
      <c r="CJ156" s="16" t="n">
        <f aca="false">IF(CG156&gt;0,CI156*1000/CG156,"")</f>
        <v>1.1263167188705</v>
      </c>
      <c r="CK156" s="12" t="n">
        <f aca="false">IF(CH156="",1,MIN(p_idx_max,MAX(p_idx_min,CH156/p_fc_world)))</f>
        <v>1.4735120198534</v>
      </c>
      <c r="CL156" s="12" t="n">
        <f aca="false">IF(CJ156="",1,MIN(p_idx_max,MAX(p_idx_min,CJ156/p_cb_world)))</f>
        <v>0.25</v>
      </c>
      <c r="CM156" s="37" t="n">
        <f aca="false">p_b*(1-p_wb_idx+p_wb_idx*CK156)</f>
        <v>0.195977098640502</v>
      </c>
      <c r="CN156" s="37" t="n">
        <f aca="false">p_c*(1-p_wc_idx+p_wc_idx*CL156)</f>
        <v>0.03225</v>
      </c>
      <c r="CO156" s="28" t="n">
        <f aca="false">IF(N(BR156)&gt;0,(N(BS156)+N(BT156)+N(BU156))/BR156,"")</f>
        <v>0.704225352112676</v>
      </c>
      <c r="CP156" s="16" t="n">
        <f aca="false">N(BS156)+N(BT156)+N(BU156)</f>
        <v>0.5</v>
      </c>
      <c r="CQ156" s="28" t="n">
        <f aca="false">IF(CP156&gt;0,N(BS156)/CP156,"")</f>
        <v>0</v>
      </c>
      <c r="CR156" s="28" t="n">
        <f aca="false">IF(CP156&gt;0,N(BT156)/CP156,"")</f>
        <v>1</v>
      </c>
      <c r="CS156" s="28" t="n">
        <f aca="false">IF(CP156&gt;0,N(BU156)/CP156,"")</f>
        <v>0</v>
      </c>
      <c r="CT156" s="7" t="n">
        <f aca="false">1000*(p_sh_pv*p_cf_pv/p_capex_pv+(1-p_sh_pv)*p_cf_wind/p_capex_wind)*8760</f>
        <v>2301.28856624319</v>
      </c>
      <c r="CU156" s="13" t="n">
        <f aca="false">IF(AND(ISNUMBER(CO156),ISNUMBER(CQ156),BY156=1),1,0)</f>
        <v>1</v>
      </c>
      <c r="CV156" s="16" t="n">
        <f aca="false">IF(CU156=0,"",CQ156*p_hr_coal*N(AK156)+CR156*p_hr_gas*N(AO156)+CS156*p_hr_oil*N(AH156)/p_gj_l_oil)</f>
        <v>86.19</v>
      </c>
      <c r="CW156" s="37" t="n">
        <f aca="false">IF(CU156=0,"",CQ156*p_hr_coal*p_ef_coal+CR156*p_hr_gas*p_ef_gas+CS156*p_hr_oil*p_ef_oil)</f>
        <v>0.42075</v>
      </c>
      <c r="CX156" s="16" t="n">
        <f aca="false">IF(CU156=0,"",CQ156*p_hr_coal*N(AW156)+CR156*p_hr_gas*N(AX156)+CS156*p_hr_oil*N(AY156)/p_gj_l_oil)</f>
        <v>0.0038175</v>
      </c>
      <c r="CY156" s="37" t="n">
        <f aca="false">IF(CU156=0,"",CO156*CW156)</f>
        <v>0.296302816901409</v>
      </c>
      <c r="CZ156" s="37" t="n">
        <f aca="false">IF(CU156=0,"",CT156*CO156*CV156/1000/1000-p_om_re)</f>
        <v>0.124681733467958</v>
      </c>
      <c r="DA156" s="37" t="n">
        <f aca="false">IF(CU156=0,"",CT156*CO156*CX156/1000/1000)</f>
        <v>6.18673880396718E-006</v>
      </c>
      <c r="DB156" s="37" t="n">
        <f aca="false">IF(CU156=0,"",CT156*CO156*CW156/1000)</f>
        <v>0.681878284680862</v>
      </c>
      <c r="DC156" s="13" t="n">
        <f aca="false">IF(AND(CU156=1,ISNUMBER(AD156),ISNUMBER(AV156)),1,0)</f>
        <v>1</v>
      </c>
      <c r="DD156" s="7" t="n">
        <f aca="false">IF(DC156=0,"",p_ev_km*p_ice_l/100*AD156-p_ev_km*p_ev_kwh*AV156+p_ev_km*p_ev_maint)</f>
        <v>662.5647</v>
      </c>
      <c r="DE156" s="37" t="n">
        <f aca="false">IF(DC156=0,"",DD156/p_ev_prem)</f>
        <v>0.13251294</v>
      </c>
      <c r="DF156" s="37" t="n">
        <f aca="false">IF(DC156=0,"",p_ev_km*p_ice_l/100*N(AZ156)/p_ev_prem)</f>
        <v>0.0011196</v>
      </c>
      <c r="DG156" s="37" t="n">
        <f aca="false">IF(DC156=0,"",1000/p_ev_prem*(p_ev_km*p_ice_l/100*p_gj_l_gso*p_ef_gso-p_ev_km*p_ev_kwh/1000*CY156))</f>
        <v>0.373259978873239</v>
      </c>
      <c r="DH156" s="11" t="str">
        <f aca="false">IFERROR(IF(INDEX(Damodaran!$D:$D,MATCH(A156,Damodaran!$A:$A,0))="","",INDEX(Damodaran!$D:$D,MATCH(A156,Damodaran!$A:$A,0))),"")</f>
        <v/>
      </c>
      <c r="DI156" s="11" t="str">
        <f aca="false">IFERROR(IF(INDEX(Damodaran!$E:$E,MATCH(A156,Damodaran!$A:$A,0))="","",INDEX(Damodaran!$E:$E,MATCH(A156,Damodaran!$A:$A,0))),"")</f>
        <v/>
      </c>
      <c r="DJ156" s="11" t="str">
        <f aca="false">IFERROR(IF(INDEX(Damodaran!$G:$G,MATCH(A156,Damodaran!$A:$A,0))="","",INDEX(Damodaran!$G:$G,MATCH(A156,Damodaran!$A:$A,0))),"")</f>
        <v/>
      </c>
      <c r="DK156" s="11" t="str">
        <f aca="false">IF(ISNUMBER(BG156),(1+BG156/100)*(1+p_infl)-1,"")</f>
        <v/>
      </c>
      <c r="DL156" s="11" t="str">
        <f aca="false">IF(ISNUMBER(BH156),BH156/100,"")</f>
        <v/>
      </c>
      <c r="DM156" s="11" t="str">
        <f aca="false">IF(COUNT(DK156,DL156)=0,"",AVERAGE(DK156,DL156))</f>
        <v/>
      </c>
      <c r="DN156" s="11" t="str">
        <f aca="false">IF(OR(DH156="",DI156=""),"",p_dv*(p_rf+DH156)*(1-IF(DJ156="",p_tax_def,DJ156))+(1-p_dv)*(p_rf+p_beta*p_erp+p_lambda*DI156))</f>
        <v/>
      </c>
      <c r="DO156" s="13" t="n">
        <f aca="false">IF(AND(ISNUMBER(DM156),ISNUMBER(DN156)),1,0)</f>
        <v>0</v>
      </c>
      <c r="DP156" s="11" t="n">
        <f aca="false">IF(DO156=1,DM156,0)</f>
        <v>0</v>
      </c>
      <c r="DQ156" s="11" t="n">
        <f aca="false">IF(DO156=1,DN156,0)</f>
        <v>0</v>
      </c>
      <c r="DR156" s="11" t="str">
        <f aca="false">IF(DN156="","",DN156+p_shift)</f>
        <v/>
      </c>
      <c r="DS156" s="11" t="n">
        <f aca="false">IF(E156="AE",p_r_ae,IF(E156="China",p_r_chn,p_r_emdc))</f>
        <v>0.105</v>
      </c>
      <c r="DT156" s="11" t="n">
        <f aca="false">IF(E156="AE",p_rh_ae,IF(E156="China",p_rh_chn,p_rh_emdc))</f>
        <v>0.15</v>
      </c>
      <c r="DU156" s="11" t="n">
        <f aca="false">IF(AND(p_use_obs=1,ISNUMBER(DM156)),DM156,IF(AND(p_use_dam=1,ISNUMBER(DR156)),DR156,DS156))</f>
        <v>0.105</v>
      </c>
      <c r="DV156" s="6" t="str">
        <f aca="false">IF(AND(p_use_obs=1,ISNUMBER(DM156)),"Observed (IRENA/Steffen)",IF(AND(p_use_dam=1,ISNUMBER(DR156)),"Damodaran (eq. 5)","Group default (IHLEG)"))</f>
        <v>Group default (IHLEG)</v>
      </c>
      <c r="DW156" s="11" t="n">
        <f aca="false">IF(p_basis=1,(1+DU156)/(1+p_infl)-1,DU156)</f>
        <v>0.105</v>
      </c>
      <c r="DX156" s="11" t="n">
        <f aca="false">DW156+(DT156-DS156)</f>
        <v>0.15</v>
      </c>
      <c r="DY156" s="28" t="n">
        <f aca="false">IF(AND(p_use_pefa=1,ISNUMBER(BD156)),p_gap_lic-(BD156-1)/3*(p_gap_lic-p_gap_ae),IF(E156="AE",p_gap_ae,IF(D156="Low income",p_gap_lic,p_gap_em)))*(1-p_reform*p_reform_close)</f>
        <v>0.31</v>
      </c>
      <c r="DZ156" s="6" t="str">
        <f aca="false">IF(AND(p_use_pefa=1,ISNUMBER(BD156)),"PEFA PI-11","Income-group default (IMF 2015)")</f>
        <v>PEFA PI-11</v>
      </c>
      <c r="EA156" s="28" t="n">
        <f aca="false">IF(E156="AE",p_ps_ae,IF(E156="China",p_ps_chn,p_ps_emdc))</f>
        <v>0.4</v>
      </c>
      <c r="EB156" s="37" t="n">
        <f aca="false">(1-EA156)+EA156/(1-DY156)</f>
        <v>1.17971014492754</v>
      </c>
      <c r="EC156" s="16" t="n">
        <f aca="false">Results_Country!F156</f>
        <v>0.706367150331038</v>
      </c>
      <c r="ED156" s="16" t="n">
        <f aca="false">IF(CH156="",0,CH156*EC156)</f>
        <v>167.582962972345</v>
      </c>
      <c r="EE156" s="16" t="n">
        <f aca="false">IF(CJ156="",0,CJ156*EC156)</f>
        <v>0.79559313107876</v>
      </c>
      <c r="EF156" s="16" t="n">
        <f aca="false">IF(CH156="",0,EC156)</f>
        <v>0.706367150331038</v>
      </c>
    </row>
    <row r="157" customFormat="false" ht="15" hidden="false" customHeight="false" outlineLevel="0" collapsed="false">
      <c r="A157" s="35" t="s">
        <v>1071</v>
      </c>
      <c r="B157" s="35" t="s">
        <v>1072</v>
      </c>
      <c r="C157" s="35" t="s">
        <v>766</v>
      </c>
      <c r="D157" s="35" t="s">
        <v>760</v>
      </c>
      <c r="E157" s="35" t="s">
        <v>31</v>
      </c>
      <c r="F157" s="36" t="n">
        <v>8.465</v>
      </c>
      <c r="G157" s="36" t="n">
        <v>7.72</v>
      </c>
      <c r="H157" s="33"/>
      <c r="I157" s="33" t="n">
        <v>-0.4</v>
      </c>
      <c r="J157" s="36"/>
      <c r="K157" s="36"/>
      <c r="L157" s="36"/>
      <c r="M157" s="36"/>
      <c r="N157" s="36"/>
      <c r="O157" s="36"/>
      <c r="P157" s="36"/>
      <c r="Q157" s="31"/>
      <c r="R157" s="31"/>
      <c r="S157" s="31"/>
      <c r="T157" s="31"/>
      <c r="U157" s="31"/>
      <c r="V157" s="31"/>
      <c r="W157" s="31"/>
      <c r="X157" s="31"/>
      <c r="Y157" s="36"/>
      <c r="Z157" s="36"/>
      <c r="AA157" s="36"/>
      <c r="AB157" s="36"/>
      <c r="AC157" s="36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6"/>
      <c r="AR157" s="36"/>
      <c r="AS157" s="36"/>
      <c r="AT157" s="36"/>
      <c r="AU157" s="31"/>
      <c r="AV157" s="36"/>
      <c r="AW157" s="31"/>
      <c r="AX157" s="31"/>
      <c r="AY157" s="31"/>
      <c r="AZ157" s="31"/>
      <c r="BA157" s="33" t="n">
        <v>0.487</v>
      </c>
      <c r="BB157" s="33" t="n">
        <v>0.021</v>
      </c>
      <c r="BC157" s="33"/>
      <c r="BD157" s="33"/>
      <c r="BE157" s="33"/>
      <c r="BF157" s="33" t="n">
        <v>0</v>
      </c>
      <c r="BG157" s="33"/>
      <c r="BH157" s="33"/>
      <c r="BI157" s="29"/>
      <c r="BJ157" s="33"/>
      <c r="BK157" s="33"/>
      <c r="BL157" s="33"/>
      <c r="BM157" s="33"/>
      <c r="BN157" s="29"/>
      <c r="BO157" s="33"/>
      <c r="BP157" s="33"/>
      <c r="BQ157" s="29"/>
      <c r="BR157" s="36"/>
      <c r="BS157" s="36"/>
      <c r="BT157" s="36"/>
      <c r="BU157" s="36"/>
      <c r="BV157" s="16" t="n">
        <f aca="false">F157*(1+N(H157)/100)*(1+N(I157)/100)^5</f>
        <v>8.29704899322653</v>
      </c>
      <c r="BW157" s="16" t="n">
        <f aca="false">IF(N(G157)&gt;0,G157,F157)</f>
        <v>7.72</v>
      </c>
      <c r="BX157" s="12" t="n">
        <f aca="false">F157/BW157</f>
        <v>1.09650259067358</v>
      </c>
      <c r="BY157" s="13" t="n">
        <f aca="false">IF(ISNUMBER(K157),1,0)</f>
        <v>0</v>
      </c>
      <c r="BZ157" s="16" t="str">
        <f aca="false">IF(BY157=0,"",N(N157)+N(O157)+N(P157))</f>
        <v/>
      </c>
      <c r="CA157" s="37" t="str">
        <f aca="false">IF(BY157=0,"",(N(Y157)*34.2+N(Z157)*38.6)/1000)</f>
        <v/>
      </c>
      <c r="CB157" s="37" t="str">
        <f aca="false">IF(BY157=0,"",N(O157)*0.0036+N(R157)+N(V157)+(N(AA157)*25.3+N(AB157)*37)/1000)</f>
        <v/>
      </c>
      <c r="CC157" s="37" t="str">
        <f aca="false">IF(BY157=0,"",N(N157)*0.0036+N(Q157)+N(U157)+N(T157)+N(X157)+N(AC157)*38/1000)</f>
        <v/>
      </c>
      <c r="CD157" s="37" t="str">
        <f aca="false">IF(BY157=0,"",N(Q157)+N(R157)+N(S157)+N(T157)+N(U157)+N(V157)+N(W157)+N(X157)+(N(Y157)*34.2+N(Z157)*38.6+N(AA157)*25.3+N(AB157)*37+N(AC157)*38)/1000)</f>
        <v/>
      </c>
      <c r="CE157" s="16" t="str">
        <f aca="false">IF(BY157=0,"",MAX(0,N(L157)-N(K157))+MAX(0,N(M157)-N(L157)))</f>
        <v/>
      </c>
      <c r="CF157" s="16" t="str">
        <f aca="false">IF(BY157=0,"",N(Y157)*N(AD157)+N(Z157)*N(AE157)+N(AA157)*N(AF157)+N(AB157)*N(AG157)+N(AC157)*N(AH157)+N(U157)*N(AI157)+N(V157)*N(AJ157)+N(W157)*N(AK157)+N(X157)*N(AL157)+N(Q157)*N(AM157)+N(R157)*N(AN157)+N(S157)*N(AO157)+N(T157)*N(AP157))</f>
        <v/>
      </c>
      <c r="CG157" s="16" t="n">
        <f aca="false">IF(AND(BY157=1,N(K157)&gt;0),K157,0)</f>
        <v>0</v>
      </c>
      <c r="CH157" s="16" t="str">
        <f aca="false">IF(CG157&gt;0,CF157*1000/CG157,"")</f>
        <v/>
      </c>
      <c r="CI157" s="16" t="str">
        <f aca="false">IF(BY157=0,"",N(AQ157)+p_road*(N(AR157)+N(AS157)+N(AT157)))</f>
        <v/>
      </c>
      <c r="CJ157" s="16" t="str">
        <f aca="false">IF(CG157&gt;0,CI157*1000/CG157,"")</f>
        <v/>
      </c>
      <c r="CK157" s="12" t="n">
        <f aca="false">IF(CH157="",1,MIN(p_idx_max,MAX(p_idx_min,CH157/p_fc_world)))</f>
        <v>1</v>
      </c>
      <c r="CL157" s="12" t="n">
        <f aca="false">IF(CJ157="",1,MIN(p_idx_max,MAX(p_idx_min,CJ157/p_cb_world)))</f>
        <v>1</v>
      </c>
      <c r="CM157" s="37" t="n">
        <f aca="false">p_b*(1-p_wb_idx+p_wb_idx*CK157)</f>
        <v>0.133</v>
      </c>
      <c r="CN157" s="37" t="n">
        <f aca="false">p_c*(1-p_wc_idx+p_wc_idx*CL157)</f>
        <v>0.129</v>
      </c>
      <c r="CO157" s="28" t="str">
        <f aca="false">IF(N(BR157)&gt;0,(N(BS157)+N(BT157)+N(BU157))/BR157,"")</f>
        <v/>
      </c>
      <c r="CP157" s="16" t="n">
        <f aca="false">N(BS157)+N(BT157)+N(BU157)</f>
        <v>0</v>
      </c>
      <c r="CQ157" s="28" t="str">
        <f aca="false">IF(CP157&gt;0,N(BS157)/CP157,"")</f>
        <v/>
      </c>
      <c r="CR157" s="28" t="str">
        <f aca="false">IF(CP157&gt;0,N(BT157)/CP157,"")</f>
        <v/>
      </c>
      <c r="CS157" s="28" t="str">
        <f aca="false">IF(CP157&gt;0,N(BU157)/CP157,"")</f>
        <v/>
      </c>
      <c r="CT157" s="7" t="n">
        <f aca="false">1000*(p_sh_pv*p_cf_pv/p_capex_pv+(1-p_sh_pv)*p_cf_wind/p_capex_wind)*8760</f>
        <v>2301.28856624319</v>
      </c>
      <c r="CU157" s="13" t="n">
        <f aca="false">IF(AND(ISNUMBER(CO157),ISNUMBER(CQ157),BY157=1),1,0)</f>
        <v>0</v>
      </c>
      <c r="CV157" s="16" t="str">
        <f aca="false">IF(CU157=0,"",CQ157*p_hr_coal*N(AK157)+CR157*p_hr_gas*N(AO157)+CS157*p_hr_oil*N(AH157)/p_gj_l_oil)</f>
        <v/>
      </c>
      <c r="CW157" s="37" t="str">
        <f aca="false">IF(CU157=0,"",CQ157*p_hr_coal*p_ef_coal+CR157*p_hr_gas*p_ef_gas+CS157*p_hr_oil*p_ef_oil)</f>
        <v/>
      </c>
      <c r="CX157" s="16" t="str">
        <f aca="false">IF(CU157=0,"",CQ157*p_hr_coal*N(AW157)+CR157*p_hr_gas*N(AX157)+CS157*p_hr_oil*N(AY157)/p_gj_l_oil)</f>
        <v/>
      </c>
      <c r="CY157" s="37" t="str">
        <f aca="false">IF(CU157=0,"",CO157*CW157)</f>
        <v/>
      </c>
      <c r="CZ157" s="37" t="str">
        <f aca="false">IF(CU157=0,"",CT157*CO157*CV157/1000/1000-p_om_re)</f>
        <v/>
      </c>
      <c r="DA157" s="37" t="str">
        <f aca="false">IF(CU157=0,"",CT157*CO157*CX157/1000/1000)</f>
        <v/>
      </c>
      <c r="DB157" s="37" t="str">
        <f aca="false">IF(CU157=0,"",CT157*CO157*CW157/1000)</f>
        <v/>
      </c>
      <c r="DC157" s="13" t="n">
        <f aca="false">IF(AND(CU157=1,ISNUMBER(AD157),ISNUMBER(AV157)),1,0)</f>
        <v>0</v>
      </c>
      <c r="DD157" s="7" t="str">
        <f aca="false">IF(DC157=0,"",p_ev_km*p_ice_l/100*AD157-p_ev_km*p_ev_kwh*AV157+p_ev_km*p_ev_maint)</f>
        <v/>
      </c>
      <c r="DE157" s="37" t="str">
        <f aca="false">IF(DC157=0,"",DD157/p_ev_prem)</f>
        <v/>
      </c>
      <c r="DF157" s="37" t="str">
        <f aca="false">IF(DC157=0,"",p_ev_km*p_ice_l/100*N(AZ157)/p_ev_prem)</f>
        <v/>
      </c>
      <c r="DG157" s="37" t="str">
        <f aca="false">IF(DC157=0,"",1000/p_ev_prem*(p_ev_km*p_ice_l/100*p_gj_l_gso*p_ef_gso-p_ev_km*p_ev_kwh/1000*CY157))</f>
        <v/>
      </c>
      <c r="DH157" s="11" t="str">
        <f aca="false">IFERROR(IF(INDEX(Damodaran!$D:$D,MATCH(A157,Damodaran!$A:$A,0))="","",INDEX(Damodaran!$D:$D,MATCH(A157,Damodaran!$A:$A,0))),"")</f>
        <v/>
      </c>
      <c r="DI157" s="11" t="str">
        <f aca="false">IFERROR(IF(INDEX(Damodaran!$E:$E,MATCH(A157,Damodaran!$A:$A,0))="","",INDEX(Damodaran!$E:$E,MATCH(A157,Damodaran!$A:$A,0))),"")</f>
        <v/>
      </c>
      <c r="DJ157" s="11" t="str">
        <f aca="false">IFERROR(IF(INDEX(Damodaran!$G:$G,MATCH(A157,Damodaran!$A:$A,0))="","",INDEX(Damodaran!$G:$G,MATCH(A157,Damodaran!$A:$A,0))),"")</f>
        <v/>
      </c>
      <c r="DK157" s="11" t="str">
        <f aca="false">IF(ISNUMBER(BG157),(1+BG157/100)*(1+p_infl)-1,"")</f>
        <v/>
      </c>
      <c r="DL157" s="11" t="str">
        <f aca="false">IF(ISNUMBER(BH157),BH157/100,"")</f>
        <v/>
      </c>
      <c r="DM157" s="11" t="str">
        <f aca="false">IF(COUNT(DK157,DL157)=0,"",AVERAGE(DK157,DL157))</f>
        <v/>
      </c>
      <c r="DN157" s="11" t="str">
        <f aca="false">IF(OR(DH157="",DI157=""),"",p_dv*(p_rf+DH157)*(1-IF(DJ157="",p_tax_def,DJ157))+(1-p_dv)*(p_rf+p_beta*p_erp+p_lambda*DI157))</f>
        <v/>
      </c>
      <c r="DO157" s="13" t="n">
        <f aca="false">IF(AND(ISNUMBER(DM157),ISNUMBER(DN157)),1,0)</f>
        <v>0</v>
      </c>
      <c r="DP157" s="11" t="n">
        <f aca="false">IF(DO157=1,DM157,0)</f>
        <v>0</v>
      </c>
      <c r="DQ157" s="11" t="n">
        <f aca="false">IF(DO157=1,DN157,0)</f>
        <v>0</v>
      </c>
      <c r="DR157" s="11" t="str">
        <f aca="false">IF(DN157="","",DN157+p_shift)</f>
        <v/>
      </c>
      <c r="DS157" s="11" t="n">
        <f aca="false">IF(E157="AE",p_r_ae,IF(E157="China",p_r_chn,p_r_emdc))</f>
        <v>0.105</v>
      </c>
      <c r="DT157" s="11" t="n">
        <f aca="false">IF(E157="AE",p_rh_ae,IF(E157="China",p_rh_chn,p_rh_emdc))</f>
        <v>0.15</v>
      </c>
      <c r="DU157" s="11" t="n">
        <f aca="false">IF(AND(p_use_obs=1,ISNUMBER(DM157)),DM157,IF(AND(p_use_dam=1,ISNUMBER(DR157)),DR157,DS157))</f>
        <v>0.105</v>
      </c>
      <c r="DV157" s="6" t="str">
        <f aca="false">IF(AND(p_use_obs=1,ISNUMBER(DM157)),"Observed (IRENA/Steffen)",IF(AND(p_use_dam=1,ISNUMBER(DR157)),"Damodaran (eq. 5)","Group default (IHLEG)"))</f>
        <v>Group default (IHLEG)</v>
      </c>
      <c r="DW157" s="11" t="n">
        <f aca="false">IF(p_basis=1,(1+DU157)/(1+p_infl)-1,DU157)</f>
        <v>0.105</v>
      </c>
      <c r="DX157" s="11" t="n">
        <f aca="false">DW157+(DT157-DS157)</f>
        <v>0.15</v>
      </c>
      <c r="DY157" s="28" t="n">
        <f aca="false">IF(AND(p_use_pefa=1,ISNUMBER(BD157)),p_gap_lic-(BD157-1)/3*(p_gap_lic-p_gap_ae),IF(E157="AE",p_gap_ae,IF(D157="Low income",p_gap_lic,p_gap_em)))*(1-p_reform*p_reform_close)</f>
        <v>0.27</v>
      </c>
      <c r="DZ157" s="6" t="str">
        <f aca="false">IF(AND(p_use_pefa=1,ISNUMBER(BD157)),"PEFA PI-11","Income-group default (IMF 2015)")</f>
        <v>Income-group default (IMF 2015)</v>
      </c>
      <c r="EA157" s="28" t="n">
        <f aca="false">IF(E157="AE",p_ps_ae,IF(E157="China",p_ps_chn,p_ps_emdc))</f>
        <v>0.4</v>
      </c>
      <c r="EB157" s="37" t="n">
        <f aca="false">(1-EA157)+EA157/(1-DY157)</f>
        <v>1.14794520547945</v>
      </c>
      <c r="EC157" s="16" t="n">
        <f aca="false">Results_Country!F157</f>
        <v>0.337340186852649</v>
      </c>
      <c r="ED157" s="16" t="n">
        <f aca="false">IF(CH157="",0,CH157*EC157)</f>
        <v>0</v>
      </c>
      <c r="EE157" s="16" t="n">
        <f aca="false">IF(CJ157="",0,CJ157*EC157)</f>
        <v>0</v>
      </c>
      <c r="EF157" s="16" t="n">
        <f aca="false">IF(CH157="",0,EC157)</f>
        <v>0</v>
      </c>
    </row>
    <row r="158" customFormat="false" ht="15" hidden="false" customHeight="false" outlineLevel="0" collapsed="false">
      <c r="A158" s="35" t="s">
        <v>1073</v>
      </c>
      <c r="B158" s="35" t="s">
        <v>1074</v>
      </c>
      <c r="C158" s="35" t="s">
        <v>766</v>
      </c>
      <c r="D158" s="35" t="s">
        <v>763</v>
      </c>
      <c r="E158" s="35" t="s">
        <v>31</v>
      </c>
      <c r="F158" s="36" t="n">
        <v>8.272</v>
      </c>
      <c r="G158" s="36" t="n">
        <v>20.316</v>
      </c>
      <c r="H158" s="33" t="n">
        <v>2.7</v>
      </c>
      <c r="I158" s="33" t="n">
        <v>2.8</v>
      </c>
      <c r="J158" s="36" t="n">
        <v>0.638478</v>
      </c>
      <c r="K158" s="36" t="s">
        <v>844</v>
      </c>
      <c r="L158" s="36" t="s">
        <v>844</v>
      </c>
      <c r="M158" s="36" t="s">
        <v>844</v>
      </c>
      <c r="N158" s="36" t="n">
        <v>1.98892350194726</v>
      </c>
      <c r="O158" s="36" t="n">
        <v>1.61081226006911</v>
      </c>
      <c r="P158" s="36" t="n">
        <v>0.0132337041568886</v>
      </c>
      <c r="Q158" s="31" t="n">
        <v>0</v>
      </c>
      <c r="R158" s="31" t="n">
        <v>0</v>
      </c>
      <c r="S158" s="31" t="n">
        <v>0</v>
      </c>
      <c r="T158" s="31" t="n">
        <v>0</v>
      </c>
      <c r="U158" s="31" t="n">
        <v>0.000155976177870331</v>
      </c>
      <c r="V158" s="31" t="n">
        <v>0.000212673695117307</v>
      </c>
      <c r="W158" s="31" t="n">
        <v>0.0151261278605258</v>
      </c>
      <c r="X158" s="31" t="n">
        <v>0</v>
      </c>
      <c r="Y158" s="36" t="n">
        <v>0.0514086984855883</v>
      </c>
      <c r="Z158" s="36" t="n">
        <v>0.360569562481799</v>
      </c>
      <c r="AA158" s="36" t="n">
        <v>0.0354385111903861</v>
      </c>
      <c r="AB158" s="36" t="n">
        <v>1.11919397480909E-006</v>
      </c>
      <c r="AC158" s="36" t="n">
        <v>0.00819239570866116</v>
      </c>
      <c r="AD158" s="31" t="n">
        <v>0.872152</v>
      </c>
      <c r="AE158" s="31" t="n">
        <v>0.815488</v>
      </c>
      <c r="AF158" s="31" t="n">
        <v>0.523206</v>
      </c>
      <c r="AG158" s="31" t="n">
        <v>0.591</v>
      </c>
      <c r="AH158" s="31" t="n">
        <v>0.519462891908447</v>
      </c>
      <c r="AI158" s="31" t="n">
        <v>3.373</v>
      </c>
      <c r="AJ158" s="31" t="n">
        <v>6.48318</v>
      </c>
      <c r="AK158" s="31" t="n">
        <v>2.049</v>
      </c>
      <c r="AL158" s="31" t="n">
        <v>2.12318924780245</v>
      </c>
      <c r="AM158" s="31" t="n">
        <v>12.815</v>
      </c>
      <c r="AN158" s="31" t="n">
        <v>25.11597</v>
      </c>
      <c r="AO158" s="31" t="n">
        <v>11.492</v>
      </c>
      <c r="AP158" s="31" t="n">
        <v>16.4743233333333</v>
      </c>
      <c r="AQ158" s="36" t="n">
        <v>0</v>
      </c>
      <c r="AR158" s="36" t="n">
        <v>0.0054586738631621</v>
      </c>
      <c r="AS158" s="36" t="n">
        <v>0.0050469553800701</v>
      </c>
      <c r="AT158" s="36" t="n">
        <v>0.00707054186957937</v>
      </c>
      <c r="AU158" s="31" t="n">
        <v>0.652354566326772</v>
      </c>
      <c r="AV158" s="36" t="n">
        <v>0.113171</v>
      </c>
      <c r="AW158" s="31" t="n">
        <v>0</v>
      </c>
      <c r="AX158" s="31" t="n">
        <v>0</v>
      </c>
      <c r="AY158" s="31" t="n">
        <v>0</v>
      </c>
      <c r="AZ158" s="31" t="n">
        <v>0</v>
      </c>
      <c r="BA158" s="33" t="n">
        <v>60.756</v>
      </c>
      <c r="BB158" s="33" t="n">
        <v>4.896</v>
      </c>
      <c r="BC158" s="33" t="n">
        <v>88.62</v>
      </c>
      <c r="BD158" s="33" t="n">
        <v>1.5</v>
      </c>
      <c r="BE158" s="33" t="n">
        <v>1</v>
      </c>
      <c r="BF158" s="33" t="n">
        <v>0</v>
      </c>
      <c r="BG158" s="33" t="n">
        <v>8.8</v>
      </c>
      <c r="BH158" s="33"/>
      <c r="BI158" s="29"/>
      <c r="BJ158" s="33" t="n">
        <v>1</v>
      </c>
      <c r="BK158" s="33"/>
      <c r="BL158" s="33" t="n">
        <v>3.17</v>
      </c>
      <c r="BM158" s="33" t="n">
        <v>6.835</v>
      </c>
      <c r="BN158" s="29" t="n">
        <v>8.556</v>
      </c>
      <c r="BO158" s="33" t="n">
        <v>3.639</v>
      </c>
      <c r="BP158" s="33"/>
      <c r="BQ158" s="29" t="n">
        <v>2025</v>
      </c>
      <c r="BR158" s="36" t="n">
        <v>2.46</v>
      </c>
      <c r="BS158" s="36" t="n">
        <v>0.6</v>
      </c>
      <c r="BT158" s="36" t="n">
        <v>0</v>
      </c>
      <c r="BU158" s="36" t="n">
        <v>0</v>
      </c>
      <c r="BV158" s="16" t="n">
        <f aca="false">F158*(1+N(H158)/100)*(1+N(I158)/100)^5</f>
        <v>9.75318680965369</v>
      </c>
      <c r="BW158" s="16" t="n">
        <f aca="false">IF(N(G158)&gt;0,G158,F158)</f>
        <v>20.316</v>
      </c>
      <c r="BX158" s="12" t="n">
        <f aca="false">F158/BW158</f>
        <v>0.407166765111242</v>
      </c>
      <c r="BY158" s="13" t="n">
        <f aca="false">IF(ISNUMBER(K158),1,0)</f>
        <v>0</v>
      </c>
      <c r="BZ158" s="16" t="str">
        <f aca="false">IF(BY158=0,"",N(N158)+N(O158)+N(P158))</f>
        <v/>
      </c>
      <c r="CA158" s="37" t="str">
        <f aca="false">IF(BY158=0,"",(N(Y158)*34.2+N(Z158)*38.6)/1000)</f>
        <v/>
      </c>
      <c r="CB158" s="37" t="str">
        <f aca="false">IF(BY158=0,"",N(O158)*0.0036+N(R158)+N(V158)+(N(AA158)*25.3+N(AB158)*37)/1000)</f>
        <v/>
      </c>
      <c r="CC158" s="37" t="str">
        <f aca="false">IF(BY158=0,"",N(N158)*0.0036+N(Q158)+N(U158)+N(T158)+N(X158)+N(AC158)*38/1000)</f>
        <v/>
      </c>
      <c r="CD158" s="37" t="str">
        <f aca="false">IF(BY158=0,"",N(Q158)+N(R158)+N(S158)+N(T158)+N(U158)+N(V158)+N(W158)+N(X158)+(N(Y158)*34.2+N(Z158)*38.6+N(AA158)*25.3+N(AB158)*37+N(AC158)*38)/1000)</f>
        <v/>
      </c>
      <c r="CE158" s="16" t="str">
        <f aca="false">IF(BY158=0,"",MAX(0,N(L158)-N(K158))+MAX(0,N(M158)-N(L158)))</f>
        <v/>
      </c>
      <c r="CF158" s="16" t="str">
        <f aca="false">IF(BY158=0,"",N(Y158)*N(AD158)+N(Z158)*N(AE158)+N(AA158)*N(AF158)+N(AB158)*N(AG158)+N(AC158)*N(AH158)+N(U158)*N(AI158)+N(V158)*N(AJ158)+N(W158)*N(AK158)+N(X158)*N(AL158)+N(Q158)*N(AM158)+N(R158)*N(AN158)+N(S158)*N(AO158)+N(T158)*N(AP158))</f>
        <v/>
      </c>
      <c r="CG158" s="16" t="n">
        <f aca="false">IF(AND(BY158=1,N(K158)&gt;0),K158,0)</f>
        <v>0</v>
      </c>
      <c r="CH158" s="16" t="str">
        <f aca="false">IF(CG158&gt;0,CF158*1000/CG158,"")</f>
        <v/>
      </c>
      <c r="CI158" s="16" t="str">
        <f aca="false">IF(BY158=0,"",N(AQ158)+p_road*(N(AR158)+N(AS158)+N(AT158)))</f>
        <v/>
      </c>
      <c r="CJ158" s="16" t="str">
        <f aca="false">IF(CG158&gt;0,CI158*1000/CG158,"")</f>
        <v/>
      </c>
      <c r="CK158" s="12" t="n">
        <f aca="false">IF(CH158="",1,MIN(p_idx_max,MAX(p_idx_min,CH158/p_fc_world)))</f>
        <v>1</v>
      </c>
      <c r="CL158" s="12" t="n">
        <f aca="false">IF(CJ158="",1,MIN(p_idx_max,MAX(p_idx_min,CJ158/p_cb_world)))</f>
        <v>1</v>
      </c>
      <c r="CM158" s="37" t="n">
        <f aca="false">p_b*(1-p_wb_idx+p_wb_idx*CK158)</f>
        <v>0.133</v>
      </c>
      <c r="CN158" s="37" t="n">
        <f aca="false">p_c*(1-p_wc_idx+p_wc_idx*CL158)</f>
        <v>0.129</v>
      </c>
      <c r="CO158" s="28" t="n">
        <f aca="false">IF(N(BR158)&gt;0,(N(BS158)+N(BT158)+N(BU158))/BR158,"")</f>
        <v>0.24390243902439</v>
      </c>
      <c r="CP158" s="16" t="n">
        <f aca="false">N(BS158)+N(BT158)+N(BU158)</f>
        <v>0.6</v>
      </c>
      <c r="CQ158" s="28" t="n">
        <f aca="false">IF(CP158&gt;0,N(BS158)/CP158,"")</f>
        <v>1</v>
      </c>
      <c r="CR158" s="28" t="n">
        <f aca="false">IF(CP158&gt;0,N(BT158)/CP158,"")</f>
        <v>0</v>
      </c>
      <c r="CS158" s="28" t="n">
        <f aca="false">IF(CP158&gt;0,N(BU158)/CP158,"")</f>
        <v>0</v>
      </c>
      <c r="CT158" s="7" t="n">
        <f aca="false">1000*(p_sh_pv*p_cf_pv/p_capex_pv+(1-p_sh_pv)*p_cf_wind/p_capex_wind)*8760</f>
        <v>2301.28856624319</v>
      </c>
      <c r="CU158" s="13" t="n">
        <f aca="false">IF(AND(ISNUMBER(CO158),ISNUMBER(CQ158),BY158=1),1,0)</f>
        <v>0</v>
      </c>
      <c r="CV158" s="16" t="str">
        <f aca="false">IF(CU158=0,"",CQ158*p_hr_coal*N(AK158)+CR158*p_hr_gas*N(AO158)+CS158*p_hr_oil*N(AH158)/p_gj_l_oil)</f>
        <v/>
      </c>
      <c r="CW158" s="37" t="str">
        <f aca="false">IF(CU158=0,"",CQ158*p_hr_coal*p_ef_coal+CR158*p_hr_gas*p_ef_gas+CS158*p_hr_oil*p_ef_oil)</f>
        <v/>
      </c>
      <c r="CX158" s="16" t="str">
        <f aca="false">IF(CU158=0,"",CQ158*p_hr_coal*N(AW158)+CR158*p_hr_gas*N(AX158)+CS158*p_hr_oil*N(AY158)/p_gj_l_oil)</f>
        <v/>
      </c>
      <c r="CY158" s="37" t="str">
        <f aca="false">IF(CU158=0,"",CO158*CW158)</f>
        <v/>
      </c>
      <c r="CZ158" s="37" t="str">
        <f aca="false">IF(CU158=0,"",CT158*CO158*CV158/1000/1000-p_om_re)</f>
        <v/>
      </c>
      <c r="DA158" s="37" t="str">
        <f aca="false">IF(CU158=0,"",CT158*CO158*CX158/1000/1000)</f>
        <v/>
      </c>
      <c r="DB158" s="37" t="str">
        <f aca="false">IF(CU158=0,"",CT158*CO158*CW158/1000)</f>
        <v/>
      </c>
      <c r="DC158" s="13" t="n">
        <f aca="false">IF(AND(CU158=1,ISNUMBER(AD158),ISNUMBER(AV158)),1,0)</f>
        <v>0</v>
      </c>
      <c r="DD158" s="7" t="str">
        <f aca="false">IF(DC158=0,"",p_ev_km*p_ice_l/100*AD158-p_ev_km*p_ev_kwh*AV158+p_ev_km*p_ev_maint)</f>
        <v/>
      </c>
      <c r="DE158" s="37" t="str">
        <f aca="false">IF(DC158=0,"",DD158/p_ev_prem)</f>
        <v/>
      </c>
      <c r="DF158" s="37" t="str">
        <f aca="false">IF(DC158=0,"",p_ev_km*p_ice_l/100*N(AZ158)/p_ev_prem)</f>
        <v/>
      </c>
      <c r="DG158" s="37" t="str">
        <f aca="false">IF(DC158=0,"",1000/p_ev_prem*(p_ev_km*p_ice_l/100*p_gj_l_gso*p_ef_gso-p_ev_km*p_ev_kwh/1000*CY158))</f>
        <v/>
      </c>
      <c r="DH158" s="11" t="str">
        <f aca="false">IFERROR(IF(INDEX(Damodaran!$D:$D,MATCH(A158,Damodaran!$A:$A,0))="","",INDEX(Damodaran!$D:$D,MATCH(A158,Damodaran!$A:$A,0))),"")</f>
        <v/>
      </c>
      <c r="DI158" s="11" t="str">
        <f aca="false">IFERROR(IF(INDEX(Damodaran!$E:$E,MATCH(A158,Damodaran!$A:$A,0))="","",INDEX(Damodaran!$E:$E,MATCH(A158,Damodaran!$A:$A,0))),"")</f>
        <v/>
      </c>
      <c r="DJ158" s="11" t="str">
        <f aca="false">IFERROR(IF(INDEX(Damodaran!$G:$G,MATCH(A158,Damodaran!$A:$A,0))="","",INDEX(Damodaran!$G:$G,MATCH(A158,Damodaran!$A:$A,0))),"")</f>
        <v/>
      </c>
      <c r="DK158" s="11" t="n">
        <f aca="false">IF(ISNUMBER(BG158),(1+BG158/100)*(1+p_infl)-1,"")</f>
        <v>0.10976</v>
      </c>
      <c r="DL158" s="11" t="str">
        <f aca="false">IF(ISNUMBER(BH158),BH158/100,"")</f>
        <v/>
      </c>
      <c r="DM158" s="11" t="n">
        <f aca="false">IF(COUNT(DK158,DL158)=0,"",AVERAGE(DK158,DL158))</f>
        <v>0.10976</v>
      </c>
      <c r="DN158" s="11" t="str">
        <f aca="false">IF(OR(DH158="",DI158=""),"",p_dv*(p_rf+DH158)*(1-IF(DJ158="",p_tax_def,DJ158))+(1-p_dv)*(p_rf+p_beta*p_erp+p_lambda*DI158))</f>
        <v/>
      </c>
      <c r="DO158" s="13" t="n">
        <f aca="false">IF(AND(ISNUMBER(DM158),ISNUMBER(DN158)),1,0)</f>
        <v>0</v>
      </c>
      <c r="DP158" s="11" t="n">
        <f aca="false">IF(DO158=1,DM158,0)</f>
        <v>0</v>
      </c>
      <c r="DQ158" s="11" t="n">
        <f aca="false">IF(DO158=1,DN158,0)</f>
        <v>0</v>
      </c>
      <c r="DR158" s="11" t="str">
        <f aca="false">IF(DN158="","",DN158+p_shift)</f>
        <v/>
      </c>
      <c r="DS158" s="11" t="n">
        <f aca="false">IF(E158="AE",p_r_ae,IF(E158="China",p_r_chn,p_r_emdc))</f>
        <v>0.105</v>
      </c>
      <c r="DT158" s="11" t="n">
        <f aca="false">IF(E158="AE",p_rh_ae,IF(E158="China",p_rh_chn,p_rh_emdc))</f>
        <v>0.15</v>
      </c>
      <c r="DU158" s="11" t="n">
        <f aca="false">IF(AND(p_use_obs=1,ISNUMBER(DM158)),DM158,IF(AND(p_use_dam=1,ISNUMBER(DR158)),DR158,DS158))</f>
        <v>0.10976</v>
      </c>
      <c r="DV158" s="6" t="str">
        <f aca="false">IF(AND(p_use_obs=1,ISNUMBER(DM158)),"Observed (IRENA/Steffen)",IF(AND(p_use_dam=1,ISNUMBER(DR158)),"Damodaran (eq. 5)","Group default (IHLEG)"))</f>
        <v>Observed (IRENA/Steffen)</v>
      </c>
      <c r="DW158" s="11" t="n">
        <f aca="false">IF(p_basis=1,(1+DU158)/(1+p_infl)-1,DU158)</f>
        <v>0.10976</v>
      </c>
      <c r="DX158" s="11" t="n">
        <f aca="false">DW158+(DT158-DS158)</f>
        <v>0.15476</v>
      </c>
      <c r="DY158" s="28" t="n">
        <f aca="false">IF(AND(p_use_pefa=1,ISNUMBER(BD158)),p_gap_lic-(BD158-1)/3*(p_gap_lic-p_gap_ae),IF(E158="AE",p_gap_ae,IF(D158="Low income",p_gap_lic,p_gap_em)))*(1-p_reform*p_reform_close)</f>
        <v>0.355</v>
      </c>
      <c r="DZ158" s="6" t="str">
        <f aca="false">IF(AND(p_use_pefa=1,ISNUMBER(BD158)),"PEFA PI-11","Income-group default (IMF 2015)")</f>
        <v>PEFA PI-11</v>
      </c>
      <c r="EA158" s="28" t="n">
        <f aca="false">IF(E158="AE",p_ps_ae,IF(E158="China",p_ps_chn,p_ps_emdc))</f>
        <v>0.4</v>
      </c>
      <c r="EB158" s="37" t="n">
        <f aca="false">(1-EA158)+EA158/(1-DY158)</f>
        <v>1.22015503875969</v>
      </c>
      <c r="EC158" s="16" t="n">
        <f aca="false">Results_Country!F158</f>
        <v>0.540966428975541</v>
      </c>
      <c r="ED158" s="16" t="n">
        <f aca="false">IF(CH158="",0,CH158*EC158)</f>
        <v>0</v>
      </c>
      <c r="EE158" s="16" t="n">
        <f aca="false">IF(CJ158="",0,CJ158*EC158)</f>
        <v>0</v>
      </c>
      <c r="EF158" s="16" t="n">
        <f aca="false">IF(CH158="",0,EC158)</f>
        <v>0</v>
      </c>
    </row>
    <row r="159" customFormat="false" ht="15" hidden="false" customHeight="false" outlineLevel="0" collapsed="false">
      <c r="A159" s="35" t="s">
        <v>1075</v>
      </c>
      <c r="B159" s="35" t="s">
        <v>1076</v>
      </c>
      <c r="C159" s="35" t="s">
        <v>799</v>
      </c>
      <c r="D159" s="35" t="s">
        <v>888</v>
      </c>
      <c r="E159" s="35" t="s">
        <v>31</v>
      </c>
      <c r="F159" s="36" t="n">
        <v>8.058</v>
      </c>
      <c r="G159" s="36" t="n">
        <v>29.245</v>
      </c>
      <c r="H159" s="33" t="n">
        <v>-0.541</v>
      </c>
      <c r="I159" s="33" t="n">
        <v>0.512</v>
      </c>
      <c r="J159" s="36" t="n">
        <v>40.583164</v>
      </c>
      <c r="K159" s="36" t="n">
        <v>13.135</v>
      </c>
      <c r="L159" s="36" t="n">
        <v>40.539</v>
      </c>
      <c r="M159" s="36" t="n">
        <v>40.539</v>
      </c>
      <c r="N159" s="36" t="n">
        <v>0.447004229139115</v>
      </c>
      <c r="O159" s="36" t="n">
        <v>2.6142420882803</v>
      </c>
      <c r="P159" s="36" t="n">
        <v>8.02897058993692E-005</v>
      </c>
      <c r="Q159" s="31" t="n">
        <v>0</v>
      </c>
      <c r="R159" s="31" t="n">
        <v>0</v>
      </c>
      <c r="S159" s="31" t="n">
        <v>0.0228548833901976</v>
      </c>
      <c r="T159" s="31" t="n">
        <v>0</v>
      </c>
      <c r="U159" s="31" t="n">
        <v>0.00309824028368325</v>
      </c>
      <c r="V159" s="31" t="n">
        <v>0</v>
      </c>
      <c r="W159" s="31" t="n">
        <v>0</v>
      </c>
      <c r="X159" s="31" t="n">
        <v>0</v>
      </c>
      <c r="Y159" s="36" t="n">
        <v>0.874418810633063</v>
      </c>
      <c r="Z159" s="36" t="n">
        <v>0.597451328346362</v>
      </c>
      <c r="AA159" s="36" t="n">
        <v>1.18200098098034</v>
      </c>
      <c r="AB159" s="36" t="n">
        <v>0.120820295396503</v>
      </c>
      <c r="AC159" s="36" t="n">
        <v>0.340337595653454</v>
      </c>
      <c r="AD159" s="31" t="n">
        <v>0.756</v>
      </c>
      <c r="AE159" s="31" t="n">
        <v>0.740616</v>
      </c>
      <c r="AF159" s="31" t="n">
        <v>0.532577</v>
      </c>
      <c r="AG159" s="31" t="n">
        <v>0.6846</v>
      </c>
      <c r="AH159" s="31" t="n">
        <v>0.543345303403777</v>
      </c>
      <c r="AI159" s="31" t="n">
        <v>7.124</v>
      </c>
      <c r="AJ159" s="31" t="n">
        <v>12.80265</v>
      </c>
      <c r="AK159" s="31" t="n">
        <v>5.575</v>
      </c>
      <c r="AL159" s="31" t="n">
        <v>7.124</v>
      </c>
      <c r="AM159" s="31" t="n">
        <v>6.978</v>
      </c>
      <c r="AN159" s="31" t="n">
        <v>11.49645</v>
      </c>
      <c r="AO159" s="31" t="n">
        <v>6.316</v>
      </c>
      <c r="AP159" s="31" t="n">
        <v>6.316</v>
      </c>
      <c r="AQ159" s="36" t="n">
        <v>0.085731317640464</v>
      </c>
      <c r="AR159" s="36" t="n">
        <v>0.00655372394623291</v>
      </c>
      <c r="AS159" s="36" t="n">
        <v>0.124233865412791</v>
      </c>
      <c r="AT159" s="36" t="n">
        <v>0.0262121675705501</v>
      </c>
      <c r="AU159" s="31" t="n">
        <v>0.247540689105918</v>
      </c>
      <c r="AV159" s="36" t="n">
        <v>0.165575</v>
      </c>
      <c r="AW159" s="31" t="n">
        <v>0.284208</v>
      </c>
      <c r="AX159" s="31" t="n">
        <v>0.002283</v>
      </c>
      <c r="AY159" s="31" t="n">
        <v>0.112992238207394</v>
      </c>
      <c r="AZ159" s="31" t="n">
        <v>0.016443</v>
      </c>
      <c r="BA159" s="33"/>
      <c r="BB159" s="33" t="n">
        <v>18.695</v>
      </c>
      <c r="BC159" s="33"/>
      <c r="BD159" s="33"/>
      <c r="BE159" s="33"/>
      <c r="BF159" s="33" t="n">
        <v>0</v>
      </c>
      <c r="BG159" s="33" t="n">
        <v>17.2</v>
      </c>
      <c r="BH159" s="33" t="n">
        <v>9.64</v>
      </c>
      <c r="BI159" s="29" t="n">
        <v>2020</v>
      </c>
      <c r="BJ159" s="33" t="n">
        <v>2</v>
      </c>
      <c r="BK159" s="33"/>
      <c r="BL159" s="33"/>
      <c r="BM159" s="33"/>
      <c r="BN159" s="29"/>
      <c r="BO159" s="33" t="n">
        <v>1.208</v>
      </c>
      <c r="BP159" s="33"/>
      <c r="BQ159" s="29" t="n">
        <v>2024</v>
      </c>
      <c r="BR159" s="36" t="n">
        <v>5.25</v>
      </c>
      <c r="BS159" s="36" t="n">
        <v>0</v>
      </c>
      <c r="BT159" s="36" t="n">
        <v>0.06</v>
      </c>
      <c r="BU159" s="36" t="n">
        <v>4.6</v>
      </c>
      <c r="BV159" s="16" t="n">
        <f aca="false">F159*(1+N(H159)/100)*(1+N(I159)/100)^5</f>
        <v>8.22168673205557</v>
      </c>
      <c r="BW159" s="16" t="n">
        <f aca="false">IF(N(G159)&gt;0,G159,F159)</f>
        <v>29.245</v>
      </c>
      <c r="BX159" s="12" t="n">
        <f aca="false">F159/BW159</f>
        <v>0.275534279363994</v>
      </c>
      <c r="BY159" s="13" t="n">
        <f aca="false">IF(ISNUMBER(K159),1,0)</f>
        <v>1</v>
      </c>
      <c r="BZ159" s="16" t="n">
        <f aca="false">IF(BY159=0,"",N(N159)+N(O159)+N(P159))</f>
        <v>3.06132660712531</v>
      </c>
      <c r="CA159" s="37" t="n">
        <f aca="false">IF(BY159=0,"",(N(Y159)*34.2+N(Z159)*38.6)/1000)</f>
        <v>0.0529667445978203</v>
      </c>
      <c r="CB159" s="37" t="n">
        <f aca="false">IF(BY159=0,"",N(O159)*0.0036+N(R159)+N(V159)+(N(AA159)*25.3+N(AB159)*37)/1000)</f>
        <v>0.0437862472662824</v>
      </c>
      <c r="CC159" s="37" t="n">
        <f aca="false">IF(BY159=0,"",N(N159)*0.0036+N(Q159)+N(U159)+N(T159)+N(X159)+N(AC159)*38/1000)</f>
        <v>0.0176402841434153</v>
      </c>
      <c r="CD159" s="37" t="n">
        <f aca="false">IF(BY159=0,"",N(Q159)+N(R159)+N(S159)+N(T159)+N(U159)+N(V159)+N(W159)+N(X159)+(N(Y159)*34.2+N(Z159)*38.6+N(AA159)*25.3+N(AB159)*37+N(AC159)*38)/1000)</f>
        <v>0.126227672655006</v>
      </c>
      <c r="CE159" s="16" t="n">
        <f aca="false">IF(BY159=0,"",MAX(0,N(L159)-N(K159))+MAX(0,N(M159)-N(L159)))</f>
        <v>27.404</v>
      </c>
      <c r="CF159" s="16" t="n">
        <f aca="false">IF(BY159=0,"",N(Y159)*N(AD159)+N(Z159)*N(AE159)+N(AA159)*N(AF159)+N(AB159)*N(AG159)+N(AC159)*N(AH159)+N(U159)*N(AI159)+N(V159)*N(AJ159)+N(W159)*N(AK159)+N(X159)*N(AL159)+N(Q159)*N(AM159)+N(R159)*N(AN159)+N(S159)*N(AO159)+N(T159)*N(AP159))</f>
        <v>2.16710688595267</v>
      </c>
      <c r="CG159" s="16" t="n">
        <f aca="false">IF(AND(BY159=1,N(K159)&gt;0),K159,0)</f>
        <v>13.135</v>
      </c>
      <c r="CH159" s="16" t="n">
        <f aca="false">IF(CG159&gt;0,CF159*1000/CG159,"")</f>
        <v>164.987201062251</v>
      </c>
      <c r="CI159" s="16" t="n">
        <f aca="false">IF(BY159=0,"",N(AQ159)+p_road*(N(AR159)+N(AS159)+N(AT159)))</f>
        <v>0.085731317640464</v>
      </c>
      <c r="CJ159" s="16" t="n">
        <f aca="false">IF(CG159&gt;0,CI159*1000/CG159,"")</f>
        <v>6.52693701107453</v>
      </c>
      <c r="CK159" s="12" t="n">
        <f aca="false">IF(CH159="",1,MIN(p_idx_max,MAX(p_idx_min,CH159/p_fc_world)))</f>
        <v>1.02471847713266</v>
      </c>
      <c r="CL159" s="12" t="n">
        <f aca="false">IF(CJ159="",1,MIN(p_idx_max,MAX(p_idx_min,CJ159/p_cb_world)))</f>
        <v>0.25</v>
      </c>
      <c r="CM159" s="37" t="n">
        <f aca="false">p_b*(1-p_wb_idx+p_wb_idx*CK159)</f>
        <v>0.136287557458643</v>
      </c>
      <c r="CN159" s="37" t="n">
        <f aca="false">p_c*(1-p_wc_idx+p_wc_idx*CL159)</f>
        <v>0.03225</v>
      </c>
      <c r="CO159" s="28" t="n">
        <f aca="false">IF(N(BR159)&gt;0,(N(BS159)+N(BT159)+N(BU159))/BR159,"")</f>
        <v>0.887619047619048</v>
      </c>
      <c r="CP159" s="16" t="n">
        <f aca="false">N(BS159)+N(BT159)+N(BU159)</f>
        <v>4.66</v>
      </c>
      <c r="CQ159" s="28" t="n">
        <f aca="false">IF(CP159&gt;0,N(BS159)/CP159,"")</f>
        <v>0</v>
      </c>
      <c r="CR159" s="28" t="n">
        <f aca="false">IF(CP159&gt;0,N(BT159)/CP159,"")</f>
        <v>0.0128755364806867</v>
      </c>
      <c r="CS159" s="28" t="n">
        <f aca="false">IF(CP159&gt;0,N(BU159)/CP159,"")</f>
        <v>0.987124463519313</v>
      </c>
      <c r="CT159" s="7" t="n">
        <f aca="false">1000*(p_sh_pv*p_cf_pv/p_capex_pv+(1-p_sh_pv)*p_cf_wind/p_capex_wind)*8760</f>
        <v>2301.28856624319</v>
      </c>
      <c r="CU159" s="13" t="n">
        <f aca="false">IF(AND(ISNUMBER(CO159),ISNUMBER(CQ159),BY159=1),1,0)</f>
        <v>1</v>
      </c>
      <c r="CV159" s="16" t="n">
        <f aca="false">IF(CU159=0,"",CQ159*p_hr_coal*N(AK159)+CR159*p_hr_gas*N(AO159)+CS159*p_hr_oil*N(AH159)/p_gj_l_oil)</f>
        <v>146.508078200552</v>
      </c>
      <c r="CW159" s="37" t="n">
        <f aca="false">IF(CU159=0,"",CQ159*p_hr_coal*p_ef_coal+CR159*p_hr_gas*p_ef_gas+CS159*p_hr_oil*p_ef_oil)</f>
        <v>0.807653433476395</v>
      </c>
      <c r="CX159" s="16" t="n">
        <f aca="false">IF(CU159=0,"",CQ159*p_hr_coal*N(AW159)+CR159*p_hr_gas*N(AX159)+CS159*p_hr_oil*N(AY159)/p_gj_l_oil)</f>
        <v>30.3407056034553</v>
      </c>
      <c r="CY159" s="37" t="n">
        <f aca="false">IF(CU159=0,"",CO159*CW159)</f>
        <v>0.716888571428571</v>
      </c>
      <c r="CZ159" s="37" t="n">
        <f aca="false">IF(CU159=0,"",CT159*CO159*CV159/1000/1000-p_om_re)</f>
        <v>0.284267299418934</v>
      </c>
      <c r="DA159" s="37" t="n">
        <f aca="false">IF(CU159=0,"",CT159*CO159*CX159/1000/1000)</f>
        <v>0.0619759752495121</v>
      </c>
      <c r="DB159" s="37" t="n">
        <f aca="false">IF(CU159=0,"",CT159*CO159*CW159/1000)</f>
        <v>1.64976747269899</v>
      </c>
      <c r="DC159" s="13" t="n">
        <f aca="false">IF(AND(CU159=1,ISNUMBER(AD159),ISNUMBER(AV159)),1,0)</f>
        <v>1</v>
      </c>
      <c r="DD159" s="7" t="n">
        <f aca="false">IF(DC159=0,"",p_ev_km*p_ice_l/100*AD159-p_ev_km*p_ev_kwh*AV159+p_ev_km*p_ev_maint)</f>
        <v>583.4475</v>
      </c>
      <c r="DE159" s="37" t="n">
        <f aca="false">IF(DC159=0,"",DD159/p_ev_prem)</f>
        <v>0.1166895</v>
      </c>
      <c r="DF159" s="37" t="n">
        <f aca="false">IF(DC159=0,"",p_ev_km*p_ice_l/100*N(AZ159)/p_ev_prem)</f>
        <v>0.003699675</v>
      </c>
      <c r="DG159" s="37" t="n">
        <f aca="false">IF(DC159=0,"",1000/p_ev_prem*(p_ev_km*p_ice_l/100*p_gj_l_gso*p_ef_gso-p_ev_km*p_ev_kwh/1000*CY159))</f>
        <v>0.146143671428571</v>
      </c>
      <c r="DH159" s="11" t="str">
        <f aca="false">IFERROR(IF(INDEX(Damodaran!$D:$D,MATCH(A159,Damodaran!$A:$A,0))="","",INDEX(Damodaran!$D:$D,MATCH(A159,Damodaran!$A:$A,0))),"")</f>
        <v/>
      </c>
      <c r="DI159" s="11" t="str">
        <f aca="false">IFERROR(IF(INDEX(Damodaran!$E:$E,MATCH(A159,Damodaran!$A:$A,0))="","",INDEX(Damodaran!$E:$E,MATCH(A159,Damodaran!$A:$A,0))),"")</f>
        <v/>
      </c>
      <c r="DJ159" s="11" t="str">
        <f aca="false">IFERROR(IF(INDEX(Damodaran!$G:$G,MATCH(A159,Damodaran!$A:$A,0))="","",INDEX(Damodaran!$G:$G,MATCH(A159,Damodaran!$A:$A,0))),"")</f>
        <v/>
      </c>
      <c r="DK159" s="11" t="n">
        <f aca="false">IF(ISNUMBER(BG159),(1+BG159/100)*(1+p_infl)-1,"")</f>
        <v>0.19544</v>
      </c>
      <c r="DL159" s="11" t="n">
        <f aca="false">IF(ISNUMBER(BH159),BH159/100,"")</f>
        <v>0.0964</v>
      </c>
      <c r="DM159" s="11" t="n">
        <f aca="false">IF(COUNT(DK159,DL159)=0,"",AVERAGE(DK159,DL159))</f>
        <v>0.14592</v>
      </c>
      <c r="DN159" s="11" t="str">
        <f aca="false">IF(OR(DH159="",DI159=""),"",p_dv*(p_rf+DH159)*(1-IF(DJ159="",p_tax_def,DJ159))+(1-p_dv)*(p_rf+p_beta*p_erp+p_lambda*DI159))</f>
        <v/>
      </c>
      <c r="DO159" s="13" t="n">
        <f aca="false">IF(AND(ISNUMBER(DM159),ISNUMBER(DN159)),1,0)</f>
        <v>0</v>
      </c>
      <c r="DP159" s="11" t="n">
        <f aca="false">IF(DO159=1,DM159,0)</f>
        <v>0</v>
      </c>
      <c r="DQ159" s="11" t="n">
        <f aca="false">IF(DO159=1,DN159,0)</f>
        <v>0</v>
      </c>
      <c r="DR159" s="11" t="str">
        <f aca="false">IF(DN159="","",DN159+p_shift)</f>
        <v/>
      </c>
      <c r="DS159" s="11" t="n">
        <f aca="false">IF(E159="AE",p_r_ae,IF(E159="China",p_r_chn,p_r_emdc))</f>
        <v>0.105</v>
      </c>
      <c r="DT159" s="11" t="n">
        <f aca="false">IF(E159="AE",p_rh_ae,IF(E159="China",p_rh_chn,p_rh_emdc))</f>
        <v>0.15</v>
      </c>
      <c r="DU159" s="11" t="n">
        <f aca="false">IF(AND(p_use_obs=1,ISNUMBER(DM159)),DM159,IF(AND(p_use_dam=1,ISNUMBER(DR159)),DR159,DS159))</f>
        <v>0.14592</v>
      </c>
      <c r="DV159" s="6" t="str">
        <f aca="false">IF(AND(p_use_obs=1,ISNUMBER(DM159)),"Observed (IRENA/Steffen)",IF(AND(p_use_dam=1,ISNUMBER(DR159)),"Damodaran (eq. 5)","Group default (IHLEG)"))</f>
        <v>Observed (IRENA/Steffen)</v>
      </c>
      <c r="DW159" s="11" t="n">
        <f aca="false">IF(p_basis=1,(1+DU159)/(1+p_infl)-1,DU159)</f>
        <v>0.14592</v>
      </c>
      <c r="DX159" s="11" t="n">
        <f aca="false">DW159+(DT159-DS159)</f>
        <v>0.19092</v>
      </c>
      <c r="DY159" s="28" t="n">
        <f aca="false">IF(AND(p_use_pefa=1,ISNUMBER(BD159)),p_gap_lic-(BD159-1)/3*(p_gap_lic-p_gap_ae),IF(E159="AE",p_gap_ae,IF(D159="Low income",p_gap_lic,p_gap_em)))*(1-p_reform*p_reform_close)</f>
        <v>0.4</v>
      </c>
      <c r="DZ159" s="6" t="str">
        <f aca="false">IF(AND(p_use_pefa=1,ISNUMBER(BD159)),"PEFA PI-11","Income-group default (IMF 2015)")</f>
        <v>Income-group default (IMF 2015)</v>
      </c>
      <c r="EA159" s="28" t="n">
        <f aca="false">IF(E159="AE",p_ps_ae,IF(E159="China",p_ps_chn,p_ps_emdc))</f>
        <v>0.4</v>
      </c>
      <c r="EB159" s="37" t="n">
        <f aca="false">(1-EA159)+EA159/(1-DY159)</f>
        <v>1.26666666666667</v>
      </c>
      <c r="EC159" s="16" t="n">
        <f aca="false">Results_Country!F159</f>
        <v>1.12635784615771</v>
      </c>
      <c r="ED159" s="16" t="n">
        <f aca="false">IF(CH159="",0,CH159*EC159)</f>
        <v>185.834628432065</v>
      </c>
      <c r="EE159" s="16" t="n">
        <f aca="false">IF(CJ159="",0,CJ159*EC159)</f>
        <v>7.35166671380093</v>
      </c>
      <c r="EF159" s="16" t="n">
        <f aca="false">IF(CH159="",0,EC159)</f>
        <v>1.12635784615771</v>
      </c>
    </row>
    <row r="160" customFormat="false" ht="15" hidden="false" customHeight="false" outlineLevel="0" collapsed="false">
      <c r="A160" s="35" t="s">
        <v>1077</v>
      </c>
      <c r="B160" s="35" t="s">
        <v>1078</v>
      </c>
      <c r="C160" s="35" t="s">
        <v>784</v>
      </c>
      <c r="D160" s="35" t="s">
        <v>760</v>
      </c>
      <c r="E160" s="35" t="s">
        <v>31</v>
      </c>
      <c r="F160" s="36" t="n">
        <v>7.598</v>
      </c>
      <c r="G160" s="36" t="n">
        <v>6.932</v>
      </c>
      <c r="H160" s="33" t="n">
        <v>2.743</v>
      </c>
      <c r="I160" s="33" t="n">
        <v>2.465</v>
      </c>
      <c r="J160" s="36" t="n">
        <v>0.282467</v>
      </c>
      <c r="K160" s="36" t="n">
        <v>0.66</v>
      </c>
      <c r="L160" s="36" t="n">
        <v>0.912</v>
      </c>
      <c r="M160" s="36" t="n">
        <v>0.91</v>
      </c>
      <c r="N160" s="36" t="n">
        <v>0.583368698165487</v>
      </c>
      <c r="O160" s="36" t="n">
        <v>0.455208366724255</v>
      </c>
      <c r="P160" s="36" t="n">
        <v>0</v>
      </c>
      <c r="Q160" s="31" t="n">
        <v>0.000139226279548764</v>
      </c>
      <c r="R160" s="31" t="n">
        <v>0.000352376518103599</v>
      </c>
      <c r="S160" s="31" t="n">
        <v>0.000743816738385745</v>
      </c>
      <c r="T160" s="31" t="n">
        <v>0</v>
      </c>
      <c r="U160" s="31" t="n">
        <v>0</v>
      </c>
      <c r="V160" s="31" t="n">
        <v>0</v>
      </c>
      <c r="W160" s="31" t="n">
        <v>0</v>
      </c>
      <c r="X160" s="31" t="n">
        <v>0</v>
      </c>
      <c r="Y160" s="36" t="n">
        <v>0.0977402944312359</v>
      </c>
      <c r="Z160" s="36" t="n">
        <v>0.0676565417100597</v>
      </c>
      <c r="AA160" s="36" t="n">
        <v>0.01447984141617</v>
      </c>
      <c r="AB160" s="36" t="n">
        <v>0.0006213729500028</v>
      </c>
      <c r="AC160" s="36" t="n">
        <v>0.195086207778281</v>
      </c>
      <c r="AD160" s="31" t="n">
        <v>0.8883</v>
      </c>
      <c r="AE160" s="31" t="n">
        <v>0.683715</v>
      </c>
      <c r="AF160" s="31" t="n">
        <v>0.620188</v>
      </c>
      <c r="AG160" s="31" t="n">
        <v>0.6674</v>
      </c>
      <c r="AH160" s="31" t="n">
        <v>0.519530634056843</v>
      </c>
      <c r="AI160" s="31" t="n">
        <v>7.124</v>
      </c>
      <c r="AJ160" s="31" t="n">
        <v>14.326775</v>
      </c>
      <c r="AK160" s="31" t="n">
        <v>5.575</v>
      </c>
      <c r="AL160" s="31" t="n">
        <v>9.00859166666667</v>
      </c>
      <c r="AM160" s="31" t="n">
        <v>9.496</v>
      </c>
      <c r="AN160" s="31" t="n">
        <v>20.48965</v>
      </c>
      <c r="AO160" s="31" t="n">
        <v>8.172</v>
      </c>
      <c r="AP160" s="31" t="n">
        <v>11.8345503161881</v>
      </c>
      <c r="AQ160" s="36" t="n">
        <v>0.000159559584549408</v>
      </c>
      <c r="AR160" s="36" t="n">
        <v>0</v>
      </c>
      <c r="AS160" s="36" t="n">
        <v>0</v>
      </c>
      <c r="AT160" s="36" t="n">
        <v>0</v>
      </c>
      <c r="AU160" s="31" t="n">
        <v>0.216800726715052</v>
      </c>
      <c r="AV160" s="36" t="n">
        <v>0.4042</v>
      </c>
      <c r="AW160" s="31" t="n">
        <v>0.912889</v>
      </c>
      <c r="AX160" s="31" t="n">
        <v>0</v>
      </c>
      <c r="AY160" s="31" t="n">
        <v>0.0125267215397148</v>
      </c>
      <c r="AZ160" s="31" t="n">
        <v>0.010574</v>
      </c>
      <c r="BA160" s="33" t="n">
        <v>98.903</v>
      </c>
      <c r="BB160" s="33" t="n">
        <v>17.856</v>
      </c>
      <c r="BC160" s="33"/>
      <c r="BD160" s="33"/>
      <c r="BE160" s="33"/>
      <c r="BF160" s="33" t="n">
        <v>0</v>
      </c>
      <c r="BG160" s="33"/>
      <c r="BH160" s="33"/>
      <c r="BI160" s="29"/>
      <c r="BJ160" s="33"/>
      <c r="BK160" s="33"/>
      <c r="BL160" s="33"/>
      <c r="BM160" s="33"/>
      <c r="BN160" s="29"/>
      <c r="BO160" s="33"/>
      <c r="BP160" s="33"/>
      <c r="BQ160" s="29" t="n">
        <v>2024</v>
      </c>
      <c r="BR160" s="36" t="n">
        <v>1.11</v>
      </c>
      <c r="BS160" s="36" t="n">
        <v>0</v>
      </c>
      <c r="BT160" s="36" t="n">
        <v>0.03</v>
      </c>
      <c r="BU160" s="36" t="n">
        <v>0.98</v>
      </c>
      <c r="BV160" s="16" t="n">
        <f aca="false">F160*(1+N(H160)/100)*(1+N(I160)/100)^5</f>
        <v>8.81717080040395</v>
      </c>
      <c r="BW160" s="16" t="n">
        <f aca="false">IF(N(G160)&gt;0,G160,F160)</f>
        <v>6.932</v>
      </c>
      <c r="BX160" s="12" t="n">
        <f aca="false">F160/BW160</f>
        <v>1.09607616849394</v>
      </c>
      <c r="BY160" s="13" t="n">
        <f aca="false">IF(ISNUMBER(K160),1,0)</f>
        <v>1</v>
      </c>
      <c r="BZ160" s="16" t="n">
        <f aca="false">IF(BY160=0,"",N(N160)+N(O160)+N(P160))</f>
        <v>1.03857706488974</v>
      </c>
      <c r="CA160" s="37" t="n">
        <f aca="false">IF(BY160=0,"",(N(Y160)*34.2+N(Z160)*38.6)/1000)</f>
        <v>0.00595426057955657</v>
      </c>
      <c r="CB160" s="37" t="n">
        <f aca="false">IF(BY160=0,"",N(O160)*0.0036+N(R160)+N(V160)+(N(AA160)*25.3+N(AB160)*37)/1000)</f>
        <v>0.00238045742529012</v>
      </c>
      <c r="CC160" s="37" t="n">
        <f aca="false">IF(BY160=0,"",N(N160)*0.0036+N(Q160)+N(U160)+N(T160)+N(X160)+N(AC160)*38/1000)</f>
        <v>0.00965262948851919</v>
      </c>
      <c r="CD160" s="37" t="n">
        <f aca="false">IF(BY160=0,"",N(Q160)+N(R160)+N(S160)+N(T160)+N(U160)+N(V160)+N(W160)+N(X160)+(N(Y160)*34.2+N(Z160)*38.6+N(AA160)*25.3+N(AB160)*37+N(AC160)*38)/1000)</f>
        <v>0.0149922867981486</v>
      </c>
      <c r="CE160" s="16" t="n">
        <f aca="false">IF(BY160=0,"",MAX(0,N(L160)-N(K160))+MAX(0,N(M160)-N(L160)))</f>
        <v>0.252</v>
      </c>
      <c r="CF160" s="16" t="n">
        <f aca="false">IF(BY160=0,"",N(Y160)*N(AD160)+N(Z160)*N(AE160)+N(AA160)*N(AF160)+N(AB160)*N(AG160)+N(AC160)*N(AH160)+N(U160)*N(AI160)+N(V160)*N(AJ160)+N(W160)*N(AK160)+N(X160)*N(AL160)+N(Q160)*N(AM160)+N(R160)*N(AN160)+N(S160)*N(AO160)+N(T160)*N(AP160))</f>
        <v>0.258449320037244</v>
      </c>
      <c r="CG160" s="16" t="n">
        <f aca="false">IF(AND(BY160=1,N(K160)&gt;0),K160,0)</f>
        <v>0.66</v>
      </c>
      <c r="CH160" s="16" t="n">
        <f aca="false">IF(CG160&gt;0,CF160*1000/CG160,"")</f>
        <v>391.589878844309</v>
      </c>
      <c r="CI160" s="16" t="n">
        <f aca="false">IF(BY160=0,"",N(AQ160)+p_road*(N(AR160)+N(AS160)+N(AT160)))</f>
        <v>0.000159559584549408</v>
      </c>
      <c r="CJ160" s="16" t="n">
        <f aca="false">IF(CG160&gt;0,CI160*1000/CG160,"")</f>
        <v>0.241756946286981</v>
      </c>
      <c r="CK160" s="12" t="n">
        <f aca="false">IF(CH160="",1,MIN(p_idx_max,MAX(p_idx_min,CH160/p_fc_world)))</f>
        <v>2.43212432071321</v>
      </c>
      <c r="CL160" s="12" t="n">
        <f aca="false">IF(CJ160="",1,MIN(p_idx_max,MAX(p_idx_min,CJ160/p_cb_world)))</f>
        <v>0.25</v>
      </c>
      <c r="CM160" s="37" t="n">
        <f aca="false">p_b*(1-p_wb_idx+p_wb_idx*CK160)</f>
        <v>0.323472534654858</v>
      </c>
      <c r="CN160" s="37" t="n">
        <f aca="false">p_c*(1-p_wc_idx+p_wc_idx*CL160)</f>
        <v>0.03225</v>
      </c>
      <c r="CO160" s="28" t="n">
        <f aca="false">IF(N(BR160)&gt;0,(N(BS160)+N(BT160)+N(BU160))/BR160,"")</f>
        <v>0.90990990990991</v>
      </c>
      <c r="CP160" s="16" t="n">
        <f aca="false">N(BS160)+N(BT160)+N(BU160)</f>
        <v>1.01</v>
      </c>
      <c r="CQ160" s="28" t="n">
        <f aca="false">IF(CP160&gt;0,N(BS160)/CP160,"")</f>
        <v>0</v>
      </c>
      <c r="CR160" s="28" t="n">
        <f aca="false">IF(CP160&gt;0,N(BT160)/CP160,"")</f>
        <v>0.0297029702970297</v>
      </c>
      <c r="CS160" s="28" t="n">
        <f aca="false">IF(CP160&gt;0,N(BU160)/CP160,"")</f>
        <v>0.97029702970297</v>
      </c>
      <c r="CT160" s="7" t="n">
        <f aca="false">1000*(p_sh_pv*p_cf_pv/p_capex_pv+(1-p_sh_pv)*p_cf_wind/p_capex_wind)*8760</f>
        <v>2301.28856624319</v>
      </c>
      <c r="CU160" s="13" t="n">
        <f aca="false">IF(AND(ISNUMBER(CO160),ISNUMBER(CQ160),BY160=1),1,0)</f>
        <v>1</v>
      </c>
      <c r="CV160" s="16" t="n">
        <f aca="false">IF(CU160=0,"",CQ160*p_hr_coal*N(AK160)+CR160*p_hr_gas*N(AO160)+CS160*p_hr_oil*N(AH160)/p_gj_l_oil)</f>
        <v>138.945879147512</v>
      </c>
      <c r="CW160" s="37" t="n">
        <f aca="false">IF(CU160=0,"",CQ160*p_hr_coal*p_ef_coal+CR160*p_hr_gas*p_ef_gas+CS160*p_hr_oil*p_ef_oil)</f>
        <v>0.801057920792079</v>
      </c>
      <c r="CX160" s="16" t="n">
        <f aca="false">IF(CU160=0,"",CQ160*p_hr_coal*N(AW160)+CR160*p_hr_gas*N(AX160)+CS160*p_hr_oil*N(AY160)/p_gj_l_oil)</f>
        <v>3.30631418056904</v>
      </c>
      <c r="CY160" s="37" t="n">
        <f aca="false">IF(CU160=0,"",CO160*CW160)</f>
        <v>0.72889054054054</v>
      </c>
      <c r="CZ160" s="37" t="n">
        <f aca="false">IF(CU160=0,"",CT160*CO160*CV160/1000/1000-p_om_re)</f>
        <v>0.2759478456206</v>
      </c>
      <c r="DA160" s="37" t="n">
        <f aca="false">IF(CU160=0,"",CT160*CO160*CX160/1000/1000)</f>
        <v>0.0069233070723899</v>
      </c>
      <c r="DB160" s="37" t="n">
        <f aca="false">IF(CU160=0,"",CT160*CO160*CW160/1000)</f>
        <v>1.67738746698877</v>
      </c>
      <c r="DC160" s="13" t="n">
        <f aca="false">IF(AND(CU160=1,ISNUMBER(AD160),ISNUMBER(AV160)),1,0)</f>
        <v>1</v>
      </c>
      <c r="DD160" s="7" t="n">
        <f aca="false">IF(DC160=0,"",p_ev_km*p_ice_l/100*AD160-p_ev_km*p_ev_kwh*AV160+p_ev_km*p_ev_maint)</f>
        <v>87.9975000000001</v>
      </c>
      <c r="DE160" s="37" t="n">
        <f aca="false">IF(DC160=0,"",DD160/p_ev_prem)</f>
        <v>0.0175995</v>
      </c>
      <c r="DF160" s="37" t="n">
        <f aca="false">IF(DC160=0,"",p_ev_km*p_ice_l/100*N(AZ160)/p_ev_prem)</f>
        <v>0.00237915</v>
      </c>
      <c r="DG160" s="37" t="n">
        <f aca="false">IF(DC160=0,"",1000/p_ev_prem*(p_ev_km*p_ice_l/100*p_gj_l_gso*p_ef_gso-p_ev_km*p_ev_kwh/1000*CY160))</f>
        <v>0.139662608108108</v>
      </c>
      <c r="DH160" s="11" t="str">
        <f aca="false">IFERROR(IF(INDEX(Damodaran!$D:$D,MATCH(A160,Damodaran!$A:$A,0))="","",INDEX(Damodaran!$D:$D,MATCH(A160,Damodaran!$A:$A,0))),"")</f>
        <v/>
      </c>
      <c r="DI160" s="11" t="str">
        <f aca="false">IFERROR(IF(INDEX(Damodaran!$E:$E,MATCH(A160,Damodaran!$A:$A,0))="","",INDEX(Damodaran!$E:$E,MATCH(A160,Damodaran!$A:$A,0))),"")</f>
        <v/>
      </c>
      <c r="DJ160" s="11" t="str">
        <f aca="false">IFERROR(IF(INDEX(Damodaran!$G:$G,MATCH(A160,Damodaran!$A:$A,0))="","",INDEX(Damodaran!$G:$G,MATCH(A160,Damodaran!$A:$A,0))),"")</f>
        <v/>
      </c>
      <c r="DK160" s="11" t="str">
        <f aca="false">IF(ISNUMBER(BG160),(1+BG160/100)*(1+p_infl)-1,"")</f>
        <v/>
      </c>
      <c r="DL160" s="11" t="str">
        <f aca="false">IF(ISNUMBER(BH160),BH160/100,"")</f>
        <v/>
      </c>
      <c r="DM160" s="11" t="str">
        <f aca="false">IF(COUNT(DK160,DL160)=0,"",AVERAGE(DK160,DL160))</f>
        <v/>
      </c>
      <c r="DN160" s="11" t="str">
        <f aca="false">IF(OR(DH160="",DI160=""),"",p_dv*(p_rf+DH160)*(1-IF(DJ160="",p_tax_def,DJ160))+(1-p_dv)*(p_rf+p_beta*p_erp+p_lambda*DI160))</f>
        <v/>
      </c>
      <c r="DO160" s="13" t="n">
        <f aca="false">IF(AND(ISNUMBER(DM160),ISNUMBER(DN160)),1,0)</f>
        <v>0</v>
      </c>
      <c r="DP160" s="11" t="n">
        <f aca="false">IF(DO160=1,DM160,0)</f>
        <v>0</v>
      </c>
      <c r="DQ160" s="11" t="n">
        <f aca="false">IF(DO160=1,DN160,0)</f>
        <v>0</v>
      </c>
      <c r="DR160" s="11" t="str">
        <f aca="false">IF(DN160="","",DN160+p_shift)</f>
        <v/>
      </c>
      <c r="DS160" s="11" t="n">
        <f aca="false">IF(E160="AE",p_r_ae,IF(E160="China",p_r_chn,p_r_emdc))</f>
        <v>0.105</v>
      </c>
      <c r="DT160" s="11" t="n">
        <f aca="false">IF(E160="AE",p_rh_ae,IF(E160="China",p_rh_chn,p_rh_emdc))</f>
        <v>0.15</v>
      </c>
      <c r="DU160" s="11" t="n">
        <f aca="false">IF(AND(p_use_obs=1,ISNUMBER(DM160)),DM160,IF(AND(p_use_dam=1,ISNUMBER(DR160)),DR160,DS160))</f>
        <v>0.105</v>
      </c>
      <c r="DV160" s="6" t="str">
        <f aca="false">IF(AND(p_use_obs=1,ISNUMBER(DM160)),"Observed (IRENA/Steffen)",IF(AND(p_use_dam=1,ISNUMBER(DR160)),"Damodaran (eq. 5)","Group default (IHLEG)"))</f>
        <v>Group default (IHLEG)</v>
      </c>
      <c r="DW160" s="11" t="n">
        <f aca="false">IF(p_basis=1,(1+DU160)/(1+p_infl)-1,DU160)</f>
        <v>0.105</v>
      </c>
      <c r="DX160" s="11" t="n">
        <f aca="false">DW160+(DT160-DS160)</f>
        <v>0.15</v>
      </c>
      <c r="DY160" s="28" t="n">
        <f aca="false">IF(AND(p_use_pefa=1,ISNUMBER(BD160)),p_gap_lic-(BD160-1)/3*(p_gap_lic-p_gap_ae),IF(E160="AE",p_gap_ae,IF(D160="Low income",p_gap_lic,p_gap_em)))*(1-p_reform*p_reform_close)</f>
        <v>0.27</v>
      </c>
      <c r="DZ160" s="6" t="str">
        <f aca="false">IF(AND(p_use_pefa=1,ISNUMBER(BD160)),"PEFA PI-11","Income-group default (IMF 2015)")</f>
        <v>Income-group default (IMF 2015)</v>
      </c>
      <c r="EA160" s="28" t="n">
        <f aca="false">IF(E160="AE",p_ps_ae,IF(E160="China",p_ps_chn,p_ps_emdc))</f>
        <v>0.4</v>
      </c>
      <c r="EB160" s="37" t="n">
        <f aca="false">(1-EA160)+EA160/(1-DY160)</f>
        <v>1.14794520547945</v>
      </c>
      <c r="EC160" s="16" t="n">
        <f aca="false">Results_Country!F160</f>
        <v>0.324161523399664</v>
      </c>
      <c r="ED160" s="16" t="n">
        <f aca="false">IF(CH160="",0,CH160*EC160)</f>
        <v>126.938371674061</v>
      </c>
      <c r="EE160" s="16" t="n">
        <f aca="false">IF(CJ160="",0,CJ160*EC160)</f>
        <v>0.0783683000008387</v>
      </c>
      <c r="EF160" s="16" t="n">
        <f aca="false">IF(CH160="",0,EC160)</f>
        <v>0.324161523399664</v>
      </c>
    </row>
    <row r="161" customFormat="false" ht="15" hidden="false" customHeight="false" outlineLevel="0" collapsed="false">
      <c r="A161" s="35" t="s">
        <v>1079</v>
      </c>
      <c r="B161" s="35" t="s">
        <v>1080</v>
      </c>
      <c r="C161" s="35" t="s">
        <v>770</v>
      </c>
      <c r="D161" s="35" t="s">
        <v>763</v>
      </c>
      <c r="E161" s="35" t="s">
        <v>31</v>
      </c>
      <c r="F161" s="36" t="n">
        <v>7.052</v>
      </c>
      <c r="G161" s="36" t="n">
        <v>13.804</v>
      </c>
      <c r="H161" s="33" t="n">
        <v>5.031</v>
      </c>
      <c r="I161" s="33" t="n">
        <v>3.022</v>
      </c>
      <c r="J161" s="36" t="n">
        <v>0.527799</v>
      </c>
      <c r="K161" s="36" t="n">
        <v>2.473</v>
      </c>
      <c r="L161" s="36" t="n">
        <v>2.714</v>
      </c>
      <c r="M161" s="36" t="n">
        <v>2.714</v>
      </c>
      <c r="N161" s="36" t="n">
        <v>0.812208472755839</v>
      </c>
      <c r="O161" s="36" t="n">
        <v>0.893350360735618</v>
      </c>
      <c r="P161" s="36" t="n">
        <v>0</v>
      </c>
      <c r="Q161" s="31" t="n">
        <v>0</v>
      </c>
      <c r="R161" s="31" t="n">
        <v>0</v>
      </c>
      <c r="S161" s="31" t="n">
        <v>0</v>
      </c>
      <c r="T161" s="31" t="n">
        <v>0</v>
      </c>
      <c r="U161" s="31" t="n">
        <v>0</v>
      </c>
      <c r="V161" s="31" t="n">
        <v>0</v>
      </c>
      <c r="W161" s="31" t="n">
        <v>0</v>
      </c>
      <c r="X161" s="31" t="n">
        <v>0</v>
      </c>
      <c r="Y161" s="36" t="n">
        <v>0.0851622266017733</v>
      </c>
      <c r="Z161" s="36" t="n">
        <v>0.345480210938374</v>
      </c>
      <c r="AA161" s="36" t="n">
        <v>0.0311324729014197</v>
      </c>
      <c r="AB161" s="36" t="n">
        <v>0.0189096617968015</v>
      </c>
      <c r="AC161" s="36" t="n">
        <v>0.34233613964726</v>
      </c>
      <c r="AD161" s="31" t="n">
        <v>0.750553</v>
      </c>
      <c r="AE161" s="31" t="n">
        <v>0.737911</v>
      </c>
      <c r="AF161" s="31" t="n">
        <v>0.5406</v>
      </c>
      <c r="AG161" s="31" t="n">
        <v>0.652</v>
      </c>
      <c r="AH161" s="31" t="n">
        <v>0.544361450801856</v>
      </c>
      <c r="AI161" s="31" t="n">
        <v>7.124</v>
      </c>
      <c r="AJ161" s="31" t="n">
        <v>12.13806</v>
      </c>
      <c r="AK161" s="31" t="n">
        <v>4.833</v>
      </c>
      <c r="AL161" s="31" t="n">
        <v>8.03168666666667</v>
      </c>
      <c r="AM161" s="31" t="n">
        <v>13.439</v>
      </c>
      <c r="AN161" s="31" t="n">
        <v>22.66386</v>
      </c>
      <c r="AO161" s="31" t="n">
        <v>12.116</v>
      </c>
      <c r="AP161" s="31" t="n">
        <v>16.0729533333333</v>
      </c>
      <c r="AQ161" s="36" t="n">
        <v>0.032812494840597</v>
      </c>
      <c r="AR161" s="36" t="n">
        <v>0.0313242824094724</v>
      </c>
      <c r="AS161" s="36" t="n">
        <v>0.00716391281641493</v>
      </c>
      <c r="AT161" s="36" t="n">
        <v>0.060582984725432</v>
      </c>
      <c r="AU161" s="31" t="n">
        <v>0.21775077181783</v>
      </c>
      <c r="AV161" s="36" t="n">
        <v>0.291221</v>
      </c>
      <c r="AW161" s="31" t="n">
        <v>0.239863</v>
      </c>
      <c r="AX161" s="31" t="n">
        <v>0.000337</v>
      </c>
      <c r="AY161" s="31" t="n">
        <v>0.0331477400869233</v>
      </c>
      <c r="AZ161" s="31" t="n">
        <v>0.024372</v>
      </c>
      <c r="BA161" s="33" t="n">
        <v>133.32</v>
      </c>
      <c r="BB161" s="33" t="n">
        <v>12.222</v>
      </c>
      <c r="BC161" s="33" t="n">
        <v>98.937</v>
      </c>
      <c r="BD161" s="33" t="n">
        <v>2</v>
      </c>
      <c r="BE161" s="33" t="n">
        <v>2</v>
      </c>
      <c r="BF161" s="33" t="n">
        <v>0</v>
      </c>
      <c r="BG161" s="33"/>
      <c r="BH161" s="33"/>
      <c r="BI161" s="29"/>
      <c r="BJ161" s="33"/>
      <c r="BK161" s="33"/>
      <c r="BL161" s="33" t="n">
        <v>8.685</v>
      </c>
      <c r="BM161" s="33" t="n">
        <v>11.915</v>
      </c>
      <c r="BN161" s="29" t="n">
        <v>6.084</v>
      </c>
      <c r="BO161" s="33" t="n">
        <v>0.493</v>
      </c>
      <c r="BP161" s="33" t="n">
        <v>0.085</v>
      </c>
      <c r="BQ161" s="29" t="n">
        <v>2024</v>
      </c>
      <c r="BR161" s="36" t="n">
        <v>0.85</v>
      </c>
      <c r="BS161" s="36" t="n">
        <v>0</v>
      </c>
      <c r="BT161" s="36" t="n">
        <v>0</v>
      </c>
      <c r="BU161" s="36" t="n">
        <v>0.79</v>
      </c>
      <c r="BV161" s="16" t="n">
        <f aca="false">F161*(1+N(H161)/100)*(1+N(I161)/100)^5</f>
        <v>8.59566908427298</v>
      </c>
      <c r="BW161" s="16" t="n">
        <f aca="false">IF(N(G161)&gt;0,G161,F161)</f>
        <v>13.804</v>
      </c>
      <c r="BX161" s="12" t="n">
        <f aca="false">F161/BW161</f>
        <v>0.51086641553173</v>
      </c>
      <c r="BY161" s="13" t="n">
        <f aca="false">IF(ISNUMBER(K161),1,0)</f>
        <v>1</v>
      </c>
      <c r="BZ161" s="16" t="n">
        <f aca="false">IF(BY161=0,"",N(N161)+N(O161)+N(P161))</f>
        <v>1.70555883349146</v>
      </c>
      <c r="CA161" s="37" t="n">
        <f aca="false">IF(BY161=0,"",(N(Y161)*34.2+N(Z161)*38.6)/1000)</f>
        <v>0.0162480842920019</v>
      </c>
      <c r="CB161" s="37" t="n">
        <f aca="false">IF(BY161=0,"",N(O161)*0.0036+N(R161)+N(V161)+(N(AA161)*25.3+N(AB161)*37)/1000)</f>
        <v>0.0047033703495358</v>
      </c>
      <c r="CC161" s="37" t="n">
        <f aca="false">IF(BY161=0,"",N(N161)*0.0036+N(Q161)+N(U161)+N(T161)+N(X161)+N(AC161)*38/1000)</f>
        <v>0.0159327238085169</v>
      </c>
      <c r="CD161" s="37" t="n">
        <f aca="false">IF(BY161=0,"",N(Q161)+N(R161)+N(S161)+N(T161)+N(U161)+N(V161)+N(W161)+N(X161)+(N(Y161)*34.2+N(Z161)*38.6+N(AA161)*25.3+N(AB161)*37+N(AC161)*38)/1000)</f>
        <v>0.0307441666494854</v>
      </c>
      <c r="CE161" s="16" t="n">
        <f aca="false">IF(BY161=0,"",MAX(0,N(L161)-N(K161))+MAX(0,N(M161)-N(L161)))</f>
        <v>0.241</v>
      </c>
      <c r="CF161" s="16" t="n">
        <f aca="false">IF(BY161=0,"",N(Y161)*N(AD161)+N(Z161)*N(AE161)+N(AA161)*N(AF161)+N(AB161)*N(AG161)+N(AC161)*N(AH161)+N(U161)*N(AI161)+N(V161)*N(AJ161)+N(W161)*N(AK161)+N(X161)*N(AL161)+N(Q161)*N(AM161)+N(R161)*N(AN161)+N(S161)*N(AO161)+N(T161)*N(AP161))</f>
        <v>0.534366324578699</v>
      </c>
      <c r="CG161" s="16" t="n">
        <f aca="false">IF(AND(BY161=1,N(K161)&gt;0),K161,0)</f>
        <v>2.473</v>
      </c>
      <c r="CH161" s="16" t="n">
        <f aca="false">IF(CG161&gt;0,CF161*1000/CG161,"")</f>
        <v>216.080195947715</v>
      </c>
      <c r="CI161" s="16" t="n">
        <f aca="false">IF(BY161=0,"",N(AQ161)+p_road*(N(AR161)+N(AS161)+N(AT161)))</f>
        <v>0.032812494840597</v>
      </c>
      <c r="CJ161" s="16" t="n">
        <f aca="false">IF(CG161&gt;0,CI161*1000/CG161,"")</f>
        <v>13.2682955279406</v>
      </c>
      <c r="CK161" s="12" t="n">
        <f aca="false">IF(CH161="",1,MIN(p_idx_max,MAX(p_idx_min,CH161/p_fc_world)))</f>
        <v>1.34205179495423</v>
      </c>
      <c r="CL161" s="12" t="n">
        <f aca="false">IF(CJ161="",1,MIN(p_idx_max,MAX(p_idx_min,CJ161/p_cb_world)))</f>
        <v>0.252293116972661</v>
      </c>
      <c r="CM161" s="37" t="n">
        <f aca="false">p_b*(1-p_wb_idx+p_wb_idx*CK161)</f>
        <v>0.178492888728913</v>
      </c>
      <c r="CN161" s="37" t="n">
        <f aca="false">p_c*(1-p_wc_idx+p_wc_idx*CL161)</f>
        <v>0.0325458120894732</v>
      </c>
      <c r="CO161" s="28" t="n">
        <f aca="false">IF(N(BR161)&gt;0,(N(BS161)+N(BT161)+N(BU161))/BR161,"")</f>
        <v>0.929411764705882</v>
      </c>
      <c r="CP161" s="16" t="n">
        <f aca="false">N(BS161)+N(BT161)+N(BU161)</f>
        <v>0.79</v>
      </c>
      <c r="CQ161" s="28" t="n">
        <f aca="false">IF(CP161&gt;0,N(BS161)/CP161,"")</f>
        <v>0</v>
      </c>
      <c r="CR161" s="28" t="n">
        <f aca="false">IF(CP161&gt;0,N(BT161)/CP161,"")</f>
        <v>0</v>
      </c>
      <c r="CS161" s="28" t="n">
        <f aca="false">IF(CP161&gt;0,N(BU161)/CP161,"")</f>
        <v>1</v>
      </c>
      <c r="CT161" s="7" t="n">
        <f aca="false">1000*(p_sh_pv*p_cf_pv/p_capex_pv+(1-p_sh_pv)*p_cf_wind/p_capex_wind)*8760</f>
        <v>2301.28856624319</v>
      </c>
      <c r="CU161" s="13" t="n">
        <f aca="false">IF(AND(ISNUMBER(CO161),ISNUMBER(CQ161),BY161=1),1,0)</f>
        <v>1</v>
      </c>
      <c r="CV161" s="16" t="n">
        <f aca="false">IF(CU161=0,"",CQ161*p_hr_coal*N(AK161)+CR161*p_hr_gas*N(AO161)+CS161*p_hr_oil*N(AH161)/p_gj_l_oil)</f>
        <v>148.077596720712</v>
      </c>
      <c r="CW161" s="37" t="n">
        <f aca="false">IF(CU161=0,"",CQ161*p_hr_coal*p_ef_coal+CR161*p_hr_gas*p_ef_gas+CS161*p_hr_oil*p_ef_oil)</f>
        <v>0.8127</v>
      </c>
      <c r="CX161" s="16" t="n">
        <f aca="false">IF(CU161=0,"",CQ161*p_hr_coal*N(AW161)+CR161*p_hr_gas*N(AX161)+CS161*p_hr_oil*N(AY161)/p_gj_l_oil)</f>
        <v>9.01687230343769</v>
      </c>
      <c r="CY161" s="37" t="n">
        <f aca="false">IF(CU161=0,"",CO161*CW161)</f>
        <v>0.755332941176471</v>
      </c>
      <c r="CZ161" s="37" t="n">
        <f aca="false">IF(CU161=0,"",CT161*CO161*CV161/1000/1000-p_om_re)</f>
        <v>0.301714978114841</v>
      </c>
      <c r="DA161" s="37" t="n">
        <f aca="false">IF(CU161=0,"",CT161*CO161*CX161/1000/1000)</f>
        <v>0.0192856892432813</v>
      </c>
      <c r="DB161" s="37" t="n">
        <f aca="false">IF(CU161=0,"",CT161*CO161*CW161/1000)</f>
        <v>1.73823906123625</v>
      </c>
      <c r="DC161" s="13" t="n">
        <f aca="false">IF(AND(CU161=1,ISNUMBER(AD161),ISNUMBER(AV161)),1,0)</f>
        <v>1</v>
      </c>
      <c r="DD161" s="7" t="n">
        <f aca="false">IF(DC161=0,"",p_ev_km*p_ice_l/100*AD161-p_ev_km*p_ev_kwh*AV161+p_ev_km*p_ev_maint)</f>
        <v>238.075425</v>
      </c>
      <c r="DE161" s="37" t="n">
        <f aca="false">IF(DC161=0,"",DD161/p_ev_prem)</f>
        <v>0.047615085</v>
      </c>
      <c r="DF161" s="37" t="n">
        <f aca="false">IF(DC161=0,"",p_ev_km*p_ice_l/100*N(AZ161)/p_ev_prem)</f>
        <v>0.0054837</v>
      </c>
      <c r="DG161" s="37" t="n">
        <f aca="false">IF(DC161=0,"",1000/p_ev_prem*(p_ev_km*p_ice_l/100*p_gj_l_gso*p_ef_gso-p_ev_km*p_ev_kwh/1000*CY161))</f>
        <v>0.125383711764706</v>
      </c>
      <c r="DH161" s="11" t="str">
        <f aca="false">IFERROR(IF(INDEX(Damodaran!$D:$D,MATCH(A161,Damodaran!$A:$A,0))="","",INDEX(Damodaran!$D:$D,MATCH(A161,Damodaran!$A:$A,0))),"")</f>
        <v/>
      </c>
      <c r="DI161" s="11" t="str">
        <f aca="false">IFERROR(IF(INDEX(Damodaran!$E:$E,MATCH(A161,Damodaran!$A:$A,0))="","",INDEX(Damodaran!$E:$E,MATCH(A161,Damodaran!$A:$A,0))),"")</f>
        <v/>
      </c>
      <c r="DJ161" s="11" t="str">
        <f aca="false">IFERROR(IF(INDEX(Damodaran!$G:$G,MATCH(A161,Damodaran!$A:$A,0))="","",INDEX(Damodaran!$G:$G,MATCH(A161,Damodaran!$A:$A,0))),"")</f>
        <v/>
      </c>
      <c r="DK161" s="11" t="str">
        <f aca="false">IF(ISNUMBER(BG161),(1+BG161/100)*(1+p_infl)-1,"")</f>
        <v/>
      </c>
      <c r="DL161" s="11" t="str">
        <f aca="false">IF(ISNUMBER(BH161),BH161/100,"")</f>
        <v/>
      </c>
      <c r="DM161" s="11" t="str">
        <f aca="false">IF(COUNT(DK161,DL161)=0,"",AVERAGE(DK161,DL161))</f>
        <v/>
      </c>
      <c r="DN161" s="11" t="str">
        <f aca="false">IF(OR(DH161="",DI161=""),"",p_dv*(p_rf+DH161)*(1-IF(DJ161="",p_tax_def,DJ161))+(1-p_dv)*(p_rf+p_beta*p_erp+p_lambda*DI161))</f>
        <v/>
      </c>
      <c r="DO161" s="13" t="n">
        <f aca="false">IF(AND(ISNUMBER(DM161),ISNUMBER(DN161)),1,0)</f>
        <v>0</v>
      </c>
      <c r="DP161" s="11" t="n">
        <f aca="false">IF(DO161=1,DM161,0)</f>
        <v>0</v>
      </c>
      <c r="DQ161" s="11" t="n">
        <f aca="false">IF(DO161=1,DN161,0)</f>
        <v>0</v>
      </c>
      <c r="DR161" s="11" t="str">
        <f aca="false">IF(DN161="","",DN161+p_shift)</f>
        <v/>
      </c>
      <c r="DS161" s="11" t="n">
        <f aca="false">IF(E161="AE",p_r_ae,IF(E161="China",p_r_chn,p_r_emdc))</f>
        <v>0.105</v>
      </c>
      <c r="DT161" s="11" t="n">
        <f aca="false">IF(E161="AE",p_rh_ae,IF(E161="China",p_rh_chn,p_rh_emdc))</f>
        <v>0.15</v>
      </c>
      <c r="DU161" s="11" t="n">
        <f aca="false">IF(AND(p_use_obs=1,ISNUMBER(DM161)),DM161,IF(AND(p_use_dam=1,ISNUMBER(DR161)),DR161,DS161))</f>
        <v>0.105</v>
      </c>
      <c r="DV161" s="6" t="str">
        <f aca="false">IF(AND(p_use_obs=1,ISNUMBER(DM161)),"Observed (IRENA/Steffen)",IF(AND(p_use_dam=1,ISNUMBER(DR161)),"Damodaran (eq. 5)","Group default (IHLEG)"))</f>
        <v>Group default (IHLEG)</v>
      </c>
      <c r="DW161" s="11" t="n">
        <f aca="false">IF(p_basis=1,(1+DU161)/(1+p_infl)-1,DU161)</f>
        <v>0.105</v>
      </c>
      <c r="DX161" s="11" t="n">
        <f aca="false">DW161+(DT161-DS161)</f>
        <v>0.15</v>
      </c>
      <c r="DY161" s="28" t="n">
        <f aca="false">IF(AND(p_use_pefa=1,ISNUMBER(BD161)),p_gap_lic-(BD161-1)/3*(p_gap_lic-p_gap_ae),IF(E161="AE",p_gap_ae,IF(D161="Low income",p_gap_lic,p_gap_em)))*(1-p_reform*p_reform_close)</f>
        <v>0.31</v>
      </c>
      <c r="DZ161" s="6" t="str">
        <f aca="false">IF(AND(p_use_pefa=1,ISNUMBER(BD161)),"PEFA PI-11","Income-group default (IMF 2015)")</f>
        <v>PEFA PI-11</v>
      </c>
      <c r="EA161" s="28" t="n">
        <f aca="false">IF(E161="AE",p_ps_ae,IF(E161="China",p_ps_chn,p_ps_emdc))</f>
        <v>0.4</v>
      </c>
      <c r="EB161" s="37" t="n">
        <f aca="false">(1-EA161)+EA161/(1-DY161)</f>
        <v>1.17971014492754</v>
      </c>
      <c r="EC161" s="16" t="n">
        <f aca="false">Results_Country!F161</f>
        <v>0.424013515593801</v>
      </c>
      <c r="ED161" s="16" t="n">
        <f aca="false">IF(CH161="",0,CH161*EC161)</f>
        <v>91.6209235339879</v>
      </c>
      <c r="EE161" s="16" t="n">
        <f aca="false">IF(CJ161="",0,CJ161*EC161)</f>
        <v>5.62593663273958</v>
      </c>
      <c r="EF161" s="16" t="n">
        <f aca="false">IF(CH161="",0,EC161)</f>
        <v>0.424013515593801</v>
      </c>
    </row>
    <row r="162" customFormat="false" ht="15" hidden="false" customHeight="false" outlineLevel="0" collapsed="false">
      <c r="A162" s="35" t="s">
        <v>1081</v>
      </c>
      <c r="B162" s="35" t="s">
        <v>1082</v>
      </c>
      <c r="C162" s="35" t="s">
        <v>847</v>
      </c>
      <c r="D162" s="35" t="s">
        <v>888</v>
      </c>
      <c r="E162" s="35" t="s">
        <v>31</v>
      </c>
      <c r="F162" s="36" t="n">
        <v>6.97</v>
      </c>
      <c r="G162" s="36" t="n">
        <v>30.484</v>
      </c>
      <c r="H162" s="33" t="n">
        <v>4.377</v>
      </c>
      <c r="I162" s="33" t="n">
        <v>4.55</v>
      </c>
      <c r="J162" s="36" t="n">
        <v>8.642022</v>
      </c>
      <c r="K162" s="36" t="n">
        <v>1.009</v>
      </c>
      <c r="L162" s="36" t="n">
        <v>7.191</v>
      </c>
      <c r="M162" s="36" t="n">
        <v>10.373</v>
      </c>
      <c r="N162" s="36" t="n">
        <v>0.259113184616233</v>
      </c>
      <c r="O162" s="36" t="n">
        <v>0.111202379348525</v>
      </c>
      <c r="P162" s="36" t="n">
        <v>0</v>
      </c>
      <c r="Q162" s="31" t="n">
        <v>0</v>
      </c>
      <c r="R162" s="31" t="n">
        <v>0</v>
      </c>
      <c r="S162" s="31" t="n">
        <v>0</v>
      </c>
      <c r="T162" s="31" t="n">
        <v>0</v>
      </c>
      <c r="U162" s="31" t="n">
        <v>0</v>
      </c>
      <c r="V162" s="31" t="n">
        <v>0</v>
      </c>
      <c r="W162" s="31" t="n">
        <v>0</v>
      </c>
      <c r="X162" s="31" t="n">
        <v>0</v>
      </c>
      <c r="Y162" s="36" t="n">
        <v>0.204859052200032</v>
      </c>
      <c r="Z162" s="36" t="n">
        <v>0.231402330308738</v>
      </c>
      <c r="AA162" s="36" t="n">
        <v>0.00881367432962135</v>
      </c>
      <c r="AB162" s="36" t="n">
        <v>0.00076476722219747</v>
      </c>
      <c r="AC162" s="36" t="n">
        <v>0.105785788298476</v>
      </c>
      <c r="AD162" s="31" t="n">
        <v>1.0212</v>
      </c>
      <c r="AE162" s="31" t="n">
        <v>1.094898</v>
      </c>
      <c r="AF162" s="31" t="n">
        <v>0.58995</v>
      </c>
      <c r="AG162" s="31" t="n">
        <v>1.1477</v>
      </c>
      <c r="AH162" s="31" t="n">
        <v>0.873478605638881</v>
      </c>
      <c r="AI162" s="31" t="n">
        <v>7.124</v>
      </c>
      <c r="AJ162" s="31" t="n">
        <v>14.02195</v>
      </c>
      <c r="AK162" s="31" t="n">
        <v>5.575</v>
      </c>
      <c r="AL162" s="31" t="n">
        <v>8.90698333333333</v>
      </c>
      <c r="AM162" s="31" t="n">
        <v>12.815</v>
      </c>
      <c r="AN162" s="31" t="n">
        <v>23.87055</v>
      </c>
      <c r="AO162" s="31" t="n">
        <v>11.492</v>
      </c>
      <c r="AP162" s="31" t="n">
        <v>16.0591833333333</v>
      </c>
      <c r="AQ162" s="36" t="n">
        <v>0.00031549199008465</v>
      </c>
      <c r="AR162" s="36" t="n">
        <v>0.00200584142427024</v>
      </c>
      <c r="AS162" s="36" t="n">
        <v>0.015618845305806</v>
      </c>
      <c r="AT162" s="36" t="n">
        <v>0.01290097989656</v>
      </c>
      <c r="AU162" s="31" t="n">
        <v>0.604047015419943</v>
      </c>
      <c r="AV162" s="36" t="n">
        <v>0.363637</v>
      </c>
      <c r="AW162" s="31" t="n">
        <v>0.055888</v>
      </c>
      <c r="AX162" s="31" t="n">
        <v>0.000201</v>
      </c>
      <c r="AY162" s="31" t="n">
        <v>0.00346025386808524</v>
      </c>
      <c r="AZ162" s="31" t="n">
        <v>0.000324</v>
      </c>
      <c r="BA162" s="33" t="n">
        <v>46.667</v>
      </c>
      <c r="BB162" s="33" t="n">
        <v>24.022</v>
      </c>
      <c r="BC162" s="33" t="n">
        <v>18.879</v>
      </c>
      <c r="BD162" s="33" t="n">
        <v>1.5</v>
      </c>
      <c r="BE162" s="33" t="n">
        <v>1</v>
      </c>
      <c r="BF162" s="33" t="n">
        <v>0</v>
      </c>
      <c r="BG162" s="33"/>
      <c r="BH162" s="33"/>
      <c r="BI162" s="29"/>
      <c r="BJ162" s="33"/>
      <c r="BK162" s="33"/>
      <c r="BL162" s="33"/>
      <c r="BM162" s="33"/>
      <c r="BN162" s="29" t="n">
        <v>20</v>
      </c>
      <c r="BO162" s="33" t="n">
        <v>2.455</v>
      </c>
      <c r="BP162" s="33" t="n">
        <v>1.2</v>
      </c>
      <c r="BQ162" s="29" t="n">
        <v>2024</v>
      </c>
      <c r="BR162" s="36" t="n">
        <v>0.21</v>
      </c>
      <c r="BS162" s="36" t="n">
        <v>0</v>
      </c>
      <c r="BT162" s="36" t="n">
        <v>0</v>
      </c>
      <c r="BU162" s="36" t="n">
        <v>0.01</v>
      </c>
      <c r="BV162" s="16" t="n">
        <f aca="false">F162*(1+N(H162)/100)*(1+N(I162)/100)^5</f>
        <v>9.08777935423943</v>
      </c>
      <c r="BW162" s="16" t="n">
        <f aca="false">IF(N(G162)&gt;0,G162,F162)</f>
        <v>30.484</v>
      </c>
      <c r="BX162" s="12" t="n">
        <f aca="false">F162/BW162</f>
        <v>0.228644534837948</v>
      </c>
      <c r="BY162" s="13" t="n">
        <f aca="false">IF(ISNUMBER(K162),1,0)</f>
        <v>1</v>
      </c>
      <c r="BZ162" s="16" t="n">
        <f aca="false">IF(BY162=0,"",N(N162)+N(O162)+N(P162))</f>
        <v>0.370315563964758</v>
      </c>
      <c r="CA162" s="37" t="n">
        <f aca="false">IF(BY162=0,"",(N(Y162)*34.2+N(Z162)*38.6)/1000)</f>
        <v>0.0159383095351584</v>
      </c>
      <c r="CB162" s="37" t="n">
        <f aca="false">IF(BY162=0,"",N(O162)*0.0036+N(R162)+N(V162)+(N(AA162)*25.3+N(AB162)*37)/1000)</f>
        <v>0.000651610913415415</v>
      </c>
      <c r="CC162" s="37" t="n">
        <f aca="false">IF(BY162=0,"",N(N162)*0.0036+N(Q162)+N(U162)+N(T162)+N(X162)+N(AC162)*38/1000)</f>
        <v>0.00495266741996052</v>
      </c>
      <c r="CD162" s="37" t="n">
        <f aca="false">IF(BY162=0,"",N(Q162)+N(R162)+N(S162)+N(T162)+N(U162)+N(V162)+N(W162)+N(X162)+(N(Y162)*34.2+N(Z162)*38.6+N(AA162)*25.3+N(AB162)*37+N(AC162)*38)/1000)</f>
        <v>0.0202094518382612</v>
      </c>
      <c r="CE162" s="16" t="n">
        <f aca="false">IF(BY162=0,"",MAX(0,N(L162)-N(K162))+MAX(0,N(M162)-N(L162)))</f>
        <v>9.364</v>
      </c>
      <c r="CF162" s="16" t="n">
        <f aca="false">IF(BY162=0,"",N(Y162)*N(AD162)+N(Z162)*N(AE162)+N(AA162)*N(AF162)+N(AB162)*N(AG162)+N(AC162)*N(AH162)+N(U162)*N(AI162)+N(V162)*N(AJ162)+N(W162)*N(AK162)+N(X162)*N(AL162)+N(Q162)*N(AM162)+N(R162)*N(AN162)+N(S162)*N(AO162)+N(T162)*N(AP162))</f>
        <v>0.561042986128087</v>
      </c>
      <c r="CG162" s="16" t="n">
        <f aca="false">IF(AND(BY162=1,N(K162)&gt;0),K162,0)</f>
        <v>1.009</v>
      </c>
      <c r="CH162" s="16" t="n">
        <f aca="false">IF(CG162&gt;0,CF162*1000/CG162,"")</f>
        <v>556.038638382644</v>
      </c>
      <c r="CI162" s="16" t="n">
        <f aca="false">IF(BY162=0,"",N(AQ162)+p_road*(N(AR162)+N(AS162)+N(AT162)))</f>
        <v>0.00031549199008465</v>
      </c>
      <c r="CJ162" s="16" t="n">
        <f aca="false">IF(CG162&gt;0,CI162*1000/CG162,"")</f>
        <v>0.312677889082904</v>
      </c>
      <c r="CK162" s="12" t="n">
        <f aca="false">IF(CH162="",1,MIN(p_idx_max,MAX(p_idx_min,CH162/p_fc_world)))</f>
        <v>3.45349859311447</v>
      </c>
      <c r="CL162" s="12" t="n">
        <f aca="false">IF(CJ162="",1,MIN(p_idx_max,MAX(p_idx_min,CJ162/p_cb_world)))</f>
        <v>0.25</v>
      </c>
      <c r="CM162" s="37" t="n">
        <f aca="false">p_b*(1-p_wb_idx+p_wb_idx*CK162)</f>
        <v>0.459315312884225</v>
      </c>
      <c r="CN162" s="37" t="n">
        <f aca="false">p_c*(1-p_wc_idx+p_wc_idx*CL162)</f>
        <v>0.03225</v>
      </c>
      <c r="CO162" s="28" t="n">
        <f aca="false">IF(N(BR162)&gt;0,(N(BS162)+N(BT162)+N(BU162))/BR162,"")</f>
        <v>0.0476190476190476</v>
      </c>
      <c r="CP162" s="16" t="n">
        <f aca="false">N(BS162)+N(BT162)+N(BU162)</f>
        <v>0.01</v>
      </c>
      <c r="CQ162" s="28" t="n">
        <f aca="false">IF(CP162&gt;0,N(BS162)/CP162,"")</f>
        <v>0</v>
      </c>
      <c r="CR162" s="28" t="n">
        <f aca="false">IF(CP162&gt;0,N(BT162)/CP162,"")</f>
        <v>0</v>
      </c>
      <c r="CS162" s="28" t="n">
        <f aca="false">IF(CP162&gt;0,N(BU162)/CP162,"")</f>
        <v>1</v>
      </c>
      <c r="CT162" s="7" t="n">
        <f aca="false">1000*(p_sh_pv*p_cf_pv/p_capex_pv+(1-p_sh_pv)*p_cf_wind/p_capex_wind)*8760</f>
        <v>2301.28856624319</v>
      </c>
      <c r="CU162" s="13" t="n">
        <f aca="false">IF(AND(ISNUMBER(CO162),ISNUMBER(CQ162),BY162=1),1,0)</f>
        <v>1</v>
      </c>
      <c r="CV162" s="16" t="n">
        <f aca="false">IF(CU162=0,"",CQ162*p_hr_coal*N(AK162)+CR162*p_hr_gas*N(AO162)+CS162*p_hr_oil*N(AH162)/p_gj_l_oil)</f>
        <v>237.604283917312</v>
      </c>
      <c r="CW162" s="37" t="n">
        <f aca="false">IF(CU162=0,"",CQ162*p_hr_coal*p_ef_coal+CR162*p_hr_gas*p_ef_gas+CS162*p_hr_oil*p_ef_oil)</f>
        <v>0.8127</v>
      </c>
      <c r="CX162" s="16" t="n">
        <f aca="false">IF(CU162=0,"",CQ162*p_hr_coal*N(AW162)+CR162*p_hr_gas*N(AX162)+CS162*p_hr_oil*N(AY162)/p_gj_l_oil)</f>
        <v>0.941260767225261</v>
      </c>
      <c r="CY162" s="37" t="n">
        <f aca="false">IF(CU162=0,"",CO162*CW162)</f>
        <v>0.0387</v>
      </c>
      <c r="CZ162" s="37" t="n">
        <f aca="false">IF(CU162=0,"",CT162*CO162*CV162/1000/1000-p_om_re)</f>
        <v>0.0110379058033006</v>
      </c>
      <c r="DA162" s="37" t="n">
        <f aca="false">IF(CU162=0,"",CT162*CO162*CX162/1000/1000)</f>
        <v>0.000103148221022323</v>
      </c>
      <c r="DB162" s="37" t="n">
        <f aca="false">IF(CU162=0,"",CT162*CO162*CW162/1000)</f>
        <v>0.0890598675136116</v>
      </c>
      <c r="DC162" s="13" t="n">
        <f aca="false">IF(AND(CU162=1,ISNUMBER(AD162),ISNUMBER(AV162)),1,0)</f>
        <v>1</v>
      </c>
      <c r="DD162" s="7" t="n">
        <f aca="false">IF(DC162=0,"",p_ev_km*p_ice_l/100*AD162-p_ev_km*p_ev_kwh*AV162+p_ev_km*p_ev_maint)</f>
        <v>347.0301</v>
      </c>
      <c r="DE162" s="37" t="n">
        <f aca="false">IF(DC162=0,"",DD162/p_ev_prem)</f>
        <v>0.06940602</v>
      </c>
      <c r="DF162" s="37" t="n">
        <f aca="false">IF(DC162=0,"",p_ev_km*p_ice_l/100*N(AZ162)/p_ev_prem)</f>
        <v>7.29E-005</v>
      </c>
      <c r="DG162" s="37" t="n">
        <f aca="false">IF(DC162=0,"",1000/p_ev_prem*(p_ev_km*p_ice_l/100*p_gj_l_gso*p_ef_gso-p_ev_km*p_ev_kwh/1000*CY162))</f>
        <v>0.5123655</v>
      </c>
      <c r="DH162" s="11" t="str">
        <f aca="false">IFERROR(IF(INDEX(Damodaran!$D:$D,MATCH(A162,Damodaran!$A:$A,0))="","",INDEX(Damodaran!$D:$D,MATCH(A162,Damodaran!$A:$A,0))),"")</f>
        <v/>
      </c>
      <c r="DI162" s="11" t="str">
        <f aca="false">IFERROR(IF(INDEX(Damodaran!$E:$E,MATCH(A162,Damodaran!$A:$A,0))="","",INDEX(Damodaran!$E:$E,MATCH(A162,Damodaran!$A:$A,0))),"")</f>
        <v/>
      </c>
      <c r="DJ162" s="11" t="str">
        <f aca="false">IFERROR(IF(INDEX(Damodaran!$G:$G,MATCH(A162,Damodaran!$A:$A,0))="","",INDEX(Damodaran!$G:$G,MATCH(A162,Damodaran!$A:$A,0))),"")</f>
        <v/>
      </c>
      <c r="DK162" s="11" t="str">
        <f aca="false">IF(ISNUMBER(BG162),(1+BG162/100)*(1+p_infl)-1,"")</f>
        <v/>
      </c>
      <c r="DL162" s="11" t="str">
        <f aca="false">IF(ISNUMBER(BH162),BH162/100,"")</f>
        <v/>
      </c>
      <c r="DM162" s="11" t="str">
        <f aca="false">IF(COUNT(DK162,DL162)=0,"",AVERAGE(DK162,DL162))</f>
        <v/>
      </c>
      <c r="DN162" s="11" t="str">
        <f aca="false">IF(OR(DH162="",DI162=""),"",p_dv*(p_rf+DH162)*(1-IF(DJ162="",p_tax_def,DJ162))+(1-p_dv)*(p_rf+p_beta*p_erp+p_lambda*DI162))</f>
        <v/>
      </c>
      <c r="DO162" s="13" t="n">
        <f aca="false">IF(AND(ISNUMBER(DM162),ISNUMBER(DN162)),1,0)</f>
        <v>0</v>
      </c>
      <c r="DP162" s="11" t="n">
        <f aca="false">IF(DO162=1,DM162,0)</f>
        <v>0</v>
      </c>
      <c r="DQ162" s="11" t="n">
        <f aca="false">IF(DO162=1,DN162,0)</f>
        <v>0</v>
      </c>
      <c r="DR162" s="11" t="str">
        <f aca="false">IF(DN162="","",DN162+p_shift)</f>
        <v/>
      </c>
      <c r="DS162" s="11" t="n">
        <f aca="false">IF(E162="AE",p_r_ae,IF(E162="China",p_r_chn,p_r_emdc))</f>
        <v>0.105</v>
      </c>
      <c r="DT162" s="11" t="n">
        <f aca="false">IF(E162="AE",p_rh_ae,IF(E162="China",p_rh_chn,p_rh_emdc))</f>
        <v>0.15</v>
      </c>
      <c r="DU162" s="11" t="n">
        <f aca="false">IF(AND(p_use_obs=1,ISNUMBER(DM162)),DM162,IF(AND(p_use_dam=1,ISNUMBER(DR162)),DR162,DS162))</f>
        <v>0.105</v>
      </c>
      <c r="DV162" s="6" t="str">
        <f aca="false">IF(AND(p_use_obs=1,ISNUMBER(DM162)),"Observed (IRENA/Steffen)",IF(AND(p_use_dam=1,ISNUMBER(DR162)),"Damodaran (eq. 5)","Group default (IHLEG)"))</f>
        <v>Group default (IHLEG)</v>
      </c>
      <c r="DW162" s="11" t="n">
        <f aca="false">IF(p_basis=1,(1+DU162)/(1+p_infl)-1,DU162)</f>
        <v>0.105</v>
      </c>
      <c r="DX162" s="11" t="n">
        <f aca="false">DW162+(DT162-DS162)</f>
        <v>0.15</v>
      </c>
      <c r="DY162" s="28" t="n">
        <f aca="false">IF(AND(p_use_pefa=1,ISNUMBER(BD162)),p_gap_lic-(BD162-1)/3*(p_gap_lic-p_gap_ae),IF(E162="AE",p_gap_ae,IF(D162="Low income",p_gap_lic,p_gap_em)))*(1-p_reform*p_reform_close)</f>
        <v>0.355</v>
      </c>
      <c r="DZ162" s="6" t="str">
        <f aca="false">IF(AND(p_use_pefa=1,ISNUMBER(BD162)),"PEFA PI-11","Income-group default (IMF 2015)")</f>
        <v>PEFA PI-11</v>
      </c>
      <c r="EA162" s="28" t="n">
        <f aca="false">IF(E162="AE",p_ps_ae,IF(E162="China",p_ps_chn,p_ps_emdc))</f>
        <v>0.4</v>
      </c>
      <c r="EB162" s="37" t="n">
        <f aca="false">(1-EA162)+EA162/(1-DY162)</f>
        <v>1.22015503875969</v>
      </c>
      <c r="EC162" s="16" t="n">
        <f aca="false">Results_Country!F162</f>
        <v>0.477898814813956</v>
      </c>
      <c r="ED162" s="16" t="n">
        <f aca="false">IF(CH162="",0,CH162*EC162)</f>
        <v>265.730206273832</v>
      </c>
      <c r="EE162" s="16" t="n">
        <f aca="false">IF(CJ162="",0,CJ162*EC162)</f>
        <v>0.14942839261125</v>
      </c>
      <c r="EF162" s="16" t="n">
        <f aca="false">IF(CH162="",0,EC162)</f>
        <v>0.477898814813956</v>
      </c>
    </row>
    <row r="163" customFormat="false" ht="15" hidden="false" customHeight="false" outlineLevel="0" collapsed="false">
      <c r="A163" s="35" t="s">
        <v>1083</v>
      </c>
      <c r="B163" s="35" t="s">
        <v>1084</v>
      </c>
      <c r="C163" s="35" t="s">
        <v>762</v>
      </c>
      <c r="D163" s="35" t="s">
        <v>763</v>
      </c>
      <c r="E163" s="35" t="s">
        <v>31</v>
      </c>
      <c r="F163" s="36" t="n">
        <v>5.968</v>
      </c>
      <c r="G163" s="36" t="n">
        <v>14.373</v>
      </c>
      <c r="H163" s="33" t="n">
        <v>3.191</v>
      </c>
      <c r="I163" s="33" t="n">
        <v>2.43</v>
      </c>
      <c r="J163" s="36" t="n">
        <v>0.928784</v>
      </c>
      <c r="K163" s="36" t="n">
        <v>1.809</v>
      </c>
      <c r="L163" s="36" t="n">
        <v>3.104</v>
      </c>
      <c r="M163" s="36" t="n">
        <v>0.531</v>
      </c>
      <c r="N163" s="36" t="n">
        <v>0.676284126004997</v>
      </c>
      <c r="O163" s="36" t="n">
        <v>0.386441102652847</v>
      </c>
      <c r="P163" s="36" t="n">
        <v>0</v>
      </c>
      <c r="Q163" s="31" t="n">
        <v>0</v>
      </c>
      <c r="R163" s="31" t="n">
        <v>0</v>
      </c>
      <c r="S163" s="31" t="n">
        <v>0</v>
      </c>
      <c r="T163" s="31" t="n">
        <v>0</v>
      </c>
      <c r="U163" s="31" t="n">
        <v>0</v>
      </c>
      <c r="V163" s="31" t="n">
        <v>0</v>
      </c>
      <c r="W163" s="31" t="n">
        <v>0</v>
      </c>
      <c r="X163" s="31" t="n">
        <v>0</v>
      </c>
      <c r="Y163" s="36" t="n">
        <v>0.106764788849601</v>
      </c>
      <c r="Z163" s="36" t="n">
        <v>0.174609021794612</v>
      </c>
      <c r="AA163" s="36" t="n">
        <v>0.0480651551178508</v>
      </c>
      <c r="AB163" s="36" t="n">
        <v>0.0177946642483241</v>
      </c>
      <c r="AC163" s="36" t="n">
        <v>0.105709285176669</v>
      </c>
      <c r="AD163" s="31" t="n">
        <v>0.7848</v>
      </c>
      <c r="AE163" s="31" t="n">
        <v>0.745907</v>
      </c>
      <c r="AF163" s="31" t="n">
        <v>0.552126</v>
      </c>
      <c r="AG163" s="31" t="n">
        <v>0.71068</v>
      </c>
      <c r="AH163" s="31" t="n">
        <v>0.543345303925295</v>
      </c>
      <c r="AI163" s="31" t="n">
        <v>7.124</v>
      </c>
      <c r="AJ163" s="31" t="n">
        <v>12.48159</v>
      </c>
      <c r="AK163" s="31" t="n">
        <v>4.833</v>
      </c>
      <c r="AL163" s="31" t="n">
        <v>8.14619666666667</v>
      </c>
      <c r="AM163" s="31" t="n">
        <v>8.176</v>
      </c>
      <c r="AN163" s="31" t="n">
        <v>17.56862</v>
      </c>
      <c r="AO163" s="31" t="n">
        <v>6.853</v>
      </c>
      <c r="AP163" s="31" t="n">
        <v>10.8658733333333</v>
      </c>
      <c r="AQ163" s="36" t="n">
        <v>0.0119913692550665</v>
      </c>
      <c r="AR163" s="36" t="n">
        <v>0.0149110519144188</v>
      </c>
      <c r="AS163" s="36" t="n">
        <v>0.00963346437376194</v>
      </c>
      <c r="AT163" s="36" t="n">
        <v>0.0171890597732978</v>
      </c>
      <c r="AU163" s="31" t="n">
        <v>0.659315522003445</v>
      </c>
      <c r="AV163" s="36" t="n">
        <v>0.209023</v>
      </c>
      <c r="AW163" s="31" t="n">
        <v>0.061957</v>
      </c>
      <c r="AX163" s="31" t="n">
        <v>0.007959</v>
      </c>
      <c r="AY163" s="31" t="n">
        <v>0.0670983757666225</v>
      </c>
      <c r="AZ163" s="31" t="n">
        <v>0.011502</v>
      </c>
      <c r="BA163" s="33" t="n">
        <v>79.109</v>
      </c>
      <c r="BB163" s="33" t="n">
        <v>14.571</v>
      </c>
      <c r="BC163" s="33" t="n">
        <v>92.763</v>
      </c>
      <c r="BD163" s="33" t="n">
        <v>2.5</v>
      </c>
      <c r="BE163" s="33" t="n">
        <v>2</v>
      </c>
      <c r="BF163" s="33" t="n">
        <v>1</v>
      </c>
      <c r="BG163" s="33"/>
      <c r="BH163" s="33"/>
      <c r="BI163" s="29"/>
      <c r="BJ163" s="33"/>
      <c r="BK163" s="33"/>
      <c r="BL163" s="33" t="n">
        <v>5.826</v>
      </c>
      <c r="BM163" s="33" t="n">
        <v>6.625</v>
      </c>
      <c r="BN163" s="29" t="n">
        <v>37.745</v>
      </c>
      <c r="BO163" s="33" t="n">
        <v>0.464</v>
      </c>
      <c r="BP163" s="33"/>
      <c r="BQ163" s="29" t="n">
        <v>2024</v>
      </c>
      <c r="BR163" s="36" t="n">
        <v>1.15</v>
      </c>
      <c r="BS163" s="36" t="n">
        <v>0</v>
      </c>
      <c r="BT163" s="36" t="n">
        <v>0</v>
      </c>
      <c r="BU163" s="36" t="n">
        <v>0.42</v>
      </c>
      <c r="BV163" s="16" t="n">
        <f aca="false">F163*(1+N(H163)/100)*(1+N(I163)/100)^5</f>
        <v>6.94394862708412</v>
      </c>
      <c r="BW163" s="16" t="n">
        <f aca="false">IF(N(G163)&gt;0,G163,F163)</f>
        <v>14.373</v>
      </c>
      <c r="BX163" s="12" t="n">
        <f aca="false">F163/BW163</f>
        <v>0.415222987546093</v>
      </c>
      <c r="BY163" s="13" t="n">
        <f aca="false">IF(ISNUMBER(K163),1,0)</f>
        <v>1</v>
      </c>
      <c r="BZ163" s="16" t="n">
        <f aca="false">IF(BY163=0,"",N(N163)+N(O163)+N(P163))</f>
        <v>1.06272522865784</v>
      </c>
      <c r="CA163" s="37" t="n">
        <f aca="false">IF(BY163=0,"",(N(Y163)*34.2+N(Z163)*38.6)/1000)</f>
        <v>0.0103912640199283</v>
      </c>
      <c r="CB163" s="37" t="n">
        <f aca="false">IF(BY163=0,"",N(O163)*0.0036+N(R163)+N(V163)+(N(AA163)*25.3+N(AB163)*37)/1000)</f>
        <v>0.00326563897121987</v>
      </c>
      <c r="CC163" s="37" t="n">
        <f aca="false">IF(BY163=0,"",N(N163)*0.0036+N(Q163)+N(U163)+N(T163)+N(X163)+N(AC163)*38/1000)</f>
        <v>0.00645157569033141</v>
      </c>
      <c r="CD163" s="37" t="n">
        <f aca="false">IF(BY163=0,"",N(Q163)+N(R163)+N(S163)+N(T163)+N(U163)+N(V163)+N(W163)+N(X163)+(N(Y163)*34.2+N(Z163)*38.6+N(AA163)*25.3+N(AB163)*37+N(AC163)*38)/1000)</f>
        <v>0.0162826678583114</v>
      </c>
      <c r="CE163" s="16" t="n">
        <f aca="false">IF(BY163=0,"",MAX(0,N(L163)-N(K163))+MAX(0,N(M163)-N(L163)))</f>
        <v>1.295</v>
      </c>
      <c r="CF163" s="16" t="n">
        <f aca="false">IF(BY163=0,"",N(Y163)*N(AD163)+N(Z163)*N(AE163)+N(AA163)*N(AF163)+N(AB163)*N(AG163)+N(AC163)*N(AH163)+N(U163)*N(AI163)+N(V163)*N(AJ163)+N(W163)*N(AK163)+N(X163)*N(AL163)+N(Q163)*N(AM163)+N(R163)*N(AN163)+N(S163)*N(AO163)+N(T163)*N(AP163))</f>
        <v>0.31065207541356</v>
      </c>
      <c r="CG163" s="16" t="n">
        <f aca="false">IF(AND(BY163=1,N(K163)&gt;0),K163,0)</f>
        <v>1.809</v>
      </c>
      <c r="CH163" s="16" t="n">
        <f aca="false">IF(CG163&gt;0,CF163*1000/CG163,"")</f>
        <v>171.725857055589</v>
      </c>
      <c r="CI163" s="16" t="n">
        <f aca="false">IF(BY163=0,"",N(AQ163)+p_road*(N(AR163)+N(AS163)+N(AT163)))</f>
        <v>0.0119913692550665</v>
      </c>
      <c r="CJ163" s="16" t="n">
        <f aca="false">IF(CG163&gt;0,CI163*1000/CG163,"")</f>
        <v>6.62872816753259</v>
      </c>
      <c r="CK163" s="12" t="n">
        <f aca="false">IF(CH163="",1,MIN(p_idx_max,MAX(p_idx_min,CH163/p_fc_world)))</f>
        <v>1.06657157399687</v>
      </c>
      <c r="CL163" s="12" t="n">
        <f aca="false">IF(CJ163="",1,MIN(p_idx_max,MAX(p_idx_min,CJ163/p_cb_world)))</f>
        <v>0.25</v>
      </c>
      <c r="CM163" s="37" t="n">
        <f aca="false">p_b*(1-p_wb_idx+p_wb_idx*CK163)</f>
        <v>0.141854019341584</v>
      </c>
      <c r="CN163" s="37" t="n">
        <f aca="false">p_c*(1-p_wc_idx+p_wc_idx*CL163)</f>
        <v>0.03225</v>
      </c>
      <c r="CO163" s="28" t="n">
        <f aca="false">IF(N(BR163)&gt;0,(N(BS163)+N(BT163)+N(BU163))/BR163,"")</f>
        <v>0.365217391304348</v>
      </c>
      <c r="CP163" s="16" t="n">
        <f aca="false">N(BS163)+N(BT163)+N(BU163)</f>
        <v>0.42</v>
      </c>
      <c r="CQ163" s="28" t="n">
        <f aca="false">IF(CP163&gt;0,N(BS163)/CP163,"")</f>
        <v>0</v>
      </c>
      <c r="CR163" s="28" t="n">
        <f aca="false">IF(CP163&gt;0,N(BT163)/CP163,"")</f>
        <v>0</v>
      </c>
      <c r="CS163" s="28" t="n">
        <f aca="false">IF(CP163&gt;0,N(BU163)/CP163,"")</f>
        <v>1</v>
      </c>
      <c r="CT163" s="7" t="n">
        <f aca="false">1000*(p_sh_pv*p_cf_pv/p_capex_pv+(1-p_sh_pv)*p_cf_wind/p_capex_wind)*8760</f>
        <v>2301.28856624319</v>
      </c>
      <c r="CU163" s="13" t="n">
        <f aca="false">IF(AND(ISNUMBER(CO163),ISNUMBER(CQ163),BY163=1),1,0)</f>
        <v>1</v>
      </c>
      <c r="CV163" s="16" t="n">
        <f aca="false">IF(CU163=0,"",CQ163*p_hr_coal*N(AK163)+CR163*p_hr_gas*N(AO163)+CS163*p_hr_oil*N(AH163)/p_gj_l_oil)</f>
        <v>147.801183710249</v>
      </c>
      <c r="CW163" s="37" t="n">
        <f aca="false">IF(CU163=0,"",CQ163*p_hr_coal*p_ef_coal+CR163*p_hr_gas*p_ef_gas+CS163*p_hr_oil*p_ef_oil)</f>
        <v>0.8127</v>
      </c>
      <c r="CX163" s="16" t="n">
        <f aca="false">IF(CU163=0,"",CQ163*p_hr_coal*N(AW163)+CR163*p_hr_gas*N(AX163)+CS163*p_hr_oil*N(AY163)/p_gj_l_oil)</f>
        <v>18.2521488484336</v>
      </c>
      <c r="CY163" s="37" t="n">
        <f aca="false">IF(CU163=0,"",CO163*CW163)</f>
        <v>0.296812173913044</v>
      </c>
      <c r="CZ163" s="37" t="n">
        <f aca="false">IF(CU163=0,"",CT163*CO163*CV163/1000/1000-p_om_re)</f>
        <v>0.109222550558986</v>
      </c>
      <c r="DA163" s="37" t="n">
        <f aca="false">IF(CU163=0,"",CT163*CO163*CX163/1000/1000)</f>
        <v>0.0153403946180809</v>
      </c>
      <c r="DB163" s="37" t="n">
        <f aca="false">IF(CU163=0,"",CT163*CO163*CW163/1000)</f>
        <v>0.683050462147873</v>
      </c>
      <c r="DC163" s="13" t="n">
        <f aca="false">IF(AND(CU163=1,ISNUMBER(AD163),ISNUMBER(AV163)),1,0)</f>
        <v>1</v>
      </c>
      <c r="DD163" s="7" t="n">
        <f aca="false">IF(DC163=0,"",p_ev_km*p_ice_l/100*AD163-p_ev_km*p_ev_kwh*AV163+p_ev_km*p_ev_maint)</f>
        <v>498.5379</v>
      </c>
      <c r="DE163" s="37" t="n">
        <f aca="false">IF(DC163=0,"",DD163/p_ev_prem)</f>
        <v>0.09970758</v>
      </c>
      <c r="DF163" s="37" t="n">
        <f aca="false">IF(DC163=0,"",p_ev_km*p_ice_l/100*N(AZ163)/p_ev_prem)</f>
        <v>0.00258795</v>
      </c>
      <c r="DG163" s="37" t="n">
        <f aca="false">IF(DC163=0,"",1000/p_ev_prem*(p_ev_km*p_ice_l/100*p_gj_l_gso*p_ef_gso-p_ev_km*p_ev_kwh/1000*CY163))</f>
        <v>0.372984926086957</v>
      </c>
      <c r="DH163" s="11" t="str">
        <f aca="false">IFERROR(IF(INDEX(Damodaran!$D:$D,MATCH(A163,Damodaran!$A:$A,0))="","",INDEX(Damodaran!$D:$D,MATCH(A163,Damodaran!$A:$A,0))),"")</f>
        <v/>
      </c>
      <c r="DI163" s="11" t="str">
        <f aca="false">IFERROR(IF(INDEX(Damodaran!$E:$E,MATCH(A163,Damodaran!$A:$A,0))="","",INDEX(Damodaran!$E:$E,MATCH(A163,Damodaran!$A:$A,0))),"")</f>
        <v/>
      </c>
      <c r="DJ163" s="11" t="str">
        <f aca="false">IFERROR(IF(INDEX(Damodaran!$G:$G,MATCH(A163,Damodaran!$A:$A,0))="","",INDEX(Damodaran!$G:$G,MATCH(A163,Damodaran!$A:$A,0))),"")</f>
        <v/>
      </c>
      <c r="DK163" s="11" t="str">
        <f aca="false">IF(ISNUMBER(BG163),(1+BG163/100)*(1+p_infl)-1,"")</f>
        <v/>
      </c>
      <c r="DL163" s="11" t="str">
        <f aca="false">IF(ISNUMBER(BH163),BH163/100,"")</f>
        <v/>
      </c>
      <c r="DM163" s="11" t="str">
        <f aca="false">IF(COUNT(DK163,DL163)=0,"",AVERAGE(DK163,DL163))</f>
        <v/>
      </c>
      <c r="DN163" s="11" t="str">
        <f aca="false">IF(OR(DH163="",DI163=""),"",p_dv*(p_rf+DH163)*(1-IF(DJ163="",p_tax_def,DJ163))+(1-p_dv)*(p_rf+p_beta*p_erp+p_lambda*DI163))</f>
        <v/>
      </c>
      <c r="DO163" s="13" t="n">
        <f aca="false">IF(AND(ISNUMBER(DM163),ISNUMBER(DN163)),1,0)</f>
        <v>0</v>
      </c>
      <c r="DP163" s="11" t="n">
        <f aca="false">IF(DO163=1,DM163,0)</f>
        <v>0</v>
      </c>
      <c r="DQ163" s="11" t="n">
        <f aca="false">IF(DO163=1,DN163,0)</f>
        <v>0</v>
      </c>
      <c r="DR163" s="11" t="str">
        <f aca="false">IF(DN163="","",DN163+p_shift)</f>
        <v/>
      </c>
      <c r="DS163" s="11" t="n">
        <f aca="false">IF(E163="AE",p_r_ae,IF(E163="China",p_r_chn,p_r_emdc))</f>
        <v>0.105</v>
      </c>
      <c r="DT163" s="11" t="n">
        <f aca="false">IF(E163="AE",p_rh_ae,IF(E163="China",p_rh_chn,p_rh_emdc))</f>
        <v>0.15</v>
      </c>
      <c r="DU163" s="11" t="n">
        <f aca="false">IF(AND(p_use_obs=1,ISNUMBER(DM163)),DM163,IF(AND(p_use_dam=1,ISNUMBER(DR163)),DR163,DS163))</f>
        <v>0.105</v>
      </c>
      <c r="DV163" s="6" t="str">
        <f aca="false">IF(AND(p_use_obs=1,ISNUMBER(DM163)),"Observed (IRENA/Steffen)",IF(AND(p_use_dam=1,ISNUMBER(DR163)),"Damodaran (eq. 5)","Group default (IHLEG)"))</f>
        <v>Group default (IHLEG)</v>
      </c>
      <c r="DW163" s="11" t="n">
        <f aca="false">IF(p_basis=1,(1+DU163)/(1+p_infl)-1,DU163)</f>
        <v>0.105</v>
      </c>
      <c r="DX163" s="11" t="n">
        <f aca="false">DW163+(DT163-DS163)</f>
        <v>0.15</v>
      </c>
      <c r="DY163" s="28" t="n">
        <f aca="false">IF(AND(p_use_pefa=1,ISNUMBER(BD163)),p_gap_lic-(BD163-1)/3*(p_gap_lic-p_gap_ae),IF(E163="AE",p_gap_ae,IF(D163="Low income",p_gap_lic,p_gap_em)))*(1-p_reform*p_reform_close)</f>
        <v>0.265</v>
      </c>
      <c r="DZ163" s="6" t="str">
        <f aca="false">IF(AND(p_use_pefa=1,ISNUMBER(BD163)),"PEFA PI-11","Income-group default (IMF 2015)")</f>
        <v>PEFA PI-11</v>
      </c>
      <c r="EA163" s="28" t="n">
        <f aca="false">IF(E163="AE",p_ps_ae,IF(E163="China",p_ps_chn,p_ps_emdc))</f>
        <v>0.4</v>
      </c>
      <c r="EB163" s="37" t="n">
        <f aca="false">(1-EA163)+EA163/(1-DY163)</f>
        <v>1.14421768707483</v>
      </c>
      <c r="EC163" s="16" t="n">
        <f aca="false">Results_Country!F163</f>
        <v>0.33185178488736</v>
      </c>
      <c r="ED163" s="16" t="n">
        <f aca="false">IF(CH163="",0,CH163*EC163)</f>
        <v>56.9875321752088</v>
      </c>
      <c r="EE163" s="16" t="n">
        <f aca="false">IF(CJ163="",0,CJ163*EC163)</f>
        <v>2.19975527392881</v>
      </c>
      <c r="EF163" s="16" t="n">
        <f aca="false">IF(CH163="",0,EC163)</f>
        <v>0.33185178488736</v>
      </c>
    </row>
    <row r="164" customFormat="false" ht="15" hidden="false" customHeight="false" outlineLevel="0" collapsed="false">
      <c r="A164" s="35" t="s">
        <v>1085</v>
      </c>
      <c r="B164" s="35" t="s">
        <v>1086</v>
      </c>
      <c r="C164" s="35" t="s">
        <v>847</v>
      </c>
      <c r="D164" s="35" t="s">
        <v>771</v>
      </c>
      <c r="E164" s="35" t="s">
        <v>31</v>
      </c>
      <c r="F164" s="36" t="n">
        <v>4.855</v>
      </c>
      <c r="G164" s="36" t="n">
        <v>14.686</v>
      </c>
      <c r="H164" s="33" t="n">
        <v>3.613</v>
      </c>
      <c r="I164" s="33" t="n">
        <v>4.037</v>
      </c>
      <c r="J164" s="36" t="n">
        <v>1.242822</v>
      </c>
      <c r="K164" s="36" t="n">
        <v>1.326</v>
      </c>
      <c r="L164" s="36" t="n">
        <v>3.409</v>
      </c>
      <c r="M164" s="36" t="n">
        <v>3.283</v>
      </c>
      <c r="N164" s="36" t="n">
        <v>1.28558214034261</v>
      </c>
      <c r="O164" s="36" t="n">
        <v>0.555612733239181</v>
      </c>
      <c r="P164" s="36" t="n">
        <v>0</v>
      </c>
      <c r="Q164" s="31" t="n">
        <v>0</v>
      </c>
      <c r="R164" s="31" t="n">
        <v>0</v>
      </c>
      <c r="S164" s="31" t="n">
        <v>0</v>
      </c>
      <c r="T164" s="31" t="n">
        <v>0</v>
      </c>
      <c r="U164" s="31" t="n">
        <v>0</v>
      </c>
      <c r="V164" s="31" t="n">
        <v>0.00145616977605424</v>
      </c>
      <c r="W164" s="31" t="n">
        <v>0.000124801968537083</v>
      </c>
      <c r="X164" s="31" t="n">
        <v>0</v>
      </c>
      <c r="Y164" s="36" t="n">
        <v>0.17360802008473</v>
      </c>
      <c r="Z164" s="36" t="n">
        <v>0.175568472636791</v>
      </c>
      <c r="AA164" s="36" t="n">
        <v>0.0115768088324257</v>
      </c>
      <c r="AB164" s="36" t="n">
        <v>0.00883296214815788</v>
      </c>
      <c r="AC164" s="36" t="n">
        <v>0.000368657016409837</v>
      </c>
      <c r="AD164" s="31" t="n">
        <v>0.830928</v>
      </c>
      <c r="AE164" s="31" t="n">
        <v>0.793926</v>
      </c>
      <c r="AF164" s="31" t="n">
        <v>0.589194</v>
      </c>
      <c r="AG164" s="31" t="n">
        <v>0.606363</v>
      </c>
      <c r="AH164" s="31" t="n">
        <v>0.519462891908447</v>
      </c>
      <c r="AI164" s="31" t="n">
        <v>7.124</v>
      </c>
      <c r="AJ164" s="31" t="n">
        <v>14.02195</v>
      </c>
      <c r="AK164" s="31" t="n">
        <v>5.575</v>
      </c>
      <c r="AL164" s="31" t="n">
        <v>13.355147451668</v>
      </c>
      <c r="AM164" s="31" t="n">
        <v>12.412</v>
      </c>
      <c r="AN164" s="31" t="n">
        <v>23.40595</v>
      </c>
      <c r="AO164" s="31" t="n">
        <v>11.088</v>
      </c>
      <c r="AP164" s="31" t="n">
        <v>15.6353166666667</v>
      </c>
      <c r="AQ164" s="36" t="s">
        <v>844</v>
      </c>
      <c r="AR164" s="36" t="s">
        <v>844</v>
      </c>
      <c r="AS164" s="36" t="s">
        <v>844</v>
      </c>
      <c r="AT164" s="36" t="s">
        <v>844</v>
      </c>
      <c r="AU164" s="31" t="n">
        <v>0.992907301056845</v>
      </c>
      <c r="AV164" s="36" t="n">
        <v>0.200644</v>
      </c>
      <c r="AW164" s="31" t="s">
        <v>844</v>
      </c>
      <c r="AX164" s="31" t="s">
        <v>844</v>
      </c>
      <c r="AY164" s="31" t="s">
        <v>844</v>
      </c>
      <c r="AZ164" s="31" t="s">
        <v>844</v>
      </c>
      <c r="BA164" s="33" t="n">
        <v>40.095</v>
      </c>
      <c r="BB164" s="33" t="n">
        <v>9.297</v>
      </c>
      <c r="BC164" s="33" t="n">
        <v>59.819</v>
      </c>
      <c r="BD164" s="33"/>
      <c r="BE164" s="33"/>
      <c r="BF164" s="33" t="n">
        <v>0</v>
      </c>
      <c r="BG164" s="33"/>
      <c r="BH164" s="33"/>
      <c r="BI164" s="29"/>
      <c r="BJ164" s="33"/>
      <c r="BK164" s="33"/>
      <c r="BL164" s="33" t="n">
        <v>7.27</v>
      </c>
      <c r="BM164" s="33" t="n">
        <v>11.88</v>
      </c>
      <c r="BN164" s="29" t="n">
        <v>20.659</v>
      </c>
      <c r="BO164" s="33" t="n">
        <v>0.523</v>
      </c>
      <c r="BP164" s="33" t="n">
        <v>0.474</v>
      </c>
      <c r="BQ164" s="29" t="n">
        <v>2024</v>
      </c>
      <c r="BR164" s="36" t="n">
        <v>0.61</v>
      </c>
      <c r="BS164" s="36" t="n">
        <v>0.02</v>
      </c>
      <c r="BT164" s="36" t="n">
        <v>0</v>
      </c>
      <c r="BU164" s="36" t="n">
        <v>0</v>
      </c>
      <c r="BV164" s="16" t="n">
        <f aca="false">F164*(1+N(H164)/100)*(1+N(I164)/100)^5</f>
        <v>6.13115908385135</v>
      </c>
      <c r="BW164" s="16" t="n">
        <f aca="false">IF(N(G164)&gt;0,G164,F164)</f>
        <v>14.686</v>
      </c>
      <c r="BX164" s="12" t="n">
        <f aca="false">F164/BW164</f>
        <v>0.330586953561215</v>
      </c>
      <c r="BY164" s="13" t="n">
        <f aca="false">IF(ISNUMBER(K164),1,0)</f>
        <v>1</v>
      </c>
      <c r="BZ164" s="16" t="n">
        <f aca="false">IF(BY164=0,"",N(N164)+N(O164)+N(P164))</f>
        <v>1.84119487358179</v>
      </c>
      <c r="CA164" s="37" t="n">
        <f aca="false">IF(BY164=0,"",(N(Y164)*34.2+N(Z164)*38.6)/1000)</f>
        <v>0.0127143373306779</v>
      </c>
      <c r="CB164" s="37" t="n">
        <f aca="false">IF(BY164=0,"",N(O164)*0.0036+N(R164)+N(V164)+(N(AA164)*25.3+N(AB164)*37)/1000)</f>
        <v>0.0040760884786575</v>
      </c>
      <c r="CC164" s="37" t="n">
        <f aca="false">IF(BY164=0,"",N(N164)*0.0036+N(Q164)+N(U164)+N(T164)+N(X164)+N(AC164)*38/1000)</f>
        <v>0.00464210467185697</v>
      </c>
      <c r="CD164" s="37" t="n">
        <f aca="false">IF(BY164=0,"",N(Q164)+N(R164)+N(S164)+N(T164)+N(U164)+N(V164)+N(W164)+N(X164)+(N(Y164)*34.2+N(Z164)*38.6+N(AA164)*25.3+N(AB164)*37+N(AC164)*38)/1000)</f>
        <v>0.014929030904835</v>
      </c>
      <c r="CE164" s="16" t="n">
        <f aca="false">IF(BY164=0,"",MAX(0,N(L164)-N(K164))+MAX(0,N(M164)-N(L164)))</f>
        <v>2.083</v>
      </c>
      <c r="CF164" s="16" t="n">
        <f aca="false">IF(BY164=0,"",N(Y164)*N(AD164)+N(Z164)*N(AE164)+N(AA164)*N(AF164)+N(AB164)*N(AG164)+N(AC164)*N(AH164)+N(U164)*N(AI164)+N(V164)*N(AJ164)+N(W164)*N(AK164)+N(X164)*N(AL164)+N(Q164)*N(AM164)+N(R164)*N(AN164)+N(S164)*N(AO164)+N(T164)*N(AP164))</f>
        <v>0.317126722255661</v>
      </c>
      <c r="CG164" s="16" t="n">
        <f aca="false">IF(AND(BY164=1,N(K164)&gt;0),K164,0)</f>
        <v>1.326</v>
      </c>
      <c r="CH164" s="16" t="n">
        <f aca="false">IF(CG164&gt;0,CF164*1000/CG164,"")</f>
        <v>239.160424023877</v>
      </c>
      <c r="CI164" s="16" t="n">
        <f aca="false">IF(BY164=0,"",N(AQ164)+p_road*(N(AR164)+N(AS164)+N(AT164)))</f>
        <v>0</v>
      </c>
      <c r="CJ164" s="16" t="n">
        <f aca="false">IF(CG164&gt;0,CI164*1000/CG164,"")</f>
        <v>0</v>
      </c>
      <c r="CK164" s="12" t="n">
        <f aca="false">IF(CH164="",1,MIN(p_idx_max,MAX(p_idx_min,CH164/p_fc_world)))</f>
        <v>1.48540070937794</v>
      </c>
      <c r="CL164" s="12" t="n">
        <f aca="false">IF(CJ164="",1,MIN(p_idx_max,MAX(p_idx_min,CJ164/p_cb_world)))</f>
        <v>0.25</v>
      </c>
      <c r="CM164" s="37" t="n">
        <f aca="false">p_b*(1-p_wb_idx+p_wb_idx*CK164)</f>
        <v>0.197558294347266</v>
      </c>
      <c r="CN164" s="37" t="n">
        <f aca="false">p_c*(1-p_wc_idx+p_wc_idx*CL164)</f>
        <v>0.03225</v>
      </c>
      <c r="CO164" s="28" t="n">
        <f aca="false">IF(N(BR164)&gt;0,(N(BS164)+N(BT164)+N(BU164))/BR164,"")</f>
        <v>0.0327868852459016</v>
      </c>
      <c r="CP164" s="16" t="n">
        <f aca="false">N(BS164)+N(BT164)+N(BU164)</f>
        <v>0.02</v>
      </c>
      <c r="CQ164" s="28" t="n">
        <f aca="false">IF(CP164&gt;0,N(BS164)/CP164,"")</f>
        <v>1</v>
      </c>
      <c r="CR164" s="28" t="n">
        <f aca="false">IF(CP164&gt;0,N(BT164)/CP164,"")</f>
        <v>0</v>
      </c>
      <c r="CS164" s="28" t="n">
        <f aca="false">IF(CP164&gt;0,N(BU164)/CP164,"")</f>
        <v>0</v>
      </c>
      <c r="CT164" s="7" t="n">
        <f aca="false">1000*(p_sh_pv*p_cf_pv/p_capex_pv+(1-p_sh_pv)*p_cf_wind/p_capex_wind)*8760</f>
        <v>2301.28856624319</v>
      </c>
      <c r="CU164" s="13" t="n">
        <f aca="false">IF(AND(ISNUMBER(CO164),ISNUMBER(CQ164),BY164=1),1,0)</f>
        <v>1</v>
      </c>
      <c r="CV164" s="16" t="n">
        <f aca="false">IF(CU164=0,"",CQ164*p_hr_coal*N(AK164)+CR164*p_hr_gas*N(AO164)+CS164*p_hr_oil*N(AH164)/p_gj_l_oil)</f>
        <v>55.75</v>
      </c>
      <c r="CW164" s="37" t="n">
        <f aca="false">IF(CU164=0,"",CQ164*p_hr_coal*p_ef_coal+CR164*p_hr_gas*p_ef_gas+CS164*p_hr_oil*p_ef_oil)</f>
        <v>0.946</v>
      </c>
      <c r="CX164" s="16" t="n">
        <f aca="false">IF(CU164=0,"",CQ164*p_hr_coal*N(AW164)+CR164*p_hr_gas*N(AX164)+CS164*p_hr_oil*N(AY164)/p_gj_l_oil)</f>
        <v>0</v>
      </c>
      <c r="CY164" s="37" t="n">
        <f aca="false">IF(CU164=0,"",CO164*CW164)</f>
        <v>0.031016393442623</v>
      </c>
      <c r="CZ164" s="37" t="n">
        <f aca="false">IF(CU164=0,"",CT164*CO164*CV164/1000/1000-p_om_re)</f>
        <v>-0.010793546309244</v>
      </c>
      <c r="DA164" s="37" t="n">
        <f aca="false">IF(CU164=0,"",CT164*CO164*CX164/1000/1000)</f>
        <v>0</v>
      </c>
      <c r="DB164" s="37" t="n">
        <f aca="false">IF(CU164=0,"",CT164*CO164*CW164/1000)</f>
        <v>0.0713776715956086</v>
      </c>
      <c r="DC164" s="13" t="n">
        <f aca="false">IF(AND(CU164=1,ISNUMBER(AD164),ISNUMBER(AV164)),1,0)</f>
        <v>1</v>
      </c>
      <c r="DD164" s="7" t="n">
        <f aca="false">IF(DC164=0,"",p_ev_km*p_ice_l/100*AD164-p_ev_km*p_ev_kwh*AV164+p_ev_km*p_ev_maint)</f>
        <v>573.0552</v>
      </c>
      <c r="DE164" s="37" t="n">
        <f aca="false">IF(DC164=0,"",DD164/p_ev_prem)</f>
        <v>0.11461104</v>
      </c>
      <c r="DF164" s="37" t="n">
        <f aca="false">IF(DC164=0,"",p_ev_km*p_ice_l/100*N(AZ164)/p_ev_prem)</f>
        <v>0</v>
      </c>
      <c r="DG164" s="37" t="n">
        <f aca="false">IF(DC164=0,"",1000/p_ev_prem*(p_ev_km*p_ice_l/100*p_gj_l_gso*p_ef_gso-p_ev_km*p_ev_kwh/1000*CY164))</f>
        <v>0.516514647540984</v>
      </c>
      <c r="DH164" s="11" t="str">
        <f aca="false">IFERROR(IF(INDEX(Damodaran!$D:$D,MATCH(A164,Damodaran!$A:$A,0))="","",INDEX(Damodaran!$D:$D,MATCH(A164,Damodaran!$A:$A,0))),"")</f>
        <v/>
      </c>
      <c r="DI164" s="11" t="str">
        <f aca="false">IFERROR(IF(INDEX(Damodaran!$E:$E,MATCH(A164,Damodaran!$A:$A,0))="","",INDEX(Damodaran!$E:$E,MATCH(A164,Damodaran!$A:$A,0))),"")</f>
        <v/>
      </c>
      <c r="DJ164" s="11" t="str">
        <f aca="false">IFERROR(IF(INDEX(Damodaran!$G:$G,MATCH(A164,Damodaran!$A:$A,0))="","",INDEX(Damodaran!$G:$G,MATCH(A164,Damodaran!$A:$A,0))),"")</f>
        <v/>
      </c>
      <c r="DK164" s="11" t="str">
        <f aca="false">IF(ISNUMBER(BG164),(1+BG164/100)*(1+p_infl)-1,"")</f>
        <v/>
      </c>
      <c r="DL164" s="11" t="str">
        <f aca="false">IF(ISNUMBER(BH164),BH164/100,"")</f>
        <v/>
      </c>
      <c r="DM164" s="11" t="str">
        <f aca="false">IF(COUNT(DK164,DL164)=0,"",AVERAGE(DK164,DL164))</f>
        <v/>
      </c>
      <c r="DN164" s="11" t="str">
        <f aca="false">IF(OR(DH164="",DI164=""),"",p_dv*(p_rf+DH164)*(1-IF(DJ164="",p_tax_def,DJ164))+(1-p_dv)*(p_rf+p_beta*p_erp+p_lambda*DI164))</f>
        <v/>
      </c>
      <c r="DO164" s="13" t="n">
        <f aca="false">IF(AND(ISNUMBER(DM164),ISNUMBER(DN164)),1,0)</f>
        <v>0</v>
      </c>
      <c r="DP164" s="11" t="n">
        <f aca="false">IF(DO164=1,DM164,0)</f>
        <v>0</v>
      </c>
      <c r="DQ164" s="11" t="n">
        <f aca="false">IF(DO164=1,DN164,0)</f>
        <v>0</v>
      </c>
      <c r="DR164" s="11" t="str">
        <f aca="false">IF(DN164="","",DN164+p_shift)</f>
        <v/>
      </c>
      <c r="DS164" s="11" t="n">
        <f aca="false">IF(E164="AE",p_r_ae,IF(E164="China",p_r_chn,p_r_emdc))</f>
        <v>0.105</v>
      </c>
      <c r="DT164" s="11" t="n">
        <f aca="false">IF(E164="AE",p_rh_ae,IF(E164="China",p_rh_chn,p_rh_emdc))</f>
        <v>0.15</v>
      </c>
      <c r="DU164" s="11" t="n">
        <f aca="false">IF(AND(p_use_obs=1,ISNUMBER(DM164)),DM164,IF(AND(p_use_dam=1,ISNUMBER(DR164)),DR164,DS164))</f>
        <v>0.105</v>
      </c>
      <c r="DV164" s="6" t="str">
        <f aca="false">IF(AND(p_use_obs=1,ISNUMBER(DM164)),"Observed (IRENA/Steffen)",IF(AND(p_use_dam=1,ISNUMBER(DR164)),"Damodaran (eq. 5)","Group default (IHLEG)"))</f>
        <v>Group default (IHLEG)</v>
      </c>
      <c r="DW164" s="11" t="n">
        <f aca="false">IF(p_basis=1,(1+DU164)/(1+p_infl)-1,DU164)</f>
        <v>0.105</v>
      </c>
      <c r="DX164" s="11" t="n">
        <f aca="false">DW164+(DT164-DS164)</f>
        <v>0.15</v>
      </c>
      <c r="DY164" s="28" t="n">
        <f aca="false">IF(AND(p_use_pefa=1,ISNUMBER(BD164)),p_gap_lic-(BD164-1)/3*(p_gap_lic-p_gap_ae),IF(E164="AE",p_gap_ae,IF(D164="Low income",p_gap_lic,p_gap_em)))*(1-p_reform*p_reform_close)</f>
        <v>0.27</v>
      </c>
      <c r="DZ164" s="6" t="str">
        <f aca="false">IF(AND(p_use_pefa=1,ISNUMBER(BD164)),"PEFA PI-11","Income-group default (IMF 2015)")</f>
        <v>Income-group default (IMF 2015)</v>
      </c>
      <c r="EA164" s="28" t="n">
        <f aca="false">IF(E164="AE",p_ps_ae,IF(E164="China",p_ps_chn,p_ps_emdc))</f>
        <v>0.4</v>
      </c>
      <c r="EB164" s="37" t="n">
        <f aca="false">(1-EA164)+EA164/(1-DY164)</f>
        <v>1.14794520547945</v>
      </c>
      <c r="EC164" s="16" t="n">
        <f aca="false">Results_Country!F164</f>
        <v>0.359551108425728</v>
      </c>
      <c r="ED164" s="16" t="n">
        <f aca="false">IF(CH164="",0,CH164*EC164)</f>
        <v>85.9903955493522</v>
      </c>
      <c r="EE164" s="16" t="n">
        <f aca="false">IF(CJ164="",0,CJ164*EC164)</f>
        <v>0</v>
      </c>
      <c r="EF164" s="16" t="n">
        <f aca="false">IF(CH164="",0,EC164)</f>
        <v>0.359551108425728</v>
      </c>
    </row>
    <row r="165" customFormat="false" ht="15" hidden="false" customHeight="false" outlineLevel="0" collapsed="false">
      <c r="A165" s="35" t="s">
        <v>1087</v>
      </c>
      <c r="B165" s="35" t="s">
        <v>1088</v>
      </c>
      <c r="C165" s="35" t="s">
        <v>847</v>
      </c>
      <c r="D165" s="35" t="s">
        <v>888</v>
      </c>
      <c r="E165" s="35" t="s">
        <v>31</v>
      </c>
      <c r="F165" s="36" t="n">
        <v>4.838</v>
      </c>
      <c r="G165" s="36" t="n">
        <v>13.463</v>
      </c>
      <c r="H165" s="33" t="n">
        <v>3.904</v>
      </c>
      <c r="I165" s="33" t="n">
        <v>3.819</v>
      </c>
      <c r="J165" s="36" t="n">
        <v>14.047786</v>
      </c>
      <c r="K165" s="36" t="n">
        <v>0.926</v>
      </c>
      <c r="L165" s="36" t="n">
        <v>7.661</v>
      </c>
      <c r="M165" s="36" t="n">
        <v>10.53</v>
      </c>
      <c r="N165" s="36" t="n">
        <v>0.190641743391486</v>
      </c>
      <c r="O165" s="36" t="n">
        <v>0.175547174599653</v>
      </c>
      <c r="P165" s="36" t="n">
        <v>0</v>
      </c>
      <c r="Q165" s="31" t="n">
        <v>0</v>
      </c>
      <c r="R165" s="31" t="n">
        <v>0</v>
      </c>
      <c r="S165" s="31" t="n">
        <v>0</v>
      </c>
      <c r="T165" s="31" t="n">
        <v>0</v>
      </c>
      <c r="U165" s="31" t="n">
        <v>0.000334248607584049</v>
      </c>
      <c r="V165" s="31" t="n">
        <v>0.000130012535497238</v>
      </c>
      <c r="W165" s="31" t="n">
        <v>0</v>
      </c>
      <c r="X165" s="31" t="n">
        <v>0</v>
      </c>
      <c r="Y165" s="36" t="n">
        <v>0.142102494300332</v>
      </c>
      <c r="Z165" s="36" t="n">
        <v>0.109553521335543</v>
      </c>
      <c r="AA165" s="36" t="n">
        <v>3.75660535859997E-006</v>
      </c>
      <c r="AB165" s="36" t="n">
        <v>2.29709262112567E-006</v>
      </c>
      <c r="AC165" s="36" t="n">
        <v>0.0340404221464126</v>
      </c>
      <c r="AD165" s="31" t="n">
        <v>0.85432</v>
      </c>
      <c r="AE165" s="31" t="n">
        <v>0.882972</v>
      </c>
      <c r="AF165" s="31" t="n">
        <v>0.60534</v>
      </c>
      <c r="AG165" s="31" t="n">
        <v>0.69738</v>
      </c>
      <c r="AH165" s="31" t="n">
        <v>0.519462891908447</v>
      </c>
      <c r="AI165" s="31" t="n">
        <v>7.124</v>
      </c>
      <c r="AJ165" s="31" t="n">
        <v>14.38774</v>
      </c>
      <c r="AK165" s="31" t="n">
        <v>5.575</v>
      </c>
      <c r="AL165" s="31" t="n">
        <v>9.15815097013053</v>
      </c>
      <c r="AM165" s="31" t="n">
        <v>12.794</v>
      </c>
      <c r="AN165" s="31" t="n">
        <v>24.46848</v>
      </c>
      <c r="AO165" s="31" t="n">
        <v>11.471</v>
      </c>
      <c r="AP165" s="31" t="n">
        <v>16.2444933333333</v>
      </c>
      <c r="AQ165" s="36" t="n">
        <v>2.1807445845026E-005</v>
      </c>
      <c r="AR165" s="36" t="n">
        <v>0</v>
      </c>
      <c r="AS165" s="36" t="n">
        <v>0</v>
      </c>
      <c r="AT165" s="36" t="n">
        <v>0</v>
      </c>
      <c r="AU165" s="31" t="n">
        <v>0.642878072819804</v>
      </c>
      <c r="AV165" s="36" t="n">
        <v>0.264552</v>
      </c>
      <c r="AW165" s="31" t="n">
        <v>0.018305</v>
      </c>
      <c r="AX165" s="31" t="n">
        <v>3.9E-005</v>
      </c>
      <c r="AY165" s="31" t="n">
        <v>2.23770583724147E-005</v>
      </c>
      <c r="AZ165" s="31" t="n">
        <v>0.001029</v>
      </c>
      <c r="BA165" s="33" t="n">
        <v>53.057</v>
      </c>
      <c r="BB165" s="33" t="n">
        <v>9.091</v>
      </c>
      <c r="BC165" s="33" t="n">
        <v>80.264</v>
      </c>
      <c r="BD165" s="33" t="n">
        <v>1</v>
      </c>
      <c r="BE165" s="33" t="n">
        <v>1</v>
      </c>
      <c r="BF165" s="33" t="n">
        <v>0</v>
      </c>
      <c r="BG165" s="33"/>
      <c r="BH165" s="33"/>
      <c r="BI165" s="29"/>
      <c r="BJ165" s="33"/>
      <c r="BK165" s="33"/>
      <c r="BL165" s="33"/>
      <c r="BM165" s="33"/>
      <c r="BN165" s="29" t="n">
        <v>5.25</v>
      </c>
      <c r="BO165" s="33" t="n">
        <v>5.86</v>
      </c>
      <c r="BP165" s="33" t="n">
        <v>0.122</v>
      </c>
      <c r="BQ165" s="29" t="n">
        <v>2024</v>
      </c>
      <c r="BR165" s="36" t="n">
        <v>0.49</v>
      </c>
      <c r="BS165" s="36" t="n">
        <v>0</v>
      </c>
      <c r="BT165" s="36" t="n">
        <v>0</v>
      </c>
      <c r="BU165" s="36" t="n">
        <v>0.12</v>
      </c>
      <c r="BV165" s="16" t="n">
        <f aca="false">F165*(1+N(H165)/100)*(1+N(I165)/100)^5</f>
        <v>6.06292698116119</v>
      </c>
      <c r="BW165" s="16" t="n">
        <f aca="false">IF(N(G165)&gt;0,G165,F165)</f>
        <v>13.463</v>
      </c>
      <c r="BX165" s="12" t="n">
        <f aca="false">F165/BW165</f>
        <v>0.359355269999257</v>
      </c>
      <c r="BY165" s="13" t="n">
        <f aca="false">IF(ISNUMBER(K165),1,0)</f>
        <v>1</v>
      </c>
      <c r="BZ165" s="16" t="n">
        <f aca="false">IF(BY165=0,"",N(N165)+N(O165)+N(P165))</f>
        <v>0.366188917991138</v>
      </c>
      <c r="CA165" s="37" t="n">
        <f aca="false">IF(BY165=0,"",(N(Y165)*34.2+N(Z165)*38.6)/1000)</f>
        <v>0.00908867122862329</v>
      </c>
      <c r="CB165" s="37" t="n">
        <f aca="false">IF(BY165=0,"",N(O165)*0.0036+N(R165)+N(V165)+(N(AA165)*25.3+N(AB165)*37)/1000)</f>
        <v>0.000762162398598542</v>
      </c>
      <c r="CC165" s="37" t="n">
        <f aca="false">IF(BY165=0,"",N(N165)*0.0036+N(Q165)+N(U165)+N(T165)+N(X165)+N(AC165)*38/1000)</f>
        <v>0.00231409492535708</v>
      </c>
      <c r="CD165" s="37" t="n">
        <f aca="false">IF(BY165=0,"",N(Q165)+N(R165)+N(S165)+N(T165)+N(U165)+N(V165)+N(W165)+N(X165)+(N(Y165)*34.2+N(Z165)*38.6+N(AA165)*25.3+N(AB165)*37+N(AC165)*38)/1000)</f>
        <v>0.0108466484478108</v>
      </c>
      <c r="CE165" s="16" t="n">
        <f aca="false">IF(BY165=0,"",MAX(0,N(L165)-N(K165))+MAX(0,N(M165)-N(L165)))</f>
        <v>9.604</v>
      </c>
      <c r="CF165" s="16" t="n">
        <f aca="false">IF(BY165=0,"",N(Y165)*N(AD165)+N(Z165)*N(AE165)+N(AA165)*N(AF165)+N(AB165)*N(AG165)+N(AC165)*N(AH165)+N(U165)*N(AI165)+N(V165)*N(AJ165)+N(W165)*N(AK165)+N(X165)*N(AL165)+N(Q165)*N(AM165)+N(R165)*N(AN165)+N(S165)*N(AO165)+N(T165)*N(AP165))</f>
        <v>0.24007208050915</v>
      </c>
      <c r="CG165" s="16" t="n">
        <f aca="false">IF(AND(BY165=1,N(K165)&gt;0),K165,0)</f>
        <v>0.926</v>
      </c>
      <c r="CH165" s="16" t="n">
        <f aca="false">IF(CG165&gt;0,CF165*1000/CG165,"")</f>
        <v>259.257106381371</v>
      </c>
      <c r="CI165" s="16" t="n">
        <f aca="false">IF(BY165=0,"",N(AQ165)+p_road*(N(AR165)+N(AS165)+N(AT165)))</f>
        <v>2.1807445845026E-005</v>
      </c>
      <c r="CJ165" s="16" t="n">
        <f aca="false">IF(CG165&gt;0,CI165*1000/CG165,"")</f>
        <v>0.0235501575000281</v>
      </c>
      <c r="CK165" s="12" t="n">
        <f aca="false">IF(CH165="",1,MIN(p_idx_max,MAX(p_idx_min,CH165/p_fc_world)))</f>
        <v>1.61021912928082</v>
      </c>
      <c r="CL165" s="12" t="n">
        <f aca="false">IF(CJ165="",1,MIN(p_idx_max,MAX(p_idx_min,CJ165/p_cb_world)))</f>
        <v>0.25</v>
      </c>
      <c r="CM165" s="37" t="n">
        <f aca="false">p_b*(1-p_wb_idx+p_wb_idx*CK165)</f>
        <v>0.214159144194349</v>
      </c>
      <c r="CN165" s="37" t="n">
        <f aca="false">p_c*(1-p_wc_idx+p_wc_idx*CL165)</f>
        <v>0.03225</v>
      </c>
      <c r="CO165" s="28" t="n">
        <f aca="false">IF(N(BR165)&gt;0,(N(BS165)+N(BT165)+N(BU165))/BR165,"")</f>
        <v>0.244897959183673</v>
      </c>
      <c r="CP165" s="16" t="n">
        <f aca="false">N(BS165)+N(BT165)+N(BU165)</f>
        <v>0.12</v>
      </c>
      <c r="CQ165" s="28" t="n">
        <f aca="false">IF(CP165&gt;0,N(BS165)/CP165,"")</f>
        <v>0</v>
      </c>
      <c r="CR165" s="28" t="n">
        <f aca="false">IF(CP165&gt;0,N(BT165)/CP165,"")</f>
        <v>0</v>
      </c>
      <c r="CS165" s="28" t="n">
        <f aca="false">IF(CP165&gt;0,N(BU165)/CP165,"")</f>
        <v>1</v>
      </c>
      <c r="CT165" s="7" t="n">
        <f aca="false">1000*(p_sh_pv*p_cf_pv/p_capex_pv+(1-p_sh_pv)*p_cf_wind/p_capex_wind)*8760</f>
        <v>2301.28856624319</v>
      </c>
      <c r="CU165" s="13" t="n">
        <f aca="false">IF(AND(ISNUMBER(CO165),ISNUMBER(CQ165),BY165=1),1,0)</f>
        <v>1</v>
      </c>
      <c r="CV165" s="16" t="n">
        <f aca="false">IF(CU165=0,"",CQ165*p_hr_coal*N(AK165)+CR165*p_hr_gas*N(AO165)+CS165*p_hr_oil*N(AH165)/p_gj_l_oil)</f>
        <v>141.304672669396</v>
      </c>
      <c r="CW165" s="37" t="n">
        <f aca="false">IF(CU165=0,"",CQ165*p_hr_coal*p_ef_coal+CR165*p_hr_gas*p_ef_gas+CS165*p_hr_oil*p_ef_oil)</f>
        <v>0.8127</v>
      </c>
      <c r="CX165" s="16" t="n">
        <f aca="false">IF(CU165=0,"",CQ165*p_hr_coal*N(AW165)+CR165*p_hr_gas*N(AX165)+CS165*p_hr_oil*N(AY165)/p_gj_l_oil)</f>
        <v>0.00608702365052732</v>
      </c>
      <c r="CY165" s="37" t="n">
        <f aca="false">IF(CU165=0,"",CO165*CW165)</f>
        <v>0.199028571428571</v>
      </c>
      <c r="CZ165" s="37" t="n">
        <f aca="false">IF(CU165=0,"",CT165*CO165*CV165/1000/1000-p_om_re)</f>
        <v>0.0646366108336698</v>
      </c>
      <c r="DA165" s="37" t="n">
        <f aca="false">IF(CU165=0,"",CT165*CO165*CX165/1000/1000)</f>
        <v>3.43053010516174E-006</v>
      </c>
      <c r="DB165" s="37" t="n">
        <f aca="false">IF(CU165=0,"",CT165*CO165*CW165/1000)</f>
        <v>0.458022175784288</v>
      </c>
      <c r="DC165" s="13" t="n">
        <f aca="false">IF(AND(CU165=1,ISNUMBER(AD165),ISNUMBER(AV165)),1,0)</f>
        <v>1</v>
      </c>
      <c r="DD165" s="7" t="n">
        <f aca="false">IF(DC165=0,"",p_ev_km*p_ice_l/100*AD165-p_ev_km*p_ev_kwh*AV165+p_ev_km*p_ev_maint)</f>
        <v>426.8196</v>
      </c>
      <c r="DE165" s="37" t="n">
        <f aca="false">IF(DC165=0,"",DD165/p_ev_prem)</f>
        <v>0.08536392</v>
      </c>
      <c r="DF165" s="37" t="n">
        <f aca="false">IF(DC165=0,"",p_ev_km*p_ice_l/100*N(AZ165)/p_ev_prem)</f>
        <v>0.000231525</v>
      </c>
      <c r="DG165" s="37" t="n">
        <f aca="false">IF(DC165=0,"",1000/p_ev_prem*(p_ev_km*p_ice_l/100*p_gj_l_gso*p_ef_gso-p_ev_km*p_ev_kwh/1000*CY165))</f>
        <v>0.425788071428571</v>
      </c>
      <c r="DH165" s="11" t="str">
        <f aca="false">IFERROR(IF(INDEX(Damodaran!$D:$D,MATCH(A165,Damodaran!$A:$A,0))="","",INDEX(Damodaran!$D:$D,MATCH(A165,Damodaran!$A:$A,0))),"")</f>
        <v/>
      </c>
      <c r="DI165" s="11" t="str">
        <f aca="false">IFERROR(IF(INDEX(Damodaran!$E:$E,MATCH(A165,Damodaran!$A:$A,0))="","",INDEX(Damodaran!$E:$E,MATCH(A165,Damodaran!$A:$A,0))),"")</f>
        <v/>
      </c>
      <c r="DJ165" s="11" t="str">
        <f aca="false">IFERROR(IF(INDEX(Damodaran!$G:$G,MATCH(A165,Damodaran!$A:$A,0))="","",INDEX(Damodaran!$G:$G,MATCH(A165,Damodaran!$A:$A,0))),"")</f>
        <v/>
      </c>
      <c r="DK165" s="11" t="str">
        <f aca="false">IF(ISNUMBER(BG165),(1+BG165/100)*(1+p_infl)-1,"")</f>
        <v/>
      </c>
      <c r="DL165" s="11" t="str">
        <f aca="false">IF(ISNUMBER(BH165),BH165/100,"")</f>
        <v/>
      </c>
      <c r="DM165" s="11" t="str">
        <f aca="false">IF(COUNT(DK165,DL165)=0,"",AVERAGE(DK165,DL165))</f>
        <v/>
      </c>
      <c r="DN165" s="11" t="str">
        <f aca="false">IF(OR(DH165="",DI165=""),"",p_dv*(p_rf+DH165)*(1-IF(DJ165="",p_tax_def,DJ165))+(1-p_dv)*(p_rf+p_beta*p_erp+p_lambda*DI165))</f>
        <v/>
      </c>
      <c r="DO165" s="13" t="n">
        <f aca="false">IF(AND(ISNUMBER(DM165),ISNUMBER(DN165)),1,0)</f>
        <v>0</v>
      </c>
      <c r="DP165" s="11" t="n">
        <f aca="false">IF(DO165=1,DM165,0)</f>
        <v>0</v>
      </c>
      <c r="DQ165" s="11" t="n">
        <f aca="false">IF(DO165=1,DN165,0)</f>
        <v>0</v>
      </c>
      <c r="DR165" s="11" t="str">
        <f aca="false">IF(DN165="","",DN165+p_shift)</f>
        <v/>
      </c>
      <c r="DS165" s="11" t="n">
        <f aca="false">IF(E165="AE",p_r_ae,IF(E165="China",p_r_chn,p_r_emdc))</f>
        <v>0.105</v>
      </c>
      <c r="DT165" s="11" t="n">
        <f aca="false">IF(E165="AE",p_rh_ae,IF(E165="China",p_rh_chn,p_rh_emdc))</f>
        <v>0.15</v>
      </c>
      <c r="DU165" s="11" t="n">
        <f aca="false">IF(AND(p_use_obs=1,ISNUMBER(DM165)),DM165,IF(AND(p_use_dam=1,ISNUMBER(DR165)),DR165,DS165))</f>
        <v>0.105</v>
      </c>
      <c r="DV165" s="6" t="str">
        <f aca="false">IF(AND(p_use_obs=1,ISNUMBER(DM165)),"Observed (IRENA/Steffen)",IF(AND(p_use_dam=1,ISNUMBER(DR165)),"Damodaran (eq. 5)","Group default (IHLEG)"))</f>
        <v>Group default (IHLEG)</v>
      </c>
      <c r="DW165" s="11" t="n">
        <f aca="false">IF(p_basis=1,(1+DU165)/(1+p_infl)-1,DU165)</f>
        <v>0.105</v>
      </c>
      <c r="DX165" s="11" t="n">
        <f aca="false">DW165+(DT165-DS165)</f>
        <v>0.15</v>
      </c>
      <c r="DY165" s="28" t="n">
        <f aca="false">IF(AND(p_use_pefa=1,ISNUMBER(BD165)),p_gap_lic-(BD165-1)/3*(p_gap_lic-p_gap_ae),IF(E165="AE",p_gap_ae,IF(D165="Low income",p_gap_lic,p_gap_em)))*(1-p_reform*p_reform_close)</f>
        <v>0.4</v>
      </c>
      <c r="DZ165" s="6" t="str">
        <f aca="false">IF(AND(p_use_pefa=1,ISNUMBER(BD165)),"PEFA PI-11","Income-group default (IMF 2015)")</f>
        <v>PEFA PI-11</v>
      </c>
      <c r="EA165" s="28" t="n">
        <f aca="false">IF(E165="AE",p_ps_ae,IF(E165="China",p_ps_chn,p_ps_emdc))</f>
        <v>0.4</v>
      </c>
      <c r="EB165" s="37" t="n">
        <f aca="false">(1-EA165)+EA165/(1-DY165)</f>
        <v>1.26666666666667</v>
      </c>
      <c r="EC165" s="16" t="n">
        <f aca="false">Results_Country!F165</f>
        <v>0.364931329000722</v>
      </c>
      <c r="ED165" s="16" t="n">
        <f aca="false">IF(CH165="",0,CH165*EC165)</f>
        <v>94.6110403846353</v>
      </c>
      <c r="EE165" s="16" t="n">
        <f aca="false">IF(CJ165="",0,CJ165*EC165)</f>
        <v>0.00859419027466156</v>
      </c>
      <c r="EF165" s="16" t="n">
        <f aca="false">IF(CH165="",0,EC165)</f>
        <v>0.364931329000722</v>
      </c>
    </row>
    <row r="166" customFormat="false" ht="15" hidden="false" customHeight="false" outlineLevel="0" collapsed="false">
      <c r="A166" s="35" t="s">
        <v>1089</v>
      </c>
      <c r="B166" s="35" t="s">
        <v>1090</v>
      </c>
      <c r="C166" s="35" t="s">
        <v>847</v>
      </c>
      <c r="D166" s="35" t="s">
        <v>888</v>
      </c>
      <c r="E166" s="35" t="s">
        <v>31</v>
      </c>
      <c r="F166" s="36" t="n">
        <v>4.778</v>
      </c>
      <c r="G166" s="36" t="n">
        <v>10.492</v>
      </c>
      <c r="H166" s="33" t="n">
        <v>5.14</v>
      </c>
      <c r="I166" s="33" t="n">
        <v>5.111</v>
      </c>
      <c r="J166" s="36" t="n">
        <v>5.612817</v>
      </c>
      <c r="K166" s="36" t="n">
        <v>1.724</v>
      </c>
      <c r="L166" s="36" t="n">
        <v>5.497</v>
      </c>
      <c r="M166" s="36" t="n">
        <v>18.246</v>
      </c>
      <c r="N166" s="36" t="n">
        <v>0</v>
      </c>
      <c r="O166" s="36" t="n">
        <v>0.37789518927977</v>
      </c>
      <c r="P166" s="36" t="n">
        <v>0</v>
      </c>
      <c r="Q166" s="31" t="n">
        <v>0</v>
      </c>
      <c r="R166" s="31" t="n">
        <v>0</v>
      </c>
      <c r="S166" s="31" t="n">
        <v>0</v>
      </c>
      <c r="T166" s="31" t="n">
        <v>0</v>
      </c>
      <c r="U166" s="31" t="n">
        <v>0</v>
      </c>
      <c r="V166" s="31" t="n">
        <v>0</v>
      </c>
      <c r="W166" s="31" t="n">
        <v>0</v>
      </c>
      <c r="X166" s="31" t="n">
        <v>0</v>
      </c>
      <c r="Y166" s="36" t="n">
        <v>0.0948217297563064</v>
      </c>
      <c r="Z166" s="36" t="n">
        <v>0.0657336782111311</v>
      </c>
      <c r="AA166" s="36" t="n">
        <v>1.62531055900618E-006</v>
      </c>
      <c r="AB166" s="36" t="n">
        <v>0.00834742701309584</v>
      </c>
      <c r="AC166" s="36" t="n">
        <v>0.0815311181764506</v>
      </c>
      <c r="AD166" s="31" t="n">
        <v>0.7964</v>
      </c>
      <c r="AE166" s="31" t="n">
        <v>0.762883</v>
      </c>
      <c r="AF166" s="31" t="n">
        <v>0.513</v>
      </c>
      <c r="AG166" s="31" t="n">
        <v>0.591</v>
      </c>
      <c r="AH166" s="31" t="n">
        <v>0.571409159571988</v>
      </c>
      <c r="AI166" s="31" t="n">
        <v>7.124</v>
      </c>
      <c r="AJ166" s="31" t="n">
        <v>13.4123</v>
      </c>
      <c r="AK166" s="31" t="n">
        <v>5.575</v>
      </c>
      <c r="AL166" s="31" t="n">
        <v>8.70376666666667</v>
      </c>
      <c r="AM166" s="31" t="n">
        <v>12.815</v>
      </c>
      <c r="AN166" s="31" t="n">
        <v>22.8327</v>
      </c>
      <c r="AO166" s="31" t="n">
        <v>11.492</v>
      </c>
      <c r="AP166" s="31" t="n">
        <v>15.7132333333333</v>
      </c>
      <c r="AQ166" s="36" t="n">
        <v>5.06875477261344E-005</v>
      </c>
      <c r="AR166" s="36" t="n">
        <v>0.00263594165677289</v>
      </c>
      <c r="AS166" s="36" t="n">
        <v>0.0205966274503658</v>
      </c>
      <c r="AT166" s="36" t="n">
        <v>0</v>
      </c>
      <c r="AU166" s="31" t="n">
        <v>0.529067729350488</v>
      </c>
      <c r="AV166" s="36" t="n">
        <v>0.339835</v>
      </c>
      <c r="AW166" s="31" t="n">
        <v>0.019383</v>
      </c>
      <c r="AX166" s="31" t="n">
        <v>7.2E-005</v>
      </c>
      <c r="AY166" s="31" t="n">
        <v>0.00407982597762961</v>
      </c>
      <c r="AZ166" s="31" t="n">
        <v>0.000535</v>
      </c>
      <c r="BA166" s="33" t="n">
        <v>56.368</v>
      </c>
      <c r="BB166" s="33" t="n">
        <v>4.595</v>
      </c>
      <c r="BC166" s="33" t="n">
        <v>66.993</v>
      </c>
      <c r="BD166" s="33" t="n">
        <v>1.5</v>
      </c>
      <c r="BE166" s="33" t="n">
        <v>1</v>
      </c>
      <c r="BF166" s="33" t="n">
        <v>0</v>
      </c>
      <c r="BG166" s="33"/>
      <c r="BH166" s="33"/>
      <c r="BI166" s="29"/>
      <c r="BJ166" s="33"/>
      <c r="BK166" s="33"/>
      <c r="BL166" s="33" t="n">
        <v>2.184</v>
      </c>
      <c r="BM166" s="33" t="n">
        <v>4.02</v>
      </c>
      <c r="BN166" s="29" t="n">
        <v>34.99</v>
      </c>
      <c r="BO166" s="33" t="n">
        <v>1.764</v>
      </c>
      <c r="BP166" s="33"/>
      <c r="BQ166" s="29" t="n">
        <v>2024</v>
      </c>
      <c r="BR166" s="36" t="n">
        <v>0.57</v>
      </c>
      <c r="BS166" s="36" t="n">
        <v>0</v>
      </c>
      <c r="BT166" s="36" t="n">
        <v>0</v>
      </c>
      <c r="BU166" s="36" t="n">
        <v>0.26</v>
      </c>
      <c r="BV166" s="16" t="n">
        <f aca="false">F166*(1+N(H166)/100)*(1+N(I166)/100)^5</f>
        <v>6.44547543385238</v>
      </c>
      <c r="BW166" s="16" t="n">
        <f aca="false">IF(N(G166)&gt;0,G166,F166)</f>
        <v>10.492</v>
      </c>
      <c r="BX166" s="12" t="n">
        <f aca="false">F166/BW166</f>
        <v>0.455394586351506</v>
      </c>
      <c r="BY166" s="13" t="n">
        <f aca="false">IF(ISNUMBER(K166),1,0)</f>
        <v>1</v>
      </c>
      <c r="BZ166" s="16" t="n">
        <f aca="false">IF(BY166=0,"",N(N166)+N(O166)+N(P166))</f>
        <v>0.37789518927977</v>
      </c>
      <c r="CA166" s="37" t="n">
        <f aca="false">IF(BY166=0,"",(N(Y166)*34.2+N(Z166)*38.6)/1000)</f>
        <v>0.00578022313661534</v>
      </c>
      <c r="CB166" s="37" t="n">
        <f aca="false">IF(BY166=0,"",N(O166)*0.0036+N(R166)+N(V166)+(N(AA166)*25.3+N(AB166)*37)/1000)</f>
        <v>0.00166931860124886</v>
      </c>
      <c r="CC166" s="37" t="n">
        <f aca="false">IF(BY166=0,"",N(N166)*0.0036+N(Q166)+N(U166)+N(T166)+N(X166)+N(AC166)*38/1000)</f>
        <v>0.00309818249070512</v>
      </c>
      <c r="CD166" s="37" t="n">
        <f aca="false">IF(BY166=0,"",N(Q166)+N(R166)+N(S166)+N(T166)+N(U166)+N(V166)+N(W166)+N(X166)+(N(Y166)*34.2+N(Z166)*38.6+N(AA166)*25.3+N(AB166)*37+N(AC166)*38)/1000)</f>
        <v>0.00918730154716215</v>
      </c>
      <c r="CE166" s="16" t="n">
        <f aca="false">IF(BY166=0,"",MAX(0,N(L166)-N(K166))+MAX(0,N(M166)-N(L166)))</f>
        <v>16.522</v>
      </c>
      <c r="CF166" s="16" t="n">
        <f aca="false">IF(BY166=0,"",N(Y166)*N(AD166)+N(Z166)*N(AE166)+N(AA166)*N(AF166)+N(AB166)*N(AG166)+N(AC166)*N(AH166)+N(U166)*N(AI166)+N(V166)*N(AJ166)+N(W166)*N(AK166)+N(X166)*N(AL166)+N(Q166)*N(AM166)+N(R166)*N(AN166)+N(S166)*N(AO166)+N(T166)*N(AP166))</f>
        <v>0.177184922077891</v>
      </c>
      <c r="CG166" s="16" t="n">
        <f aca="false">IF(AND(BY166=1,N(K166)&gt;0),K166,0)</f>
        <v>1.724</v>
      </c>
      <c r="CH166" s="16" t="n">
        <f aca="false">IF(CG166&gt;0,CF166*1000/CG166,"")</f>
        <v>102.775476843324</v>
      </c>
      <c r="CI166" s="16" t="n">
        <f aca="false">IF(BY166=0,"",N(AQ166)+p_road*(N(AR166)+N(AS166)+N(AT166)))</f>
        <v>5.06875477261344E-005</v>
      </c>
      <c r="CJ166" s="16" t="n">
        <f aca="false">IF(CG166&gt;0,CI166*1000/CG166,"")</f>
        <v>0.0294011297715397</v>
      </c>
      <c r="CK166" s="12" t="n">
        <f aca="false">IF(CH166="",1,MIN(p_idx_max,MAX(p_idx_min,CH166/p_fc_world)))</f>
        <v>0.638327879007641</v>
      </c>
      <c r="CL166" s="12" t="n">
        <f aca="false">IF(CJ166="",1,MIN(p_idx_max,MAX(p_idx_min,CJ166/p_cb_world)))</f>
        <v>0.25</v>
      </c>
      <c r="CM166" s="37" t="n">
        <f aca="false">p_b*(1-p_wb_idx+p_wb_idx*CK166)</f>
        <v>0.0848976079080163</v>
      </c>
      <c r="CN166" s="37" t="n">
        <f aca="false">p_c*(1-p_wc_idx+p_wc_idx*CL166)</f>
        <v>0.03225</v>
      </c>
      <c r="CO166" s="28" t="n">
        <f aca="false">IF(N(BR166)&gt;0,(N(BS166)+N(BT166)+N(BU166))/BR166,"")</f>
        <v>0.456140350877193</v>
      </c>
      <c r="CP166" s="16" t="n">
        <f aca="false">N(BS166)+N(BT166)+N(BU166)</f>
        <v>0.26</v>
      </c>
      <c r="CQ166" s="28" t="n">
        <f aca="false">IF(CP166&gt;0,N(BS166)/CP166,"")</f>
        <v>0</v>
      </c>
      <c r="CR166" s="28" t="n">
        <f aca="false">IF(CP166&gt;0,N(BT166)/CP166,"")</f>
        <v>0</v>
      </c>
      <c r="CS166" s="28" t="n">
        <f aca="false">IF(CP166&gt;0,N(BU166)/CP166,"")</f>
        <v>1</v>
      </c>
      <c r="CT166" s="7" t="n">
        <f aca="false">1000*(p_sh_pv*p_cf_pv/p_capex_pv+(1-p_sh_pv)*p_cf_wind/p_capex_wind)*8760</f>
        <v>2301.28856624319</v>
      </c>
      <c r="CU166" s="13" t="n">
        <f aca="false">IF(AND(ISNUMBER(CO166),ISNUMBER(CQ166),BY166=1),1,0)</f>
        <v>1</v>
      </c>
      <c r="CV166" s="16" t="n">
        <f aca="false">IF(CU166=0,"",CQ166*p_hr_coal*N(AK166)+CR166*p_hr_gas*N(AO166)+CS166*p_hr_oil*N(AH166)/p_gj_l_oil)</f>
        <v>155.435134080463</v>
      </c>
      <c r="CW166" s="37" t="n">
        <f aca="false">IF(CU166=0,"",CQ166*p_hr_coal*p_ef_coal+CR166*p_hr_gas*p_ef_gas+CS166*p_hr_oil*p_ef_oil)</f>
        <v>0.8127</v>
      </c>
      <c r="CX166" s="16" t="n">
        <f aca="false">IF(CU166=0,"",CQ166*p_hr_coal*N(AW166)+CR166*p_hr_gas*N(AX166)+CS166*p_hr_oil*N(AY166)/p_gj_l_oil)</f>
        <v>1.10979722189407</v>
      </c>
      <c r="CY166" s="37" t="n">
        <f aca="false">IF(CU166=0,"",CO166*CW166)</f>
        <v>0.370705263157895</v>
      </c>
      <c r="CZ166" s="37" t="n">
        <f aca="false">IF(CU166=0,"",CT166*CO166*CV166/1000/1000-p_om_re)</f>
        <v>0.148161903827158</v>
      </c>
      <c r="DA166" s="37" t="n">
        <f aca="false">IF(CU166=0,"",CT166*CO166*CX166/1000/1000)</f>
        <v>0.00116496587890219</v>
      </c>
      <c r="DB166" s="37" t="n">
        <f aca="false">IF(CU166=0,"",CT166*CO166*CW166/1000)</f>
        <v>0.853099783551437</v>
      </c>
      <c r="DC166" s="13" t="n">
        <f aca="false">IF(AND(CU166=1,ISNUMBER(AD166),ISNUMBER(AV166)),1,0)</f>
        <v>1</v>
      </c>
      <c r="DD166" s="7" t="n">
        <f aca="false">IF(DC166=0,"",p_ev_km*p_ice_l/100*AD166-p_ev_km*p_ev_kwh*AV166+p_ev_km*p_ev_maint)</f>
        <v>158.3955</v>
      </c>
      <c r="DE166" s="37" t="n">
        <f aca="false">IF(DC166=0,"",DD166/p_ev_prem)</f>
        <v>0.0316791</v>
      </c>
      <c r="DF166" s="37" t="n">
        <f aca="false">IF(DC166=0,"",p_ev_km*p_ice_l/100*N(AZ166)/p_ev_prem)</f>
        <v>0.000120375</v>
      </c>
      <c r="DG166" s="37" t="n">
        <f aca="false">IF(DC166=0,"",1000/p_ev_prem*(p_ev_km*p_ice_l/100*p_gj_l_gso*p_ef_gso-p_ev_km*p_ev_kwh/1000*CY166))</f>
        <v>0.333082657894737</v>
      </c>
      <c r="DH166" s="11" t="str">
        <f aca="false">IFERROR(IF(INDEX(Damodaran!$D:$D,MATCH(A166,Damodaran!$A:$A,0))="","",INDEX(Damodaran!$D:$D,MATCH(A166,Damodaran!$A:$A,0))),"")</f>
        <v/>
      </c>
      <c r="DI166" s="11" t="str">
        <f aca="false">IFERROR(IF(INDEX(Damodaran!$E:$E,MATCH(A166,Damodaran!$A:$A,0))="","",INDEX(Damodaran!$E:$E,MATCH(A166,Damodaran!$A:$A,0))),"")</f>
        <v/>
      </c>
      <c r="DJ166" s="11" t="str">
        <f aca="false">IFERROR(IF(INDEX(Damodaran!$G:$G,MATCH(A166,Damodaran!$A:$A,0))="","",INDEX(Damodaran!$G:$G,MATCH(A166,Damodaran!$A:$A,0))),"")</f>
        <v/>
      </c>
      <c r="DK166" s="11" t="str">
        <f aca="false">IF(ISNUMBER(BG166),(1+BG166/100)*(1+p_infl)-1,"")</f>
        <v/>
      </c>
      <c r="DL166" s="11" t="str">
        <f aca="false">IF(ISNUMBER(BH166),BH166/100,"")</f>
        <v/>
      </c>
      <c r="DM166" s="11" t="str">
        <f aca="false">IF(COUNT(DK166,DL166)=0,"",AVERAGE(DK166,DL166))</f>
        <v/>
      </c>
      <c r="DN166" s="11" t="str">
        <f aca="false">IF(OR(DH166="",DI166=""),"",p_dv*(p_rf+DH166)*(1-IF(DJ166="",p_tax_def,DJ166))+(1-p_dv)*(p_rf+p_beta*p_erp+p_lambda*DI166))</f>
        <v/>
      </c>
      <c r="DO166" s="13" t="n">
        <f aca="false">IF(AND(ISNUMBER(DM166),ISNUMBER(DN166)),1,0)</f>
        <v>0</v>
      </c>
      <c r="DP166" s="11" t="n">
        <f aca="false">IF(DO166=1,DM166,0)</f>
        <v>0</v>
      </c>
      <c r="DQ166" s="11" t="n">
        <f aca="false">IF(DO166=1,DN166,0)</f>
        <v>0</v>
      </c>
      <c r="DR166" s="11" t="str">
        <f aca="false">IF(DN166="","",DN166+p_shift)</f>
        <v/>
      </c>
      <c r="DS166" s="11" t="n">
        <f aca="false">IF(E166="AE",p_r_ae,IF(E166="China",p_r_chn,p_r_emdc))</f>
        <v>0.105</v>
      </c>
      <c r="DT166" s="11" t="n">
        <f aca="false">IF(E166="AE",p_rh_ae,IF(E166="China",p_rh_chn,p_rh_emdc))</f>
        <v>0.15</v>
      </c>
      <c r="DU166" s="11" t="n">
        <f aca="false">IF(AND(p_use_obs=1,ISNUMBER(DM166)),DM166,IF(AND(p_use_dam=1,ISNUMBER(DR166)),DR166,DS166))</f>
        <v>0.105</v>
      </c>
      <c r="DV166" s="6" t="str">
        <f aca="false">IF(AND(p_use_obs=1,ISNUMBER(DM166)),"Observed (IRENA/Steffen)",IF(AND(p_use_dam=1,ISNUMBER(DR166)),"Damodaran (eq. 5)","Group default (IHLEG)"))</f>
        <v>Group default (IHLEG)</v>
      </c>
      <c r="DW166" s="11" t="n">
        <f aca="false">IF(p_basis=1,(1+DU166)/(1+p_infl)-1,DU166)</f>
        <v>0.105</v>
      </c>
      <c r="DX166" s="11" t="n">
        <f aca="false">DW166+(DT166-DS166)</f>
        <v>0.15</v>
      </c>
      <c r="DY166" s="28" t="n">
        <f aca="false">IF(AND(p_use_pefa=1,ISNUMBER(BD166)),p_gap_lic-(BD166-1)/3*(p_gap_lic-p_gap_ae),IF(E166="AE",p_gap_ae,IF(D166="Low income",p_gap_lic,p_gap_em)))*(1-p_reform*p_reform_close)</f>
        <v>0.355</v>
      </c>
      <c r="DZ166" s="6" t="str">
        <f aca="false">IF(AND(p_use_pefa=1,ISNUMBER(BD166)),"PEFA PI-11","Income-group default (IMF 2015)")</f>
        <v>PEFA PI-11</v>
      </c>
      <c r="EA166" s="28" t="n">
        <f aca="false">IF(E166="AE",p_ps_ae,IF(E166="China",p_ps_chn,p_ps_emdc))</f>
        <v>0.4</v>
      </c>
      <c r="EB166" s="37" t="n">
        <f aca="false">(1-EA166)+EA166/(1-DY166)</f>
        <v>1.22015503875969</v>
      </c>
      <c r="EC166" s="16" t="n">
        <f aca="false">Results_Country!F166</f>
        <v>0.477554372749701</v>
      </c>
      <c r="ED166" s="16" t="n">
        <f aca="false">IF(CH166="",0,CH166*EC166)</f>
        <v>49.0808783779651</v>
      </c>
      <c r="EE166" s="16" t="n">
        <f aca="false">IF(CJ166="",0,CJ166*EC166)</f>
        <v>0.0140406380861802</v>
      </c>
      <c r="EF166" s="16" t="n">
        <f aca="false">IF(CH166="",0,EC166)</f>
        <v>0.477554372749701</v>
      </c>
    </row>
    <row r="167" customFormat="false" ht="15" hidden="false" customHeight="false" outlineLevel="0" collapsed="false">
      <c r="A167" s="35" t="s">
        <v>1091</v>
      </c>
      <c r="B167" s="35" t="s">
        <v>1092</v>
      </c>
      <c r="C167" s="35" t="s">
        <v>847</v>
      </c>
      <c r="D167" s="35" t="s">
        <v>888</v>
      </c>
      <c r="E167" s="35" t="s">
        <v>31</v>
      </c>
      <c r="F167" s="36" t="n">
        <v>4.637</v>
      </c>
      <c r="G167" s="36" t="n">
        <v>11.903</v>
      </c>
      <c r="H167" s="33" t="n">
        <v>46.094</v>
      </c>
      <c r="I167" s="33" t="n">
        <v>4.141</v>
      </c>
      <c r="J167" s="36"/>
      <c r="K167" s="36"/>
      <c r="L167" s="36"/>
      <c r="M167" s="36"/>
      <c r="N167" s="36"/>
      <c r="O167" s="36"/>
      <c r="P167" s="36"/>
      <c r="Q167" s="31"/>
      <c r="R167" s="31"/>
      <c r="S167" s="31"/>
      <c r="T167" s="31"/>
      <c r="U167" s="31"/>
      <c r="V167" s="31"/>
      <c r="W167" s="31"/>
      <c r="X167" s="31"/>
      <c r="Y167" s="36"/>
      <c r="Z167" s="36"/>
      <c r="AA167" s="36"/>
      <c r="AB167" s="36"/>
      <c r="AC167" s="36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6"/>
      <c r="AR167" s="36"/>
      <c r="AS167" s="36"/>
      <c r="AT167" s="36"/>
      <c r="AU167" s="31"/>
      <c r="AV167" s="36"/>
      <c r="AW167" s="31"/>
      <c r="AX167" s="31"/>
      <c r="AY167" s="31"/>
      <c r="AZ167" s="31"/>
      <c r="BA167" s="33" t="n">
        <v>53.415</v>
      </c>
      <c r="BB167" s="33" t="n">
        <v>1.506</v>
      </c>
      <c r="BC167" s="33"/>
      <c r="BD167" s="33"/>
      <c r="BE167" s="33"/>
      <c r="BF167" s="33" t="n">
        <v>0</v>
      </c>
      <c r="BG167" s="33"/>
      <c r="BH167" s="33"/>
      <c r="BI167" s="29"/>
      <c r="BJ167" s="33"/>
      <c r="BK167" s="33"/>
      <c r="BL167" s="33"/>
      <c r="BM167" s="33"/>
      <c r="BN167" s="29"/>
      <c r="BO167" s="33" t="n">
        <v>0.719</v>
      </c>
      <c r="BP167" s="33" t="n">
        <v>0.086</v>
      </c>
      <c r="BQ167" s="29" t="n">
        <v>2024</v>
      </c>
      <c r="BR167" s="36" t="n">
        <v>0.56</v>
      </c>
      <c r="BS167" s="36" t="n">
        <v>0</v>
      </c>
      <c r="BT167" s="36" t="n">
        <v>0</v>
      </c>
      <c r="BU167" s="36" t="n">
        <v>0.55</v>
      </c>
      <c r="BV167" s="16" t="n">
        <f aca="false">F167*(1+N(H167)/100)*(1+N(I167)/100)^5</f>
        <v>8.29809101674735</v>
      </c>
      <c r="BW167" s="16" t="n">
        <f aca="false">IF(N(G167)&gt;0,G167,F167)</f>
        <v>11.903</v>
      </c>
      <c r="BX167" s="12" t="n">
        <f aca="false">F167/BW167</f>
        <v>0.389565655717046</v>
      </c>
      <c r="BY167" s="13" t="n">
        <f aca="false">IF(ISNUMBER(K167),1,0)</f>
        <v>0</v>
      </c>
      <c r="BZ167" s="16" t="str">
        <f aca="false">IF(BY167=0,"",N(N167)+N(O167)+N(P167))</f>
        <v/>
      </c>
      <c r="CA167" s="37" t="str">
        <f aca="false">IF(BY167=0,"",(N(Y167)*34.2+N(Z167)*38.6)/1000)</f>
        <v/>
      </c>
      <c r="CB167" s="37" t="str">
        <f aca="false">IF(BY167=0,"",N(O167)*0.0036+N(R167)+N(V167)+(N(AA167)*25.3+N(AB167)*37)/1000)</f>
        <v/>
      </c>
      <c r="CC167" s="37" t="str">
        <f aca="false">IF(BY167=0,"",N(N167)*0.0036+N(Q167)+N(U167)+N(T167)+N(X167)+N(AC167)*38/1000)</f>
        <v/>
      </c>
      <c r="CD167" s="37" t="str">
        <f aca="false">IF(BY167=0,"",N(Q167)+N(R167)+N(S167)+N(T167)+N(U167)+N(V167)+N(W167)+N(X167)+(N(Y167)*34.2+N(Z167)*38.6+N(AA167)*25.3+N(AB167)*37+N(AC167)*38)/1000)</f>
        <v/>
      </c>
      <c r="CE167" s="16" t="str">
        <f aca="false">IF(BY167=0,"",MAX(0,N(L167)-N(K167))+MAX(0,N(M167)-N(L167)))</f>
        <v/>
      </c>
      <c r="CF167" s="16" t="str">
        <f aca="false">IF(BY167=0,"",N(Y167)*N(AD167)+N(Z167)*N(AE167)+N(AA167)*N(AF167)+N(AB167)*N(AG167)+N(AC167)*N(AH167)+N(U167)*N(AI167)+N(V167)*N(AJ167)+N(W167)*N(AK167)+N(X167)*N(AL167)+N(Q167)*N(AM167)+N(R167)*N(AN167)+N(S167)*N(AO167)+N(T167)*N(AP167))</f>
        <v/>
      </c>
      <c r="CG167" s="16" t="n">
        <f aca="false">IF(AND(BY167=1,N(K167)&gt;0),K167,0)</f>
        <v>0</v>
      </c>
      <c r="CH167" s="16" t="str">
        <f aca="false">IF(CG167&gt;0,CF167*1000/CG167,"")</f>
        <v/>
      </c>
      <c r="CI167" s="16" t="str">
        <f aca="false">IF(BY167=0,"",N(AQ167)+p_road*(N(AR167)+N(AS167)+N(AT167)))</f>
        <v/>
      </c>
      <c r="CJ167" s="16" t="str">
        <f aca="false">IF(CG167&gt;0,CI167*1000/CG167,"")</f>
        <v/>
      </c>
      <c r="CK167" s="12" t="n">
        <f aca="false">IF(CH167="",1,MIN(p_idx_max,MAX(p_idx_min,CH167/p_fc_world)))</f>
        <v>1</v>
      </c>
      <c r="CL167" s="12" t="n">
        <f aca="false">IF(CJ167="",1,MIN(p_idx_max,MAX(p_idx_min,CJ167/p_cb_world)))</f>
        <v>1</v>
      </c>
      <c r="CM167" s="37" t="n">
        <f aca="false">p_b*(1-p_wb_idx+p_wb_idx*CK167)</f>
        <v>0.133</v>
      </c>
      <c r="CN167" s="37" t="n">
        <f aca="false">p_c*(1-p_wc_idx+p_wc_idx*CL167)</f>
        <v>0.129</v>
      </c>
      <c r="CO167" s="28" t="n">
        <f aca="false">IF(N(BR167)&gt;0,(N(BS167)+N(BT167)+N(BU167))/BR167,"")</f>
        <v>0.982142857142857</v>
      </c>
      <c r="CP167" s="16" t="n">
        <f aca="false">N(BS167)+N(BT167)+N(BU167)</f>
        <v>0.55</v>
      </c>
      <c r="CQ167" s="28" t="n">
        <f aca="false">IF(CP167&gt;0,N(BS167)/CP167,"")</f>
        <v>0</v>
      </c>
      <c r="CR167" s="28" t="n">
        <f aca="false">IF(CP167&gt;0,N(BT167)/CP167,"")</f>
        <v>0</v>
      </c>
      <c r="CS167" s="28" t="n">
        <f aca="false">IF(CP167&gt;0,N(BU167)/CP167,"")</f>
        <v>1</v>
      </c>
      <c r="CT167" s="7" t="n">
        <f aca="false">1000*(p_sh_pv*p_cf_pv/p_capex_pv+(1-p_sh_pv)*p_cf_wind/p_capex_wind)*8760</f>
        <v>2301.28856624319</v>
      </c>
      <c r="CU167" s="13" t="n">
        <f aca="false">IF(AND(ISNUMBER(CO167),ISNUMBER(CQ167),BY167=1),1,0)</f>
        <v>0</v>
      </c>
      <c r="CV167" s="16" t="str">
        <f aca="false">IF(CU167=0,"",CQ167*p_hr_coal*N(AK167)+CR167*p_hr_gas*N(AO167)+CS167*p_hr_oil*N(AH167)/p_gj_l_oil)</f>
        <v/>
      </c>
      <c r="CW167" s="37" t="str">
        <f aca="false">IF(CU167=0,"",CQ167*p_hr_coal*p_ef_coal+CR167*p_hr_gas*p_ef_gas+CS167*p_hr_oil*p_ef_oil)</f>
        <v/>
      </c>
      <c r="CX167" s="16" t="str">
        <f aca="false">IF(CU167=0,"",CQ167*p_hr_coal*N(AW167)+CR167*p_hr_gas*N(AX167)+CS167*p_hr_oil*N(AY167)/p_gj_l_oil)</f>
        <v/>
      </c>
      <c r="CY167" s="37" t="str">
        <f aca="false">IF(CU167=0,"",CO167*CW167)</f>
        <v/>
      </c>
      <c r="CZ167" s="37" t="str">
        <f aca="false">IF(CU167=0,"",CT167*CO167*CV167/1000/1000-p_om_re)</f>
        <v/>
      </c>
      <c r="DA167" s="37" t="str">
        <f aca="false">IF(CU167=0,"",CT167*CO167*CX167/1000/1000)</f>
        <v/>
      </c>
      <c r="DB167" s="37" t="str">
        <f aca="false">IF(CU167=0,"",CT167*CO167*CW167/1000)</f>
        <v/>
      </c>
      <c r="DC167" s="13" t="n">
        <f aca="false">IF(AND(CU167=1,ISNUMBER(AD167),ISNUMBER(AV167)),1,0)</f>
        <v>0</v>
      </c>
      <c r="DD167" s="7" t="str">
        <f aca="false">IF(DC167=0,"",p_ev_km*p_ice_l/100*AD167-p_ev_km*p_ev_kwh*AV167+p_ev_km*p_ev_maint)</f>
        <v/>
      </c>
      <c r="DE167" s="37" t="str">
        <f aca="false">IF(DC167=0,"",DD167/p_ev_prem)</f>
        <v/>
      </c>
      <c r="DF167" s="37" t="str">
        <f aca="false">IF(DC167=0,"",p_ev_km*p_ice_l/100*N(AZ167)/p_ev_prem)</f>
        <v/>
      </c>
      <c r="DG167" s="37" t="str">
        <f aca="false">IF(DC167=0,"",1000/p_ev_prem*(p_ev_km*p_ice_l/100*p_gj_l_gso*p_ef_gso-p_ev_km*p_ev_kwh/1000*CY167))</f>
        <v/>
      </c>
      <c r="DH167" s="11" t="str">
        <f aca="false">IFERROR(IF(INDEX(Damodaran!$D:$D,MATCH(A167,Damodaran!$A:$A,0))="","",INDEX(Damodaran!$D:$D,MATCH(A167,Damodaran!$A:$A,0))),"")</f>
        <v/>
      </c>
      <c r="DI167" s="11" t="str">
        <f aca="false">IFERROR(IF(INDEX(Damodaran!$E:$E,MATCH(A167,Damodaran!$A:$A,0))="","",INDEX(Damodaran!$E:$E,MATCH(A167,Damodaran!$A:$A,0))),"")</f>
        <v/>
      </c>
      <c r="DJ167" s="11" t="str">
        <f aca="false">IFERROR(IF(INDEX(Damodaran!$G:$G,MATCH(A167,Damodaran!$A:$A,0))="","",INDEX(Damodaran!$G:$G,MATCH(A167,Damodaran!$A:$A,0))),"")</f>
        <v/>
      </c>
      <c r="DK167" s="11" t="str">
        <f aca="false">IF(ISNUMBER(BG167),(1+BG167/100)*(1+p_infl)-1,"")</f>
        <v/>
      </c>
      <c r="DL167" s="11" t="str">
        <f aca="false">IF(ISNUMBER(BH167),BH167/100,"")</f>
        <v/>
      </c>
      <c r="DM167" s="11" t="str">
        <f aca="false">IF(COUNT(DK167,DL167)=0,"",AVERAGE(DK167,DL167))</f>
        <v/>
      </c>
      <c r="DN167" s="11" t="str">
        <f aca="false">IF(OR(DH167="",DI167=""),"",p_dv*(p_rf+DH167)*(1-IF(DJ167="",p_tax_def,DJ167))+(1-p_dv)*(p_rf+p_beta*p_erp+p_lambda*DI167))</f>
        <v/>
      </c>
      <c r="DO167" s="13" t="n">
        <f aca="false">IF(AND(ISNUMBER(DM167),ISNUMBER(DN167)),1,0)</f>
        <v>0</v>
      </c>
      <c r="DP167" s="11" t="n">
        <f aca="false">IF(DO167=1,DM167,0)</f>
        <v>0</v>
      </c>
      <c r="DQ167" s="11" t="n">
        <f aca="false">IF(DO167=1,DN167,0)</f>
        <v>0</v>
      </c>
      <c r="DR167" s="11" t="str">
        <f aca="false">IF(DN167="","",DN167+p_shift)</f>
        <v/>
      </c>
      <c r="DS167" s="11" t="n">
        <f aca="false">IF(E167="AE",p_r_ae,IF(E167="China",p_r_chn,p_r_emdc))</f>
        <v>0.105</v>
      </c>
      <c r="DT167" s="11" t="n">
        <f aca="false">IF(E167="AE",p_rh_ae,IF(E167="China",p_rh_chn,p_rh_emdc))</f>
        <v>0.15</v>
      </c>
      <c r="DU167" s="11" t="n">
        <f aca="false">IF(AND(p_use_obs=1,ISNUMBER(DM167)),DM167,IF(AND(p_use_dam=1,ISNUMBER(DR167)),DR167,DS167))</f>
        <v>0.105</v>
      </c>
      <c r="DV167" s="6" t="str">
        <f aca="false">IF(AND(p_use_obs=1,ISNUMBER(DM167)),"Observed (IRENA/Steffen)",IF(AND(p_use_dam=1,ISNUMBER(DR167)),"Damodaran (eq. 5)","Group default (IHLEG)"))</f>
        <v>Group default (IHLEG)</v>
      </c>
      <c r="DW167" s="11" t="n">
        <f aca="false">IF(p_basis=1,(1+DU167)/(1+p_infl)-1,DU167)</f>
        <v>0.105</v>
      </c>
      <c r="DX167" s="11" t="n">
        <f aca="false">DW167+(DT167-DS167)</f>
        <v>0.15</v>
      </c>
      <c r="DY167" s="28" t="n">
        <f aca="false">IF(AND(p_use_pefa=1,ISNUMBER(BD167)),p_gap_lic-(BD167-1)/3*(p_gap_lic-p_gap_ae),IF(E167="AE",p_gap_ae,IF(D167="Low income",p_gap_lic,p_gap_em)))*(1-p_reform*p_reform_close)</f>
        <v>0.4</v>
      </c>
      <c r="DZ167" s="6" t="str">
        <f aca="false">IF(AND(p_use_pefa=1,ISNUMBER(BD167)),"PEFA PI-11","Income-group default (IMF 2015)")</f>
        <v>Income-group default (IMF 2015)</v>
      </c>
      <c r="EA167" s="28" t="n">
        <f aca="false">IF(E167="AE",p_ps_ae,IF(E167="China",p_ps_chn,p_ps_emdc))</f>
        <v>0.4</v>
      </c>
      <c r="EB167" s="37" t="n">
        <f aca="false">(1-EA167)+EA167/(1-DY167)</f>
        <v>1.26666666666667</v>
      </c>
      <c r="EC167" s="16" t="n">
        <f aca="false">Results_Country!F167</f>
        <v>0.310022143389359</v>
      </c>
      <c r="ED167" s="16" t="n">
        <f aca="false">IF(CH167="",0,CH167*EC167)</f>
        <v>0</v>
      </c>
      <c r="EE167" s="16" t="n">
        <f aca="false">IF(CJ167="",0,CJ167*EC167)</f>
        <v>0</v>
      </c>
      <c r="EF167" s="16" t="n">
        <f aca="false">IF(CH167="",0,EC167)</f>
        <v>0</v>
      </c>
    </row>
    <row r="168" customFormat="false" ht="15" hidden="false" customHeight="false" outlineLevel="0" collapsed="false">
      <c r="A168" s="35" t="s">
        <v>1093</v>
      </c>
      <c r="B168" s="35" t="s">
        <v>1094</v>
      </c>
      <c r="C168" s="35" t="s">
        <v>784</v>
      </c>
      <c r="D168" s="35" t="s">
        <v>763</v>
      </c>
      <c r="E168" s="35" t="s">
        <v>31</v>
      </c>
      <c r="F168" s="36" t="n">
        <v>4.434</v>
      </c>
      <c r="G168" s="36" t="n">
        <v>13.74</v>
      </c>
      <c r="H168" s="33" t="n">
        <v>1.511</v>
      </c>
      <c r="I168" s="33" t="n">
        <v>3.927</v>
      </c>
      <c r="J168" s="36" t="n">
        <v>0.634431</v>
      </c>
      <c r="K168" s="36" t="n">
        <v>3.656</v>
      </c>
      <c r="L168" s="36" t="n">
        <v>4.904</v>
      </c>
      <c r="M168" s="36" t="n">
        <v>13.671</v>
      </c>
      <c r="N168" s="36" t="n">
        <v>1.43186241453075</v>
      </c>
      <c r="O168" s="36" t="n">
        <v>0.874051218745411</v>
      </c>
      <c r="P168" s="36" t="n">
        <v>0.0333423020041109</v>
      </c>
      <c r="Q168" s="31" t="n">
        <v>0.00025429113838813</v>
      </c>
      <c r="R168" s="31" t="n">
        <v>0</v>
      </c>
      <c r="S168" s="31" t="n">
        <v>0</v>
      </c>
      <c r="T168" s="31" t="n">
        <v>0</v>
      </c>
      <c r="U168" s="31" t="n">
        <v>0</v>
      </c>
      <c r="V168" s="31" t="n">
        <v>0</v>
      </c>
      <c r="W168" s="31" t="n">
        <v>0</v>
      </c>
      <c r="X168" s="31" t="n">
        <v>0</v>
      </c>
      <c r="Y168" s="36" t="n">
        <v>0.231186736253175</v>
      </c>
      <c r="Z168" s="36" t="n">
        <v>0.295673287675113</v>
      </c>
      <c r="AA168" s="36" t="n">
        <v>0.0434182864240847</v>
      </c>
      <c r="AB168" s="36" t="n">
        <v>0.00046582183363899</v>
      </c>
      <c r="AC168" s="36" t="n">
        <v>0.491827343385766</v>
      </c>
      <c r="AD168" s="31" t="n">
        <v>0.823361</v>
      </c>
      <c r="AE168" s="31" t="n">
        <v>0.655</v>
      </c>
      <c r="AF168" s="31" t="n">
        <v>0.582327</v>
      </c>
      <c r="AG168" s="31" t="n">
        <v>0.6248</v>
      </c>
      <c r="AH168" s="31" t="n">
        <v>0.519462891908447</v>
      </c>
      <c r="AI168" s="31" t="n">
        <v>7.124</v>
      </c>
      <c r="AJ168" s="31" t="n">
        <v>13.4123</v>
      </c>
      <c r="AK168" s="31" t="n">
        <v>5.575</v>
      </c>
      <c r="AL168" s="31" t="n">
        <v>8.70376666666667</v>
      </c>
      <c r="AM168" s="31" t="n">
        <v>6.853</v>
      </c>
      <c r="AN168" s="31" t="n">
        <v>11.9053</v>
      </c>
      <c r="AO168" s="31" t="n">
        <v>6.191</v>
      </c>
      <c r="AP168" s="31" t="n">
        <v>6.853</v>
      </c>
      <c r="AQ168" s="36" t="s">
        <v>844</v>
      </c>
      <c r="AR168" s="36" t="s">
        <v>844</v>
      </c>
      <c r="AS168" s="36" t="s">
        <v>844</v>
      </c>
      <c r="AT168" s="36" t="s">
        <v>844</v>
      </c>
      <c r="AU168" s="31" t="n">
        <v>0.464374682150493</v>
      </c>
      <c r="AV168" s="36" t="n">
        <v>0.248432</v>
      </c>
      <c r="AW168" s="31" t="s">
        <v>844</v>
      </c>
      <c r="AX168" s="31" t="s">
        <v>844</v>
      </c>
      <c r="AY168" s="31" t="s">
        <v>844</v>
      </c>
      <c r="AZ168" s="31" t="s">
        <v>844</v>
      </c>
      <c r="BA168" s="33" t="n">
        <v>88.038</v>
      </c>
      <c r="BB168" s="33" t="n">
        <v>10.696</v>
      </c>
      <c r="BC168" s="33"/>
      <c r="BD168" s="33"/>
      <c r="BE168" s="33"/>
      <c r="BF168" s="33" t="n">
        <v>0</v>
      </c>
      <c r="BG168" s="33"/>
      <c r="BH168" s="33"/>
      <c r="BI168" s="29"/>
      <c r="BJ168" s="33"/>
      <c r="BK168" s="33"/>
      <c r="BL168" s="33" t="n">
        <v>-1.075</v>
      </c>
      <c r="BM168" s="33" t="n">
        <v>4.793</v>
      </c>
      <c r="BN168" s="29" t="n">
        <v>21.015</v>
      </c>
      <c r="BO168" s="33" t="n">
        <v>2.503</v>
      </c>
      <c r="BP168" s="33" t="n">
        <v>0.065</v>
      </c>
      <c r="BQ168" s="29" t="n">
        <v>2024</v>
      </c>
      <c r="BR168" s="36" t="n">
        <v>1.74</v>
      </c>
      <c r="BS168" s="36" t="n">
        <v>0</v>
      </c>
      <c r="BT168" s="36" t="n">
        <v>0.02</v>
      </c>
      <c r="BU168" s="36" t="n">
        <v>0.8</v>
      </c>
      <c r="BV168" s="16" t="n">
        <f aca="false">F168*(1+N(H168)/100)*(1+N(I168)/100)^5</f>
        <v>5.45695973873547</v>
      </c>
      <c r="BW168" s="16" t="n">
        <f aca="false">IF(N(G168)&gt;0,G168,F168)</f>
        <v>13.74</v>
      </c>
      <c r="BX168" s="12" t="n">
        <f aca="false">F168/BW168</f>
        <v>0.322707423580786</v>
      </c>
      <c r="BY168" s="13" t="n">
        <f aca="false">IF(ISNUMBER(K168),1,0)</f>
        <v>1</v>
      </c>
      <c r="BZ168" s="16" t="n">
        <f aca="false">IF(BY168=0,"",N(N168)+N(O168)+N(P168))</f>
        <v>2.33925593528027</v>
      </c>
      <c r="CA168" s="37" t="n">
        <f aca="false">IF(BY168=0,"",(N(Y168)*34.2+N(Z168)*38.6)/1000)</f>
        <v>0.019319575284118</v>
      </c>
      <c r="CB168" s="37" t="n">
        <f aca="false">IF(BY168=0,"",N(O168)*0.0036+N(R168)+N(V168)+(N(AA168)*25.3+N(AB168)*37)/1000)</f>
        <v>0.00426230244185747</v>
      </c>
      <c r="CC168" s="37" t="n">
        <f aca="false">IF(BY168=0,"",N(N168)*0.0036+N(Q168)+N(U168)+N(T168)+N(X168)+N(AC168)*38/1000)</f>
        <v>0.0240984348793579</v>
      </c>
      <c r="CD168" s="37" t="n">
        <f aca="false">IF(BY168=0,"",N(Q168)+N(R168)+N(S168)+N(T168)+N(U168)+N(V168)+N(W168)+N(X168)+(N(Y168)*34.2+N(Z168)*38.6+N(AA168)*25.3+N(AB168)*37+N(AC168)*38)/1000)</f>
        <v>0.0393790235255392</v>
      </c>
      <c r="CE168" s="16" t="n">
        <f aca="false">IF(BY168=0,"",MAX(0,N(L168)-N(K168))+MAX(0,N(M168)-N(L168)))</f>
        <v>10.015</v>
      </c>
      <c r="CF168" s="16" t="n">
        <f aca="false">IF(BY168=0,"",N(Y168)*N(AD168)+N(Z168)*N(AE168)+N(AA168)*N(AF168)+N(AB168)*N(AG168)+N(AC168)*N(AH168)+N(U168)*N(AI168)+N(V168)*N(AJ168)+N(W168)*N(AK168)+N(X168)*N(AL168)+N(Q168)*N(AM168)+N(R168)*N(AN168)+N(S168)*N(AO168)+N(T168)*N(AP168))</f>
        <v>0.666819543021678</v>
      </c>
      <c r="CG168" s="16" t="n">
        <f aca="false">IF(AND(BY168=1,N(K168)&gt;0),K168,0)</f>
        <v>3.656</v>
      </c>
      <c r="CH168" s="16" t="n">
        <f aca="false">IF(CG168&gt;0,CF168*1000/CG168,"")</f>
        <v>182.390465815557</v>
      </c>
      <c r="CI168" s="16" t="n">
        <f aca="false">IF(BY168=0,"",N(AQ168)+p_road*(N(AR168)+N(AS168)+N(AT168)))</f>
        <v>0</v>
      </c>
      <c r="CJ168" s="16" t="n">
        <f aca="false">IF(CG168&gt;0,CI168*1000/CG168,"")</f>
        <v>0</v>
      </c>
      <c r="CK168" s="12" t="n">
        <f aca="false">IF(CH168="",1,MIN(p_idx_max,MAX(p_idx_min,CH168/p_fc_world)))</f>
        <v>1.13280835828905</v>
      </c>
      <c r="CL168" s="12" t="n">
        <f aca="false">IF(CJ168="",1,MIN(p_idx_max,MAX(p_idx_min,CJ168/p_cb_world)))</f>
        <v>0.25</v>
      </c>
      <c r="CM168" s="37" t="n">
        <f aca="false">p_b*(1-p_wb_idx+p_wb_idx*CK168)</f>
        <v>0.150663511652444</v>
      </c>
      <c r="CN168" s="37" t="n">
        <f aca="false">p_c*(1-p_wc_idx+p_wc_idx*CL168)</f>
        <v>0.03225</v>
      </c>
      <c r="CO168" s="28" t="n">
        <f aca="false">IF(N(BR168)&gt;0,(N(BS168)+N(BT168)+N(BU168))/BR168,"")</f>
        <v>0.471264367816092</v>
      </c>
      <c r="CP168" s="16" t="n">
        <f aca="false">N(BS168)+N(BT168)+N(BU168)</f>
        <v>0.82</v>
      </c>
      <c r="CQ168" s="28" t="n">
        <f aca="false">IF(CP168&gt;0,N(BS168)/CP168,"")</f>
        <v>0</v>
      </c>
      <c r="CR168" s="28" t="n">
        <f aca="false">IF(CP168&gt;0,N(BT168)/CP168,"")</f>
        <v>0.024390243902439</v>
      </c>
      <c r="CS168" s="28" t="n">
        <f aca="false">IF(CP168&gt;0,N(BU168)/CP168,"")</f>
        <v>0.975609756097561</v>
      </c>
      <c r="CT168" s="7" t="n">
        <f aca="false">1000*(p_sh_pv*p_cf_pv/p_capex_pv+(1-p_sh_pv)*p_cf_wind/p_capex_wind)*8760</f>
        <v>2301.28856624319</v>
      </c>
      <c r="CU168" s="13" t="n">
        <f aca="false">IF(AND(ISNUMBER(CO168),ISNUMBER(CQ168),BY168=1),1,0)</f>
        <v>1</v>
      </c>
      <c r="CV168" s="16" t="n">
        <f aca="false">IF(CU168=0,"",CQ168*p_hr_coal*N(AK168)+CR168*p_hr_gas*N(AO168)+CS168*p_hr_oil*N(AH168)/p_gj_l_oil)</f>
        <v>138.990717238435</v>
      </c>
      <c r="CW168" s="37" t="n">
        <f aca="false">IF(CU168=0,"",CQ168*p_hr_coal*p_ef_coal+CR168*p_hr_gas*p_ef_gas+CS168*p_hr_oil*p_ef_oil)</f>
        <v>0.803140243902439</v>
      </c>
      <c r="CX168" s="16" t="n">
        <f aca="false">IF(CU168=0,"",CQ168*p_hr_coal*N(AW168)+CR168*p_hr_gas*N(AX168)+CS168*p_hr_oil*N(AY168)/p_gj_l_oil)</f>
        <v>0</v>
      </c>
      <c r="CY168" s="37" t="n">
        <f aca="false">IF(CU168=0,"",CO168*CW168)</f>
        <v>0.378491379310345</v>
      </c>
      <c r="CZ168" s="37" t="n">
        <f aca="false">IF(CU168=0,"",CT168*CO168*CV168/1000/1000-p_om_re)</f>
        <v>0.135737559588331</v>
      </c>
      <c r="DA168" s="37" t="n">
        <f aca="false">IF(CU168=0,"",CT168*CO168*CX168/1000/1000)</f>
        <v>0</v>
      </c>
      <c r="DB168" s="37" t="n">
        <f aca="false">IF(CU168=0,"",CT168*CO168*CW168/1000)</f>
        <v>0.871017883628512</v>
      </c>
      <c r="DC168" s="13" t="n">
        <f aca="false">IF(AND(CU168=1,ISNUMBER(AD168),ISNUMBER(AV168)),1,0)</f>
        <v>1</v>
      </c>
      <c r="DD168" s="7" t="n">
        <f aca="false">IF(DC168=0,"",p_ev_km*p_ice_l/100*AD168-p_ev_km*p_ev_kwh*AV168+p_ev_km*p_ev_maint)</f>
        <v>435.514725</v>
      </c>
      <c r="DE168" s="37" t="n">
        <f aca="false">IF(DC168=0,"",DD168/p_ev_prem)</f>
        <v>0.087102945</v>
      </c>
      <c r="DF168" s="37" t="n">
        <f aca="false">IF(DC168=0,"",p_ev_km*p_ice_l/100*N(AZ168)/p_ev_prem)</f>
        <v>0</v>
      </c>
      <c r="DG168" s="37" t="n">
        <f aca="false">IF(DC168=0,"",1000/p_ev_prem*(p_ev_km*p_ice_l/100*p_gj_l_gso*p_ef_gso-p_ev_km*p_ev_kwh/1000*CY168))</f>
        <v>0.328878155172414</v>
      </c>
      <c r="DH168" s="11" t="str">
        <f aca="false">IFERROR(IF(INDEX(Damodaran!$D:$D,MATCH(A168,Damodaran!$A:$A,0))="","",INDEX(Damodaran!$D:$D,MATCH(A168,Damodaran!$A:$A,0))),"")</f>
        <v/>
      </c>
      <c r="DI168" s="11" t="str">
        <f aca="false">IFERROR(IF(INDEX(Damodaran!$E:$E,MATCH(A168,Damodaran!$A:$A,0))="","",INDEX(Damodaran!$E:$E,MATCH(A168,Damodaran!$A:$A,0))),"")</f>
        <v/>
      </c>
      <c r="DJ168" s="11" t="str">
        <f aca="false">IFERROR(IF(INDEX(Damodaran!$G:$G,MATCH(A168,Damodaran!$A:$A,0))="","",INDEX(Damodaran!$G:$G,MATCH(A168,Damodaran!$A:$A,0))),"")</f>
        <v/>
      </c>
      <c r="DK168" s="11" t="str">
        <f aca="false">IF(ISNUMBER(BG168),(1+BG168/100)*(1+p_infl)-1,"")</f>
        <v/>
      </c>
      <c r="DL168" s="11" t="str">
        <f aca="false">IF(ISNUMBER(BH168),BH168/100,"")</f>
        <v/>
      </c>
      <c r="DM168" s="11" t="str">
        <f aca="false">IF(COUNT(DK168,DL168)=0,"",AVERAGE(DK168,DL168))</f>
        <v/>
      </c>
      <c r="DN168" s="11" t="str">
        <f aca="false">IF(OR(DH168="",DI168=""),"",p_dv*(p_rf+DH168)*(1-IF(DJ168="",p_tax_def,DJ168))+(1-p_dv)*(p_rf+p_beta*p_erp+p_lambda*DI168))</f>
        <v/>
      </c>
      <c r="DO168" s="13" t="n">
        <f aca="false">IF(AND(ISNUMBER(DM168),ISNUMBER(DN168)),1,0)</f>
        <v>0</v>
      </c>
      <c r="DP168" s="11" t="n">
        <f aca="false">IF(DO168=1,DM168,0)</f>
        <v>0</v>
      </c>
      <c r="DQ168" s="11" t="n">
        <f aca="false">IF(DO168=1,DN168,0)</f>
        <v>0</v>
      </c>
      <c r="DR168" s="11" t="str">
        <f aca="false">IF(DN168="","",DN168+p_shift)</f>
        <v/>
      </c>
      <c r="DS168" s="11" t="n">
        <f aca="false">IF(E168="AE",p_r_ae,IF(E168="China",p_r_chn,p_r_emdc))</f>
        <v>0.105</v>
      </c>
      <c r="DT168" s="11" t="n">
        <f aca="false">IF(E168="AE",p_rh_ae,IF(E168="China",p_rh_chn,p_rh_emdc))</f>
        <v>0.15</v>
      </c>
      <c r="DU168" s="11" t="n">
        <f aca="false">IF(AND(p_use_obs=1,ISNUMBER(DM168)),DM168,IF(AND(p_use_dam=1,ISNUMBER(DR168)),DR168,DS168))</f>
        <v>0.105</v>
      </c>
      <c r="DV168" s="6" t="str">
        <f aca="false">IF(AND(p_use_obs=1,ISNUMBER(DM168)),"Observed (IRENA/Steffen)",IF(AND(p_use_dam=1,ISNUMBER(DR168)),"Damodaran (eq. 5)","Group default (IHLEG)"))</f>
        <v>Group default (IHLEG)</v>
      </c>
      <c r="DW168" s="11" t="n">
        <f aca="false">IF(p_basis=1,(1+DU168)/(1+p_infl)-1,DU168)</f>
        <v>0.105</v>
      </c>
      <c r="DX168" s="11" t="n">
        <f aca="false">DW168+(DT168-DS168)</f>
        <v>0.15</v>
      </c>
      <c r="DY168" s="28" t="n">
        <f aca="false">IF(AND(p_use_pefa=1,ISNUMBER(BD168)),p_gap_lic-(BD168-1)/3*(p_gap_lic-p_gap_ae),IF(E168="AE",p_gap_ae,IF(D168="Low income",p_gap_lic,p_gap_em)))*(1-p_reform*p_reform_close)</f>
        <v>0.27</v>
      </c>
      <c r="DZ168" s="6" t="str">
        <f aca="false">IF(AND(p_use_pefa=1,ISNUMBER(BD168)),"PEFA PI-11","Income-group default (IMF 2015)")</f>
        <v>Income-group default (IMF 2015)</v>
      </c>
      <c r="EA168" s="28" t="n">
        <f aca="false">IF(E168="AE",p_ps_ae,IF(E168="China",p_ps_chn,p_ps_emdc))</f>
        <v>0.4</v>
      </c>
      <c r="EB168" s="37" t="n">
        <f aca="false">(1-EA168)+EA168/(1-DY168)</f>
        <v>1.14794520547945</v>
      </c>
      <c r="EC168" s="16" t="n">
        <f aca="false">Results_Country!F168</f>
        <v>0.522937507057544</v>
      </c>
      <c r="ED168" s="16" t="n">
        <f aca="false">IF(CH168="",0,CH168*EC168)</f>
        <v>95.3788155046517</v>
      </c>
      <c r="EE168" s="16" t="n">
        <f aca="false">IF(CJ168="",0,CJ168*EC168)</f>
        <v>0</v>
      </c>
      <c r="EF168" s="16" t="n">
        <f aca="false">IF(CH168="",0,EC168)</f>
        <v>0.522937507057544</v>
      </c>
    </row>
    <row r="169" customFormat="false" ht="15" hidden="false" customHeight="false" outlineLevel="0" collapsed="false">
      <c r="A169" s="35" t="s">
        <v>1095</v>
      </c>
      <c r="B169" s="35" t="s">
        <v>1096</v>
      </c>
      <c r="C169" s="35" t="s">
        <v>784</v>
      </c>
      <c r="D169" s="35" t="s">
        <v>760</v>
      </c>
      <c r="E169" s="35" t="s">
        <v>31</v>
      </c>
      <c r="F169" s="36" t="n">
        <v>4.285</v>
      </c>
      <c r="G169" s="36" t="n">
        <v>5.579</v>
      </c>
      <c r="H169" s="33" t="n">
        <v>5.608</v>
      </c>
      <c r="I169" s="33" t="n">
        <v>2.25</v>
      </c>
      <c r="J169" s="36" t="n">
        <v>0.108066</v>
      </c>
      <c r="K169" s="36" t="n">
        <v>0.429</v>
      </c>
      <c r="L169" s="36" t="n">
        <v>0.47</v>
      </c>
      <c r="M169" s="36" t="n">
        <v>0.47</v>
      </c>
      <c r="N169" s="36" t="n">
        <v>0.492676617736949</v>
      </c>
      <c r="O169" s="36" t="n">
        <v>0.370250922681183</v>
      </c>
      <c r="P169" s="36" t="n">
        <v>0</v>
      </c>
      <c r="Q169" s="31" t="n">
        <v>0</v>
      </c>
      <c r="R169" s="31" t="n">
        <v>0</v>
      </c>
      <c r="S169" s="31" t="n">
        <v>0</v>
      </c>
      <c r="T169" s="31" t="n">
        <v>0</v>
      </c>
      <c r="U169" s="31" t="n">
        <v>0</v>
      </c>
      <c r="V169" s="31" t="n">
        <v>0</v>
      </c>
      <c r="W169" s="31" t="n">
        <v>0</v>
      </c>
      <c r="X169" s="31" t="n">
        <v>0</v>
      </c>
      <c r="Y169" s="36" t="n">
        <v>0.0913933159389499</v>
      </c>
      <c r="Z169" s="36" t="n">
        <v>0.0281582386876291</v>
      </c>
      <c r="AA169" s="36" t="n">
        <v>0.0179193120589322</v>
      </c>
      <c r="AB169" s="36" t="n">
        <v>1.10996818663837E-006</v>
      </c>
      <c r="AC169" s="36" t="n">
        <v>0.277888641005555</v>
      </c>
      <c r="AD169" s="31" t="n">
        <v>0.766698</v>
      </c>
      <c r="AE169" s="31" t="n">
        <v>0.658405</v>
      </c>
      <c r="AF169" s="31" t="n">
        <v>0.540657</v>
      </c>
      <c r="AG169" s="31" t="n">
        <v>0.568</v>
      </c>
      <c r="AH169" s="31" t="n">
        <v>0.51956785630221</v>
      </c>
      <c r="AI169" s="31" t="n">
        <v>7.124</v>
      </c>
      <c r="AJ169" s="31" t="n">
        <v>12.375895</v>
      </c>
      <c r="AK169" s="31" t="n">
        <v>5.575</v>
      </c>
      <c r="AL169" s="31" t="n">
        <v>8.35829833333333</v>
      </c>
      <c r="AM169" s="31" t="n">
        <v>8.176</v>
      </c>
      <c r="AN169" s="31" t="n">
        <v>16.35977</v>
      </c>
      <c r="AO169" s="31" t="n">
        <v>6.853</v>
      </c>
      <c r="AP169" s="31" t="n">
        <v>10.4629233333333</v>
      </c>
      <c r="AQ169" s="36" t="s">
        <v>844</v>
      </c>
      <c r="AR169" s="36" t="s">
        <v>844</v>
      </c>
      <c r="AS169" s="36" t="s">
        <v>844</v>
      </c>
      <c r="AT169" s="36" t="s">
        <v>844</v>
      </c>
      <c r="AU169" s="31" t="n">
        <v>0.292267357516665</v>
      </c>
      <c r="AV169" s="36" t="n">
        <v>0.234862</v>
      </c>
      <c r="AW169" s="31" t="s">
        <v>844</v>
      </c>
      <c r="AX169" s="31" t="s">
        <v>844</v>
      </c>
      <c r="AY169" s="31" t="s">
        <v>844</v>
      </c>
      <c r="AZ169" s="31" t="s">
        <v>844</v>
      </c>
      <c r="BA169" s="33" t="n">
        <v>68.646</v>
      </c>
      <c r="BB169" s="33" t="n">
        <v>16.586</v>
      </c>
      <c r="BC169" s="33"/>
      <c r="BD169" s="33"/>
      <c r="BE169" s="33"/>
      <c r="BF169" s="33" t="n">
        <v>0</v>
      </c>
      <c r="BG169" s="33"/>
      <c r="BH169" s="33"/>
      <c r="BI169" s="29"/>
      <c r="BJ169" s="33"/>
      <c r="BK169" s="33"/>
      <c r="BL169" s="33"/>
      <c r="BM169" s="33"/>
      <c r="BN169" s="29"/>
      <c r="BO169" s="33"/>
      <c r="BP169" s="33"/>
      <c r="BQ169" s="29" t="n">
        <v>2024</v>
      </c>
      <c r="BR169" s="36" t="n">
        <v>1</v>
      </c>
      <c r="BS169" s="36" t="n">
        <v>0</v>
      </c>
      <c r="BT169" s="36" t="n">
        <v>0</v>
      </c>
      <c r="BU169" s="36" t="n">
        <v>0.83</v>
      </c>
      <c r="BV169" s="16" t="n">
        <f aca="false">F169*(1+N(H169)/100)*(1+N(I169)/100)^5</f>
        <v>5.0578299957203</v>
      </c>
      <c r="BW169" s="16" t="n">
        <f aca="false">IF(N(G169)&gt;0,G169,F169)</f>
        <v>5.579</v>
      </c>
      <c r="BX169" s="12" t="n">
        <f aca="false">F169/BW169</f>
        <v>0.76805879189819</v>
      </c>
      <c r="BY169" s="13" t="n">
        <f aca="false">IF(ISNUMBER(K169),1,0)</f>
        <v>1</v>
      </c>
      <c r="BZ169" s="16" t="n">
        <f aca="false">IF(BY169=0,"",N(N169)+N(O169)+N(P169))</f>
        <v>0.862927540418131</v>
      </c>
      <c r="CA169" s="37" t="n">
        <f aca="false">IF(BY169=0,"",(N(Y169)*34.2+N(Z169)*38.6)/1000)</f>
        <v>0.00421255941845457</v>
      </c>
      <c r="CB169" s="37" t="n">
        <f aca="false">IF(BY169=0,"",N(O169)*0.0036+N(R169)+N(V169)+(N(AA169)*25.3+N(AB169)*37)/1000)</f>
        <v>0.00178630298556615</v>
      </c>
      <c r="CC169" s="37" t="n">
        <f aca="false">IF(BY169=0,"",N(N169)*0.0036+N(Q169)+N(U169)+N(T169)+N(X169)+N(AC169)*38/1000)</f>
        <v>0.0123334041820641</v>
      </c>
      <c r="CD169" s="37" t="n">
        <f aca="false">IF(BY169=0,"",N(Q169)+N(R169)+N(S169)+N(T169)+N(U169)+N(V169)+N(W169)+N(X169)+(N(Y169)*34.2+N(Z169)*38.6+N(AA169)*25.3+N(AB169)*37+N(AC169)*38)/1000)</f>
        <v>0.0152257274405795</v>
      </c>
      <c r="CE169" s="16" t="n">
        <f aca="false">IF(BY169=0,"",MAX(0,N(L169)-N(K169))+MAX(0,N(M169)-N(L169)))</f>
        <v>0.041</v>
      </c>
      <c r="CF169" s="16" t="n">
        <f aca="false">IF(BY169=0,"",N(Y169)*N(AD169)+N(Z169)*N(AE169)+N(AA169)*N(AF169)+N(AB169)*N(AG169)+N(AC169)*N(AH169)+N(U169)*N(AI169)+N(V169)*N(AJ169)+N(W169)*N(AK169)+N(X169)*N(AL169)+N(Q169)*N(AM169)+N(R169)*N(AN169)+N(S169)*N(AO169)+N(T169)*N(AP169))</f>
        <v>0.242681435146656</v>
      </c>
      <c r="CG169" s="16" t="n">
        <f aca="false">IF(AND(BY169=1,N(K169)&gt;0),K169,0)</f>
        <v>0.429</v>
      </c>
      <c r="CH169" s="16" t="n">
        <f aca="false">IF(CG169&gt;0,CF169*1000/CG169,"")</f>
        <v>565.690991017847</v>
      </c>
      <c r="CI169" s="16" t="n">
        <f aca="false">IF(BY169=0,"",N(AQ169)+p_road*(N(AR169)+N(AS169)+N(AT169)))</f>
        <v>0</v>
      </c>
      <c r="CJ169" s="16" t="n">
        <f aca="false">IF(CG169&gt;0,CI169*1000/CG169,"")</f>
        <v>0</v>
      </c>
      <c r="CK169" s="12" t="n">
        <f aca="false">IF(CH169="",1,MIN(p_idx_max,MAX(p_idx_min,CH169/p_fc_world)))</f>
        <v>3.51344835909275</v>
      </c>
      <c r="CL169" s="12" t="n">
        <f aca="false">IF(CJ169="",1,MIN(p_idx_max,MAX(p_idx_min,CJ169/p_cb_world)))</f>
        <v>0.25</v>
      </c>
      <c r="CM169" s="37" t="n">
        <f aca="false">p_b*(1-p_wb_idx+p_wb_idx*CK169)</f>
        <v>0.467288631759336</v>
      </c>
      <c r="CN169" s="37" t="n">
        <f aca="false">p_c*(1-p_wc_idx+p_wc_idx*CL169)</f>
        <v>0.03225</v>
      </c>
      <c r="CO169" s="28" t="n">
        <f aca="false">IF(N(BR169)&gt;0,(N(BS169)+N(BT169)+N(BU169))/BR169,"")</f>
        <v>0.83</v>
      </c>
      <c r="CP169" s="16" t="n">
        <f aca="false">N(BS169)+N(BT169)+N(BU169)</f>
        <v>0.83</v>
      </c>
      <c r="CQ169" s="28" t="n">
        <f aca="false">IF(CP169&gt;0,N(BS169)/CP169,"")</f>
        <v>0</v>
      </c>
      <c r="CR169" s="28" t="n">
        <f aca="false">IF(CP169&gt;0,N(BT169)/CP169,"")</f>
        <v>0</v>
      </c>
      <c r="CS169" s="28" t="n">
        <f aca="false">IF(CP169&gt;0,N(BU169)/CP169,"")</f>
        <v>1</v>
      </c>
      <c r="CT169" s="7" t="n">
        <f aca="false">1000*(p_sh_pv*p_cf_pv/p_capex_pv+(1-p_sh_pv)*p_cf_wind/p_capex_wind)*8760</f>
        <v>2301.28856624319</v>
      </c>
      <c r="CU169" s="13" t="n">
        <f aca="false">IF(AND(ISNUMBER(CO169),ISNUMBER(CQ169),BY169=1),1,0)</f>
        <v>1</v>
      </c>
      <c r="CV169" s="16" t="n">
        <f aca="false">IF(CU169=0,"",CQ169*p_hr_coal*N(AK169)+CR169*p_hr_gas*N(AO169)+CS169*p_hr_oil*N(AH169)/p_gj_l_oil)</f>
        <v>141.333225159928</v>
      </c>
      <c r="CW169" s="37" t="n">
        <f aca="false">IF(CU169=0,"",CQ169*p_hr_coal*p_ef_coal+CR169*p_hr_gas*p_ef_gas+CS169*p_hr_oil*p_ef_oil)</f>
        <v>0.8127</v>
      </c>
      <c r="CX169" s="16" t="n">
        <f aca="false">IF(CU169=0,"",CQ169*p_hr_coal*N(AW169)+CR169*p_hr_gas*N(AX169)+CS169*p_hr_oil*N(AY169)/p_gj_l_oil)</f>
        <v>0</v>
      </c>
      <c r="CY169" s="37" t="n">
        <f aca="false">IF(CU169=0,"",CO169*CW169)</f>
        <v>0.674541</v>
      </c>
      <c r="CZ169" s="37" t="n">
        <f aca="false">IF(CU169=0,"",CT169*CO169*CV169/1000/1000-p_om_re)</f>
        <v>0.254956284125378</v>
      </c>
      <c r="DA169" s="37" t="n">
        <f aca="false">IF(CU169=0,"",CT169*CO169*CX169/1000/1000)</f>
        <v>0</v>
      </c>
      <c r="DB169" s="37" t="n">
        <f aca="false">IF(CU169=0,"",CT169*CO169*CW169/1000)</f>
        <v>1.55231349076225</v>
      </c>
      <c r="DC169" s="13" t="n">
        <f aca="false">IF(AND(CU169=1,ISNUMBER(AD169),ISNUMBER(AV169)),1,0)</f>
        <v>1</v>
      </c>
      <c r="DD169" s="7" t="n">
        <f aca="false">IF(DC169=0,"",p_ev_km*p_ice_l/100*AD169-p_ev_km*p_ev_kwh*AV169+p_ev_km*p_ev_maint)</f>
        <v>408.40785</v>
      </c>
      <c r="DE169" s="37" t="n">
        <f aca="false">IF(DC169=0,"",DD169/p_ev_prem)</f>
        <v>0.08168157</v>
      </c>
      <c r="DF169" s="37" t="n">
        <f aca="false">IF(DC169=0,"",p_ev_km*p_ice_l/100*N(AZ169)/p_ev_prem)</f>
        <v>0</v>
      </c>
      <c r="DG169" s="37" t="n">
        <f aca="false">IF(DC169=0,"",1000/p_ev_prem*(p_ev_km*p_ice_l/100*p_gj_l_gso*p_ef_gso-p_ev_km*p_ev_kwh/1000*CY169))</f>
        <v>0.16901136</v>
      </c>
      <c r="DH169" s="11" t="str">
        <f aca="false">IFERROR(IF(INDEX(Damodaran!$D:$D,MATCH(A169,Damodaran!$A:$A,0))="","",INDEX(Damodaran!$D:$D,MATCH(A169,Damodaran!$A:$A,0))),"")</f>
        <v/>
      </c>
      <c r="DI169" s="11" t="str">
        <f aca="false">IFERROR(IF(INDEX(Damodaran!$E:$E,MATCH(A169,Damodaran!$A:$A,0))="","",INDEX(Damodaran!$E:$E,MATCH(A169,Damodaran!$A:$A,0))),"")</f>
        <v/>
      </c>
      <c r="DJ169" s="11" t="str">
        <f aca="false">IFERROR(IF(INDEX(Damodaran!$G:$G,MATCH(A169,Damodaran!$A:$A,0))="","",INDEX(Damodaran!$G:$G,MATCH(A169,Damodaran!$A:$A,0))),"")</f>
        <v/>
      </c>
      <c r="DK169" s="11" t="str">
        <f aca="false">IF(ISNUMBER(BG169),(1+BG169/100)*(1+p_infl)-1,"")</f>
        <v/>
      </c>
      <c r="DL169" s="11" t="str">
        <f aca="false">IF(ISNUMBER(BH169),BH169/100,"")</f>
        <v/>
      </c>
      <c r="DM169" s="11" t="str">
        <f aca="false">IF(COUNT(DK169,DL169)=0,"",AVERAGE(DK169,DL169))</f>
        <v/>
      </c>
      <c r="DN169" s="11" t="str">
        <f aca="false">IF(OR(DH169="",DI169=""),"",p_dv*(p_rf+DH169)*(1-IF(DJ169="",p_tax_def,DJ169))+(1-p_dv)*(p_rf+p_beta*p_erp+p_lambda*DI169))</f>
        <v/>
      </c>
      <c r="DO169" s="13" t="n">
        <f aca="false">IF(AND(ISNUMBER(DM169),ISNUMBER(DN169)),1,0)</f>
        <v>0</v>
      </c>
      <c r="DP169" s="11" t="n">
        <f aca="false">IF(DO169=1,DM169,0)</f>
        <v>0</v>
      </c>
      <c r="DQ169" s="11" t="n">
        <f aca="false">IF(DO169=1,DN169,0)</f>
        <v>0</v>
      </c>
      <c r="DR169" s="11" t="str">
        <f aca="false">IF(DN169="","",DN169+p_shift)</f>
        <v/>
      </c>
      <c r="DS169" s="11" t="n">
        <f aca="false">IF(E169="AE",p_r_ae,IF(E169="China",p_r_chn,p_r_emdc))</f>
        <v>0.105</v>
      </c>
      <c r="DT169" s="11" t="n">
        <f aca="false">IF(E169="AE",p_rh_ae,IF(E169="China",p_rh_chn,p_rh_emdc))</f>
        <v>0.15</v>
      </c>
      <c r="DU169" s="11" t="n">
        <f aca="false">IF(AND(p_use_obs=1,ISNUMBER(DM169)),DM169,IF(AND(p_use_dam=1,ISNUMBER(DR169)),DR169,DS169))</f>
        <v>0.105</v>
      </c>
      <c r="DV169" s="6" t="str">
        <f aca="false">IF(AND(p_use_obs=1,ISNUMBER(DM169)),"Observed (IRENA/Steffen)",IF(AND(p_use_dam=1,ISNUMBER(DR169)),"Damodaran (eq. 5)","Group default (IHLEG)"))</f>
        <v>Group default (IHLEG)</v>
      </c>
      <c r="DW169" s="11" t="n">
        <f aca="false">IF(p_basis=1,(1+DU169)/(1+p_infl)-1,DU169)</f>
        <v>0.105</v>
      </c>
      <c r="DX169" s="11" t="n">
        <f aca="false">DW169+(DT169-DS169)</f>
        <v>0.15</v>
      </c>
      <c r="DY169" s="28" t="n">
        <f aca="false">IF(AND(p_use_pefa=1,ISNUMBER(BD169)),p_gap_lic-(BD169-1)/3*(p_gap_lic-p_gap_ae),IF(E169="AE",p_gap_ae,IF(D169="Low income",p_gap_lic,p_gap_em)))*(1-p_reform*p_reform_close)</f>
        <v>0.27</v>
      </c>
      <c r="DZ169" s="6" t="str">
        <f aca="false">IF(AND(p_use_pefa=1,ISNUMBER(BD169)),"PEFA PI-11","Income-group default (IMF 2015)")</f>
        <v>Income-group default (IMF 2015)</v>
      </c>
      <c r="EA169" s="28" t="n">
        <f aca="false">IF(E169="AE",p_ps_ae,IF(E169="China",p_ps_chn,p_ps_emdc))</f>
        <v>0.4</v>
      </c>
      <c r="EB169" s="37" t="n">
        <f aca="false">(1-EA169)+EA169/(1-DY169)</f>
        <v>1.14794520547945</v>
      </c>
      <c r="EC169" s="16" t="n">
        <f aca="false">Results_Country!F169</f>
        <v>0.221048096406507</v>
      </c>
      <c r="ED169" s="16" t="n">
        <f aca="false">IF(CH169="",0,CH169*EC169)</f>
        <v>125.044916718806</v>
      </c>
      <c r="EE169" s="16" t="n">
        <f aca="false">IF(CJ169="",0,CJ169*EC169)</f>
        <v>0</v>
      </c>
      <c r="EF169" s="16" t="n">
        <f aca="false">IF(CH169="",0,EC169)</f>
        <v>0.221048096406507</v>
      </c>
    </row>
    <row r="170" customFormat="false" ht="15" hidden="false" customHeight="false" outlineLevel="0" collapsed="false">
      <c r="A170" s="35" t="s">
        <v>1097</v>
      </c>
      <c r="B170" s="35" t="s">
        <v>1098</v>
      </c>
      <c r="C170" s="35" t="s">
        <v>799</v>
      </c>
      <c r="D170" s="35" t="s">
        <v>771</v>
      </c>
      <c r="E170" s="35" t="s">
        <v>31</v>
      </c>
      <c r="F170" s="36" t="n">
        <v>4.152</v>
      </c>
      <c r="G170" s="36" t="n">
        <v>9.141</v>
      </c>
      <c r="H170" s="33" t="n">
        <v>6</v>
      </c>
      <c r="I170" s="33" t="n">
        <v>6</v>
      </c>
      <c r="J170" s="36" t="n">
        <v>1.168722</v>
      </c>
      <c r="K170" s="36" t="n">
        <v>0.776</v>
      </c>
      <c r="L170" s="36" t="n">
        <v>2.266</v>
      </c>
      <c r="M170" s="36" t="n">
        <v>2.266</v>
      </c>
      <c r="N170" s="36" t="n">
        <v>0.26737517150985</v>
      </c>
      <c r="O170" s="36" t="n">
        <v>0.405367379813838</v>
      </c>
      <c r="P170" s="36" t="n">
        <v>0</v>
      </c>
      <c r="Q170" s="31" t="n">
        <v>0</v>
      </c>
      <c r="R170" s="31" t="n">
        <v>0</v>
      </c>
      <c r="S170" s="31" t="n">
        <v>0</v>
      </c>
      <c r="T170" s="31" t="n">
        <v>0</v>
      </c>
      <c r="U170" s="31" t="n">
        <v>0</v>
      </c>
      <c r="V170" s="31" t="n">
        <v>0</v>
      </c>
      <c r="W170" s="31" t="n">
        <v>0</v>
      </c>
      <c r="X170" s="31" t="n">
        <v>0</v>
      </c>
      <c r="Y170" s="36" t="n">
        <v>0.0237043590923542</v>
      </c>
      <c r="Z170" s="36" t="n">
        <v>0.044462139280611</v>
      </c>
      <c r="AA170" s="36" t="n">
        <v>0.030312385762769</v>
      </c>
      <c r="AB170" s="36" t="n">
        <v>0.00872105648385476</v>
      </c>
      <c r="AC170" s="36" t="n">
        <v>0.0497551721267515</v>
      </c>
      <c r="AD170" s="31" t="n">
        <v>0.792</v>
      </c>
      <c r="AE170" s="31" t="n">
        <v>0.752116</v>
      </c>
      <c r="AF170" s="31" t="n">
        <v>0.537479</v>
      </c>
      <c r="AG170" s="31" t="n">
        <v>0.7172</v>
      </c>
      <c r="AH170" s="31" t="n">
        <v>0.543345306509142</v>
      </c>
      <c r="AI170" s="31" t="n">
        <v>7.124</v>
      </c>
      <c r="AJ170" s="31" t="n">
        <v>13.4123</v>
      </c>
      <c r="AK170" s="31" t="n">
        <v>5.575</v>
      </c>
      <c r="AL170" s="31" t="n">
        <v>8.70376666666667</v>
      </c>
      <c r="AM170" s="31" t="n">
        <v>7.059</v>
      </c>
      <c r="AN170" s="31" t="n">
        <v>16.5</v>
      </c>
      <c r="AO170" s="31" t="n">
        <v>5.735</v>
      </c>
      <c r="AP170" s="31" t="n">
        <v>9.76466666666667</v>
      </c>
      <c r="AQ170" s="36" t="n">
        <v>-0.00749284293392442</v>
      </c>
      <c r="AR170" s="36" t="n">
        <v>0.000945780608387082</v>
      </c>
      <c r="AS170" s="36" t="n">
        <v>0.0113437728928303</v>
      </c>
      <c r="AT170" s="36" t="n">
        <v>0.00258787212308654</v>
      </c>
      <c r="AU170" s="31" t="n">
        <v>0.464992813186938</v>
      </c>
      <c r="AV170" s="36" t="n">
        <v>0.267353</v>
      </c>
      <c r="AW170" s="31" t="n">
        <v>0.297268</v>
      </c>
      <c r="AX170" s="31" t="n">
        <v>0.000842</v>
      </c>
      <c r="AY170" s="31" t="n">
        <v>-0.171620299273903</v>
      </c>
      <c r="AZ170" s="31" t="n">
        <v>0.001967</v>
      </c>
      <c r="BA170" s="33" t="n">
        <v>33.957</v>
      </c>
      <c r="BB170" s="33" t="n">
        <v>1.353</v>
      </c>
      <c r="BC170" s="33"/>
      <c r="BD170" s="33" t="n">
        <v>2.5</v>
      </c>
      <c r="BE170" s="33" t="n">
        <v>2</v>
      </c>
      <c r="BF170" s="33" t="n">
        <v>0</v>
      </c>
      <c r="BG170" s="33"/>
      <c r="BH170" s="33"/>
      <c r="BI170" s="29"/>
      <c r="BJ170" s="33"/>
      <c r="BK170" s="33"/>
      <c r="BL170" s="33"/>
      <c r="BM170" s="33"/>
      <c r="BN170" s="29" t="n">
        <v>23.191</v>
      </c>
      <c r="BO170" s="33" t="n">
        <v>0.178</v>
      </c>
      <c r="BP170" s="33" t="n">
        <v>0.737</v>
      </c>
      <c r="BQ170" s="29" t="n">
        <v>2024</v>
      </c>
      <c r="BR170" s="36" t="n">
        <v>0.2</v>
      </c>
      <c r="BS170" s="36" t="n">
        <v>0</v>
      </c>
      <c r="BT170" s="36" t="n">
        <v>0</v>
      </c>
      <c r="BU170" s="36" t="n">
        <v>0.13</v>
      </c>
      <c r="BV170" s="16" t="n">
        <f aca="false">F170*(1+N(H170)/100)*(1+N(I170)/100)^5</f>
        <v>5.88969135408691</v>
      </c>
      <c r="BW170" s="16" t="n">
        <f aca="false">IF(N(G170)&gt;0,G170,F170)</f>
        <v>9.141</v>
      </c>
      <c r="BX170" s="12" t="n">
        <f aca="false">F170/BW170</f>
        <v>0.454217262881523</v>
      </c>
      <c r="BY170" s="13" t="n">
        <f aca="false">IF(ISNUMBER(K170),1,0)</f>
        <v>1</v>
      </c>
      <c r="BZ170" s="16" t="n">
        <f aca="false">IF(BY170=0,"",N(N170)+N(O170)+N(P170))</f>
        <v>0.672742551323688</v>
      </c>
      <c r="CA170" s="37" t="n">
        <f aca="false">IF(BY170=0,"",(N(Y170)*34.2+N(Z170)*38.6)/1000)</f>
        <v>0.0025269276571901</v>
      </c>
      <c r="CB170" s="37" t="n">
        <f aca="false">IF(BY170=0,"",N(O170)*0.0036+N(R170)+N(V170)+(N(AA170)*25.3+N(AB170)*37)/1000)</f>
        <v>0.0025489050170305</v>
      </c>
      <c r="CC170" s="37" t="n">
        <f aca="false">IF(BY170=0,"",N(N170)*0.0036+N(Q170)+N(U170)+N(T170)+N(X170)+N(AC170)*38/1000)</f>
        <v>0.00285324715825202</v>
      </c>
      <c r="CD170" s="37" t="n">
        <f aca="false">IF(BY170=0,"",N(Q170)+N(R170)+N(S170)+N(T170)+N(U170)+N(V170)+N(W170)+N(X170)+(N(Y170)*34.2+N(Z170)*38.6+N(AA170)*25.3+N(AB170)*37+N(AC170)*38)/1000)</f>
        <v>0.00550720664770733</v>
      </c>
      <c r="CE170" s="16" t="n">
        <f aca="false">IF(BY170=0,"",MAX(0,N(L170)-N(K170))+MAX(0,N(M170)-N(L170)))</f>
        <v>1.49</v>
      </c>
      <c r="CF170" s="16" t="n">
        <f aca="false">IF(BY170=0,"",N(Y170)*N(AD170)+N(Z170)*N(AE170)+N(AA170)*N(AF170)+N(AB170)*N(AG170)+N(AC170)*N(AH170)+N(U170)*N(AI170)+N(V170)*N(AJ170)+N(W170)*N(AK170)+N(X170)*N(AL170)+N(Q170)*N(AM170)+N(R170)*N(AN170)+N(S170)*N(AO170)+N(T170)*N(AP170))</f>
        <v>0.101795790495553</v>
      </c>
      <c r="CG170" s="16" t="n">
        <f aca="false">IF(AND(BY170=1,N(K170)&gt;0),K170,0)</f>
        <v>0.776</v>
      </c>
      <c r="CH170" s="16" t="n">
        <f aca="false">IF(CG170&gt;0,CF170*1000/CG170,"")</f>
        <v>131.180142391177</v>
      </c>
      <c r="CI170" s="16" t="n">
        <f aca="false">IF(BY170=0,"",N(AQ170)+p_road*(N(AR170)+N(AS170)+N(AT170)))</f>
        <v>-0.00749284293392442</v>
      </c>
      <c r="CJ170" s="16" t="n">
        <f aca="false">IF(CG170&gt;0,CI170*1000/CG170,"")</f>
        <v>-9.65572543031497</v>
      </c>
      <c r="CK170" s="12" t="n">
        <f aca="false">IF(CH170="",1,MIN(p_idx_max,MAX(p_idx_min,CH170/p_fc_world)))</f>
        <v>0.814746325021983</v>
      </c>
      <c r="CL170" s="12" t="n">
        <f aca="false">IF(CJ170="",1,MIN(p_idx_max,MAX(p_idx_min,CJ170/p_cb_world)))</f>
        <v>0.25</v>
      </c>
      <c r="CM170" s="37" t="n">
        <f aca="false">p_b*(1-p_wb_idx+p_wb_idx*CK170)</f>
        <v>0.108361261227924</v>
      </c>
      <c r="CN170" s="37" t="n">
        <f aca="false">p_c*(1-p_wc_idx+p_wc_idx*CL170)</f>
        <v>0.03225</v>
      </c>
      <c r="CO170" s="28" t="n">
        <f aca="false">IF(N(BR170)&gt;0,(N(BS170)+N(BT170)+N(BU170))/BR170,"")</f>
        <v>0.65</v>
      </c>
      <c r="CP170" s="16" t="n">
        <f aca="false">N(BS170)+N(BT170)+N(BU170)</f>
        <v>0.13</v>
      </c>
      <c r="CQ170" s="28" t="n">
        <f aca="false">IF(CP170&gt;0,N(BS170)/CP170,"")</f>
        <v>0</v>
      </c>
      <c r="CR170" s="28" t="n">
        <f aca="false">IF(CP170&gt;0,N(BT170)/CP170,"")</f>
        <v>0</v>
      </c>
      <c r="CS170" s="28" t="n">
        <f aca="false">IF(CP170&gt;0,N(BU170)/CP170,"")</f>
        <v>1</v>
      </c>
      <c r="CT170" s="7" t="n">
        <f aca="false">1000*(p_sh_pv*p_cf_pv/p_capex_pv+(1-p_sh_pv)*p_cf_wind/p_capex_wind)*8760</f>
        <v>2301.28856624319</v>
      </c>
      <c r="CU170" s="13" t="n">
        <f aca="false">IF(AND(ISNUMBER(CO170),ISNUMBER(CQ170),BY170=1),1,0)</f>
        <v>1</v>
      </c>
      <c r="CV170" s="16" t="n">
        <f aca="false">IF(CU170=0,"",CQ170*p_hr_coal*N(AK170)+CR170*p_hr_gas*N(AO170)+CS170*p_hr_oil*N(AH170)/p_gj_l_oil)</f>
        <v>147.801184413109</v>
      </c>
      <c r="CW170" s="37" t="n">
        <f aca="false">IF(CU170=0,"",CQ170*p_hr_coal*p_ef_coal+CR170*p_hr_gas*p_ef_gas+CS170*p_hr_oil*p_ef_oil)</f>
        <v>0.8127</v>
      </c>
      <c r="CX170" s="16" t="n">
        <f aca="false">IF(CU170=0,"",CQ170*p_hr_coal*N(AW170)+CR170*p_hr_gas*N(AX170)+CS170*p_hr_oil*N(AY170)/p_gj_l_oil)</f>
        <v>-46.6842782998958</v>
      </c>
      <c r="CY170" s="37" t="n">
        <f aca="false">IF(CU170=0,"",CO170*CW170)</f>
        <v>0.528255</v>
      </c>
      <c r="CZ170" s="37" t="n">
        <f aca="false">IF(CU170=0,"",CT170*CO170*CV170/1000/1000-p_om_re)</f>
        <v>0.206086564248608</v>
      </c>
      <c r="DA170" s="37" t="n">
        <f aca="false">IF(CU170=0,"",CT170*CO170*CX170/1000/1000)</f>
        <v>-0.0698320973186626</v>
      </c>
      <c r="DB170" s="37" t="n">
        <f aca="false">IF(CU170=0,"",CT170*CO170*CW170/1000)</f>
        <v>1.2156671915608</v>
      </c>
      <c r="DC170" s="13" t="n">
        <f aca="false">IF(AND(CU170=1,ISNUMBER(AD170),ISNUMBER(AV170)),1,0)</f>
        <v>1</v>
      </c>
      <c r="DD170" s="7" t="n">
        <f aca="false">IF(DC170=0,"",p_ev_km*p_ice_l/100*AD170-p_ev_km*p_ev_kwh*AV170+p_ev_km*p_ev_maint)</f>
        <v>349.1469</v>
      </c>
      <c r="DE170" s="37" t="n">
        <f aca="false">IF(DC170=0,"",DD170/p_ev_prem)</f>
        <v>0.06982938</v>
      </c>
      <c r="DF170" s="37" t="n">
        <f aca="false">IF(DC170=0,"",p_ev_km*p_ice_l/100*N(AZ170)/p_ev_prem)</f>
        <v>0.000442575</v>
      </c>
      <c r="DG170" s="37" t="n">
        <f aca="false">IF(DC170=0,"",1000/p_ev_prem*(p_ev_km*p_ice_l/100*p_gj_l_gso*p_ef_gso-p_ev_km*p_ev_kwh/1000*CY170))</f>
        <v>0.2480058</v>
      </c>
      <c r="DH170" s="11" t="str">
        <f aca="false">IFERROR(IF(INDEX(Damodaran!$D:$D,MATCH(A170,Damodaran!$A:$A,0))="","",INDEX(Damodaran!$D:$D,MATCH(A170,Damodaran!$A:$A,0))),"")</f>
        <v/>
      </c>
      <c r="DI170" s="11" t="str">
        <f aca="false">IFERROR(IF(INDEX(Damodaran!$E:$E,MATCH(A170,Damodaran!$A:$A,0))="","",INDEX(Damodaran!$E:$E,MATCH(A170,Damodaran!$A:$A,0))),"")</f>
        <v/>
      </c>
      <c r="DJ170" s="11" t="str">
        <f aca="false">IFERROR(IF(INDEX(Damodaran!$G:$G,MATCH(A170,Damodaran!$A:$A,0))="","",INDEX(Damodaran!$G:$G,MATCH(A170,Damodaran!$A:$A,0))),"")</f>
        <v/>
      </c>
      <c r="DK170" s="11" t="str">
        <f aca="false">IF(ISNUMBER(BG170),(1+BG170/100)*(1+p_infl)-1,"")</f>
        <v/>
      </c>
      <c r="DL170" s="11" t="str">
        <f aca="false">IF(ISNUMBER(BH170),BH170/100,"")</f>
        <v/>
      </c>
      <c r="DM170" s="11" t="str">
        <f aca="false">IF(COUNT(DK170,DL170)=0,"",AVERAGE(DK170,DL170))</f>
        <v/>
      </c>
      <c r="DN170" s="11" t="str">
        <f aca="false">IF(OR(DH170="",DI170=""),"",p_dv*(p_rf+DH170)*(1-IF(DJ170="",p_tax_def,DJ170))+(1-p_dv)*(p_rf+p_beta*p_erp+p_lambda*DI170))</f>
        <v/>
      </c>
      <c r="DO170" s="13" t="n">
        <f aca="false">IF(AND(ISNUMBER(DM170),ISNUMBER(DN170)),1,0)</f>
        <v>0</v>
      </c>
      <c r="DP170" s="11" t="n">
        <f aca="false">IF(DO170=1,DM170,0)</f>
        <v>0</v>
      </c>
      <c r="DQ170" s="11" t="n">
        <f aca="false">IF(DO170=1,DN170,0)</f>
        <v>0</v>
      </c>
      <c r="DR170" s="11" t="str">
        <f aca="false">IF(DN170="","",DN170+p_shift)</f>
        <v/>
      </c>
      <c r="DS170" s="11" t="n">
        <f aca="false">IF(E170="AE",p_r_ae,IF(E170="China",p_r_chn,p_r_emdc))</f>
        <v>0.105</v>
      </c>
      <c r="DT170" s="11" t="n">
        <f aca="false">IF(E170="AE",p_rh_ae,IF(E170="China",p_rh_chn,p_rh_emdc))</f>
        <v>0.15</v>
      </c>
      <c r="DU170" s="11" t="n">
        <f aca="false">IF(AND(p_use_obs=1,ISNUMBER(DM170)),DM170,IF(AND(p_use_dam=1,ISNUMBER(DR170)),DR170,DS170))</f>
        <v>0.105</v>
      </c>
      <c r="DV170" s="6" t="str">
        <f aca="false">IF(AND(p_use_obs=1,ISNUMBER(DM170)),"Observed (IRENA/Steffen)",IF(AND(p_use_dam=1,ISNUMBER(DR170)),"Damodaran (eq. 5)","Group default (IHLEG)"))</f>
        <v>Group default (IHLEG)</v>
      </c>
      <c r="DW170" s="11" t="n">
        <f aca="false">IF(p_basis=1,(1+DU170)/(1+p_infl)-1,DU170)</f>
        <v>0.105</v>
      </c>
      <c r="DX170" s="11" t="n">
        <f aca="false">DW170+(DT170-DS170)</f>
        <v>0.15</v>
      </c>
      <c r="DY170" s="28" t="n">
        <f aca="false">IF(AND(p_use_pefa=1,ISNUMBER(BD170)),p_gap_lic-(BD170-1)/3*(p_gap_lic-p_gap_ae),IF(E170="AE",p_gap_ae,IF(D170="Low income",p_gap_lic,p_gap_em)))*(1-p_reform*p_reform_close)</f>
        <v>0.265</v>
      </c>
      <c r="DZ170" s="6" t="str">
        <f aca="false">IF(AND(p_use_pefa=1,ISNUMBER(BD170)),"PEFA PI-11","Income-group default (IMF 2015)")</f>
        <v>PEFA PI-11</v>
      </c>
      <c r="EA170" s="28" t="n">
        <f aca="false">IF(E170="AE",p_ps_ae,IF(E170="China",p_ps_chn,p_ps_emdc))</f>
        <v>0.4</v>
      </c>
      <c r="EB170" s="37" t="n">
        <f aca="false">(1-EA170)+EA170/(1-DY170)</f>
        <v>1.14421768707483</v>
      </c>
      <c r="EC170" s="16" t="n">
        <f aca="false">Results_Country!F170</f>
        <v>0.217116779814618</v>
      </c>
      <c r="ED170" s="16" t="n">
        <f aca="false">IF(CH170="",0,CH170*EC170)</f>
        <v>28.4814100915954</v>
      </c>
      <c r="EE170" s="16" t="n">
        <f aca="false">IF(CJ170="",0,CJ170*EC170)</f>
        <v>-2.0964200122041</v>
      </c>
      <c r="EF170" s="16" t="n">
        <f aca="false">IF(CH170="",0,EC170)</f>
        <v>0.217116779814618</v>
      </c>
    </row>
    <row r="171" customFormat="false" ht="15" hidden="false" customHeight="false" outlineLevel="0" collapsed="false">
      <c r="A171" s="35" t="s">
        <v>1099</v>
      </c>
      <c r="B171" s="35" t="s">
        <v>1100</v>
      </c>
      <c r="C171" s="35" t="s">
        <v>766</v>
      </c>
      <c r="D171" s="35" t="s">
        <v>760</v>
      </c>
      <c r="E171" s="35" t="s">
        <v>29</v>
      </c>
      <c r="F171" s="36" t="n">
        <v>4.042</v>
      </c>
      <c r="G171" s="36" t="n">
        <v>6.178</v>
      </c>
      <c r="H171" s="33" t="n">
        <v>3.9</v>
      </c>
      <c r="I171" s="33" t="n">
        <v>2.1</v>
      </c>
      <c r="J171" s="36"/>
      <c r="K171" s="36"/>
      <c r="L171" s="36"/>
      <c r="M171" s="36"/>
      <c r="N171" s="36"/>
      <c r="O171" s="36"/>
      <c r="P171" s="36"/>
      <c r="Q171" s="31"/>
      <c r="R171" s="31"/>
      <c r="S171" s="31"/>
      <c r="T171" s="31"/>
      <c r="U171" s="31"/>
      <c r="V171" s="31"/>
      <c r="W171" s="31"/>
      <c r="X171" s="31"/>
      <c r="Y171" s="36"/>
      <c r="Z171" s="36"/>
      <c r="AA171" s="36"/>
      <c r="AB171" s="36"/>
      <c r="AC171" s="36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6"/>
      <c r="AR171" s="36"/>
      <c r="AS171" s="36"/>
      <c r="AT171" s="36"/>
      <c r="AU171" s="31"/>
      <c r="AV171" s="36"/>
      <c r="AW171" s="31"/>
      <c r="AX171" s="31"/>
      <c r="AY171" s="31"/>
      <c r="AZ171" s="31"/>
      <c r="BA171" s="33" t="n">
        <v>32.889</v>
      </c>
      <c r="BB171" s="33" t="n">
        <v>1.325</v>
      </c>
      <c r="BC171" s="33"/>
      <c r="BD171" s="33"/>
      <c r="BE171" s="33"/>
      <c r="BF171" s="33" t="n">
        <v>0</v>
      </c>
      <c r="BG171" s="33"/>
      <c r="BH171" s="33"/>
      <c r="BI171" s="29"/>
      <c r="BJ171" s="33"/>
      <c r="BK171" s="33"/>
      <c r="BL171" s="33"/>
      <c r="BM171" s="33"/>
      <c r="BN171" s="29"/>
      <c r="BO171" s="33"/>
      <c r="BP171" s="33"/>
      <c r="BQ171" s="29"/>
      <c r="BR171" s="36"/>
      <c r="BS171" s="36"/>
      <c r="BT171" s="36"/>
      <c r="BU171" s="36"/>
      <c r="BV171" s="16" t="n">
        <f aca="false">F171*(1+N(H171)/100)*(1+N(I171)/100)^5</f>
        <v>4.65951342295591</v>
      </c>
      <c r="BW171" s="16" t="n">
        <f aca="false">IF(N(G171)&gt;0,G171,F171)</f>
        <v>6.178</v>
      </c>
      <c r="BX171" s="12" t="n">
        <f aca="false">F171/BW171</f>
        <v>0.654257041113629</v>
      </c>
      <c r="BY171" s="13" t="n">
        <f aca="false">IF(ISNUMBER(K171),1,0)</f>
        <v>0</v>
      </c>
      <c r="BZ171" s="16" t="str">
        <f aca="false">IF(BY171=0,"",N(N171)+N(O171)+N(P171))</f>
        <v/>
      </c>
      <c r="CA171" s="37" t="str">
        <f aca="false">IF(BY171=0,"",(N(Y171)*34.2+N(Z171)*38.6)/1000)</f>
        <v/>
      </c>
      <c r="CB171" s="37" t="str">
        <f aca="false">IF(BY171=0,"",N(O171)*0.0036+N(R171)+N(V171)+(N(AA171)*25.3+N(AB171)*37)/1000)</f>
        <v/>
      </c>
      <c r="CC171" s="37" t="str">
        <f aca="false">IF(BY171=0,"",N(N171)*0.0036+N(Q171)+N(U171)+N(T171)+N(X171)+N(AC171)*38/1000)</f>
        <v/>
      </c>
      <c r="CD171" s="37" t="str">
        <f aca="false">IF(BY171=0,"",N(Q171)+N(R171)+N(S171)+N(T171)+N(U171)+N(V171)+N(W171)+N(X171)+(N(Y171)*34.2+N(Z171)*38.6+N(AA171)*25.3+N(AB171)*37+N(AC171)*38)/1000)</f>
        <v/>
      </c>
      <c r="CE171" s="16" t="str">
        <f aca="false">IF(BY171=0,"",MAX(0,N(L171)-N(K171))+MAX(0,N(M171)-N(L171)))</f>
        <v/>
      </c>
      <c r="CF171" s="16" t="str">
        <f aca="false">IF(BY171=0,"",N(Y171)*N(AD171)+N(Z171)*N(AE171)+N(AA171)*N(AF171)+N(AB171)*N(AG171)+N(AC171)*N(AH171)+N(U171)*N(AI171)+N(V171)*N(AJ171)+N(W171)*N(AK171)+N(X171)*N(AL171)+N(Q171)*N(AM171)+N(R171)*N(AN171)+N(S171)*N(AO171)+N(T171)*N(AP171))</f>
        <v/>
      </c>
      <c r="CG171" s="16" t="n">
        <f aca="false">IF(AND(BY171=1,N(K171)&gt;0),K171,0)</f>
        <v>0</v>
      </c>
      <c r="CH171" s="16" t="str">
        <f aca="false">IF(CG171&gt;0,CF171*1000/CG171,"")</f>
        <v/>
      </c>
      <c r="CI171" s="16" t="str">
        <f aca="false">IF(BY171=0,"",N(AQ171)+p_road*(N(AR171)+N(AS171)+N(AT171)))</f>
        <v/>
      </c>
      <c r="CJ171" s="16" t="str">
        <f aca="false">IF(CG171&gt;0,CI171*1000/CG171,"")</f>
        <v/>
      </c>
      <c r="CK171" s="12" t="n">
        <f aca="false">IF(CH171="",1,MIN(p_idx_max,MAX(p_idx_min,CH171/p_fc_world)))</f>
        <v>1</v>
      </c>
      <c r="CL171" s="12" t="n">
        <f aca="false">IF(CJ171="",1,MIN(p_idx_max,MAX(p_idx_min,CJ171/p_cb_world)))</f>
        <v>1</v>
      </c>
      <c r="CM171" s="37" t="n">
        <f aca="false">p_b*(1-p_wb_idx+p_wb_idx*CK171)</f>
        <v>0.133</v>
      </c>
      <c r="CN171" s="37" t="n">
        <f aca="false">p_c*(1-p_wc_idx+p_wc_idx*CL171)</f>
        <v>0.129</v>
      </c>
      <c r="CO171" s="28" t="str">
        <f aca="false">IF(N(BR171)&gt;0,(N(BS171)+N(BT171)+N(BU171))/BR171,"")</f>
        <v/>
      </c>
      <c r="CP171" s="16" t="n">
        <f aca="false">N(BS171)+N(BT171)+N(BU171)</f>
        <v>0</v>
      </c>
      <c r="CQ171" s="28" t="str">
        <f aca="false">IF(CP171&gt;0,N(BS171)/CP171,"")</f>
        <v/>
      </c>
      <c r="CR171" s="28" t="str">
        <f aca="false">IF(CP171&gt;0,N(BT171)/CP171,"")</f>
        <v/>
      </c>
      <c r="CS171" s="28" t="str">
        <f aca="false">IF(CP171&gt;0,N(BU171)/CP171,"")</f>
        <v/>
      </c>
      <c r="CT171" s="7" t="n">
        <f aca="false">1000*(p_sh_pv*p_cf_pv/p_capex_pv+(1-p_sh_pv)*p_cf_wind/p_capex_wind)*8760</f>
        <v>2301.28856624319</v>
      </c>
      <c r="CU171" s="13" t="n">
        <f aca="false">IF(AND(ISNUMBER(CO171),ISNUMBER(CQ171),BY171=1),1,0)</f>
        <v>0</v>
      </c>
      <c r="CV171" s="16" t="str">
        <f aca="false">IF(CU171=0,"",CQ171*p_hr_coal*N(AK171)+CR171*p_hr_gas*N(AO171)+CS171*p_hr_oil*N(AH171)/p_gj_l_oil)</f>
        <v/>
      </c>
      <c r="CW171" s="37" t="str">
        <f aca="false">IF(CU171=0,"",CQ171*p_hr_coal*p_ef_coal+CR171*p_hr_gas*p_ef_gas+CS171*p_hr_oil*p_ef_oil)</f>
        <v/>
      </c>
      <c r="CX171" s="16" t="str">
        <f aca="false">IF(CU171=0,"",CQ171*p_hr_coal*N(AW171)+CR171*p_hr_gas*N(AX171)+CS171*p_hr_oil*N(AY171)/p_gj_l_oil)</f>
        <v/>
      </c>
      <c r="CY171" s="37" t="str">
        <f aca="false">IF(CU171=0,"",CO171*CW171)</f>
        <v/>
      </c>
      <c r="CZ171" s="37" t="str">
        <f aca="false">IF(CU171=0,"",CT171*CO171*CV171/1000/1000-p_om_re)</f>
        <v/>
      </c>
      <c r="DA171" s="37" t="str">
        <f aca="false">IF(CU171=0,"",CT171*CO171*CX171/1000/1000)</f>
        <v/>
      </c>
      <c r="DB171" s="37" t="str">
        <f aca="false">IF(CU171=0,"",CT171*CO171*CW171/1000)</f>
        <v/>
      </c>
      <c r="DC171" s="13" t="n">
        <f aca="false">IF(AND(CU171=1,ISNUMBER(AD171),ISNUMBER(AV171)),1,0)</f>
        <v>0</v>
      </c>
      <c r="DD171" s="7" t="str">
        <f aca="false">IF(DC171=0,"",p_ev_km*p_ice_l/100*AD171-p_ev_km*p_ev_kwh*AV171+p_ev_km*p_ev_maint)</f>
        <v/>
      </c>
      <c r="DE171" s="37" t="str">
        <f aca="false">IF(DC171=0,"",DD171/p_ev_prem)</f>
        <v/>
      </c>
      <c r="DF171" s="37" t="str">
        <f aca="false">IF(DC171=0,"",p_ev_km*p_ice_l/100*N(AZ171)/p_ev_prem)</f>
        <v/>
      </c>
      <c r="DG171" s="37" t="str">
        <f aca="false">IF(DC171=0,"",1000/p_ev_prem*(p_ev_km*p_ice_l/100*p_gj_l_gso*p_ef_gso-p_ev_km*p_ev_kwh/1000*CY171))</f>
        <v/>
      </c>
      <c r="DH171" s="11" t="str">
        <f aca="false">IFERROR(IF(INDEX(Damodaran!$D:$D,MATCH(A171,Damodaran!$A:$A,0))="","",INDEX(Damodaran!$D:$D,MATCH(A171,Damodaran!$A:$A,0))),"")</f>
        <v/>
      </c>
      <c r="DI171" s="11" t="str">
        <f aca="false">IFERROR(IF(INDEX(Damodaran!$E:$E,MATCH(A171,Damodaran!$A:$A,0))="","",INDEX(Damodaran!$E:$E,MATCH(A171,Damodaran!$A:$A,0))),"")</f>
        <v/>
      </c>
      <c r="DJ171" s="11" t="str">
        <f aca="false">IFERROR(IF(INDEX(Damodaran!$G:$G,MATCH(A171,Damodaran!$A:$A,0))="","",INDEX(Damodaran!$G:$G,MATCH(A171,Damodaran!$A:$A,0))),"")</f>
        <v/>
      </c>
      <c r="DK171" s="11" t="str">
        <f aca="false">IF(ISNUMBER(BG171),(1+BG171/100)*(1+p_infl)-1,"")</f>
        <v/>
      </c>
      <c r="DL171" s="11" t="str">
        <f aca="false">IF(ISNUMBER(BH171),BH171/100,"")</f>
        <v/>
      </c>
      <c r="DM171" s="11" t="str">
        <f aca="false">IF(COUNT(DK171,DL171)=0,"",AVERAGE(DK171,DL171))</f>
        <v/>
      </c>
      <c r="DN171" s="11" t="str">
        <f aca="false">IF(OR(DH171="",DI171=""),"",p_dv*(p_rf+DH171)*(1-IF(DJ171="",p_tax_def,DJ171))+(1-p_dv)*(p_rf+p_beta*p_erp+p_lambda*DI171))</f>
        <v/>
      </c>
      <c r="DO171" s="13" t="n">
        <f aca="false">IF(AND(ISNUMBER(DM171),ISNUMBER(DN171)),1,0)</f>
        <v>0</v>
      </c>
      <c r="DP171" s="11" t="n">
        <f aca="false">IF(DO171=1,DM171,0)</f>
        <v>0</v>
      </c>
      <c r="DQ171" s="11" t="n">
        <f aca="false">IF(DO171=1,DN171,0)</f>
        <v>0</v>
      </c>
      <c r="DR171" s="11" t="str">
        <f aca="false">IF(DN171="","",DN171+p_shift)</f>
        <v/>
      </c>
      <c r="DS171" s="11" t="n">
        <f aca="false">IF(E171="AE",p_r_ae,IF(E171="China",p_r_chn,p_r_emdc))</f>
        <v>0.055</v>
      </c>
      <c r="DT171" s="11" t="n">
        <f aca="false">IF(E171="AE",p_rh_ae,IF(E171="China",p_rh_chn,p_rh_emdc))</f>
        <v>0.07</v>
      </c>
      <c r="DU171" s="11" t="n">
        <f aca="false">IF(AND(p_use_obs=1,ISNUMBER(DM171)),DM171,IF(AND(p_use_dam=1,ISNUMBER(DR171)),DR171,DS171))</f>
        <v>0.055</v>
      </c>
      <c r="DV171" s="6" t="str">
        <f aca="false">IF(AND(p_use_obs=1,ISNUMBER(DM171)),"Observed (IRENA/Steffen)",IF(AND(p_use_dam=1,ISNUMBER(DR171)),"Damodaran (eq. 5)","Group default (IHLEG)"))</f>
        <v>Group default (IHLEG)</v>
      </c>
      <c r="DW171" s="11" t="n">
        <f aca="false">IF(p_basis=1,(1+DU171)/(1+p_infl)-1,DU171)</f>
        <v>0.055</v>
      </c>
      <c r="DX171" s="11" t="n">
        <f aca="false">DW171+(DT171-DS171)</f>
        <v>0.07</v>
      </c>
      <c r="DY171" s="28" t="n">
        <f aca="false">IF(AND(p_use_pefa=1,ISNUMBER(BD171)),p_gap_lic-(BD171-1)/3*(p_gap_lic-p_gap_ae),IF(E171="AE",p_gap_ae,IF(D171="Low income",p_gap_lic,p_gap_em)))*(1-p_reform*p_reform_close)</f>
        <v>0.13</v>
      </c>
      <c r="DZ171" s="6" t="str">
        <f aca="false">IF(AND(p_use_pefa=1,ISNUMBER(BD171)),"PEFA PI-11","Income-group default (IMF 2015)")</f>
        <v>Income-group default (IMF 2015)</v>
      </c>
      <c r="EA171" s="28" t="n">
        <f aca="false">IF(E171="AE",p_ps_ae,IF(E171="China",p_ps_chn,p_ps_emdc))</f>
        <v>0.3</v>
      </c>
      <c r="EB171" s="37" t="n">
        <f aca="false">(1-EA171)+EA171/(1-DY171)</f>
        <v>1.0448275862069</v>
      </c>
      <c r="EC171" s="16" t="n">
        <f aca="false">Results_Country!F171</f>
        <v>0.16439495403614</v>
      </c>
      <c r="ED171" s="16" t="n">
        <f aca="false">IF(CH171="",0,CH171*EC171)</f>
        <v>0</v>
      </c>
      <c r="EE171" s="16" t="n">
        <f aca="false">IF(CJ171="",0,CJ171*EC171)</f>
        <v>0</v>
      </c>
      <c r="EF171" s="16" t="n">
        <f aca="false">IF(CH171="",0,EC171)</f>
        <v>0</v>
      </c>
    </row>
    <row r="172" customFormat="false" ht="15" hidden="false" customHeight="false" outlineLevel="0" collapsed="false">
      <c r="A172" s="35" t="s">
        <v>1101</v>
      </c>
      <c r="B172" s="35" t="s">
        <v>1102</v>
      </c>
      <c r="C172" s="35" t="s">
        <v>784</v>
      </c>
      <c r="D172" s="35" t="s">
        <v>763</v>
      </c>
      <c r="E172" s="35" t="s">
        <v>31</v>
      </c>
      <c r="F172" s="36" t="n">
        <v>3.204</v>
      </c>
      <c r="G172" s="36" t="n">
        <v>5.992</v>
      </c>
      <c r="H172" s="33" t="n">
        <v>2.747</v>
      </c>
      <c r="I172" s="33" t="n">
        <v>2.192</v>
      </c>
      <c r="J172" s="36" t="n">
        <v>0.417072</v>
      </c>
      <c r="K172" s="36" t="n">
        <v>0.317</v>
      </c>
      <c r="L172" s="36" t="n">
        <v>1.038</v>
      </c>
      <c r="M172" s="36" t="n">
        <v>6.385</v>
      </c>
      <c r="N172" s="36" t="n">
        <v>0.485507534147413</v>
      </c>
      <c r="O172" s="36" t="n">
        <v>0.302378518007505</v>
      </c>
      <c r="P172" s="36" t="n">
        <v>0</v>
      </c>
      <c r="Q172" s="31" t="n">
        <v>0</v>
      </c>
      <c r="R172" s="31" t="n">
        <v>0</v>
      </c>
      <c r="S172" s="31" t="n">
        <v>0</v>
      </c>
      <c r="T172" s="31" t="n">
        <v>0</v>
      </c>
      <c r="U172" s="31" t="n">
        <v>0</v>
      </c>
      <c r="V172" s="31" t="n">
        <v>0</v>
      </c>
      <c r="W172" s="31" t="n">
        <v>0</v>
      </c>
      <c r="X172" s="31" t="n">
        <v>0</v>
      </c>
      <c r="Y172" s="36" t="n">
        <v>0.125733913401823</v>
      </c>
      <c r="Z172" s="36" t="n">
        <v>0.0828467218280203</v>
      </c>
      <c r="AA172" s="36" t="n">
        <v>0.0492610717551655</v>
      </c>
      <c r="AB172" s="36" t="n">
        <v>0.0318485098904992</v>
      </c>
      <c r="AC172" s="36" t="n">
        <v>0.0547491393615439</v>
      </c>
      <c r="AD172" s="31" t="n">
        <v>0.8505</v>
      </c>
      <c r="AE172" s="31" t="n">
        <v>0.66005</v>
      </c>
      <c r="AF172" s="31" t="n">
        <v>0.593334</v>
      </c>
      <c r="AG172" s="31" t="n">
        <v>0.639</v>
      </c>
      <c r="AH172" s="31" t="n">
        <v>0.519462891908447</v>
      </c>
      <c r="AI172" s="31" t="n">
        <v>7.124</v>
      </c>
      <c r="AJ172" s="31" t="n">
        <v>13.717125</v>
      </c>
      <c r="AK172" s="31" t="n">
        <v>5.575</v>
      </c>
      <c r="AL172" s="31" t="n">
        <v>8.805375</v>
      </c>
      <c r="AM172" s="31" t="n">
        <v>5.164</v>
      </c>
      <c r="AN172" s="31" t="n">
        <v>14.74425</v>
      </c>
      <c r="AO172" s="31" t="n">
        <v>3.841</v>
      </c>
      <c r="AP172" s="31" t="n">
        <v>7.91641666666667</v>
      </c>
      <c r="AQ172" s="36" t="n">
        <v>0.0010244244680524</v>
      </c>
      <c r="AR172" s="36" t="n">
        <v>0.0155758365794306</v>
      </c>
      <c r="AS172" s="36" t="n">
        <v>0.0143404249050432</v>
      </c>
      <c r="AT172" s="36" t="n">
        <v>0.00376991440481067</v>
      </c>
      <c r="AU172" s="31" t="n">
        <v>0.776170231195139</v>
      </c>
      <c r="AV172" s="36" t="n">
        <v>0.370122</v>
      </c>
      <c r="AW172" s="31" t="n">
        <v>0.224793</v>
      </c>
      <c r="AX172" s="31" t="n">
        <v>0</v>
      </c>
      <c r="AY172" s="31" t="n">
        <v>-0.0260842996354661</v>
      </c>
      <c r="AZ172" s="31" t="n">
        <v>0.00482</v>
      </c>
      <c r="BA172" s="33" t="n">
        <v>65.436</v>
      </c>
      <c r="BB172" s="33" t="n">
        <v>10.001</v>
      </c>
      <c r="BC172" s="33" t="n">
        <v>84.932</v>
      </c>
      <c r="BD172" s="33"/>
      <c r="BE172" s="33"/>
      <c r="BF172" s="33" t="n">
        <v>0</v>
      </c>
      <c r="BG172" s="33"/>
      <c r="BH172" s="33"/>
      <c r="BI172" s="29"/>
      <c r="BJ172" s="33"/>
      <c r="BK172" s="33"/>
      <c r="BL172" s="33" t="n">
        <v>-2.554</v>
      </c>
      <c r="BM172" s="33" t="n">
        <v>2</v>
      </c>
      <c r="BN172" s="29" t="n">
        <v>23.598</v>
      </c>
      <c r="BO172" s="33" t="n">
        <v>1.034</v>
      </c>
      <c r="BP172" s="33"/>
      <c r="BQ172" s="29" t="n">
        <v>2024</v>
      </c>
      <c r="BR172" s="36" t="n">
        <v>0.47</v>
      </c>
      <c r="BS172" s="36" t="n">
        <v>0</v>
      </c>
      <c r="BT172" s="36" t="n">
        <v>0</v>
      </c>
      <c r="BU172" s="36" t="n">
        <v>0.06</v>
      </c>
      <c r="BV172" s="16" t="n">
        <f aca="false">F172*(1+N(H172)/100)*(1+N(I172)/100)^5</f>
        <v>3.66898682050015</v>
      </c>
      <c r="BW172" s="16" t="n">
        <f aca="false">IF(N(G172)&gt;0,G172,F172)</f>
        <v>5.992</v>
      </c>
      <c r="BX172" s="12" t="n">
        <f aca="false">F172/BW172</f>
        <v>0.534712950600801</v>
      </c>
      <c r="BY172" s="13" t="n">
        <f aca="false">IF(ISNUMBER(K172),1,0)</f>
        <v>1</v>
      </c>
      <c r="BZ172" s="16" t="n">
        <f aca="false">IF(BY172=0,"",N(N172)+N(O172)+N(P172))</f>
        <v>0.787886052154918</v>
      </c>
      <c r="CA172" s="37" t="n">
        <f aca="false">IF(BY172=0,"",(N(Y172)*34.2+N(Z172)*38.6)/1000)</f>
        <v>0.00749798330090393</v>
      </c>
      <c r="CB172" s="37" t="n">
        <f aca="false">IF(BY172=0,"",N(O172)*0.0036+N(R172)+N(V172)+(N(AA172)*25.3+N(AB172)*37)/1000)</f>
        <v>0.00351326264618118</v>
      </c>
      <c r="CC172" s="37" t="n">
        <f aca="false">IF(BY172=0,"",N(N172)*0.0036+N(Q172)+N(U172)+N(T172)+N(X172)+N(AC172)*38/1000)</f>
        <v>0.00382829441866935</v>
      </c>
      <c r="CD172" s="37" t="n">
        <f aca="false">IF(BY172=0,"",N(Q172)+N(R172)+N(S172)+N(T172)+N(U172)+N(V172)+N(W172)+N(X172)+(N(Y172)*34.2+N(Z172)*38.6+N(AA172)*25.3+N(AB172)*37+N(AC172)*38)/1000)</f>
        <v>0.0120031505779968</v>
      </c>
      <c r="CE172" s="16" t="n">
        <f aca="false">IF(BY172=0,"",MAX(0,N(L172)-N(K172))+MAX(0,N(M172)-N(L172)))</f>
        <v>6.068</v>
      </c>
      <c r="CF172" s="16" t="n">
        <f aca="false">IF(BY172=0,"",N(Y172)*N(AD172)+N(Z172)*N(AE172)+N(AA172)*N(AF172)+N(AB172)*N(AG172)+N(AC172)*N(AH172)+N(U172)*N(AI172)+N(V172)*N(AJ172)+N(W172)*N(AK172)+N(X172)*N(AL172)+N(Q172)*N(AM172)+N(R172)*N(AN172)+N(S172)*N(AO172)+N(T172)*N(AP172))</f>
        <v>0.23963928492189</v>
      </c>
      <c r="CG172" s="16" t="n">
        <f aca="false">IF(AND(BY172=1,N(K172)&gt;0),K172,0)</f>
        <v>0.317</v>
      </c>
      <c r="CH172" s="16" t="n">
        <f aca="false">IF(CG172&gt;0,CF172*1000/CG172,"")</f>
        <v>755.959889343501</v>
      </c>
      <c r="CI172" s="16" t="n">
        <f aca="false">IF(BY172=0,"",N(AQ172)+p_road*(N(AR172)+N(AS172)+N(AT172)))</f>
        <v>0.0010244244680524</v>
      </c>
      <c r="CJ172" s="16" t="n">
        <f aca="false">IF(CG172&gt;0,CI172*1000/CG172,"")</f>
        <v>3.23162292761008</v>
      </c>
      <c r="CK172" s="12" t="n">
        <f aca="false">IF(CH172="",1,MIN(p_idx_max,MAX(p_idx_min,CH172/p_fc_world)))</f>
        <v>4</v>
      </c>
      <c r="CL172" s="12" t="n">
        <f aca="false">IF(CJ172="",1,MIN(p_idx_max,MAX(p_idx_min,CJ172/p_cb_world)))</f>
        <v>0.25</v>
      </c>
      <c r="CM172" s="37" t="n">
        <f aca="false">p_b*(1-p_wb_idx+p_wb_idx*CK172)</f>
        <v>0.532</v>
      </c>
      <c r="CN172" s="37" t="n">
        <f aca="false">p_c*(1-p_wc_idx+p_wc_idx*CL172)</f>
        <v>0.03225</v>
      </c>
      <c r="CO172" s="28" t="n">
        <f aca="false">IF(N(BR172)&gt;0,(N(BS172)+N(BT172)+N(BU172))/BR172,"")</f>
        <v>0.127659574468085</v>
      </c>
      <c r="CP172" s="16" t="n">
        <f aca="false">N(BS172)+N(BT172)+N(BU172)</f>
        <v>0.06</v>
      </c>
      <c r="CQ172" s="28" t="n">
        <f aca="false">IF(CP172&gt;0,N(BS172)/CP172,"")</f>
        <v>0</v>
      </c>
      <c r="CR172" s="28" t="n">
        <f aca="false">IF(CP172&gt;0,N(BT172)/CP172,"")</f>
        <v>0</v>
      </c>
      <c r="CS172" s="28" t="n">
        <f aca="false">IF(CP172&gt;0,N(BU172)/CP172,"")</f>
        <v>1</v>
      </c>
      <c r="CT172" s="7" t="n">
        <f aca="false">1000*(p_sh_pv*p_cf_pv/p_capex_pv+(1-p_sh_pv)*p_cf_wind/p_capex_wind)*8760</f>
        <v>2301.28856624319</v>
      </c>
      <c r="CU172" s="13" t="n">
        <f aca="false">IF(AND(ISNUMBER(CO172),ISNUMBER(CQ172),BY172=1),1,0)</f>
        <v>1</v>
      </c>
      <c r="CV172" s="16" t="n">
        <f aca="false">IF(CU172=0,"",CQ172*p_hr_coal*N(AK172)+CR172*p_hr_gas*N(AO172)+CS172*p_hr_oil*N(AH172)/p_gj_l_oil)</f>
        <v>141.304672669396</v>
      </c>
      <c r="CW172" s="37" t="n">
        <f aca="false">IF(CU172=0,"",CQ172*p_hr_coal*p_ef_coal+CR172*p_hr_gas*p_ef_gas+CS172*p_hr_oil*p_ef_oil)</f>
        <v>0.8127</v>
      </c>
      <c r="CX172" s="16" t="n">
        <f aca="false">IF(CU172=0,"",CQ172*p_hr_coal*N(AW172)+CR172*p_hr_gas*N(AX172)+CS172*p_hr_oil*N(AY172)/p_gj_l_oil)</f>
        <v>-7.09547010809311</v>
      </c>
      <c r="CY172" s="37" t="n">
        <f aca="false">IF(CU172=0,"",CO172*CW172)</f>
        <v>0.103748936170213</v>
      </c>
      <c r="CZ172" s="37" t="n">
        <f aca="false">IF(CU172=0,"",CT172*CO172*CV172/1000/1000-p_om_re)</f>
        <v>0.0265127013920194</v>
      </c>
      <c r="DA172" s="37" t="n">
        <f aca="false">IF(CU172=0,"",CT172*CO172*CX172/1000/1000)</f>
        <v>-0.00208451798704788</v>
      </c>
      <c r="DB172" s="37" t="n">
        <f aca="false">IF(CU172=0,"",CT172*CO172*CW172/1000)</f>
        <v>0.238756240568406</v>
      </c>
      <c r="DC172" s="13" t="n">
        <f aca="false">IF(AND(CU172=1,ISNUMBER(AD172),ISNUMBER(AV172)),1,0)</f>
        <v>1</v>
      </c>
      <c r="DD172" s="7" t="n">
        <f aca="false">IF(DC172=0,"",p_ev_km*p_ice_l/100*AD172-p_ev_km*p_ev_kwh*AV172+p_ev_km*p_ev_maint)</f>
        <v>137.4831</v>
      </c>
      <c r="DE172" s="37" t="n">
        <f aca="false">IF(DC172=0,"",DD172/p_ev_prem)</f>
        <v>0.02749662</v>
      </c>
      <c r="DF172" s="37" t="n">
        <f aca="false">IF(DC172=0,"",p_ev_km*p_ice_l/100*N(AZ172)/p_ev_prem)</f>
        <v>0.0010845</v>
      </c>
      <c r="DG172" s="37" t="n">
        <f aca="false">IF(DC172=0,"",1000/p_ev_prem*(p_ev_km*p_ice_l/100*p_gj_l_gso*p_ef_gso-p_ev_km*p_ev_kwh/1000*CY172))</f>
        <v>0.477239074468085</v>
      </c>
      <c r="DH172" s="11" t="str">
        <f aca="false">IFERROR(IF(INDEX(Damodaran!$D:$D,MATCH(A172,Damodaran!$A:$A,0))="","",INDEX(Damodaran!$D:$D,MATCH(A172,Damodaran!$A:$A,0))),"")</f>
        <v/>
      </c>
      <c r="DI172" s="11" t="str">
        <f aca="false">IFERROR(IF(INDEX(Damodaran!$E:$E,MATCH(A172,Damodaran!$A:$A,0))="","",INDEX(Damodaran!$E:$E,MATCH(A172,Damodaran!$A:$A,0))),"")</f>
        <v/>
      </c>
      <c r="DJ172" s="11" t="str">
        <f aca="false">IFERROR(IF(INDEX(Damodaran!$G:$G,MATCH(A172,Damodaran!$A:$A,0))="","",INDEX(Damodaran!$G:$G,MATCH(A172,Damodaran!$A:$A,0))),"")</f>
        <v/>
      </c>
      <c r="DK172" s="11" t="str">
        <f aca="false">IF(ISNUMBER(BG172),(1+BG172/100)*(1+p_infl)-1,"")</f>
        <v/>
      </c>
      <c r="DL172" s="11" t="str">
        <f aca="false">IF(ISNUMBER(BH172),BH172/100,"")</f>
        <v/>
      </c>
      <c r="DM172" s="11" t="str">
        <f aca="false">IF(COUNT(DK172,DL172)=0,"",AVERAGE(DK172,DL172))</f>
        <v/>
      </c>
      <c r="DN172" s="11" t="str">
        <f aca="false">IF(OR(DH172="",DI172=""),"",p_dv*(p_rf+DH172)*(1-IF(DJ172="",p_tax_def,DJ172))+(1-p_dv)*(p_rf+p_beta*p_erp+p_lambda*DI172))</f>
        <v/>
      </c>
      <c r="DO172" s="13" t="n">
        <f aca="false">IF(AND(ISNUMBER(DM172),ISNUMBER(DN172)),1,0)</f>
        <v>0</v>
      </c>
      <c r="DP172" s="11" t="n">
        <f aca="false">IF(DO172=1,DM172,0)</f>
        <v>0</v>
      </c>
      <c r="DQ172" s="11" t="n">
        <f aca="false">IF(DO172=1,DN172,0)</f>
        <v>0</v>
      </c>
      <c r="DR172" s="11" t="str">
        <f aca="false">IF(DN172="","",DN172+p_shift)</f>
        <v/>
      </c>
      <c r="DS172" s="11" t="n">
        <f aca="false">IF(E172="AE",p_r_ae,IF(E172="China",p_r_chn,p_r_emdc))</f>
        <v>0.105</v>
      </c>
      <c r="DT172" s="11" t="n">
        <f aca="false">IF(E172="AE",p_rh_ae,IF(E172="China",p_rh_chn,p_rh_emdc))</f>
        <v>0.15</v>
      </c>
      <c r="DU172" s="11" t="n">
        <f aca="false">IF(AND(p_use_obs=1,ISNUMBER(DM172)),DM172,IF(AND(p_use_dam=1,ISNUMBER(DR172)),DR172,DS172))</f>
        <v>0.105</v>
      </c>
      <c r="DV172" s="6" t="str">
        <f aca="false">IF(AND(p_use_obs=1,ISNUMBER(DM172)),"Observed (IRENA/Steffen)",IF(AND(p_use_dam=1,ISNUMBER(DR172)),"Damodaran (eq. 5)","Group default (IHLEG)"))</f>
        <v>Group default (IHLEG)</v>
      </c>
      <c r="DW172" s="11" t="n">
        <f aca="false">IF(p_basis=1,(1+DU172)/(1+p_infl)-1,DU172)</f>
        <v>0.105</v>
      </c>
      <c r="DX172" s="11" t="n">
        <f aca="false">DW172+(DT172-DS172)</f>
        <v>0.15</v>
      </c>
      <c r="DY172" s="28" t="n">
        <f aca="false">IF(AND(p_use_pefa=1,ISNUMBER(BD172)),p_gap_lic-(BD172-1)/3*(p_gap_lic-p_gap_ae),IF(E172="AE",p_gap_ae,IF(D172="Low income",p_gap_lic,p_gap_em)))*(1-p_reform*p_reform_close)</f>
        <v>0.27</v>
      </c>
      <c r="DZ172" s="6" t="str">
        <f aca="false">IF(AND(p_use_pefa=1,ISNUMBER(BD172)),"PEFA PI-11","Income-group default (IMF 2015)")</f>
        <v>Income-group default (IMF 2015)</v>
      </c>
      <c r="EA172" s="28" t="n">
        <f aca="false">IF(E172="AE",p_ps_ae,IF(E172="China",p_ps_chn,p_ps_emdc))</f>
        <v>0.4</v>
      </c>
      <c r="EB172" s="37" t="n">
        <f aca="false">(1-EA172)+EA172/(1-DY172)</f>
        <v>1.14794520547945</v>
      </c>
      <c r="EC172" s="16" t="n">
        <f aca="false">Results_Country!F172</f>
        <v>0.302681181275262</v>
      </c>
      <c r="ED172" s="16" t="n">
        <f aca="false">IF(CH172="",0,CH172*EC172)</f>
        <v>228.814832303207</v>
      </c>
      <c r="EE172" s="16" t="n">
        <f aca="false">IF(CJ172="",0,CJ172*EC172)</f>
        <v>0.978151445165239</v>
      </c>
      <c r="EF172" s="16" t="n">
        <f aca="false">IF(CH172="",0,EC172)</f>
        <v>0.302681181275262</v>
      </c>
    </row>
    <row r="173" customFormat="false" ht="15" hidden="false" customHeight="false" outlineLevel="0" collapsed="false">
      <c r="A173" s="35" t="s">
        <v>1103</v>
      </c>
      <c r="B173" s="35" t="s">
        <v>1104</v>
      </c>
      <c r="C173" s="35" t="s">
        <v>770</v>
      </c>
      <c r="D173" s="35" t="s">
        <v>771</v>
      </c>
      <c r="E173" s="35" t="s">
        <v>31</v>
      </c>
      <c r="F173" s="36" t="n">
        <v>3.147</v>
      </c>
      <c r="G173" s="36" t="n">
        <v>13.099</v>
      </c>
      <c r="H173" s="33" t="n">
        <v>7.123</v>
      </c>
      <c r="I173" s="33" t="n">
        <v>7.478</v>
      </c>
      <c r="J173" s="36" t="n">
        <v>0.791524</v>
      </c>
      <c r="K173" s="36" t="n">
        <v>1.921</v>
      </c>
      <c r="L173" s="36" t="n">
        <v>3.509</v>
      </c>
      <c r="M173" s="36" t="n">
        <v>2.204</v>
      </c>
      <c r="N173" s="36" t="n">
        <v>2.45327264476103</v>
      </c>
      <c r="O173" s="36" t="n">
        <v>0.754380072060081</v>
      </c>
      <c r="P173" s="36" t="n">
        <v>0</v>
      </c>
      <c r="Q173" s="31" t="n">
        <v>0</v>
      </c>
      <c r="R173" s="31" t="n">
        <v>0</v>
      </c>
      <c r="S173" s="31" t="n">
        <v>0</v>
      </c>
      <c r="T173" s="31" t="n">
        <v>0</v>
      </c>
      <c r="U173" s="31" t="n">
        <v>0.00927114321593546</v>
      </c>
      <c r="V173" s="31" t="n">
        <v>0</v>
      </c>
      <c r="W173" s="31" t="n">
        <v>0</v>
      </c>
      <c r="X173" s="31" t="n">
        <v>0</v>
      </c>
      <c r="Y173" s="36" t="n">
        <v>0.03365247884638</v>
      </c>
      <c r="Z173" s="36" t="n">
        <v>0.123379871654946</v>
      </c>
      <c r="AA173" s="36" t="n">
        <v>0.0162389561401178</v>
      </c>
      <c r="AB173" s="36" t="n">
        <v>0.00167252435964763</v>
      </c>
      <c r="AC173" s="36" t="n">
        <v>0.0146974055912936</v>
      </c>
      <c r="AD173" s="31" t="n">
        <v>0.792</v>
      </c>
      <c r="AE173" s="31" t="n">
        <v>0.734</v>
      </c>
      <c r="AF173" s="31" t="n">
        <v>0.561</v>
      </c>
      <c r="AG173" s="31" t="n">
        <v>0.7172</v>
      </c>
      <c r="AH173" s="31" t="n">
        <v>0.543345311858187</v>
      </c>
      <c r="AI173" s="31" t="n">
        <v>7.124</v>
      </c>
      <c r="AJ173" s="31" t="n">
        <v>12.5961</v>
      </c>
      <c r="AK173" s="31" t="n">
        <v>4.833</v>
      </c>
      <c r="AL173" s="31" t="n">
        <v>7.124</v>
      </c>
      <c r="AM173" s="31" t="n">
        <v>13.439</v>
      </c>
      <c r="AN173" s="31" t="n">
        <v>23.5191</v>
      </c>
      <c r="AO173" s="31" t="n">
        <v>12.116</v>
      </c>
      <c r="AP173" s="31" t="n">
        <v>16.3580333333333</v>
      </c>
      <c r="AQ173" s="36" t="n">
        <v>0.0257832032954857</v>
      </c>
      <c r="AR173" s="36" t="n">
        <v>0.000510579888926064</v>
      </c>
      <c r="AS173" s="36" t="n">
        <v>0.0228406799598878</v>
      </c>
      <c r="AT173" s="36" t="n">
        <v>0</v>
      </c>
      <c r="AU173" s="31" t="n">
        <v>0.996468750842116</v>
      </c>
      <c r="AV173" s="36" t="n">
        <v>0.152399</v>
      </c>
      <c r="AW173" s="31" t="n">
        <v>0.394398</v>
      </c>
      <c r="AX173" s="31" t="n">
        <v>0.008257</v>
      </c>
      <c r="AY173" s="31" t="n">
        <v>0.0337935079011058</v>
      </c>
      <c r="AZ173" s="31" t="n">
        <v>0.005549</v>
      </c>
      <c r="BA173" s="33" t="n">
        <v>108.717</v>
      </c>
      <c r="BB173" s="33" t="n">
        <v>7.297</v>
      </c>
      <c r="BC173" s="33" t="n">
        <v>66.852</v>
      </c>
      <c r="BD173" s="33" t="n">
        <v>1.5</v>
      </c>
      <c r="BE173" s="33" t="n">
        <v>2</v>
      </c>
      <c r="BF173" s="33" t="n">
        <v>0</v>
      </c>
      <c r="BG173" s="33"/>
      <c r="BH173" s="33"/>
      <c r="BI173" s="29"/>
      <c r="BJ173" s="33"/>
      <c r="BK173" s="33"/>
      <c r="BL173" s="33"/>
      <c r="BM173" s="33"/>
      <c r="BN173" s="29" t="n">
        <v>31.819</v>
      </c>
      <c r="BO173" s="33" t="n">
        <v>0.675</v>
      </c>
      <c r="BP173" s="33"/>
      <c r="BQ173" s="29" t="n">
        <v>2024</v>
      </c>
      <c r="BR173" s="36" t="n">
        <v>11</v>
      </c>
      <c r="BS173" s="36" t="n">
        <v>0</v>
      </c>
      <c r="BT173" s="36" t="n">
        <v>0</v>
      </c>
      <c r="BU173" s="36" t="n">
        <v>0</v>
      </c>
      <c r="BV173" s="16" t="n">
        <f aca="false">F173*(1+N(H173)/100)*(1+N(I173)/100)^5</f>
        <v>4.83478705929328</v>
      </c>
      <c r="BW173" s="16" t="n">
        <f aca="false">IF(N(G173)&gt;0,G173,F173)</f>
        <v>13.099</v>
      </c>
      <c r="BX173" s="12" t="n">
        <f aca="false">F173/BW173</f>
        <v>0.240247347125735</v>
      </c>
      <c r="BY173" s="13" t="n">
        <f aca="false">IF(ISNUMBER(K173),1,0)</f>
        <v>1</v>
      </c>
      <c r="BZ173" s="16" t="n">
        <f aca="false">IF(BY173=0,"",N(N173)+N(O173)+N(P173))</f>
        <v>3.20765271682111</v>
      </c>
      <c r="CA173" s="37" t="n">
        <f aca="false">IF(BY173=0,"",(N(Y173)*34.2+N(Z173)*38.6)/1000)</f>
        <v>0.0059133778224271</v>
      </c>
      <c r="CB173" s="37" t="n">
        <f aca="false">IF(BY173=0,"",N(O173)*0.0036+N(R173)+N(V173)+(N(AA173)*25.3+N(AB173)*37)/1000)</f>
        <v>0.00318849725106823</v>
      </c>
      <c r="CC173" s="37" t="n">
        <f aca="false">IF(BY173=0,"",N(N173)*0.0036+N(Q173)+N(U173)+N(T173)+N(X173)+N(AC173)*38/1000)</f>
        <v>0.0186614261495443</v>
      </c>
      <c r="CD173" s="37" t="n">
        <f aca="false">IF(BY173=0,"",N(Q173)+N(R173)+N(S173)+N(T173)+N(U173)+N(V173)+N(W173)+N(X173)+(N(Y173)*34.2+N(Z173)*38.6+N(AA173)*25.3+N(AB173)*37+N(AC173)*38)/1000)</f>
        <v>0.0162157514424837</v>
      </c>
      <c r="CE173" s="16" t="n">
        <f aca="false">IF(BY173=0,"",MAX(0,N(L173)-N(K173))+MAX(0,N(M173)-N(L173)))</f>
        <v>1.588</v>
      </c>
      <c r="CF173" s="16" t="n">
        <f aca="false">IF(BY173=0,"",N(Y173)*N(AD173)+N(Z173)*N(AE173)+N(AA173)*N(AF173)+N(AB173)*N(AG173)+N(AC173)*N(AH173)+N(U173)*N(AI173)+N(V173)*N(AJ173)+N(W173)*N(AK173)+N(X173)*N(AL173)+N(Q173)*N(AM173)+N(R173)*N(AN173)+N(S173)*N(AO173)+N(T173)*N(AP173))</f>
        <v>0.20155656860124</v>
      </c>
      <c r="CG173" s="16" t="n">
        <f aca="false">IF(AND(BY173=1,N(K173)&gt;0),K173,0)</f>
        <v>1.921</v>
      </c>
      <c r="CH173" s="16" t="n">
        <f aca="false">IF(CG173&gt;0,CF173*1000/CG173,"")</f>
        <v>104.922732223446</v>
      </c>
      <c r="CI173" s="16" t="n">
        <f aca="false">IF(BY173=0,"",N(AQ173)+p_road*(N(AR173)+N(AS173)+N(AT173)))</f>
        <v>0.0257832032954857</v>
      </c>
      <c r="CJ173" s="16" t="n">
        <f aca="false">IF(CG173&gt;0,CI173*1000/CG173,"")</f>
        <v>13.4217612157656</v>
      </c>
      <c r="CK173" s="12" t="n">
        <f aca="false">IF(CH173="",1,MIN(p_idx_max,MAX(p_idx_min,CH173/p_fc_world)))</f>
        <v>0.651664260550979</v>
      </c>
      <c r="CL173" s="12" t="n">
        <f aca="false">IF(CJ173="",1,MIN(p_idx_max,MAX(p_idx_min,CJ173/p_cb_world)))</f>
        <v>0.255211226284305</v>
      </c>
      <c r="CM173" s="37" t="n">
        <f aca="false">p_b*(1-p_wb_idx+p_wb_idx*CK173)</f>
        <v>0.0866713466532802</v>
      </c>
      <c r="CN173" s="37" t="n">
        <f aca="false">p_c*(1-p_wc_idx+p_wc_idx*CL173)</f>
        <v>0.0329222481906753</v>
      </c>
      <c r="CO173" s="28" t="n">
        <f aca="false">IF(N(BR173)&gt;0,(N(BS173)+N(BT173)+N(BU173))/BR173,"")</f>
        <v>0</v>
      </c>
      <c r="CP173" s="16" t="n">
        <f aca="false">N(BS173)+N(BT173)+N(BU173)</f>
        <v>0</v>
      </c>
      <c r="CQ173" s="28" t="str">
        <f aca="false">IF(CP173&gt;0,N(BS173)/CP173,"")</f>
        <v/>
      </c>
      <c r="CR173" s="28" t="str">
        <f aca="false">IF(CP173&gt;0,N(BT173)/CP173,"")</f>
        <v/>
      </c>
      <c r="CS173" s="28" t="str">
        <f aca="false">IF(CP173&gt;0,N(BU173)/CP173,"")</f>
        <v/>
      </c>
      <c r="CT173" s="7" t="n">
        <f aca="false">1000*(p_sh_pv*p_cf_pv/p_capex_pv+(1-p_sh_pv)*p_cf_wind/p_capex_wind)*8760</f>
        <v>2301.28856624319</v>
      </c>
      <c r="CU173" s="13" t="n">
        <f aca="false">IF(AND(ISNUMBER(CO173),ISNUMBER(CQ173),BY173=1),1,0)</f>
        <v>0</v>
      </c>
      <c r="CV173" s="16" t="str">
        <f aca="false">IF(CU173=0,"",CQ173*p_hr_coal*N(AK173)+CR173*p_hr_gas*N(AO173)+CS173*p_hr_oil*N(AH173)/p_gj_l_oil)</f>
        <v/>
      </c>
      <c r="CW173" s="37" t="str">
        <f aca="false">IF(CU173=0,"",CQ173*p_hr_coal*p_ef_coal+CR173*p_hr_gas*p_ef_gas+CS173*p_hr_oil*p_ef_oil)</f>
        <v/>
      </c>
      <c r="CX173" s="16" t="str">
        <f aca="false">IF(CU173=0,"",CQ173*p_hr_coal*N(AW173)+CR173*p_hr_gas*N(AX173)+CS173*p_hr_oil*N(AY173)/p_gj_l_oil)</f>
        <v/>
      </c>
      <c r="CY173" s="37" t="str">
        <f aca="false">IF(CU173=0,"",CO173*CW173)</f>
        <v/>
      </c>
      <c r="CZ173" s="37" t="str">
        <f aca="false">IF(CU173=0,"",CT173*CO173*CV173/1000/1000-p_om_re)</f>
        <v/>
      </c>
      <c r="DA173" s="37" t="str">
        <f aca="false">IF(CU173=0,"",CT173*CO173*CX173/1000/1000)</f>
        <v/>
      </c>
      <c r="DB173" s="37" t="str">
        <f aca="false">IF(CU173=0,"",CT173*CO173*CW173/1000)</f>
        <v/>
      </c>
      <c r="DC173" s="13" t="n">
        <f aca="false">IF(AND(CU173=1,ISNUMBER(AD173),ISNUMBER(AV173)),1,0)</f>
        <v>0</v>
      </c>
      <c r="DD173" s="7" t="str">
        <f aca="false">IF(DC173=0,"",p_ev_km*p_ice_l/100*AD173-p_ev_km*p_ev_kwh*AV173+p_ev_km*p_ev_maint)</f>
        <v/>
      </c>
      <c r="DE173" s="37" t="str">
        <f aca="false">IF(DC173=0,"",DD173/p_ev_prem)</f>
        <v/>
      </c>
      <c r="DF173" s="37" t="str">
        <f aca="false">IF(DC173=0,"",p_ev_km*p_ice_l/100*N(AZ173)/p_ev_prem)</f>
        <v/>
      </c>
      <c r="DG173" s="37" t="str">
        <f aca="false">IF(DC173=0,"",1000/p_ev_prem*(p_ev_km*p_ice_l/100*p_gj_l_gso*p_ef_gso-p_ev_km*p_ev_kwh/1000*CY173))</f>
        <v/>
      </c>
      <c r="DH173" s="11" t="str">
        <f aca="false">IFERROR(IF(INDEX(Damodaran!$D:$D,MATCH(A173,Damodaran!$A:$A,0))="","",INDEX(Damodaran!$D:$D,MATCH(A173,Damodaran!$A:$A,0))),"")</f>
        <v/>
      </c>
      <c r="DI173" s="11" t="str">
        <f aca="false">IFERROR(IF(INDEX(Damodaran!$E:$E,MATCH(A173,Damodaran!$A:$A,0))="","",INDEX(Damodaran!$E:$E,MATCH(A173,Damodaran!$A:$A,0))),"")</f>
        <v/>
      </c>
      <c r="DJ173" s="11" t="str">
        <f aca="false">IFERROR(IF(INDEX(Damodaran!$G:$G,MATCH(A173,Damodaran!$A:$A,0))="","",INDEX(Damodaran!$G:$G,MATCH(A173,Damodaran!$A:$A,0))),"")</f>
        <v/>
      </c>
      <c r="DK173" s="11" t="str">
        <f aca="false">IF(ISNUMBER(BG173),(1+BG173/100)*(1+p_infl)-1,"")</f>
        <v/>
      </c>
      <c r="DL173" s="11" t="str">
        <f aca="false">IF(ISNUMBER(BH173),BH173/100,"")</f>
        <v/>
      </c>
      <c r="DM173" s="11" t="str">
        <f aca="false">IF(COUNT(DK173,DL173)=0,"",AVERAGE(DK173,DL173))</f>
        <v/>
      </c>
      <c r="DN173" s="11" t="str">
        <f aca="false">IF(OR(DH173="",DI173=""),"",p_dv*(p_rf+DH173)*(1-IF(DJ173="",p_tax_def,DJ173))+(1-p_dv)*(p_rf+p_beta*p_erp+p_lambda*DI173))</f>
        <v/>
      </c>
      <c r="DO173" s="13" t="n">
        <f aca="false">IF(AND(ISNUMBER(DM173),ISNUMBER(DN173)),1,0)</f>
        <v>0</v>
      </c>
      <c r="DP173" s="11" t="n">
        <f aca="false">IF(DO173=1,DM173,0)</f>
        <v>0</v>
      </c>
      <c r="DQ173" s="11" t="n">
        <f aca="false">IF(DO173=1,DN173,0)</f>
        <v>0</v>
      </c>
      <c r="DR173" s="11" t="str">
        <f aca="false">IF(DN173="","",DN173+p_shift)</f>
        <v/>
      </c>
      <c r="DS173" s="11" t="n">
        <f aca="false">IF(E173="AE",p_r_ae,IF(E173="China",p_r_chn,p_r_emdc))</f>
        <v>0.105</v>
      </c>
      <c r="DT173" s="11" t="n">
        <f aca="false">IF(E173="AE",p_rh_ae,IF(E173="China",p_rh_chn,p_rh_emdc))</f>
        <v>0.15</v>
      </c>
      <c r="DU173" s="11" t="n">
        <f aca="false">IF(AND(p_use_obs=1,ISNUMBER(DM173)),DM173,IF(AND(p_use_dam=1,ISNUMBER(DR173)),DR173,DS173))</f>
        <v>0.105</v>
      </c>
      <c r="DV173" s="6" t="str">
        <f aca="false">IF(AND(p_use_obs=1,ISNUMBER(DM173)),"Observed (IRENA/Steffen)",IF(AND(p_use_dam=1,ISNUMBER(DR173)),"Damodaran (eq. 5)","Group default (IHLEG)"))</f>
        <v>Group default (IHLEG)</v>
      </c>
      <c r="DW173" s="11" t="n">
        <f aca="false">IF(p_basis=1,(1+DU173)/(1+p_infl)-1,DU173)</f>
        <v>0.105</v>
      </c>
      <c r="DX173" s="11" t="n">
        <f aca="false">DW173+(DT173-DS173)</f>
        <v>0.15</v>
      </c>
      <c r="DY173" s="28" t="n">
        <f aca="false">IF(AND(p_use_pefa=1,ISNUMBER(BD173)),p_gap_lic-(BD173-1)/3*(p_gap_lic-p_gap_ae),IF(E173="AE",p_gap_ae,IF(D173="Low income",p_gap_lic,p_gap_em)))*(1-p_reform*p_reform_close)</f>
        <v>0.355</v>
      </c>
      <c r="DZ173" s="6" t="str">
        <f aca="false">IF(AND(p_use_pefa=1,ISNUMBER(BD173)),"PEFA PI-11","Income-group default (IMF 2015)")</f>
        <v>PEFA PI-11</v>
      </c>
      <c r="EA173" s="28" t="n">
        <f aca="false">IF(E173="AE",p_ps_ae,IF(E173="China",p_ps_chn,p_ps_emdc))</f>
        <v>0.4</v>
      </c>
      <c r="EB173" s="37" t="n">
        <f aca="false">(1-EA173)+EA173/(1-DY173)</f>
        <v>1.22015503875969</v>
      </c>
      <c r="EC173" s="16" t="n">
        <f aca="false">Results_Country!F173</f>
        <v>0.337997403698262</v>
      </c>
      <c r="ED173" s="16" t="n">
        <f aca="false">IF(CH173="",0,CH173*EC173)</f>
        <v>35.4636110804528</v>
      </c>
      <c r="EE173" s="16" t="n">
        <f aca="false">IF(CJ173="",0,CJ173*EC173)</f>
        <v>4.5365204439868</v>
      </c>
      <c r="EF173" s="16" t="n">
        <f aca="false">IF(CH173="",0,EC173)</f>
        <v>0.337997403698262</v>
      </c>
    </row>
    <row r="174" customFormat="false" ht="15" hidden="false" customHeight="false" outlineLevel="0" collapsed="false">
      <c r="A174" s="35" t="s">
        <v>1105</v>
      </c>
      <c r="B174" s="35" t="s">
        <v>1106</v>
      </c>
      <c r="C174" s="35" t="s">
        <v>847</v>
      </c>
      <c r="D174" s="35" t="s">
        <v>888</v>
      </c>
      <c r="E174" s="35" t="s">
        <v>31</v>
      </c>
      <c r="F174" s="36" t="n">
        <v>2.868</v>
      </c>
      <c r="G174" s="36" t="n">
        <v>7.355</v>
      </c>
      <c r="H174" s="33" t="n">
        <v>4.801</v>
      </c>
      <c r="I174" s="33" t="n">
        <v>2.613</v>
      </c>
      <c r="J174" s="36" t="n">
        <v>5.33069</v>
      </c>
      <c r="K174" s="36" t="n">
        <v>0.283</v>
      </c>
      <c r="L174" s="36" t="n">
        <v>13.472</v>
      </c>
      <c r="M174" s="36" t="n">
        <v>43.945</v>
      </c>
      <c r="N174" s="36" t="n">
        <v>0.0544296661832974</v>
      </c>
      <c r="O174" s="36" t="n">
        <v>0.0326091310262387</v>
      </c>
      <c r="P174" s="36" t="n">
        <v>0</v>
      </c>
      <c r="Q174" s="31" t="n">
        <v>0</v>
      </c>
      <c r="R174" s="31" t="n">
        <v>0</v>
      </c>
      <c r="S174" s="31" t="n">
        <v>0</v>
      </c>
      <c r="T174" s="31" t="n">
        <v>0</v>
      </c>
      <c r="U174" s="31" t="n">
        <v>0</v>
      </c>
      <c r="V174" s="31" t="n">
        <v>0</v>
      </c>
      <c r="W174" s="31" t="n">
        <v>0</v>
      </c>
      <c r="X174" s="31" t="n">
        <v>0</v>
      </c>
      <c r="Y174" s="36" t="n">
        <v>0.0423045795233432</v>
      </c>
      <c r="Z174" s="36" t="n">
        <v>0.0744343855912389</v>
      </c>
      <c r="AA174" s="36" t="n">
        <v>0.000140000286207667</v>
      </c>
      <c r="AB174" s="36" t="n">
        <v>0.0160973806654814</v>
      </c>
      <c r="AC174" s="36" t="n">
        <v>0.00322761618396112</v>
      </c>
      <c r="AD174" s="31" t="n">
        <v>0.86156</v>
      </c>
      <c r="AE174" s="31" t="n">
        <v>0.800337</v>
      </c>
      <c r="AF174" s="31" t="n">
        <v>0.556693</v>
      </c>
      <c r="AG174" s="31" t="n">
        <v>0.70329</v>
      </c>
      <c r="AH174" s="31" t="n">
        <v>0.519462892020851</v>
      </c>
      <c r="AI174" s="31" t="n">
        <v>7.124</v>
      </c>
      <c r="AJ174" s="31" t="n">
        <v>14.50967</v>
      </c>
      <c r="AK174" s="31" t="n">
        <v>5.575</v>
      </c>
      <c r="AL174" s="31" t="n">
        <v>9.06955666666667</v>
      </c>
      <c r="AM174" s="31" t="n">
        <v>8.176</v>
      </c>
      <c r="AN174" s="31" t="n">
        <v>19.18042</v>
      </c>
      <c r="AO174" s="31" t="n">
        <v>6.853</v>
      </c>
      <c r="AP174" s="31" t="n">
        <v>11.40314</v>
      </c>
      <c r="AQ174" s="36" t="n">
        <v>7.16694583572271E-007</v>
      </c>
      <c r="AR174" s="36" t="n">
        <v>0</v>
      </c>
      <c r="AS174" s="36" t="n">
        <v>0</v>
      </c>
      <c r="AT174" s="36" t="n">
        <v>0</v>
      </c>
      <c r="AU174" s="31" t="n">
        <v>1</v>
      </c>
      <c r="AV174" s="36" t="n">
        <v>0.183465</v>
      </c>
      <c r="AW174" s="31" t="n">
        <v>0.034279</v>
      </c>
      <c r="AX174" s="31" t="n">
        <v>0.000118</v>
      </c>
      <c r="AY174" s="31" t="n">
        <v>0.000233346028690239</v>
      </c>
      <c r="AZ174" s="31" t="n">
        <v>0.000153</v>
      </c>
      <c r="BA174" s="33" t="n">
        <v>59.883</v>
      </c>
      <c r="BB174" s="33" t="n">
        <v>5.955</v>
      </c>
      <c r="BC174" s="33" t="n">
        <v>10.003</v>
      </c>
      <c r="BD174" s="33"/>
      <c r="BE174" s="33"/>
      <c r="BF174" s="33" t="n">
        <v>0</v>
      </c>
      <c r="BG174" s="33"/>
      <c r="BH174" s="33"/>
      <c r="BI174" s="29"/>
      <c r="BJ174" s="33"/>
      <c r="BK174" s="33"/>
      <c r="BL174" s="33"/>
      <c r="BM174" s="33"/>
      <c r="BN174" s="29" t="n">
        <v>36</v>
      </c>
      <c r="BO174" s="33" t="n">
        <v>0.975</v>
      </c>
      <c r="BP174" s="33"/>
      <c r="BQ174" s="29" t="n">
        <v>2023</v>
      </c>
      <c r="BR174" s="36" t="n">
        <v>0.14</v>
      </c>
      <c r="BS174" s="36" t="n">
        <v>0</v>
      </c>
      <c r="BT174" s="36" t="n">
        <v>0</v>
      </c>
      <c r="BU174" s="36" t="n">
        <v>0</v>
      </c>
      <c r="BV174" s="16" t="n">
        <f aca="false">F174*(1+N(H174)/100)*(1+N(I174)/100)^5</f>
        <v>3.41945189103387</v>
      </c>
      <c r="BW174" s="16" t="n">
        <f aca="false">IF(N(G174)&gt;0,G174,F174)</f>
        <v>7.355</v>
      </c>
      <c r="BX174" s="12" t="n">
        <f aca="false">F174/BW174</f>
        <v>0.389938817131203</v>
      </c>
      <c r="BY174" s="13" t="n">
        <f aca="false">IF(ISNUMBER(K174),1,0)</f>
        <v>1</v>
      </c>
      <c r="BZ174" s="16" t="n">
        <f aca="false">IF(BY174=0,"",N(N174)+N(O174)+N(P174))</f>
        <v>0.0870387972095361</v>
      </c>
      <c r="CA174" s="37" t="n">
        <f aca="false">IF(BY174=0,"",(N(Y174)*34.2+N(Z174)*38.6)/1000)</f>
        <v>0.00431998390352016</v>
      </c>
      <c r="CB174" s="37" t="n">
        <f aca="false">IF(BY174=0,"",N(O174)*0.0036+N(R174)+N(V174)+(N(AA174)*25.3+N(AB174)*37)/1000)</f>
        <v>0.000716537963558326</v>
      </c>
      <c r="CC174" s="37" t="n">
        <f aca="false">IF(BY174=0,"",N(N174)*0.0036+N(Q174)+N(U174)+N(T174)+N(X174)+N(AC174)*38/1000)</f>
        <v>0.000318596213250393</v>
      </c>
      <c r="CD174" s="37" t="n">
        <f aca="false">IF(BY174=0,"",N(Q174)+N(R174)+N(S174)+N(T174)+N(U174)+N(V174)+N(W174)+N(X174)+(N(Y174)*34.2+N(Z174)*38.6+N(AA174)*25.3+N(AB174)*37+N(AC174)*38)/1000)</f>
        <v>0.00504177841037455</v>
      </c>
      <c r="CE174" s="16" t="n">
        <f aca="false">IF(BY174=0,"",MAX(0,N(L174)-N(K174))+MAX(0,N(M174)-N(L174)))</f>
        <v>43.662</v>
      </c>
      <c r="CF174" s="16" t="n">
        <f aca="false">IF(BY174=0,"",N(Y174)*N(AD174)+N(Z174)*N(AE174)+N(AA174)*N(AF174)+N(AB174)*N(AG174)+N(AC174)*N(AH174)+N(U174)*N(AI174)+N(V174)*N(AJ174)+N(W174)*N(AK174)+N(X174)*N(AL174)+N(Q174)*N(AM174)+N(R174)*N(AN174)+N(S174)*N(AO174)+N(T174)*N(AP174))</f>
        <v>0.109096217259877</v>
      </c>
      <c r="CG174" s="16" t="n">
        <f aca="false">IF(AND(BY174=1,N(K174)&gt;0),K174,0)</f>
        <v>0.283</v>
      </c>
      <c r="CH174" s="16" t="n">
        <f aca="false">IF(CG174&gt;0,CF174*1000/CG174,"")</f>
        <v>385.499000918293</v>
      </c>
      <c r="CI174" s="16" t="n">
        <f aca="false">IF(BY174=0,"",N(AQ174)+p_road*(N(AR174)+N(AS174)+N(AT174)))</f>
        <v>7.16694583572271E-007</v>
      </c>
      <c r="CJ174" s="16" t="n">
        <f aca="false">IF(CG174&gt;0,CI174*1000/CG174,"")</f>
        <v>0.00253248969460166</v>
      </c>
      <c r="CK174" s="12" t="n">
        <f aca="false">IF(CH174="",1,MIN(p_idx_max,MAX(p_idx_min,CH174/p_fc_world)))</f>
        <v>2.39429450656664</v>
      </c>
      <c r="CL174" s="12" t="n">
        <f aca="false">IF(CJ174="",1,MIN(p_idx_max,MAX(p_idx_min,CJ174/p_cb_world)))</f>
        <v>0.25</v>
      </c>
      <c r="CM174" s="37" t="n">
        <f aca="false">p_b*(1-p_wb_idx+p_wb_idx*CK174)</f>
        <v>0.318441169373364</v>
      </c>
      <c r="CN174" s="37" t="n">
        <f aca="false">p_c*(1-p_wc_idx+p_wc_idx*CL174)</f>
        <v>0.03225</v>
      </c>
      <c r="CO174" s="28" t="n">
        <f aca="false">IF(N(BR174)&gt;0,(N(BS174)+N(BT174)+N(BU174))/BR174,"")</f>
        <v>0</v>
      </c>
      <c r="CP174" s="16" t="n">
        <f aca="false">N(BS174)+N(BT174)+N(BU174)</f>
        <v>0</v>
      </c>
      <c r="CQ174" s="28" t="str">
        <f aca="false">IF(CP174&gt;0,N(BS174)/CP174,"")</f>
        <v/>
      </c>
      <c r="CR174" s="28" t="str">
        <f aca="false">IF(CP174&gt;0,N(BT174)/CP174,"")</f>
        <v/>
      </c>
      <c r="CS174" s="28" t="str">
        <f aca="false">IF(CP174&gt;0,N(BU174)/CP174,"")</f>
        <v/>
      </c>
      <c r="CT174" s="7" t="n">
        <f aca="false">1000*(p_sh_pv*p_cf_pv/p_capex_pv+(1-p_sh_pv)*p_cf_wind/p_capex_wind)*8760</f>
        <v>2301.28856624319</v>
      </c>
      <c r="CU174" s="13" t="n">
        <f aca="false">IF(AND(ISNUMBER(CO174),ISNUMBER(CQ174),BY174=1),1,0)</f>
        <v>0</v>
      </c>
      <c r="CV174" s="16" t="str">
        <f aca="false">IF(CU174=0,"",CQ174*p_hr_coal*N(AK174)+CR174*p_hr_gas*N(AO174)+CS174*p_hr_oil*N(AH174)/p_gj_l_oil)</f>
        <v/>
      </c>
      <c r="CW174" s="37" t="str">
        <f aca="false">IF(CU174=0,"",CQ174*p_hr_coal*p_ef_coal+CR174*p_hr_gas*p_ef_gas+CS174*p_hr_oil*p_ef_oil)</f>
        <v/>
      </c>
      <c r="CX174" s="16" t="str">
        <f aca="false">IF(CU174=0,"",CQ174*p_hr_coal*N(AW174)+CR174*p_hr_gas*N(AX174)+CS174*p_hr_oil*N(AY174)/p_gj_l_oil)</f>
        <v/>
      </c>
      <c r="CY174" s="37" t="str">
        <f aca="false">IF(CU174=0,"",CO174*CW174)</f>
        <v/>
      </c>
      <c r="CZ174" s="37" t="str">
        <f aca="false">IF(CU174=0,"",CT174*CO174*CV174/1000/1000-p_om_re)</f>
        <v/>
      </c>
      <c r="DA174" s="37" t="str">
        <f aca="false">IF(CU174=0,"",CT174*CO174*CX174/1000/1000)</f>
        <v/>
      </c>
      <c r="DB174" s="37" t="str">
        <f aca="false">IF(CU174=0,"",CT174*CO174*CW174/1000)</f>
        <v/>
      </c>
      <c r="DC174" s="13" t="n">
        <f aca="false">IF(AND(CU174=1,ISNUMBER(AD174),ISNUMBER(AV174)),1,0)</f>
        <v>0</v>
      </c>
      <c r="DD174" s="7" t="str">
        <f aca="false">IF(DC174=0,"",p_ev_km*p_ice_l/100*AD174-p_ev_km*p_ev_kwh*AV174+p_ev_km*p_ev_maint)</f>
        <v/>
      </c>
      <c r="DE174" s="37" t="str">
        <f aca="false">IF(DC174=0,"",DD174/p_ev_prem)</f>
        <v/>
      </c>
      <c r="DF174" s="37" t="str">
        <f aca="false">IF(DC174=0,"",p_ev_km*p_ice_l/100*N(AZ174)/p_ev_prem)</f>
        <v/>
      </c>
      <c r="DG174" s="37" t="str">
        <f aca="false">IF(DC174=0,"",1000/p_ev_prem*(p_ev_km*p_ice_l/100*p_gj_l_gso*p_ef_gso-p_ev_km*p_ev_kwh/1000*CY174))</f>
        <v/>
      </c>
      <c r="DH174" s="11" t="str">
        <f aca="false">IFERROR(IF(INDEX(Damodaran!$D:$D,MATCH(A174,Damodaran!$A:$A,0))="","",INDEX(Damodaran!$D:$D,MATCH(A174,Damodaran!$A:$A,0))),"")</f>
        <v/>
      </c>
      <c r="DI174" s="11" t="str">
        <f aca="false">IFERROR(IF(INDEX(Damodaran!$E:$E,MATCH(A174,Damodaran!$A:$A,0))="","",INDEX(Damodaran!$E:$E,MATCH(A174,Damodaran!$A:$A,0))),"")</f>
        <v/>
      </c>
      <c r="DJ174" s="11" t="str">
        <f aca="false">IFERROR(IF(INDEX(Damodaran!$G:$G,MATCH(A174,Damodaran!$A:$A,0))="","",INDEX(Damodaran!$G:$G,MATCH(A174,Damodaran!$A:$A,0))),"")</f>
        <v/>
      </c>
      <c r="DK174" s="11" t="str">
        <f aca="false">IF(ISNUMBER(BG174),(1+BG174/100)*(1+p_infl)-1,"")</f>
        <v/>
      </c>
      <c r="DL174" s="11" t="str">
        <f aca="false">IF(ISNUMBER(BH174),BH174/100,"")</f>
        <v/>
      </c>
      <c r="DM174" s="11" t="str">
        <f aca="false">IF(COUNT(DK174,DL174)=0,"",AVERAGE(DK174,DL174))</f>
        <v/>
      </c>
      <c r="DN174" s="11" t="str">
        <f aca="false">IF(OR(DH174="",DI174=""),"",p_dv*(p_rf+DH174)*(1-IF(DJ174="",p_tax_def,DJ174))+(1-p_dv)*(p_rf+p_beta*p_erp+p_lambda*DI174))</f>
        <v/>
      </c>
      <c r="DO174" s="13" t="n">
        <f aca="false">IF(AND(ISNUMBER(DM174),ISNUMBER(DN174)),1,0)</f>
        <v>0</v>
      </c>
      <c r="DP174" s="11" t="n">
        <f aca="false">IF(DO174=1,DM174,0)</f>
        <v>0</v>
      </c>
      <c r="DQ174" s="11" t="n">
        <f aca="false">IF(DO174=1,DN174,0)</f>
        <v>0</v>
      </c>
      <c r="DR174" s="11" t="str">
        <f aca="false">IF(DN174="","",DN174+p_shift)</f>
        <v/>
      </c>
      <c r="DS174" s="11" t="n">
        <f aca="false">IF(E174="AE",p_r_ae,IF(E174="China",p_r_chn,p_r_emdc))</f>
        <v>0.105</v>
      </c>
      <c r="DT174" s="11" t="n">
        <f aca="false">IF(E174="AE",p_rh_ae,IF(E174="China",p_rh_chn,p_rh_emdc))</f>
        <v>0.15</v>
      </c>
      <c r="DU174" s="11" t="n">
        <f aca="false">IF(AND(p_use_obs=1,ISNUMBER(DM174)),DM174,IF(AND(p_use_dam=1,ISNUMBER(DR174)),DR174,DS174))</f>
        <v>0.105</v>
      </c>
      <c r="DV174" s="6" t="str">
        <f aca="false">IF(AND(p_use_obs=1,ISNUMBER(DM174)),"Observed (IRENA/Steffen)",IF(AND(p_use_dam=1,ISNUMBER(DR174)),"Damodaran (eq. 5)","Group default (IHLEG)"))</f>
        <v>Group default (IHLEG)</v>
      </c>
      <c r="DW174" s="11" t="n">
        <f aca="false">IF(p_basis=1,(1+DU174)/(1+p_infl)-1,DU174)</f>
        <v>0.105</v>
      </c>
      <c r="DX174" s="11" t="n">
        <f aca="false">DW174+(DT174-DS174)</f>
        <v>0.15</v>
      </c>
      <c r="DY174" s="28" t="n">
        <f aca="false">IF(AND(p_use_pefa=1,ISNUMBER(BD174)),p_gap_lic-(BD174-1)/3*(p_gap_lic-p_gap_ae),IF(E174="AE",p_gap_ae,IF(D174="Low income",p_gap_lic,p_gap_em)))*(1-p_reform*p_reform_close)</f>
        <v>0.4</v>
      </c>
      <c r="DZ174" s="6" t="str">
        <f aca="false">IF(AND(p_use_pefa=1,ISNUMBER(BD174)),"PEFA PI-11","Income-group default (IMF 2015)")</f>
        <v>Income-group default (IMF 2015)</v>
      </c>
      <c r="EA174" s="28" t="n">
        <f aca="false">IF(E174="AE",p_ps_ae,IF(E174="China",p_ps_chn,p_ps_emdc))</f>
        <v>0.4</v>
      </c>
      <c r="EB174" s="37" t="n">
        <f aca="false">(1-EA174)+EA174/(1-DY174)</f>
        <v>1.26666666666667</v>
      </c>
      <c r="EC174" s="16" t="n">
        <f aca="false">Results_Country!F174</f>
        <v>0.791483066836138</v>
      </c>
      <c r="ED174" s="16" t="n">
        <f aca="false">IF(CH174="",0,CH174*EC174)</f>
        <v>305.115931509078</v>
      </c>
      <c r="EE174" s="16" t="n">
        <f aca="false">IF(CJ174="",0,CJ174*EC174)</f>
        <v>0.00200442271021424</v>
      </c>
      <c r="EF174" s="16" t="n">
        <f aca="false">IF(CH174="",0,EC174)</f>
        <v>0.791483066836138</v>
      </c>
    </row>
    <row r="175" customFormat="false" ht="15" hidden="false" customHeight="false" outlineLevel="0" collapsed="false">
      <c r="A175" s="35" t="s">
        <v>1107</v>
      </c>
      <c r="B175" s="35" t="s">
        <v>1108</v>
      </c>
      <c r="C175" s="35" t="s">
        <v>847</v>
      </c>
      <c r="D175" s="35" t="s">
        <v>763</v>
      </c>
      <c r="E175" s="35" t="s">
        <v>31</v>
      </c>
      <c r="F175" s="36" t="n">
        <v>2.726</v>
      </c>
      <c r="G175" s="36" t="n">
        <v>5.885</v>
      </c>
      <c r="H175" s="33" t="n">
        <v>5.513</v>
      </c>
      <c r="I175" s="33" t="n">
        <v>4.787</v>
      </c>
      <c r="J175" s="36" t="n">
        <v>0.524877</v>
      </c>
      <c r="K175" s="36" t="n">
        <v>1.04</v>
      </c>
      <c r="L175" s="36" t="n">
        <v>1.331</v>
      </c>
      <c r="M175" s="36" t="n">
        <v>1.268</v>
      </c>
      <c r="N175" s="36" t="n">
        <v>0.285708154645916</v>
      </c>
      <c r="O175" s="36" t="n">
        <v>0.156618759748256</v>
      </c>
      <c r="P175" s="36" t="n">
        <v>0</v>
      </c>
      <c r="Q175" s="31" t="n">
        <v>0</v>
      </c>
      <c r="R175" s="31" t="n">
        <v>0</v>
      </c>
      <c r="S175" s="31" t="n">
        <v>0</v>
      </c>
      <c r="T175" s="31" t="n">
        <v>0</v>
      </c>
      <c r="U175" s="31" t="n">
        <v>0</v>
      </c>
      <c r="V175" s="31" t="n">
        <v>0</v>
      </c>
      <c r="W175" s="31" t="n">
        <v>0</v>
      </c>
      <c r="X175" s="31" t="n">
        <v>0</v>
      </c>
      <c r="Y175" s="36" t="n">
        <v>0.0192557678794495</v>
      </c>
      <c r="Z175" s="36" t="n">
        <v>0.092131954037206</v>
      </c>
      <c r="AA175" s="36" t="n">
        <v>0.0277350411751675</v>
      </c>
      <c r="AB175" s="36" t="n">
        <v>0.00373028282754947</v>
      </c>
      <c r="AC175" s="36" t="n">
        <v>0.101086307124814</v>
      </c>
      <c r="AD175" s="31" t="n">
        <v>0.8326</v>
      </c>
      <c r="AE175" s="31" t="n">
        <v>0.799922</v>
      </c>
      <c r="AF175" s="31" t="n">
        <v>0.556898</v>
      </c>
      <c r="AG175" s="31" t="n">
        <v>0.67965</v>
      </c>
      <c r="AH175" s="31" t="n">
        <v>0.519462891908447</v>
      </c>
      <c r="AI175" s="31" t="n">
        <v>7.124</v>
      </c>
      <c r="AJ175" s="31" t="n">
        <v>14.02195</v>
      </c>
      <c r="AK175" s="31" t="n">
        <v>5.575</v>
      </c>
      <c r="AL175" s="31" t="n">
        <v>8.90698333333333</v>
      </c>
      <c r="AM175" s="31" t="n">
        <v>9.844</v>
      </c>
      <c r="AN175" s="31" t="n">
        <v>20.4539</v>
      </c>
      <c r="AO175" s="31" t="n">
        <v>8.521</v>
      </c>
      <c r="AP175" s="31" t="n">
        <v>12.9396333333333</v>
      </c>
      <c r="AQ175" s="36" t="n">
        <v>0.00118624939274145</v>
      </c>
      <c r="AR175" s="36" t="n">
        <v>0.00304821907168983</v>
      </c>
      <c r="AS175" s="36" t="n">
        <v>0.0144804302266417</v>
      </c>
      <c r="AT175" s="36" t="n">
        <v>0.00831449138201644</v>
      </c>
      <c r="AU175" s="31" t="n">
        <v>0.307443398291858</v>
      </c>
      <c r="AV175" s="36" t="n">
        <v>0.313092</v>
      </c>
      <c r="AW175" s="31" t="n">
        <v>0.221582</v>
      </c>
      <c r="AX175" s="31" t="n">
        <v>0.001636</v>
      </c>
      <c r="AY175" s="31" t="n">
        <v>0.00527186745517572</v>
      </c>
      <c r="AZ175" s="31" t="n">
        <v>0.004113</v>
      </c>
      <c r="BA175" s="33" t="n">
        <v>112.847</v>
      </c>
      <c r="BB175" s="33" t="n">
        <v>9.365</v>
      </c>
      <c r="BC175" s="33" t="n">
        <v>43.59</v>
      </c>
      <c r="BD175" s="33"/>
      <c r="BE175" s="33"/>
      <c r="BF175" s="33" t="n">
        <v>0</v>
      </c>
      <c r="BG175" s="33"/>
      <c r="BH175" s="33"/>
      <c r="BI175" s="29"/>
      <c r="BJ175" s="33"/>
      <c r="BK175" s="33"/>
      <c r="BL175" s="33" t="n">
        <v>-1.628</v>
      </c>
      <c r="BM175" s="33" t="n">
        <v>1.3</v>
      </c>
      <c r="BN175" s="29" t="n">
        <v>18.705</v>
      </c>
      <c r="BO175" s="33" t="n">
        <v>0.921</v>
      </c>
      <c r="BP175" s="33" t="n">
        <v>1.129</v>
      </c>
      <c r="BQ175" s="29" t="n">
        <v>2024</v>
      </c>
      <c r="BR175" s="36" t="n">
        <v>0.52</v>
      </c>
      <c r="BS175" s="36" t="n">
        <v>0</v>
      </c>
      <c r="BT175" s="36" t="n">
        <v>0</v>
      </c>
      <c r="BU175" s="36" t="n">
        <v>0.36</v>
      </c>
      <c r="BV175" s="16" t="n">
        <f aca="false">F175*(1+N(H175)/100)*(1+N(I175)/100)^5</f>
        <v>3.63386557138147</v>
      </c>
      <c r="BW175" s="16" t="n">
        <f aca="false">IF(N(G175)&gt;0,G175,F175)</f>
        <v>5.885</v>
      </c>
      <c r="BX175" s="12" t="n">
        <f aca="false">F175/BW175</f>
        <v>0.46321155480034</v>
      </c>
      <c r="BY175" s="13" t="n">
        <f aca="false">IF(ISNUMBER(K175),1,0)</f>
        <v>1</v>
      </c>
      <c r="BZ175" s="16" t="n">
        <f aca="false">IF(BY175=0,"",N(N175)+N(O175)+N(P175))</f>
        <v>0.442326914394172</v>
      </c>
      <c r="CA175" s="37" t="n">
        <f aca="false">IF(BY175=0,"",(N(Y175)*34.2+N(Z175)*38.6)/1000)</f>
        <v>0.00421484068731332</v>
      </c>
      <c r="CB175" s="37" t="n">
        <f aca="false">IF(BY175=0,"",N(O175)*0.0036+N(R175)+N(V175)+(N(AA175)*25.3+N(AB175)*37)/1000)</f>
        <v>0.00140354454144479</v>
      </c>
      <c r="CC175" s="37" t="n">
        <f aca="false">IF(BY175=0,"",N(N175)*0.0036+N(Q175)+N(U175)+N(T175)+N(X175)+N(AC175)*38/1000)</f>
        <v>0.00486982902746824</v>
      </c>
      <c r="CD175" s="37" t="n">
        <f aca="false">IF(BY175=0,"",N(Q175)+N(R175)+N(S175)+N(T175)+N(U175)+N(V175)+N(W175)+N(X175)+(N(Y175)*34.2+N(Z175)*38.6+N(AA175)*25.3+N(AB175)*37+N(AC175)*38)/1000)</f>
        <v>0.00889583736440733</v>
      </c>
      <c r="CE175" s="16" t="n">
        <f aca="false">IF(BY175=0,"",MAX(0,N(L175)-N(K175))+MAX(0,N(M175)-N(L175)))</f>
        <v>0.291</v>
      </c>
      <c r="CF175" s="16" t="n">
        <f aca="false">IF(BY175=0,"",N(Y175)*N(AD175)+N(Z175)*N(AE175)+N(AA175)*N(AF175)+N(AB175)*N(AG175)+N(AC175)*N(AH175)+N(U175)*N(AI175)+N(V175)*N(AJ175)+N(W175)*N(AK175)+N(X175)*N(AL175)+N(Q175)*N(AM175)+N(R175)*N(AN175)+N(S175)*N(AO175)+N(T175)*N(AP175))</f>
        <v>0.160222190389293</v>
      </c>
      <c r="CG175" s="16" t="n">
        <f aca="false">IF(AND(BY175=1,N(K175)&gt;0),K175,0)</f>
        <v>1.04</v>
      </c>
      <c r="CH175" s="16" t="n">
        <f aca="false">IF(CG175&gt;0,CF175*1000/CG175,"")</f>
        <v>154.059798451244</v>
      </c>
      <c r="CI175" s="16" t="n">
        <f aca="false">IF(BY175=0,"",N(AQ175)+p_road*(N(AR175)+N(AS175)+N(AT175)))</f>
        <v>0.00118624939274145</v>
      </c>
      <c r="CJ175" s="16" t="n">
        <f aca="false">IF(CG175&gt;0,CI175*1000/CG175,"")</f>
        <v>1.14062441609755</v>
      </c>
      <c r="CK175" s="12" t="n">
        <f aca="false">IF(CH175="",1,MIN(p_idx_max,MAX(p_idx_min,CH175/p_fc_world)))</f>
        <v>0.956849507355164</v>
      </c>
      <c r="CL175" s="12" t="n">
        <f aca="false">IF(CJ175="",1,MIN(p_idx_max,MAX(p_idx_min,CJ175/p_cb_world)))</f>
        <v>0.25</v>
      </c>
      <c r="CM175" s="37" t="n">
        <f aca="false">p_b*(1-p_wb_idx+p_wb_idx*CK175)</f>
        <v>0.127260984478237</v>
      </c>
      <c r="CN175" s="37" t="n">
        <f aca="false">p_c*(1-p_wc_idx+p_wc_idx*CL175)</f>
        <v>0.03225</v>
      </c>
      <c r="CO175" s="28" t="n">
        <f aca="false">IF(N(BR175)&gt;0,(N(BS175)+N(BT175)+N(BU175))/BR175,"")</f>
        <v>0.692307692307692</v>
      </c>
      <c r="CP175" s="16" t="n">
        <f aca="false">N(BS175)+N(BT175)+N(BU175)</f>
        <v>0.36</v>
      </c>
      <c r="CQ175" s="28" t="n">
        <f aca="false">IF(CP175&gt;0,N(BS175)/CP175,"")</f>
        <v>0</v>
      </c>
      <c r="CR175" s="28" t="n">
        <f aca="false">IF(CP175&gt;0,N(BT175)/CP175,"")</f>
        <v>0</v>
      </c>
      <c r="CS175" s="28" t="n">
        <f aca="false">IF(CP175&gt;0,N(BU175)/CP175,"")</f>
        <v>1</v>
      </c>
      <c r="CT175" s="7" t="n">
        <f aca="false">1000*(p_sh_pv*p_cf_pv/p_capex_pv+(1-p_sh_pv)*p_cf_wind/p_capex_wind)*8760</f>
        <v>2301.28856624319</v>
      </c>
      <c r="CU175" s="13" t="n">
        <f aca="false">IF(AND(ISNUMBER(CO175),ISNUMBER(CQ175),BY175=1),1,0)</f>
        <v>1</v>
      </c>
      <c r="CV175" s="16" t="n">
        <f aca="false">IF(CU175=0,"",CQ175*p_hr_coal*N(AK175)+CR175*p_hr_gas*N(AO175)+CS175*p_hr_oil*N(AH175)/p_gj_l_oil)</f>
        <v>141.304672669396</v>
      </c>
      <c r="CW175" s="37" t="n">
        <f aca="false">IF(CU175=0,"",CQ175*p_hr_coal*p_ef_coal+CR175*p_hr_gas*p_ef_gas+CS175*p_hr_oil*p_ef_oil)</f>
        <v>0.8127</v>
      </c>
      <c r="CX175" s="16" t="n">
        <f aca="false">IF(CU175=0,"",CQ175*p_hr_coal*N(AW175)+CR175*p_hr_gas*N(AX175)+CS175*p_hr_oil*N(AY175)/p_gj_l_oil)</f>
        <v>1.43405720930946</v>
      </c>
      <c r="CY175" s="37" t="n">
        <f aca="false">IF(CU175=0,"",CO175*CW175)</f>
        <v>0.562638461538462</v>
      </c>
      <c r="CZ175" s="37" t="n">
        <f aca="false">IF(CU175=0,"",CT175*CO175*CV175/1000/1000-p_om_re)</f>
        <v>0.210126572933643</v>
      </c>
      <c r="DA175" s="37" t="n">
        <f aca="false">IF(CU175=0,"",CT175*CO175*CX175/1000/1000)</f>
        <v>0.00228473962554633</v>
      </c>
      <c r="DB175" s="37" t="n">
        <f aca="false">IF(CU175=0,"",CT175*CO175*CW175/1000)</f>
        <v>1.29479345846712</v>
      </c>
      <c r="DC175" s="13" t="n">
        <f aca="false">IF(AND(CU175=1,ISNUMBER(AD175),ISNUMBER(AV175)),1,0)</f>
        <v>1</v>
      </c>
      <c r="DD175" s="7" t="n">
        <f aca="false">IF(DC175=0,"",p_ev_km*p_ice_l/100*AD175-p_ev_km*p_ev_kwh*AV175+p_ev_km*p_ev_maint)</f>
        <v>271.3266</v>
      </c>
      <c r="DE175" s="37" t="n">
        <f aca="false">IF(DC175=0,"",DD175/p_ev_prem)</f>
        <v>0.05426532</v>
      </c>
      <c r="DF175" s="37" t="n">
        <f aca="false">IF(DC175=0,"",p_ev_km*p_ice_l/100*N(AZ175)/p_ev_prem)</f>
        <v>0.000925425</v>
      </c>
      <c r="DG175" s="37" t="n">
        <f aca="false">IF(DC175=0,"",1000/p_ev_prem*(p_ev_km*p_ice_l/100*p_gj_l_gso*p_ef_gso-p_ev_km*p_ev_kwh/1000*CY175))</f>
        <v>0.229438730769231</v>
      </c>
      <c r="DH175" s="11" t="str">
        <f aca="false">IFERROR(IF(INDEX(Damodaran!$D:$D,MATCH(A175,Damodaran!$A:$A,0))="","",INDEX(Damodaran!$D:$D,MATCH(A175,Damodaran!$A:$A,0))),"")</f>
        <v/>
      </c>
      <c r="DI175" s="11" t="str">
        <f aca="false">IFERROR(IF(INDEX(Damodaran!$E:$E,MATCH(A175,Damodaran!$A:$A,0))="","",INDEX(Damodaran!$E:$E,MATCH(A175,Damodaran!$A:$A,0))),"")</f>
        <v/>
      </c>
      <c r="DJ175" s="11" t="str">
        <f aca="false">IFERROR(IF(INDEX(Damodaran!$G:$G,MATCH(A175,Damodaran!$A:$A,0))="","",INDEX(Damodaran!$G:$G,MATCH(A175,Damodaran!$A:$A,0))),"")</f>
        <v/>
      </c>
      <c r="DK175" s="11" t="str">
        <f aca="false">IF(ISNUMBER(BG175),(1+BG175/100)*(1+p_infl)-1,"")</f>
        <v/>
      </c>
      <c r="DL175" s="11" t="str">
        <f aca="false">IF(ISNUMBER(BH175),BH175/100,"")</f>
        <v/>
      </c>
      <c r="DM175" s="11" t="str">
        <f aca="false">IF(COUNT(DK175,DL175)=0,"",AVERAGE(DK175,DL175))</f>
        <v/>
      </c>
      <c r="DN175" s="11" t="str">
        <f aca="false">IF(OR(DH175="",DI175=""),"",p_dv*(p_rf+DH175)*(1-IF(DJ175="",p_tax_def,DJ175))+(1-p_dv)*(p_rf+p_beta*p_erp+p_lambda*DI175))</f>
        <v/>
      </c>
      <c r="DO175" s="13" t="n">
        <f aca="false">IF(AND(ISNUMBER(DM175),ISNUMBER(DN175)),1,0)</f>
        <v>0</v>
      </c>
      <c r="DP175" s="11" t="n">
        <f aca="false">IF(DO175=1,DM175,0)</f>
        <v>0</v>
      </c>
      <c r="DQ175" s="11" t="n">
        <f aca="false">IF(DO175=1,DN175,0)</f>
        <v>0</v>
      </c>
      <c r="DR175" s="11" t="str">
        <f aca="false">IF(DN175="","",DN175+p_shift)</f>
        <v/>
      </c>
      <c r="DS175" s="11" t="n">
        <f aca="false">IF(E175="AE",p_r_ae,IF(E175="China",p_r_chn,p_r_emdc))</f>
        <v>0.105</v>
      </c>
      <c r="DT175" s="11" t="n">
        <f aca="false">IF(E175="AE",p_rh_ae,IF(E175="China",p_rh_chn,p_rh_emdc))</f>
        <v>0.15</v>
      </c>
      <c r="DU175" s="11" t="n">
        <f aca="false">IF(AND(p_use_obs=1,ISNUMBER(DM175)),DM175,IF(AND(p_use_dam=1,ISNUMBER(DR175)),DR175,DS175))</f>
        <v>0.105</v>
      </c>
      <c r="DV175" s="6" t="str">
        <f aca="false">IF(AND(p_use_obs=1,ISNUMBER(DM175)),"Observed (IRENA/Steffen)",IF(AND(p_use_dam=1,ISNUMBER(DR175)),"Damodaran (eq. 5)","Group default (IHLEG)"))</f>
        <v>Group default (IHLEG)</v>
      </c>
      <c r="DW175" s="11" t="n">
        <f aca="false">IF(p_basis=1,(1+DU175)/(1+p_infl)-1,DU175)</f>
        <v>0.105</v>
      </c>
      <c r="DX175" s="11" t="n">
        <f aca="false">DW175+(DT175-DS175)</f>
        <v>0.15</v>
      </c>
      <c r="DY175" s="28" t="n">
        <f aca="false">IF(AND(p_use_pefa=1,ISNUMBER(BD175)),p_gap_lic-(BD175-1)/3*(p_gap_lic-p_gap_ae),IF(E175="AE",p_gap_ae,IF(D175="Low income",p_gap_lic,p_gap_em)))*(1-p_reform*p_reform_close)</f>
        <v>0.27</v>
      </c>
      <c r="DZ175" s="6" t="str">
        <f aca="false">IF(AND(p_use_pefa=1,ISNUMBER(BD175)),"PEFA PI-11","Income-group default (IMF 2015)")</f>
        <v>Income-group default (IMF 2015)</v>
      </c>
      <c r="EA175" s="28" t="n">
        <f aca="false">IF(E175="AE",p_ps_ae,IF(E175="China",p_ps_chn,p_ps_emdc))</f>
        <v>0.4</v>
      </c>
      <c r="EB175" s="37" t="n">
        <f aca="false">(1-EA175)+EA175/(1-DY175)</f>
        <v>1.14794520547945</v>
      </c>
      <c r="EC175" s="16" t="n">
        <f aca="false">Results_Country!F175</f>
        <v>0.142965445934426</v>
      </c>
      <c r="ED175" s="16" t="n">
        <f aca="false">IF(CH175="",0,CH175*EC175)</f>
        <v>22.0252277861498</v>
      </c>
      <c r="EE175" s="16" t="n">
        <f aca="false">IF(CJ175="",0,CJ175*EC175)</f>
        <v>0.16306987829108</v>
      </c>
      <c r="EF175" s="16" t="n">
        <f aca="false">IF(CH175="",0,EC175)</f>
        <v>0.142965445934426</v>
      </c>
    </row>
    <row r="176" customFormat="false" ht="15" hidden="false" customHeight="false" outlineLevel="0" collapsed="false">
      <c r="A176" s="35" t="s">
        <v>1109</v>
      </c>
      <c r="B176" s="35" t="s">
        <v>1110</v>
      </c>
      <c r="C176" s="35" t="s">
        <v>784</v>
      </c>
      <c r="D176" s="35" t="s">
        <v>763</v>
      </c>
      <c r="E176" s="35" t="s">
        <v>31</v>
      </c>
      <c r="F176" s="36" t="n">
        <v>2.574</v>
      </c>
      <c r="G176" s="36" t="n">
        <v>5.065</v>
      </c>
      <c r="H176" s="33" t="n">
        <v>1.654</v>
      </c>
      <c r="I176" s="33" t="n">
        <v>1.963</v>
      </c>
      <c r="J176" s="36" t="n">
        <v>0.179743</v>
      </c>
      <c r="K176" s="36" t="n">
        <v>0.247</v>
      </c>
      <c r="L176" s="36" t="n">
        <v>0.427</v>
      </c>
      <c r="M176" s="36" t="n">
        <v>0.281</v>
      </c>
      <c r="N176" s="36" t="n">
        <v>0.244001635775312</v>
      </c>
      <c r="O176" s="36" t="n">
        <v>0.151069865219902</v>
      </c>
      <c r="P176" s="36" t="n">
        <v>0</v>
      </c>
      <c r="Q176" s="31" t="n">
        <v>0</v>
      </c>
      <c r="R176" s="31" t="n">
        <v>0</v>
      </c>
      <c r="S176" s="31" t="n">
        <v>0</v>
      </c>
      <c r="T176" s="31" t="n">
        <v>0</v>
      </c>
      <c r="U176" s="31" t="n">
        <v>0</v>
      </c>
      <c r="V176" s="31" t="n">
        <v>0</v>
      </c>
      <c r="W176" s="31" t="n">
        <v>0</v>
      </c>
      <c r="X176" s="31" t="n">
        <v>0</v>
      </c>
      <c r="Y176" s="36" t="n">
        <v>0.0552865196548207</v>
      </c>
      <c r="Z176" s="36" t="n">
        <v>0.0378599186878675</v>
      </c>
      <c r="AA176" s="36" t="n">
        <v>0.0138460408116722</v>
      </c>
      <c r="AB176" s="36" t="n">
        <v>0.00381943678400574</v>
      </c>
      <c r="AC176" s="36" t="n">
        <v>0.0793385617336529</v>
      </c>
      <c r="AD176" s="31" t="n">
        <v>0.8505</v>
      </c>
      <c r="AE176" s="31" t="n">
        <v>0.661498</v>
      </c>
      <c r="AF176" s="31" t="n">
        <v>0.586697</v>
      </c>
      <c r="AG176" s="31" t="n">
        <v>0.639</v>
      </c>
      <c r="AH176" s="31" t="n">
        <v>0.519462901778978</v>
      </c>
      <c r="AI176" s="31" t="n">
        <v>7.124</v>
      </c>
      <c r="AJ176" s="31" t="n">
        <v>13.717125</v>
      </c>
      <c r="AK176" s="31" t="n">
        <v>5.575</v>
      </c>
      <c r="AL176" s="31" t="n">
        <v>8.805375</v>
      </c>
      <c r="AM176" s="31" t="n">
        <v>12.771</v>
      </c>
      <c r="AN176" s="31" t="n">
        <v>23.301</v>
      </c>
      <c r="AO176" s="31" t="n">
        <v>11.447</v>
      </c>
      <c r="AP176" s="31" t="n">
        <v>15.8396666666667</v>
      </c>
      <c r="AQ176" s="36" t="n">
        <v>0.00109369654881966</v>
      </c>
      <c r="AR176" s="36" t="n">
        <v>0.00223704628938466</v>
      </c>
      <c r="AS176" s="36" t="n">
        <v>0.000816974487276935</v>
      </c>
      <c r="AT176" s="36" t="n">
        <v>0</v>
      </c>
      <c r="AU176" s="31" t="n">
        <v>0.151460327890272</v>
      </c>
      <c r="AV176" s="36" t="n">
        <v>0.343125</v>
      </c>
      <c r="AW176" s="31" t="n">
        <v>0.358802</v>
      </c>
      <c r="AX176" s="31" t="n">
        <v>0.004754</v>
      </c>
      <c r="AY176" s="31" t="n">
        <v>0.0131895167600621</v>
      </c>
      <c r="AZ176" s="31" t="n">
        <v>0.008406</v>
      </c>
      <c r="BA176" s="33" t="n">
        <v>76.656</v>
      </c>
      <c r="BB176" s="33" t="n">
        <v>14.479</v>
      </c>
      <c r="BC176" s="33" t="n">
        <v>81.934</v>
      </c>
      <c r="BD176" s="33"/>
      <c r="BE176" s="33"/>
      <c r="BF176" s="33" t="n">
        <v>0</v>
      </c>
      <c r="BG176" s="33"/>
      <c r="BH176" s="33"/>
      <c r="BI176" s="29"/>
      <c r="BJ176" s="33"/>
      <c r="BK176" s="33"/>
      <c r="BL176" s="33" t="n">
        <v>4.946</v>
      </c>
      <c r="BM176" s="33" t="n">
        <v>7.5</v>
      </c>
      <c r="BN176" s="29" t="n">
        <v>29.001</v>
      </c>
      <c r="BO176" s="33" t="n">
        <v>0.556</v>
      </c>
      <c r="BP176" s="33"/>
      <c r="BQ176" s="29" t="n">
        <v>2024</v>
      </c>
      <c r="BR176" s="36" t="n">
        <v>0.4</v>
      </c>
      <c r="BS176" s="36" t="n">
        <v>0</v>
      </c>
      <c r="BT176" s="36" t="n">
        <v>0</v>
      </c>
      <c r="BU176" s="36" t="n">
        <v>0.39</v>
      </c>
      <c r="BV176" s="16" t="n">
        <f aca="false">F176*(1+N(H176)/100)*(1+N(I176)/100)^5</f>
        <v>2.88367319131649</v>
      </c>
      <c r="BW176" s="16" t="n">
        <f aca="false">IF(N(G176)&gt;0,G176,F176)</f>
        <v>5.065</v>
      </c>
      <c r="BX176" s="12" t="n">
        <f aca="false">F176/BW176</f>
        <v>0.508193484698914</v>
      </c>
      <c r="BY176" s="13" t="n">
        <f aca="false">IF(ISNUMBER(K176),1,0)</f>
        <v>1</v>
      </c>
      <c r="BZ176" s="16" t="n">
        <f aca="false">IF(BY176=0,"",N(N176)+N(O176)+N(P176))</f>
        <v>0.395071500995214</v>
      </c>
      <c r="CA176" s="37" t="n">
        <f aca="false">IF(BY176=0,"",(N(Y176)*34.2+N(Z176)*38.6)/1000)</f>
        <v>0.00335219183354655</v>
      </c>
      <c r="CB176" s="37" t="n">
        <f aca="false">IF(BY176=0,"",N(O176)*0.0036+N(R176)+N(V176)+(N(AA176)*25.3+N(AB176)*37)/1000)</f>
        <v>0.00103547550833517</v>
      </c>
      <c r="CC176" s="37" t="n">
        <f aca="false">IF(BY176=0,"",N(N176)*0.0036+N(Q176)+N(U176)+N(T176)+N(X176)+N(AC176)*38/1000)</f>
        <v>0.00389327123466993</v>
      </c>
      <c r="CD176" s="37" t="n">
        <f aca="false">IF(BY176=0,"",N(Q176)+N(R176)+N(S176)+N(T176)+N(U176)+N(V176)+N(W176)+N(X176)+(N(Y176)*34.2+N(Z176)*38.6+N(AA176)*25.3+N(AB176)*37+N(AC176)*38)/1000)</f>
        <v>0.00685868117296888</v>
      </c>
      <c r="CE176" s="16" t="n">
        <f aca="false">IF(BY176=0,"",MAX(0,N(L176)-N(K176))+MAX(0,N(M176)-N(L176)))</f>
        <v>0.18</v>
      </c>
      <c r="CF176" s="16" t="n">
        <f aca="false">IF(BY176=0,"",N(Y176)*N(AD176)+N(Z176)*N(AE176)+N(AA176)*N(AF176)+N(AB176)*N(AG176)+N(AC176)*N(AH176)+N(U176)*N(AI176)+N(V176)*N(AJ176)+N(W176)*N(AK176)+N(X176)*N(AL176)+N(Q176)*N(AM176)+N(R176)*N(AN176)+N(S176)*N(AO176)+N(T176)*N(AP176))</f>
        <v>0.123842935670811</v>
      </c>
      <c r="CG176" s="16" t="n">
        <f aca="false">IF(AND(BY176=1,N(K176)&gt;0),K176,0)</f>
        <v>0.247</v>
      </c>
      <c r="CH176" s="16" t="n">
        <f aca="false">IF(CG176&gt;0,CF176*1000/CG176,"")</f>
        <v>501.388403525551</v>
      </c>
      <c r="CI176" s="16" t="n">
        <f aca="false">IF(BY176=0,"",N(AQ176)+p_road*(N(AR176)+N(AS176)+N(AT176)))</f>
        <v>0.00109369654881966</v>
      </c>
      <c r="CJ176" s="16" t="n">
        <f aca="false">IF(CG176&gt;0,CI176*1000/CG176,"")</f>
        <v>4.42792125028203</v>
      </c>
      <c r="CK176" s="12" t="n">
        <f aca="false">IF(CH176="",1,MIN(p_idx_max,MAX(p_idx_min,CH176/p_fc_world)))</f>
        <v>3.1140716249791</v>
      </c>
      <c r="CL176" s="12" t="n">
        <f aca="false">IF(CJ176="",1,MIN(p_idx_max,MAX(p_idx_min,CJ176/p_cb_world)))</f>
        <v>0.25</v>
      </c>
      <c r="CM176" s="37" t="n">
        <f aca="false">p_b*(1-p_wb_idx+p_wb_idx*CK176)</f>
        <v>0.41417152612222</v>
      </c>
      <c r="CN176" s="37" t="n">
        <f aca="false">p_c*(1-p_wc_idx+p_wc_idx*CL176)</f>
        <v>0.03225</v>
      </c>
      <c r="CO176" s="28" t="n">
        <f aca="false">IF(N(BR176)&gt;0,(N(BS176)+N(BT176)+N(BU176))/BR176,"")</f>
        <v>0.975</v>
      </c>
      <c r="CP176" s="16" t="n">
        <f aca="false">N(BS176)+N(BT176)+N(BU176)</f>
        <v>0.39</v>
      </c>
      <c r="CQ176" s="28" t="n">
        <f aca="false">IF(CP176&gt;0,N(BS176)/CP176,"")</f>
        <v>0</v>
      </c>
      <c r="CR176" s="28" t="n">
        <f aca="false">IF(CP176&gt;0,N(BT176)/CP176,"")</f>
        <v>0</v>
      </c>
      <c r="CS176" s="28" t="n">
        <f aca="false">IF(CP176&gt;0,N(BU176)/CP176,"")</f>
        <v>1</v>
      </c>
      <c r="CT176" s="7" t="n">
        <f aca="false">1000*(p_sh_pv*p_cf_pv/p_capex_pv+(1-p_sh_pv)*p_cf_wind/p_capex_wind)*8760</f>
        <v>2301.28856624319</v>
      </c>
      <c r="CU176" s="13" t="n">
        <f aca="false">IF(AND(ISNUMBER(CO176),ISNUMBER(CQ176),BY176=1),1,0)</f>
        <v>1</v>
      </c>
      <c r="CV176" s="16" t="n">
        <f aca="false">IF(CU176=0,"",CQ176*p_hr_coal*N(AK176)+CR176*p_hr_gas*N(AO176)+CS176*p_hr_oil*N(AH176)/p_gj_l_oil)</f>
        <v>141.304675354385</v>
      </c>
      <c r="CW176" s="37" t="n">
        <f aca="false">IF(CU176=0,"",CQ176*p_hr_coal*p_ef_coal+CR176*p_hr_gas*p_ef_gas+CS176*p_hr_oil*p_ef_oil)</f>
        <v>0.8127</v>
      </c>
      <c r="CX176" s="16" t="n">
        <f aca="false">IF(CU176=0,"",CQ176*p_hr_coal*N(AW176)+CR176*p_hr_gas*N(AX176)+CS176*p_hr_oil*N(AY176)/p_gj_l_oil)</f>
        <v>3.5878219165972</v>
      </c>
      <c r="CY176" s="37" t="n">
        <f aca="false">IF(CU176=0,"",CO176*CW176)</f>
        <v>0.7923825</v>
      </c>
      <c r="CZ176" s="37" t="n">
        <f aca="false">IF(CU176=0,"",CT176*CO176*CV176/1000/1000-p_om_re)</f>
        <v>0.302053262906009</v>
      </c>
      <c r="DA176" s="37" t="n">
        <f aca="false">IF(CU176=0,"",CT176*CO176*CX176/1000/1000)</f>
        <v>0.00805019821552232</v>
      </c>
      <c r="DB176" s="37" t="n">
        <f aca="false">IF(CU176=0,"",CT176*CO176*CW176/1000)</f>
        <v>1.8235007873412</v>
      </c>
      <c r="DC176" s="13" t="n">
        <f aca="false">IF(AND(CU176=1,ISNUMBER(AD176),ISNUMBER(AV176)),1,0)</f>
        <v>1</v>
      </c>
      <c r="DD176" s="7" t="n">
        <f aca="false">IF(DC176=0,"",p_ev_km*p_ice_l/100*AD176-p_ev_km*p_ev_kwh*AV176+p_ev_km*p_ev_maint)</f>
        <v>210.375</v>
      </c>
      <c r="DE176" s="37" t="n">
        <f aca="false">IF(DC176=0,"",DD176/p_ev_prem)</f>
        <v>0.042075</v>
      </c>
      <c r="DF176" s="37" t="n">
        <f aca="false">IF(DC176=0,"",p_ev_km*p_ice_l/100*N(AZ176)/p_ev_prem)</f>
        <v>0.00189135</v>
      </c>
      <c r="DG176" s="37" t="n">
        <f aca="false">IF(DC176=0,"",1000/p_ev_prem*(p_ev_km*p_ice_l/100*p_gj_l_gso*p_ef_gso-p_ev_km*p_ev_kwh/1000*CY176))</f>
        <v>0.10537695</v>
      </c>
      <c r="DH176" s="11" t="str">
        <f aca="false">IFERROR(IF(INDEX(Damodaran!$D:$D,MATCH(A176,Damodaran!$A:$A,0))="","",INDEX(Damodaran!$D:$D,MATCH(A176,Damodaran!$A:$A,0))),"")</f>
        <v/>
      </c>
      <c r="DI176" s="11" t="str">
        <f aca="false">IFERROR(IF(INDEX(Damodaran!$E:$E,MATCH(A176,Damodaran!$A:$A,0))="","",INDEX(Damodaran!$E:$E,MATCH(A176,Damodaran!$A:$A,0))),"")</f>
        <v/>
      </c>
      <c r="DJ176" s="11" t="str">
        <f aca="false">IFERROR(IF(INDEX(Damodaran!$G:$G,MATCH(A176,Damodaran!$A:$A,0))="","",INDEX(Damodaran!$G:$G,MATCH(A176,Damodaran!$A:$A,0))),"")</f>
        <v/>
      </c>
      <c r="DK176" s="11" t="str">
        <f aca="false">IF(ISNUMBER(BG176),(1+BG176/100)*(1+p_infl)-1,"")</f>
        <v/>
      </c>
      <c r="DL176" s="11" t="str">
        <f aca="false">IF(ISNUMBER(BH176),BH176/100,"")</f>
        <v/>
      </c>
      <c r="DM176" s="11" t="str">
        <f aca="false">IF(COUNT(DK176,DL176)=0,"",AVERAGE(DK176,DL176))</f>
        <v/>
      </c>
      <c r="DN176" s="11" t="str">
        <f aca="false">IF(OR(DH176="",DI176=""),"",p_dv*(p_rf+DH176)*(1-IF(DJ176="",p_tax_def,DJ176))+(1-p_dv)*(p_rf+p_beta*p_erp+p_lambda*DI176))</f>
        <v/>
      </c>
      <c r="DO176" s="13" t="n">
        <f aca="false">IF(AND(ISNUMBER(DM176),ISNUMBER(DN176)),1,0)</f>
        <v>0</v>
      </c>
      <c r="DP176" s="11" t="n">
        <f aca="false">IF(DO176=1,DM176,0)</f>
        <v>0</v>
      </c>
      <c r="DQ176" s="11" t="n">
        <f aca="false">IF(DO176=1,DN176,0)</f>
        <v>0</v>
      </c>
      <c r="DR176" s="11" t="str">
        <f aca="false">IF(DN176="","",DN176+p_shift)</f>
        <v/>
      </c>
      <c r="DS176" s="11" t="n">
        <f aca="false">IF(E176="AE",p_r_ae,IF(E176="China",p_r_chn,p_r_emdc))</f>
        <v>0.105</v>
      </c>
      <c r="DT176" s="11" t="n">
        <f aca="false">IF(E176="AE",p_rh_ae,IF(E176="China",p_rh_chn,p_rh_emdc))</f>
        <v>0.15</v>
      </c>
      <c r="DU176" s="11" t="n">
        <f aca="false">IF(AND(p_use_obs=1,ISNUMBER(DM176)),DM176,IF(AND(p_use_dam=1,ISNUMBER(DR176)),DR176,DS176))</f>
        <v>0.105</v>
      </c>
      <c r="DV176" s="6" t="str">
        <f aca="false">IF(AND(p_use_obs=1,ISNUMBER(DM176)),"Observed (IRENA/Steffen)",IF(AND(p_use_dam=1,ISNUMBER(DR176)),"Damodaran (eq. 5)","Group default (IHLEG)"))</f>
        <v>Group default (IHLEG)</v>
      </c>
      <c r="DW176" s="11" t="n">
        <f aca="false">IF(p_basis=1,(1+DU176)/(1+p_infl)-1,DU176)</f>
        <v>0.105</v>
      </c>
      <c r="DX176" s="11" t="n">
        <f aca="false">DW176+(DT176-DS176)</f>
        <v>0.15</v>
      </c>
      <c r="DY176" s="28" t="n">
        <f aca="false">IF(AND(p_use_pefa=1,ISNUMBER(BD176)),p_gap_lic-(BD176-1)/3*(p_gap_lic-p_gap_ae),IF(E176="AE",p_gap_ae,IF(D176="Low income",p_gap_lic,p_gap_em)))*(1-p_reform*p_reform_close)</f>
        <v>0.27</v>
      </c>
      <c r="DZ176" s="6" t="str">
        <f aca="false">IF(AND(p_use_pefa=1,ISNUMBER(BD176)),"PEFA PI-11","Income-group default (IMF 2015)")</f>
        <v>Income-group default (IMF 2015)</v>
      </c>
      <c r="EA176" s="28" t="n">
        <f aca="false">IF(E176="AE",p_ps_ae,IF(E176="China",p_ps_chn,p_ps_emdc))</f>
        <v>0.4</v>
      </c>
      <c r="EB176" s="37" t="n">
        <f aca="false">(1-EA176)+EA176/(1-DY176)</f>
        <v>1.14794520547945</v>
      </c>
      <c r="EC176" s="16" t="n">
        <f aca="false">Results_Country!F176</f>
        <v>0.126412897244929</v>
      </c>
      <c r="ED176" s="16" t="n">
        <f aca="false">IF(CH176="",0,CH176*EC176)</f>
        <v>63.3819607346745</v>
      </c>
      <c r="EE176" s="16" t="n">
        <f aca="false">IF(CJ176="",0,CJ176*EC176)</f>
        <v>0.559746354020539</v>
      </c>
      <c r="EF176" s="16" t="n">
        <f aca="false">IF(CH176="",0,EC176)</f>
        <v>0.126412897244929</v>
      </c>
    </row>
    <row r="177" customFormat="false" ht="15" hidden="false" customHeight="false" outlineLevel="0" collapsed="false">
      <c r="A177" s="35" t="s">
        <v>1111</v>
      </c>
      <c r="B177" s="35" t="s">
        <v>1112</v>
      </c>
      <c r="C177" s="35" t="s">
        <v>847</v>
      </c>
      <c r="D177" s="35" t="s">
        <v>771</v>
      </c>
      <c r="E177" s="35" t="s">
        <v>31</v>
      </c>
      <c r="F177" s="36" t="n">
        <v>2.514</v>
      </c>
      <c r="G177" s="36" t="n">
        <v>7.288</v>
      </c>
      <c r="H177" s="33" t="n">
        <v>1.385</v>
      </c>
      <c r="I177" s="33" t="n">
        <v>1.111</v>
      </c>
      <c r="J177" s="36" t="n">
        <v>2.337422</v>
      </c>
      <c r="K177" s="36" t="n">
        <v>0.818</v>
      </c>
      <c r="L177" s="36" t="n">
        <v>3.144</v>
      </c>
      <c r="M177" s="36" t="n">
        <v>3.144</v>
      </c>
      <c r="N177" s="36" t="n">
        <v>0.41940512607495</v>
      </c>
      <c r="O177" s="36" t="n">
        <v>0.376457706916758</v>
      </c>
      <c r="P177" s="36" t="n">
        <v>0</v>
      </c>
      <c r="Q177" s="31" t="n">
        <v>0</v>
      </c>
      <c r="R177" s="31" t="n">
        <v>0</v>
      </c>
      <c r="S177" s="31" t="n">
        <v>0</v>
      </c>
      <c r="T177" s="31" t="n">
        <v>0</v>
      </c>
      <c r="U177" s="31" t="n">
        <v>0.0328203704838772</v>
      </c>
      <c r="V177" s="31" t="n">
        <v>0</v>
      </c>
      <c r="W177" s="31" t="n">
        <v>0</v>
      </c>
      <c r="X177" s="31" t="n">
        <v>0</v>
      </c>
      <c r="Y177" s="36" t="n">
        <v>0.126300570813154</v>
      </c>
      <c r="Z177" s="36" t="n">
        <v>0.117533505909564</v>
      </c>
      <c r="AA177" s="36" t="n">
        <v>0.0278202246962042</v>
      </c>
      <c r="AB177" s="36" t="n">
        <v>0.043187526757165</v>
      </c>
      <c r="AC177" s="36" t="n">
        <v>1.18438472418668E-006</v>
      </c>
      <c r="AD177" s="31" t="n">
        <v>0.8326</v>
      </c>
      <c r="AE177" s="31" t="n">
        <v>0.77779</v>
      </c>
      <c r="AF177" s="31" t="n">
        <v>0.58995</v>
      </c>
      <c r="AG177" s="31" t="n">
        <v>0.647511</v>
      </c>
      <c r="AH177" s="31" t="n">
        <v>0.519462891908447</v>
      </c>
      <c r="AI177" s="31" t="n">
        <v>7.124</v>
      </c>
      <c r="AJ177" s="31" t="n">
        <v>14.02195</v>
      </c>
      <c r="AK177" s="31" t="n">
        <v>5.575</v>
      </c>
      <c r="AL177" s="31" t="n">
        <v>7.124</v>
      </c>
      <c r="AM177" s="31" t="n">
        <v>12.815</v>
      </c>
      <c r="AN177" s="31" t="n">
        <v>23.8694</v>
      </c>
      <c r="AO177" s="31" t="n">
        <v>11.491</v>
      </c>
      <c r="AP177" s="31" t="n">
        <v>16.0584666666667</v>
      </c>
      <c r="AQ177" s="36" t="n">
        <v>0.00096295979942169</v>
      </c>
      <c r="AR177" s="36" t="n">
        <v>0.000250835385818551</v>
      </c>
      <c r="AS177" s="36" t="n">
        <v>0.00912794312481415</v>
      </c>
      <c r="AT177" s="36" t="n">
        <v>0.0053548230708415</v>
      </c>
      <c r="AU177" s="31" t="n">
        <v>1</v>
      </c>
      <c r="AV177" s="36" t="n">
        <v>0.159164</v>
      </c>
      <c r="AW177" s="31" t="n">
        <v>0.026352</v>
      </c>
      <c r="AX177" s="31" t="n">
        <v>0.000174</v>
      </c>
      <c r="AY177" s="31" t="n">
        <v>0.000276396125586916</v>
      </c>
      <c r="AZ177" s="31" t="n">
        <v>0.003024</v>
      </c>
      <c r="BA177" s="33" t="n">
        <v>52.827</v>
      </c>
      <c r="BB177" s="33" t="n">
        <v>1.97</v>
      </c>
      <c r="BC177" s="33" t="n">
        <v>55.286</v>
      </c>
      <c r="BD177" s="33" t="n">
        <v>2</v>
      </c>
      <c r="BE177" s="33" t="n">
        <v>1</v>
      </c>
      <c r="BF177" s="33" t="n">
        <v>0</v>
      </c>
      <c r="BG177" s="33"/>
      <c r="BH177" s="33"/>
      <c r="BI177" s="29"/>
      <c r="BJ177" s="33"/>
      <c r="BK177" s="33"/>
      <c r="BL177" s="33"/>
      <c r="BM177" s="33"/>
      <c r="BN177" s="29" t="n">
        <v>24.797</v>
      </c>
      <c r="BO177" s="33" t="n">
        <v>1.426</v>
      </c>
      <c r="BP177" s="33" t="n">
        <v>0.098</v>
      </c>
      <c r="BQ177" s="29" t="n">
        <v>2024</v>
      </c>
      <c r="BR177" s="36" t="n">
        <v>0</v>
      </c>
      <c r="BS177" s="36" t="n">
        <v>0</v>
      </c>
      <c r="BT177" s="36" t="n">
        <v>0</v>
      </c>
      <c r="BU177" s="36" t="n">
        <v>0</v>
      </c>
      <c r="BV177" s="16" t="n">
        <f aca="false">F177*(1+N(H177)/100)*(1+N(I177)/100)^5</f>
        <v>2.69358699791664</v>
      </c>
      <c r="BW177" s="16" t="n">
        <f aca="false">IF(N(G177)&gt;0,G177,F177)</f>
        <v>7.288</v>
      </c>
      <c r="BX177" s="12" t="n">
        <f aca="false">F177/BW177</f>
        <v>0.344950603732162</v>
      </c>
      <c r="BY177" s="13" t="n">
        <f aca="false">IF(ISNUMBER(K177),1,0)</f>
        <v>1</v>
      </c>
      <c r="BZ177" s="16" t="n">
        <f aca="false">IF(BY177=0,"",N(N177)+N(O177)+N(P177))</f>
        <v>0.795862832991708</v>
      </c>
      <c r="CA177" s="37" t="n">
        <f aca="false">IF(BY177=0,"",(N(Y177)*34.2+N(Z177)*38.6)/1000)</f>
        <v>0.00885627284991905</v>
      </c>
      <c r="CB177" s="37" t="n">
        <f aca="false">IF(BY177=0,"",N(O177)*0.0036+N(R177)+N(V177)+(N(AA177)*25.3+N(AB177)*37)/1000)</f>
        <v>0.0036570379197294</v>
      </c>
      <c r="CC177" s="37" t="n">
        <f aca="false">IF(BY177=0,"",N(N177)*0.0036+N(Q177)+N(U177)+N(T177)+N(X177)+N(AC177)*38/1000)</f>
        <v>0.0343302739443665</v>
      </c>
      <c r="CD177" s="37" t="n">
        <f aca="false">IF(BY177=0,"",N(Q177)+N(R177)+N(S177)+N(T177)+N(U177)+N(V177)+N(W177)+N(X177)+(N(Y177)*34.2+N(Z177)*38.6+N(AA177)*25.3+N(AB177)*37+N(AC177)*38)/1000)</f>
        <v>0.0439784785152448</v>
      </c>
      <c r="CE177" s="16" t="n">
        <f aca="false">IF(BY177=0,"",MAX(0,N(L177)-N(K177))+MAX(0,N(M177)-N(L177)))</f>
        <v>2.326</v>
      </c>
      <c r="CF177" s="16" t="n">
        <f aca="false">IF(BY177=0,"",N(Y177)*N(AD177)+N(Z177)*N(AE177)+N(AA177)*N(AF177)+N(AB177)*N(AG177)+N(AC177)*N(AH177)+N(U177)*N(AI177)+N(V177)*N(AJ177)+N(W177)*N(AK177)+N(X177)*N(AL177)+N(Q177)*N(AM177)+N(R177)*N(AN177)+N(S177)*N(AO177)+N(T177)*N(AP177))</f>
        <v>0.474764115589071</v>
      </c>
      <c r="CG177" s="16" t="n">
        <f aca="false">IF(AND(BY177=1,N(K177)&gt;0),K177,0)</f>
        <v>0.818</v>
      </c>
      <c r="CH177" s="16" t="n">
        <f aca="false">IF(CG177&gt;0,CF177*1000/CG177,"")</f>
        <v>580.396229326493</v>
      </c>
      <c r="CI177" s="16" t="n">
        <f aca="false">IF(BY177=0,"",N(AQ177)+p_road*(N(AR177)+N(AS177)+N(AT177)))</f>
        <v>0.00096295979942169</v>
      </c>
      <c r="CJ177" s="16" t="n">
        <f aca="false">IF(CG177&gt;0,CI177*1000/CG177,"")</f>
        <v>1.17721246873067</v>
      </c>
      <c r="CK177" s="12" t="n">
        <f aca="false">IF(CH177="",1,MIN(p_idx_max,MAX(p_idx_min,CH177/p_fc_world)))</f>
        <v>3.60478107647016</v>
      </c>
      <c r="CL177" s="12" t="n">
        <f aca="false">IF(CJ177="",1,MIN(p_idx_max,MAX(p_idx_min,CJ177/p_cb_world)))</f>
        <v>0.25</v>
      </c>
      <c r="CM177" s="37" t="n">
        <f aca="false">p_b*(1-p_wb_idx+p_wb_idx*CK177)</f>
        <v>0.479435883170531</v>
      </c>
      <c r="CN177" s="37" t="n">
        <f aca="false">p_c*(1-p_wc_idx+p_wc_idx*CL177)</f>
        <v>0.03225</v>
      </c>
      <c r="CO177" s="28" t="str">
        <f aca="false">IF(N(BR177)&gt;0,(N(BS177)+N(BT177)+N(BU177))/BR177,"")</f>
        <v/>
      </c>
      <c r="CP177" s="16" t="n">
        <f aca="false">N(BS177)+N(BT177)+N(BU177)</f>
        <v>0</v>
      </c>
      <c r="CQ177" s="28" t="str">
        <f aca="false">IF(CP177&gt;0,N(BS177)/CP177,"")</f>
        <v/>
      </c>
      <c r="CR177" s="28" t="str">
        <f aca="false">IF(CP177&gt;0,N(BT177)/CP177,"")</f>
        <v/>
      </c>
      <c r="CS177" s="28" t="str">
        <f aca="false">IF(CP177&gt;0,N(BU177)/CP177,"")</f>
        <v/>
      </c>
      <c r="CT177" s="7" t="n">
        <f aca="false">1000*(p_sh_pv*p_cf_pv/p_capex_pv+(1-p_sh_pv)*p_cf_wind/p_capex_wind)*8760</f>
        <v>2301.28856624319</v>
      </c>
      <c r="CU177" s="13" t="n">
        <f aca="false">IF(AND(ISNUMBER(CO177),ISNUMBER(CQ177),BY177=1),1,0)</f>
        <v>0</v>
      </c>
      <c r="CV177" s="16" t="str">
        <f aca="false">IF(CU177=0,"",CQ177*p_hr_coal*N(AK177)+CR177*p_hr_gas*N(AO177)+CS177*p_hr_oil*N(AH177)/p_gj_l_oil)</f>
        <v/>
      </c>
      <c r="CW177" s="37" t="str">
        <f aca="false">IF(CU177=0,"",CQ177*p_hr_coal*p_ef_coal+CR177*p_hr_gas*p_ef_gas+CS177*p_hr_oil*p_ef_oil)</f>
        <v/>
      </c>
      <c r="CX177" s="16" t="str">
        <f aca="false">IF(CU177=0,"",CQ177*p_hr_coal*N(AW177)+CR177*p_hr_gas*N(AX177)+CS177*p_hr_oil*N(AY177)/p_gj_l_oil)</f>
        <v/>
      </c>
      <c r="CY177" s="37" t="str">
        <f aca="false">IF(CU177=0,"",CO177*CW177)</f>
        <v/>
      </c>
      <c r="CZ177" s="37" t="str">
        <f aca="false">IF(CU177=0,"",CT177*CO177*CV177/1000/1000-p_om_re)</f>
        <v/>
      </c>
      <c r="DA177" s="37" t="str">
        <f aca="false">IF(CU177=0,"",CT177*CO177*CX177/1000/1000)</f>
        <v/>
      </c>
      <c r="DB177" s="37" t="str">
        <f aca="false">IF(CU177=0,"",CT177*CO177*CW177/1000)</f>
        <v/>
      </c>
      <c r="DC177" s="13" t="n">
        <f aca="false">IF(AND(CU177=1,ISNUMBER(AD177),ISNUMBER(AV177)),1,0)</f>
        <v>0</v>
      </c>
      <c r="DD177" s="7" t="str">
        <f aca="false">IF(DC177=0,"",p_ev_km*p_ice_l/100*AD177-p_ev_km*p_ev_kwh*AV177+p_ev_km*p_ev_maint)</f>
        <v/>
      </c>
      <c r="DE177" s="37" t="str">
        <f aca="false">IF(DC177=0,"",DD177/p_ev_prem)</f>
        <v/>
      </c>
      <c r="DF177" s="37" t="str">
        <f aca="false">IF(DC177=0,"",p_ev_km*p_ice_l/100*N(AZ177)/p_ev_prem)</f>
        <v/>
      </c>
      <c r="DG177" s="37" t="str">
        <f aca="false">IF(DC177=0,"",1000/p_ev_prem*(p_ev_km*p_ice_l/100*p_gj_l_gso*p_ef_gso-p_ev_km*p_ev_kwh/1000*CY177))</f>
        <v/>
      </c>
      <c r="DH177" s="11" t="str">
        <f aca="false">IFERROR(IF(INDEX(Damodaran!$D:$D,MATCH(A177,Damodaran!$A:$A,0))="","",INDEX(Damodaran!$D:$D,MATCH(A177,Damodaran!$A:$A,0))),"")</f>
        <v/>
      </c>
      <c r="DI177" s="11" t="str">
        <f aca="false">IFERROR(IF(INDEX(Damodaran!$E:$E,MATCH(A177,Damodaran!$A:$A,0))="","",INDEX(Damodaran!$E:$E,MATCH(A177,Damodaran!$A:$A,0))),"")</f>
        <v/>
      </c>
      <c r="DJ177" s="11" t="str">
        <f aca="false">IFERROR(IF(INDEX(Damodaran!$G:$G,MATCH(A177,Damodaran!$A:$A,0))="","",INDEX(Damodaran!$G:$G,MATCH(A177,Damodaran!$A:$A,0))),"")</f>
        <v/>
      </c>
      <c r="DK177" s="11" t="str">
        <f aca="false">IF(ISNUMBER(BG177),(1+BG177/100)*(1+p_infl)-1,"")</f>
        <v/>
      </c>
      <c r="DL177" s="11" t="str">
        <f aca="false">IF(ISNUMBER(BH177),BH177/100,"")</f>
        <v/>
      </c>
      <c r="DM177" s="11" t="str">
        <f aca="false">IF(COUNT(DK177,DL177)=0,"",AVERAGE(DK177,DL177))</f>
        <v/>
      </c>
      <c r="DN177" s="11" t="str">
        <f aca="false">IF(OR(DH177="",DI177=""),"",p_dv*(p_rf+DH177)*(1-IF(DJ177="",p_tax_def,DJ177))+(1-p_dv)*(p_rf+p_beta*p_erp+p_lambda*DI177))</f>
        <v/>
      </c>
      <c r="DO177" s="13" t="n">
        <f aca="false">IF(AND(ISNUMBER(DM177),ISNUMBER(DN177)),1,0)</f>
        <v>0</v>
      </c>
      <c r="DP177" s="11" t="n">
        <f aca="false">IF(DO177=1,DM177,0)</f>
        <v>0</v>
      </c>
      <c r="DQ177" s="11" t="n">
        <f aca="false">IF(DO177=1,DN177,0)</f>
        <v>0</v>
      </c>
      <c r="DR177" s="11" t="str">
        <f aca="false">IF(DN177="","",DN177+p_shift)</f>
        <v/>
      </c>
      <c r="DS177" s="11" t="n">
        <f aca="false">IF(E177="AE",p_r_ae,IF(E177="China",p_r_chn,p_r_emdc))</f>
        <v>0.105</v>
      </c>
      <c r="DT177" s="11" t="n">
        <f aca="false">IF(E177="AE",p_rh_ae,IF(E177="China",p_rh_chn,p_rh_emdc))</f>
        <v>0.15</v>
      </c>
      <c r="DU177" s="11" t="n">
        <f aca="false">IF(AND(p_use_obs=1,ISNUMBER(DM177)),DM177,IF(AND(p_use_dam=1,ISNUMBER(DR177)),DR177,DS177))</f>
        <v>0.105</v>
      </c>
      <c r="DV177" s="6" t="str">
        <f aca="false">IF(AND(p_use_obs=1,ISNUMBER(DM177)),"Observed (IRENA/Steffen)",IF(AND(p_use_dam=1,ISNUMBER(DR177)),"Damodaran (eq. 5)","Group default (IHLEG)"))</f>
        <v>Group default (IHLEG)</v>
      </c>
      <c r="DW177" s="11" t="n">
        <f aca="false">IF(p_basis=1,(1+DU177)/(1+p_infl)-1,DU177)</f>
        <v>0.105</v>
      </c>
      <c r="DX177" s="11" t="n">
        <f aca="false">DW177+(DT177-DS177)</f>
        <v>0.15</v>
      </c>
      <c r="DY177" s="28" t="n">
        <f aca="false">IF(AND(p_use_pefa=1,ISNUMBER(BD177)),p_gap_lic-(BD177-1)/3*(p_gap_lic-p_gap_ae),IF(E177="AE",p_gap_ae,IF(D177="Low income",p_gap_lic,p_gap_em)))*(1-p_reform*p_reform_close)</f>
        <v>0.31</v>
      </c>
      <c r="DZ177" s="6" t="str">
        <f aca="false">IF(AND(p_use_pefa=1,ISNUMBER(BD177)),"PEFA PI-11","Income-group default (IMF 2015)")</f>
        <v>PEFA PI-11</v>
      </c>
      <c r="EA177" s="28" t="n">
        <f aca="false">IF(E177="AE",p_ps_ae,IF(E177="China",p_ps_chn,p_ps_emdc))</f>
        <v>0.4</v>
      </c>
      <c r="EB177" s="37" t="n">
        <f aca="false">(1-EA177)+EA177/(1-DY177)</f>
        <v>1.17971014492754</v>
      </c>
      <c r="EC177" s="16" t="n">
        <f aca="false">Results_Country!F177</f>
        <v>0.244334920106292</v>
      </c>
      <c r="ED177" s="16" t="n">
        <f aca="false">IF(CH177="",0,CH177*EC177)</f>
        <v>141.811066322481</v>
      </c>
      <c r="EE177" s="16" t="n">
        <f aca="false">IF(CJ177="",0,CJ177*EC177)</f>
        <v>0.287634114495439</v>
      </c>
      <c r="EF177" s="16" t="n">
        <f aca="false">IF(CH177="",0,EC177)</f>
        <v>0.244334920106292</v>
      </c>
    </row>
    <row r="178" customFormat="false" ht="15" hidden="false" customHeight="false" outlineLevel="0" collapsed="false">
      <c r="A178" s="35" t="s">
        <v>1113</v>
      </c>
      <c r="B178" s="35" t="s">
        <v>1114</v>
      </c>
      <c r="C178" s="35" t="s">
        <v>847</v>
      </c>
      <c r="D178" s="35" t="s">
        <v>888</v>
      </c>
      <c r="E178" s="35" t="s">
        <v>31</v>
      </c>
      <c r="F178" s="36" t="n">
        <v>2.403</v>
      </c>
      <c r="G178" s="36" t="n">
        <v>9.607</v>
      </c>
      <c r="H178" s="33" t="n">
        <v>6.004</v>
      </c>
      <c r="I178" s="33" t="n">
        <v>5.112</v>
      </c>
      <c r="J178" s="36" t="n">
        <v>2.759988</v>
      </c>
      <c r="K178" s="36" t="n">
        <v>0.595</v>
      </c>
      <c r="L178" s="36" t="n">
        <v>2.403</v>
      </c>
      <c r="M178" s="36" t="n">
        <v>2.904</v>
      </c>
      <c r="N178" s="36" t="n">
        <v>0.0736417031130992</v>
      </c>
      <c r="O178" s="36" t="n">
        <v>0.309418591851076</v>
      </c>
      <c r="P178" s="36" t="n">
        <v>0</v>
      </c>
      <c r="Q178" s="31" t="n">
        <v>0</v>
      </c>
      <c r="R178" s="31" t="n">
        <v>0</v>
      </c>
      <c r="S178" s="31" t="n">
        <v>0</v>
      </c>
      <c r="T178" s="31" t="n">
        <v>0</v>
      </c>
      <c r="U178" s="31" t="n">
        <v>0</v>
      </c>
      <c r="V178" s="31" t="n">
        <v>0</v>
      </c>
      <c r="W178" s="31" t="n">
        <v>0</v>
      </c>
      <c r="X178" s="31" t="n">
        <v>0</v>
      </c>
      <c r="Y178" s="36" t="n">
        <v>0.0346747423495631</v>
      </c>
      <c r="Z178" s="36" t="n">
        <v>0.0394539461071129</v>
      </c>
      <c r="AA178" s="36" t="n">
        <v>1.62531055900618E-006</v>
      </c>
      <c r="AB178" s="36" t="n">
        <v>1.10996818663837E-006</v>
      </c>
      <c r="AC178" s="36" t="n">
        <v>0.206473317849675</v>
      </c>
      <c r="AD178" s="31" t="n">
        <v>0.8326</v>
      </c>
      <c r="AE178" s="31" t="n">
        <v>0.778393</v>
      </c>
      <c r="AF178" s="31" t="n">
        <v>0.513</v>
      </c>
      <c r="AG178" s="31" t="n">
        <v>0.591</v>
      </c>
      <c r="AH178" s="31" t="n">
        <v>0.521918806279304</v>
      </c>
      <c r="AI178" s="31" t="n">
        <v>7.124</v>
      </c>
      <c r="AJ178" s="31" t="n">
        <v>14.02195</v>
      </c>
      <c r="AK178" s="31" t="n">
        <v>5.575</v>
      </c>
      <c r="AL178" s="31" t="n">
        <v>8.90698333333333</v>
      </c>
      <c r="AM178" s="31" t="n">
        <v>12.339</v>
      </c>
      <c r="AN178" s="31" t="n">
        <v>23.32315</v>
      </c>
      <c r="AO178" s="31" t="n">
        <v>11.016</v>
      </c>
      <c r="AP178" s="31" t="n">
        <v>15.5593833333333</v>
      </c>
      <c r="AQ178" s="36" t="n">
        <v>0.000627642135332856</v>
      </c>
      <c r="AR178" s="36" t="n">
        <v>0.000824320300849281</v>
      </c>
      <c r="AS178" s="36" t="n">
        <v>0.0233365152062032</v>
      </c>
      <c r="AT178" s="36" t="n">
        <v>0</v>
      </c>
      <c r="AU178" s="31" t="n">
        <v>0.194674164198297</v>
      </c>
      <c r="AV178" s="36" t="n">
        <v>0.366887</v>
      </c>
      <c r="AW178" s="31" t="n">
        <v>0.051751</v>
      </c>
      <c r="AX178" s="31" t="n">
        <v>0.000394</v>
      </c>
      <c r="AY178" s="31" t="n">
        <v>0.00336899015705386</v>
      </c>
      <c r="AZ178" s="31" t="n">
        <v>0.000233</v>
      </c>
      <c r="BA178" s="33" t="n">
        <v>78.471</v>
      </c>
      <c r="BB178" s="33" t="n">
        <v>14.516</v>
      </c>
      <c r="BC178" s="33" t="n">
        <v>9.176</v>
      </c>
      <c r="BD178" s="33" t="n">
        <v>1</v>
      </c>
      <c r="BE178" s="33" t="n">
        <v>1</v>
      </c>
      <c r="BF178" s="33" t="n">
        <v>1</v>
      </c>
      <c r="BG178" s="33"/>
      <c r="BH178" s="33"/>
      <c r="BI178" s="29"/>
      <c r="BJ178" s="33"/>
      <c r="BK178" s="33"/>
      <c r="BL178" s="33"/>
      <c r="BM178" s="33"/>
      <c r="BN178" s="29" t="n">
        <v>21.615</v>
      </c>
      <c r="BO178" s="33" t="n">
        <v>3.675</v>
      </c>
      <c r="BP178" s="33"/>
      <c r="BQ178" s="29" t="n">
        <v>2024</v>
      </c>
      <c r="BR178" s="36" t="n">
        <v>0.51</v>
      </c>
      <c r="BS178" s="36" t="n">
        <v>0</v>
      </c>
      <c r="BT178" s="36" t="n">
        <v>0</v>
      </c>
      <c r="BU178" s="36" t="n">
        <v>0.51</v>
      </c>
      <c r="BV178" s="16" t="n">
        <f aca="false">F178*(1+N(H178)/100)*(1+N(I178)/100)^5</f>
        <v>3.26841746390573</v>
      </c>
      <c r="BW178" s="16" t="n">
        <f aca="false">IF(N(G178)&gt;0,G178,F178)</f>
        <v>9.607</v>
      </c>
      <c r="BX178" s="12" t="n">
        <f aca="false">F178/BW178</f>
        <v>0.250130113458936</v>
      </c>
      <c r="BY178" s="13" t="n">
        <f aca="false">IF(ISNUMBER(K178),1,0)</f>
        <v>1</v>
      </c>
      <c r="BZ178" s="16" t="n">
        <f aca="false">IF(BY178=0,"",N(N178)+N(O178)+N(P178))</f>
        <v>0.383060294964175</v>
      </c>
      <c r="CA178" s="37" t="n">
        <f aca="false">IF(BY178=0,"",(N(Y178)*34.2+N(Z178)*38.6)/1000)</f>
        <v>0.00270879850808962</v>
      </c>
      <c r="CB178" s="37" t="n">
        <f aca="false">IF(BY178=0,"",N(O178)*0.0036+N(R178)+N(V178)+(N(AA178)*25.3+N(AB178)*37)/1000)</f>
        <v>0.00111398911984392</v>
      </c>
      <c r="CC178" s="37" t="n">
        <f aca="false">IF(BY178=0,"",N(N178)*0.0036+N(Q178)+N(U178)+N(T178)+N(X178)+N(AC178)*38/1000)</f>
        <v>0.00811109620949479</v>
      </c>
      <c r="CD178" s="37" t="n">
        <f aca="false">IF(BY178=0,"",N(Q178)+N(R178)+N(S178)+N(T178)+N(U178)+N(V178)+N(W178)+N(X178)+(N(Y178)*34.2+N(Z178)*38.6+N(AA178)*25.3+N(AB178)*37+N(AC178)*38)/1000)</f>
        <v>0.0105548667755573</v>
      </c>
      <c r="CE178" s="16" t="n">
        <f aca="false">IF(BY178=0,"",MAX(0,N(L178)-N(K178))+MAX(0,N(M178)-N(L178)))</f>
        <v>2.309</v>
      </c>
      <c r="CF178" s="16" t="n">
        <f aca="false">IF(BY178=0,"",N(Y178)*N(AD178)+N(Z178)*N(AE178)+N(AA178)*N(AF178)+N(AB178)*N(AG178)+N(AC178)*N(AH178)+N(U178)*N(AI178)+N(V178)*N(AJ178)+N(W178)*N(AK178)+N(X178)*N(AL178)+N(Q178)*N(AM178)+N(R178)*N(AN178)+N(S178)*N(AO178)+N(T178)*N(AP178))</f>
        <v>0.167344663308545</v>
      </c>
      <c r="CG178" s="16" t="n">
        <f aca="false">IF(AND(BY178=1,N(K178)&gt;0),K178,0)</f>
        <v>0.595</v>
      </c>
      <c r="CH178" s="16" t="n">
        <f aca="false">IF(CG178&gt;0,CF178*1000/CG178,"")</f>
        <v>281.251534972344</v>
      </c>
      <c r="CI178" s="16" t="n">
        <f aca="false">IF(BY178=0,"",N(AQ178)+p_road*(N(AR178)+N(AS178)+N(AT178)))</f>
        <v>0.000627642135332856</v>
      </c>
      <c r="CJ178" s="16" t="n">
        <f aca="false">IF(CG178&gt;0,CI178*1000/CG178,"")</f>
        <v>1.05486073165186</v>
      </c>
      <c r="CK178" s="12" t="n">
        <f aca="false">IF(CH178="",1,MIN(p_idx_max,MAX(p_idx_min,CH178/p_fc_world)))</f>
        <v>1.74682425516959</v>
      </c>
      <c r="CL178" s="12" t="n">
        <f aca="false">IF(CJ178="",1,MIN(p_idx_max,MAX(p_idx_min,CJ178/p_cb_world)))</f>
        <v>0.25</v>
      </c>
      <c r="CM178" s="37" t="n">
        <f aca="false">p_b*(1-p_wb_idx+p_wb_idx*CK178)</f>
        <v>0.232327625937556</v>
      </c>
      <c r="CN178" s="37" t="n">
        <f aca="false">p_c*(1-p_wc_idx+p_wc_idx*CL178)</f>
        <v>0.03225</v>
      </c>
      <c r="CO178" s="28" t="n">
        <f aca="false">IF(N(BR178)&gt;0,(N(BS178)+N(BT178)+N(BU178))/BR178,"")</f>
        <v>1</v>
      </c>
      <c r="CP178" s="16" t="n">
        <f aca="false">N(BS178)+N(BT178)+N(BU178)</f>
        <v>0.51</v>
      </c>
      <c r="CQ178" s="28" t="n">
        <f aca="false">IF(CP178&gt;0,N(BS178)/CP178,"")</f>
        <v>0</v>
      </c>
      <c r="CR178" s="28" t="n">
        <f aca="false">IF(CP178&gt;0,N(BT178)/CP178,"")</f>
        <v>0</v>
      </c>
      <c r="CS178" s="28" t="n">
        <f aca="false">IF(CP178&gt;0,N(BU178)/CP178,"")</f>
        <v>1</v>
      </c>
      <c r="CT178" s="7" t="n">
        <f aca="false">1000*(p_sh_pv*p_cf_pv/p_capex_pv+(1-p_sh_pv)*p_cf_wind/p_capex_wind)*8760</f>
        <v>2301.28856624319</v>
      </c>
      <c r="CU178" s="13" t="n">
        <f aca="false">IF(AND(ISNUMBER(CO178),ISNUMBER(CQ178),BY178=1),1,0)</f>
        <v>1</v>
      </c>
      <c r="CV178" s="16" t="n">
        <f aca="false">IF(CU178=0,"",CQ178*p_hr_coal*N(AK178)+CR178*p_hr_gas*N(AO178)+CS178*p_hr_oil*N(AH178)/p_gj_l_oil)</f>
        <v>141.972732278049</v>
      </c>
      <c r="CW178" s="37" t="n">
        <f aca="false">IF(CU178=0,"",CQ178*p_hr_coal*p_ef_coal+CR178*p_hr_gas*p_ef_gas+CS178*p_hr_oil*p_ef_oil)</f>
        <v>0.8127</v>
      </c>
      <c r="CX178" s="16" t="n">
        <f aca="false">IF(CU178=0,"",CQ178*p_hr_coal*N(AW178)+CR178*p_hr_gas*N(AX178)+CS178*p_hr_oil*N(AY178)/p_gj_l_oil)</f>
        <v>0.916435146348848</v>
      </c>
      <c r="CY178" s="37" t="n">
        <f aca="false">IF(CU178=0,"",CO178*CW178)</f>
        <v>0.8127</v>
      </c>
      <c r="CZ178" s="37" t="n">
        <f aca="false">IF(CU178=0,"",CT178*CO178*CV178/1000/1000-p_om_re)</f>
        <v>0.31172022550978</v>
      </c>
      <c r="DA178" s="37" t="n">
        <f aca="false">IF(CU178=0,"",CT178*CO178*CX178/1000/1000)</f>
        <v>0.00210898172399601</v>
      </c>
      <c r="DB178" s="37" t="n">
        <f aca="false">IF(CU178=0,"",CT178*CO178*CW178/1000)</f>
        <v>1.87025721778584</v>
      </c>
      <c r="DC178" s="13" t="n">
        <f aca="false">IF(AND(CU178=1,ISNUMBER(AD178),ISNUMBER(AV178)),1,0)</f>
        <v>1</v>
      </c>
      <c r="DD178" s="7" t="n">
        <f aca="false">IF(DC178=0,"",p_ev_km*p_ice_l/100*AD178-p_ev_km*p_ev_kwh*AV178+p_ev_km*p_ev_maint)</f>
        <v>126.0801</v>
      </c>
      <c r="DE178" s="37" t="n">
        <f aca="false">IF(DC178=0,"",DD178/p_ev_prem)</f>
        <v>0.02521602</v>
      </c>
      <c r="DF178" s="37" t="n">
        <f aca="false">IF(DC178=0,"",p_ev_km*p_ice_l/100*N(AZ178)/p_ev_prem)</f>
        <v>5.2425E-005</v>
      </c>
      <c r="DG178" s="37" t="n">
        <f aca="false">IF(DC178=0,"",1000/p_ev_prem*(p_ev_km*p_ice_l/100*p_gj_l_gso*p_ef_gso-p_ev_km*p_ev_kwh/1000*CY178))</f>
        <v>0.0944055</v>
      </c>
      <c r="DH178" s="11" t="str">
        <f aca="false">IFERROR(IF(INDEX(Damodaran!$D:$D,MATCH(A178,Damodaran!$A:$A,0))="","",INDEX(Damodaran!$D:$D,MATCH(A178,Damodaran!$A:$A,0))),"")</f>
        <v/>
      </c>
      <c r="DI178" s="11" t="str">
        <f aca="false">IFERROR(IF(INDEX(Damodaran!$E:$E,MATCH(A178,Damodaran!$A:$A,0))="","",INDEX(Damodaran!$E:$E,MATCH(A178,Damodaran!$A:$A,0))),"")</f>
        <v/>
      </c>
      <c r="DJ178" s="11" t="str">
        <f aca="false">IFERROR(IF(INDEX(Damodaran!$G:$G,MATCH(A178,Damodaran!$A:$A,0))="","",INDEX(Damodaran!$G:$G,MATCH(A178,Damodaran!$A:$A,0))),"")</f>
        <v/>
      </c>
      <c r="DK178" s="11" t="str">
        <f aca="false">IF(ISNUMBER(BG178),(1+BG178/100)*(1+p_infl)-1,"")</f>
        <v/>
      </c>
      <c r="DL178" s="11" t="str">
        <f aca="false">IF(ISNUMBER(BH178),BH178/100,"")</f>
        <v/>
      </c>
      <c r="DM178" s="11" t="str">
        <f aca="false">IF(COUNT(DK178,DL178)=0,"",AVERAGE(DK178,DL178))</f>
        <v/>
      </c>
      <c r="DN178" s="11" t="str">
        <f aca="false">IF(OR(DH178="",DI178=""),"",p_dv*(p_rf+DH178)*(1-IF(DJ178="",p_tax_def,DJ178))+(1-p_dv)*(p_rf+p_beta*p_erp+p_lambda*DI178))</f>
        <v/>
      </c>
      <c r="DO178" s="13" t="n">
        <f aca="false">IF(AND(ISNUMBER(DM178),ISNUMBER(DN178)),1,0)</f>
        <v>0</v>
      </c>
      <c r="DP178" s="11" t="n">
        <f aca="false">IF(DO178=1,DM178,0)</f>
        <v>0</v>
      </c>
      <c r="DQ178" s="11" t="n">
        <f aca="false">IF(DO178=1,DN178,0)</f>
        <v>0</v>
      </c>
      <c r="DR178" s="11" t="str">
        <f aca="false">IF(DN178="","",DN178+p_shift)</f>
        <v/>
      </c>
      <c r="DS178" s="11" t="n">
        <f aca="false">IF(E178="AE",p_r_ae,IF(E178="China",p_r_chn,p_r_emdc))</f>
        <v>0.105</v>
      </c>
      <c r="DT178" s="11" t="n">
        <f aca="false">IF(E178="AE",p_rh_ae,IF(E178="China",p_rh_chn,p_rh_emdc))</f>
        <v>0.15</v>
      </c>
      <c r="DU178" s="11" t="n">
        <f aca="false">IF(AND(p_use_obs=1,ISNUMBER(DM178)),DM178,IF(AND(p_use_dam=1,ISNUMBER(DR178)),DR178,DS178))</f>
        <v>0.105</v>
      </c>
      <c r="DV178" s="6" t="str">
        <f aca="false">IF(AND(p_use_obs=1,ISNUMBER(DM178)),"Observed (IRENA/Steffen)",IF(AND(p_use_dam=1,ISNUMBER(DR178)),"Damodaran (eq. 5)","Group default (IHLEG)"))</f>
        <v>Group default (IHLEG)</v>
      </c>
      <c r="DW178" s="11" t="n">
        <f aca="false">IF(p_basis=1,(1+DU178)/(1+p_infl)-1,DU178)</f>
        <v>0.105</v>
      </c>
      <c r="DX178" s="11" t="n">
        <f aca="false">DW178+(DT178-DS178)</f>
        <v>0.15</v>
      </c>
      <c r="DY178" s="28" t="n">
        <f aca="false">IF(AND(p_use_pefa=1,ISNUMBER(BD178)),p_gap_lic-(BD178-1)/3*(p_gap_lic-p_gap_ae),IF(E178="AE",p_gap_ae,IF(D178="Low income",p_gap_lic,p_gap_em)))*(1-p_reform*p_reform_close)</f>
        <v>0.4</v>
      </c>
      <c r="DZ178" s="6" t="str">
        <f aca="false">IF(AND(p_use_pefa=1,ISNUMBER(BD178)),"PEFA PI-11","Income-group default (IMF 2015)")</f>
        <v>PEFA PI-11</v>
      </c>
      <c r="EA178" s="28" t="n">
        <f aca="false">IF(E178="AE",p_ps_ae,IF(E178="China",p_ps_chn,p_ps_emdc))</f>
        <v>0.4</v>
      </c>
      <c r="EB178" s="37" t="n">
        <f aca="false">(1-EA178)+EA178/(1-DY178)</f>
        <v>1.26666666666667</v>
      </c>
      <c r="EC178" s="16" t="n">
        <f aca="false">Results_Country!F178</f>
        <v>0.164393007108372</v>
      </c>
      <c r="ED178" s="16" t="n">
        <f aca="false">IF(CH178="",0,CH178*EC178)</f>
        <v>46.235785587949</v>
      </c>
      <c r="EE178" s="16" t="n">
        <f aca="false">IF(CJ178="",0,CJ178*EC178)</f>
        <v>0.173411727756786</v>
      </c>
      <c r="EF178" s="16" t="n">
        <f aca="false">IF(CH178="",0,EC178)</f>
        <v>0.164393007108372</v>
      </c>
    </row>
    <row r="179" customFormat="false" ht="15" hidden="false" customHeight="false" outlineLevel="0" collapsed="false">
      <c r="A179" s="35" t="s">
        <v>1115</v>
      </c>
      <c r="B179" s="35" t="s">
        <v>1116</v>
      </c>
      <c r="C179" s="35" t="s">
        <v>847</v>
      </c>
      <c r="D179" s="35" t="s">
        <v>760</v>
      </c>
      <c r="E179" s="35" t="s">
        <v>31</v>
      </c>
      <c r="F179" s="36" t="n">
        <v>2.229</v>
      </c>
      <c r="G179" s="36" t="n">
        <v>4.046</v>
      </c>
      <c r="H179" s="33" t="n">
        <v>5.092</v>
      </c>
      <c r="I179" s="33" t="n">
        <v>1.521</v>
      </c>
      <c r="J179" s="36" t="n">
        <v>0.130418</v>
      </c>
      <c r="K179" s="36" t="n">
        <v>1.039</v>
      </c>
      <c r="L179" s="36" t="n">
        <v>1.146</v>
      </c>
      <c r="M179" s="36" t="n">
        <v>1.146</v>
      </c>
      <c r="N179" s="36" t="n">
        <v>0.364141677848352</v>
      </c>
      <c r="O179" s="36" t="n">
        <v>0.147597293663926</v>
      </c>
      <c r="P179" s="36" t="n">
        <v>0</v>
      </c>
      <c r="Q179" s="31" t="n">
        <v>0</v>
      </c>
      <c r="R179" s="31" t="n">
        <v>0</v>
      </c>
      <c r="S179" s="31" t="n">
        <v>0</v>
      </c>
      <c r="T179" s="31" t="n">
        <v>0</v>
      </c>
      <c r="U179" s="31" t="n">
        <v>0</v>
      </c>
      <c r="V179" s="31" t="n">
        <v>0</v>
      </c>
      <c r="W179" s="31" t="n">
        <v>0</v>
      </c>
      <c r="X179" s="31" t="n">
        <v>0</v>
      </c>
      <c r="Y179" s="36" t="n">
        <v>0.050839264005053</v>
      </c>
      <c r="Z179" s="36" t="n">
        <v>0.0333545697948641</v>
      </c>
      <c r="AA179" s="36" t="n">
        <v>0.00743252126820203</v>
      </c>
      <c r="AB179" s="36" t="n">
        <v>0.00824809528455541</v>
      </c>
      <c r="AC179" s="36" t="n">
        <v>0.125680188361173</v>
      </c>
      <c r="AD179" s="31" t="n">
        <v>0.8326</v>
      </c>
      <c r="AE179" s="31" t="n">
        <v>0.793108</v>
      </c>
      <c r="AF179" s="31" t="n">
        <v>0.570713</v>
      </c>
      <c r="AG179" s="31" t="n">
        <v>0.67965</v>
      </c>
      <c r="AH179" s="31" t="n">
        <v>0.519462892294746</v>
      </c>
      <c r="AI179" s="31" t="n">
        <v>7.124</v>
      </c>
      <c r="AJ179" s="31" t="n">
        <v>14.02195</v>
      </c>
      <c r="AK179" s="31" t="n">
        <v>5.575</v>
      </c>
      <c r="AL179" s="31" t="n">
        <v>8.90698333333333</v>
      </c>
      <c r="AM179" s="31" t="n">
        <v>9.411</v>
      </c>
      <c r="AN179" s="31" t="n">
        <v>19.95595</v>
      </c>
      <c r="AO179" s="31" t="n">
        <v>8.087</v>
      </c>
      <c r="AP179" s="31" t="n">
        <v>12.48465</v>
      </c>
      <c r="AQ179" s="36" t="n">
        <v>0</v>
      </c>
      <c r="AR179" s="36" t="n">
        <v>0</v>
      </c>
      <c r="AS179" s="36" t="n">
        <v>0</v>
      </c>
      <c r="AT179" s="36" t="n">
        <v>0</v>
      </c>
      <c r="AU179" s="31" t="n">
        <v>0.156998867395515</v>
      </c>
      <c r="AV179" s="36" t="n">
        <v>0.294379</v>
      </c>
      <c r="AW179" s="31" t="n">
        <v>0</v>
      </c>
      <c r="AX179" s="31" t="n">
        <v>0</v>
      </c>
      <c r="AY179" s="31" t="n">
        <v>0</v>
      </c>
      <c r="AZ179" s="31" t="n">
        <v>0</v>
      </c>
      <c r="BA179" s="33" t="n">
        <v>56.142</v>
      </c>
      <c r="BB179" s="33" t="n">
        <v>9.055</v>
      </c>
      <c r="BC179" s="33" t="n">
        <v>90.304</v>
      </c>
      <c r="BD179" s="33" t="n">
        <v>1</v>
      </c>
      <c r="BE179" s="33" t="n">
        <v>2</v>
      </c>
      <c r="BF179" s="33" t="n">
        <v>1</v>
      </c>
      <c r="BG179" s="33"/>
      <c r="BH179" s="33"/>
      <c r="BI179" s="29"/>
      <c r="BJ179" s="33"/>
      <c r="BK179" s="33"/>
      <c r="BL179" s="33"/>
      <c r="BM179" s="33"/>
      <c r="BN179" s="29"/>
      <c r="BO179" s="33"/>
      <c r="BP179" s="33"/>
      <c r="BQ179" s="29" t="n">
        <v>2024</v>
      </c>
      <c r="BR179" s="36" t="n">
        <v>0.63</v>
      </c>
      <c r="BS179" s="36" t="n">
        <v>0</v>
      </c>
      <c r="BT179" s="36" t="n">
        <v>0</v>
      </c>
      <c r="BU179" s="36" t="n">
        <v>0.53</v>
      </c>
      <c r="BV179" s="16" t="n">
        <f aca="false">F179*(1+N(H179)/100)*(1+N(I179)/100)^5</f>
        <v>2.52615014918733</v>
      </c>
      <c r="BW179" s="16" t="n">
        <f aca="false">IF(N(G179)&gt;0,G179,F179)</f>
        <v>4.046</v>
      </c>
      <c r="BX179" s="12" t="n">
        <f aca="false">F179/BW179</f>
        <v>0.550914483440435</v>
      </c>
      <c r="BY179" s="13" t="n">
        <f aca="false">IF(ISNUMBER(K179),1,0)</f>
        <v>1</v>
      </c>
      <c r="BZ179" s="16" t="n">
        <f aca="false">IF(BY179=0,"",N(N179)+N(O179)+N(P179))</f>
        <v>0.511738971512278</v>
      </c>
      <c r="CA179" s="37" t="n">
        <f aca="false">IF(BY179=0,"",(N(Y179)*34.2+N(Z179)*38.6)/1000)</f>
        <v>0.00302618922305457</v>
      </c>
      <c r="CB179" s="37" t="n">
        <f aca="false">IF(BY179=0,"",N(O179)*0.0036+N(R179)+N(V179)+(N(AA179)*25.3+N(AB179)*37)/1000)</f>
        <v>0.00102457257080419</v>
      </c>
      <c r="CC179" s="37" t="n">
        <f aca="false">IF(BY179=0,"",N(N179)*0.0036+N(Q179)+N(U179)+N(T179)+N(X179)+N(AC179)*38/1000)</f>
        <v>0.00608675719797865</v>
      </c>
      <c r="CD179" s="37" t="n">
        <f aca="false">IF(BY179=0,"",N(Q179)+N(R179)+N(S179)+N(T179)+N(U179)+N(V179)+N(W179)+N(X179)+(N(Y179)*34.2+N(Z179)*38.6+N(AA179)*25.3+N(AB179)*37+N(AC179)*38)/1000)</f>
        <v>0.00829525869439322</v>
      </c>
      <c r="CE179" s="16" t="n">
        <f aca="false">IF(BY179=0,"",MAX(0,N(L179)-N(K179))+MAX(0,N(M179)-N(L179)))</f>
        <v>0.107</v>
      </c>
      <c r="CF179" s="16" t="n">
        <f aca="false">IF(BY179=0,"",N(Y179)*N(AD179)+N(Z179)*N(AE179)+N(AA179)*N(AF179)+N(AB179)*N(AG179)+N(AC179)*N(AH179)+N(U179)*N(AI179)+N(V179)*N(AJ179)+N(W179)*N(AK179)+N(X179)*N(AL179)+N(Q179)*N(AM179)+N(R179)*N(AN179)+N(S179)*N(AO179)+N(T179)*N(AP179))</f>
        <v>0.143916395972403</v>
      </c>
      <c r="CG179" s="16" t="n">
        <f aca="false">IF(AND(BY179=1,N(K179)&gt;0),K179,0)</f>
        <v>1.039</v>
      </c>
      <c r="CH179" s="16" t="n">
        <f aca="false">IF(CG179&gt;0,CF179*1000/CG179,"")</f>
        <v>138.514336835807</v>
      </c>
      <c r="CI179" s="16" t="n">
        <f aca="false">IF(BY179=0,"",N(AQ179)+p_road*(N(AR179)+N(AS179)+N(AT179)))</f>
        <v>0</v>
      </c>
      <c r="CJ179" s="16" t="n">
        <f aca="false">IF(CG179&gt;0,CI179*1000/CG179,"")</f>
        <v>0</v>
      </c>
      <c r="CK179" s="12" t="n">
        <f aca="false">IF(CH179="",1,MIN(p_idx_max,MAX(p_idx_min,CH179/p_fc_world)))</f>
        <v>0.860298249740435</v>
      </c>
      <c r="CL179" s="12" t="n">
        <f aca="false">IF(CJ179="",1,MIN(p_idx_max,MAX(p_idx_min,CJ179/p_cb_world)))</f>
        <v>0.25</v>
      </c>
      <c r="CM179" s="37" t="n">
        <f aca="false">p_b*(1-p_wb_idx+p_wb_idx*CK179)</f>
        <v>0.114419667215478</v>
      </c>
      <c r="CN179" s="37" t="n">
        <f aca="false">p_c*(1-p_wc_idx+p_wc_idx*CL179)</f>
        <v>0.03225</v>
      </c>
      <c r="CO179" s="28" t="n">
        <f aca="false">IF(N(BR179)&gt;0,(N(BS179)+N(BT179)+N(BU179))/BR179,"")</f>
        <v>0.841269841269841</v>
      </c>
      <c r="CP179" s="16" t="n">
        <f aca="false">N(BS179)+N(BT179)+N(BU179)</f>
        <v>0.53</v>
      </c>
      <c r="CQ179" s="28" t="n">
        <f aca="false">IF(CP179&gt;0,N(BS179)/CP179,"")</f>
        <v>0</v>
      </c>
      <c r="CR179" s="28" t="n">
        <f aca="false">IF(CP179&gt;0,N(BT179)/CP179,"")</f>
        <v>0</v>
      </c>
      <c r="CS179" s="28" t="n">
        <f aca="false">IF(CP179&gt;0,N(BU179)/CP179,"")</f>
        <v>1</v>
      </c>
      <c r="CT179" s="7" t="n">
        <f aca="false">1000*(p_sh_pv*p_cf_pv/p_capex_pv+(1-p_sh_pv)*p_cf_wind/p_capex_wind)*8760</f>
        <v>2301.28856624319</v>
      </c>
      <c r="CU179" s="13" t="n">
        <f aca="false">IF(AND(ISNUMBER(CO179),ISNUMBER(CQ179),BY179=1),1,0)</f>
        <v>1</v>
      </c>
      <c r="CV179" s="16" t="n">
        <f aca="false">IF(CU179=0,"",CQ179*p_hr_coal*N(AK179)+CR179*p_hr_gas*N(AO179)+CS179*p_hr_oil*N(AH179)/p_gj_l_oil)</f>
        <v>141.304672774478</v>
      </c>
      <c r="CW179" s="37" t="n">
        <f aca="false">IF(CU179=0,"",CQ179*p_hr_coal*p_ef_coal+CR179*p_hr_gas*p_ef_gas+CS179*p_hr_oil*p_ef_oil)</f>
        <v>0.8127</v>
      </c>
      <c r="CX179" s="16" t="n">
        <f aca="false">IF(CU179=0,"",CQ179*p_hr_coal*N(AW179)+CR179*p_hr_gas*N(AX179)+CS179*p_hr_oil*N(AY179)/p_gj_l_oil)</f>
        <v>0</v>
      </c>
      <c r="CY179" s="37" t="n">
        <f aca="false">IF(CU179=0,"",CO179*CW179)</f>
        <v>0.6837</v>
      </c>
      <c r="CZ179" s="37" t="n">
        <f aca="false">IF(CU179=0,"",CT179*CO179*CV179/1000/1000-p_om_re)</f>
        <v>0.258566505937619</v>
      </c>
      <c r="DA179" s="37" t="n">
        <f aca="false">IF(CU179=0,"",CT179*CO179*CX179/1000/1000)</f>
        <v>0</v>
      </c>
      <c r="DB179" s="37" t="n">
        <f aca="false">IF(CU179=0,"",CT179*CO179*CW179/1000)</f>
        <v>1.57339099274047</v>
      </c>
      <c r="DC179" s="13" t="n">
        <f aca="false">IF(AND(CU179=1,ISNUMBER(AD179),ISNUMBER(AV179)),1,0)</f>
        <v>1</v>
      </c>
      <c r="DD179" s="7" t="n">
        <f aca="false">IF(DC179=0,"",p_ev_km*p_ice_l/100*AD179-p_ev_km*p_ev_kwh*AV179+p_ev_km*p_ev_maint)</f>
        <v>321.8517</v>
      </c>
      <c r="DE179" s="37" t="n">
        <f aca="false">IF(DC179=0,"",DD179/p_ev_prem)</f>
        <v>0.06437034</v>
      </c>
      <c r="DF179" s="37" t="n">
        <f aca="false">IF(DC179=0,"",p_ev_km*p_ice_l/100*N(AZ179)/p_ev_prem)</f>
        <v>0</v>
      </c>
      <c r="DG179" s="37" t="n">
        <f aca="false">IF(DC179=0,"",1000/p_ev_prem*(p_ev_km*p_ice_l/100*p_gj_l_gso*p_ef_gso-p_ev_km*p_ev_kwh/1000*CY179))</f>
        <v>0.1640655</v>
      </c>
      <c r="DH179" s="11" t="str">
        <f aca="false">IFERROR(IF(INDEX(Damodaran!$D:$D,MATCH(A179,Damodaran!$A:$A,0))="","",INDEX(Damodaran!$D:$D,MATCH(A179,Damodaran!$A:$A,0))),"")</f>
        <v/>
      </c>
      <c r="DI179" s="11" t="str">
        <f aca="false">IFERROR(IF(INDEX(Damodaran!$E:$E,MATCH(A179,Damodaran!$A:$A,0))="","",INDEX(Damodaran!$E:$E,MATCH(A179,Damodaran!$A:$A,0))),"")</f>
        <v/>
      </c>
      <c r="DJ179" s="11" t="str">
        <f aca="false">IFERROR(IF(INDEX(Damodaran!$G:$G,MATCH(A179,Damodaran!$A:$A,0))="","",INDEX(Damodaran!$G:$G,MATCH(A179,Damodaran!$A:$A,0))),"")</f>
        <v/>
      </c>
      <c r="DK179" s="11" t="str">
        <f aca="false">IF(ISNUMBER(BG179),(1+BG179/100)*(1+p_infl)-1,"")</f>
        <v/>
      </c>
      <c r="DL179" s="11" t="str">
        <f aca="false">IF(ISNUMBER(BH179),BH179/100,"")</f>
        <v/>
      </c>
      <c r="DM179" s="11" t="str">
        <f aca="false">IF(COUNT(DK179,DL179)=0,"",AVERAGE(DK179,DL179))</f>
        <v/>
      </c>
      <c r="DN179" s="11" t="str">
        <f aca="false">IF(OR(DH179="",DI179=""),"",p_dv*(p_rf+DH179)*(1-IF(DJ179="",p_tax_def,DJ179))+(1-p_dv)*(p_rf+p_beta*p_erp+p_lambda*DI179))</f>
        <v/>
      </c>
      <c r="DO179" s="13" t="n">
        <f aca="false">IF(AND(ISNUMBER(DM179),ISNUMBER(DN179)),1,0)</f>
        <v>0</v>
      </c>
      <c r="DP179" s="11" t="n">
        <f aca="false">IF(DO179=1,DM179,0)</f>
        <v>0</v>
      </c>
      <c r="DQ179" s="11" t="n">
        <f aca="false">IF(DO179=1,DN179,0)</f>
        <v>0</v>
      </c>
      <c r="DR179" s="11" t="str">
        <f aca="false">IF(DN179="","",DN179+p_shift)</f>
        <v/>
      </c>
      <c r="DS179" s="11" t="n">
        <f aca="false">IF(E179="AE",p_r_ae,IF(E179="China",p_r_chn,p_r_emdc))</f>
        <v>0.105</v>
      </c>
      <c r="DT179" s="11" t="n">
        <f aca="false">IF(E179="AE",p_rh_ae,IF(E179="China",p_rh_chn,p_rh_emdc))</f>
        <v>0.15</v>
      </c>
      <c r="DU179" s="11" t="n">
        <f aca="false">IF(AND(p_use_obs=1,ISNUMBER(DM179)),DM179,IF(AND(p_use_dam=1,ISNUMBER(DR179)),DR179,DS179))</f>
        <v>0.105</v>
      </c>
      <c r="DV179" s="6" t="str">
        <f aca="false">IF(AND(p_use_obs=1,ISNUMBER(DM179)),"Observed (IRENA/Steffen)",IF(AND(p_use_dam=1,ISNUMBER(DR179)),"Damodaran (eq. 5)","Group default (IHLEG)"))</f>
        <v>Group default (IHLEG)</v>
      </c>
      <c r="DW179" s="11" t="n">
        <f aca="false">IF(p_basis=1,(1+DU179)/(1+p_infl)-1,DU179)</f>
        <v>0.105</v>
      </c>
      <c r="DX179" s="11" t="n">
        <f aca="false">DW179+(DT179-DS179)</f>
        <v>0.15</v>
      </c>
      <c r="DY179" s="28" t="n">
        <f aca="false">IF(AND(p_use_pefa=1,ISNUMBER(BD179)),p_gap_lic-(BD179-1)/3*(p_gap_lic-p_gap_ae),IF(E179="AE",p_gap_ae,IF(D179="Low income",p_gap_lic,p_gap_em)))*(1-p_reform*p_reform_close)</f>
        <v>0.4</v>
      </c>
      <c r="DZ179" s="6" t="str">
        <f aca="false">IF(AND(p_use_pefa=1,ISNUMBER(BD179)),"PEFA PI-11","Income-group default (IMF 2015)")</f>
        <v>PEFA PI-11</v>
      </c>
      <c r="EA179" s="28" t="n">
        <f aca="false">IF(E179="AE",p_ps_ae,IF(E179="China",p_ps_chn,p_ps_emdc))</f>
        <v>0.4</v>
      </c>
      <c r="EB179" s="37" t="n">
        <f aca="false">(1-EA179)+EA179/(1-DY179)</f>
        <v>1.26666666666667</v>
      </c>
      <c r="EC179" s="16" t="n">
        <f aca="false">Results_Country!F179</f>
        <v>0.124156385980511</v>
      </c>
      <c r="ED179" s="16" t="n">
        <f aca="false">IF(CH179="",0,CH179*EC179)</f>
        <v>17.1974394680209</v>
      </c>
      <c r="EE179" s="16" t="n">
        <f aca="false">IF(CJ179="",0,CJ179*EC179)</f>
        <v>0</v>
      </c>
      <c r="EF179" s="16" t="n">
        <f aca="false">IF(CH179="",0,EC179)</f>
        <v>0.124156385980511</v>
      </c>
    </row>
    <row r="180" customFormat="false" ht="15" hidden="false" customHeight="false" outlineLevel="0" collapsed="false">
      <c r="A180" s="35" t="s">
        <v>1117</v>
      </c>
      <c r="B180" s="35" t="s">
        <v>1118</v>
      </c>
      <c r="C180" s="35" t="s">
        <v>847</v>
      </c>
      <c r="D180" s="35" t="s">
        <v>888</v>
      </c>
      <c r="E180" s="35" t="s">
        <v>31</v>
      </c>
      <c r="F180" s="36" t="n">
        <v>2.186</v>
      </c>
      <c r="G180" s="36" t="n">
        <v>6.151</v>
      </c>
      <c r="H180" s="33" t="n">
        <v>5.5</v>
      </c>
      <c r="I180" s="33" t="n">
        <v>4.9</v>
      </c>
      <c r="J180" s="36" t="n">
        <v>2.201352</v>
      </c>
      <c r="K180" s="36" t="n">
        <v>0.338</v>
      </c>
      <c r="L180" s="36" t="n">
        <v>3.329</v>
      </c>
      <c r="M180" s="36" t="n">
        <v>4.969</v>
      </c>
      <c r="N180" s="36" t="n">
        <v>0.0884381344832498</v>
      </c>
      <c r="O180" s="36" t="n">
        <v>0.11528969050575</v>
      </c>
      <c r="P180" s="36" t="n">
        <v>0</v>
      </c>
      <c r="Q180" s="31" t="n">
        <v>0</v>
      </c>
      <c r="R180" s="31" t="n">
        <v>0</v>
      </c>
      <c r="S180" s="31" t="n">
        <v>0</v>
      </c>
      <c r="T180" s="31" t="n">
        <v>0</v>
      </c>
      <c r="U180" s="31" t="n">
        <v>0</v>
      </c>
      <c r="V180" s="31" t="n">
        <v>0</v>
      </c>
      <c r="W180" s="31" t="n">
        <v>0</v>
      </c>
      <c r="X180" s="31" t="n">
        <v>0</v>
      </c>
      <c r="Y180" s="36" t="n">
        <v>0.02185814547362</v>
      </c>
      <c r="Z180" s="36" t="n">
        <v>0.0119712020881683</v>
      </c>
      <c r="AA180" s="36" t="n">
        <v>1.62531055900618E-006</v>
      </c>
      <c r="AB180" s="36" t="n">
        <v>0.000119284917717165</v>
      </c>
      <c r="AC180" s="36" t="n">
        <v>0.0967472341211337</v>
      </c>
      <c r="AD180" s="31" t="n">
        <v>0.84708</v>
      </c>
      <c r="AE180" s="31" t="n">
        <v>0.758318</v>
      </c>
      <c r="AF180" s="31" t="n">
        <v>0.513</v>
      </c>
      <c r="AG180" s="31" t="n">
        <v>0.69147</v>
      </c>
      <c r="AH180" s="31" t="n">
        <v>0.607771581643941</v>
      </c>
      <c r="AI180" s="31" t="n">
        <v>7.124</v>
      </c>
      <c r="AJ180" s="31" t="n">
        <v>14.26581</v>
      </c>
      <c r="AK180" s="31" t="n">
        <v>5.575</v>
      </c>
      <c r="AL180" s="31" t="n">
        <v>8.98827</v>
      </c>
      <c r="AM180" s="31" t="n">
        <v>12.815</v>
      </c>
      <c r="AN180" s="31" t="n">
        <v>24.28569</v>
      </c>
      <c r="AO180" s="31" t="n">
        <v>11.492</v>
      </c>
      <c r="AP180" s="31" t="n">
        <v>16.1975633333333</v>
      </c>
      <c r="AQ180" s="36" t="n">
        <v>1.2389578938311E-005</v>
      </c>
      <c r="AR180" s="36" t="n">
        <v>0.000310147828151098</v>
      </c>
      <c r="AS180" s="36" t="n">
        <v>0.0111200513110259</v>
      </c>
      <c r="AT180" s="36" t="n">
        <v>0.000832947571994572</v>
      </c>
      <c r="AU180" s="31" t="n">
        <v>0.211245452065432</v>
      </c>
      <c r="AV180" s="36" t="n">
        <v>0.557942</v>
      </c>
      <c r="AW180" s="31" t="n">
        <v>0.043088</v>
      </c>
      <c r="AX180" s="31" t="n">
        <v>0.000159</v>
      </c>
      <c r="AY180" s="31" t="n">
        <v>0.000217835594418054</v>
      </c>
      <c r="AZ180" s="31" t="n">
        <v>0.000372</v>
      </c>
      <c r="BA180" s="33" t="n">
        <v>82.427</v>
      </c>
      <c r="BB180" s="33" t="n">
        <v>25.391</v>
      </c>
      <c r="BC180" s="33" t="n">
        <v>100</v>
      </c>
      <c r="BD180" s="33"/>
      <c r="BE180" s="33"/>
      <c r="BF180" s="33" t="n">
        <v>0</v>
      </c>
      <c r="BG180" s="33"/>
      <c r="BH180" s="33"/>
      <c r="BI180" s="29"/>
      <c r="BJ180" s="33"/>
      <c r="BK180" s="33"/>
      <c r="BL180" s="33"/>
      <c r="BM180" s="33"/>
      <c r="BN180" s="29" t="n">
        <v>17</v>
      </c>
      <c r="BO180" s="33" t="n">
        <v>1.717</v>
      </c>
      <c r="BP180" s="33" t="n">
        <v>0.266</v>
      </c>
      <c r="BQ180" s="29" t="n">
        <v>2024</v>
      </c>
      <c r="BR180" s="36" t="n">
        <v>0.08</v>
      </c>
      <c r="BS180" s="36" t="n">
        <v>0</v>
      </c>
      <c r="BT180" s="36" t="n">
        <v>0</v>
      </c>
      <c r="BU180" s="36" t="n">
        <v>0.08</v>
      </c>
      <c r="BV180" s="16" t="n">
        <f aca="false">F180*(1+N(H180)/100)*(1+N(I180)/100)^5</f>
        <v>2.92940931507064</v>
      </c>
      <c r="BW180" s="16" t="n">
        <f aca="false">IF(N(G180)&gt;0,G180,F180)</f>
        <v>6.151</v>
      </c>
      <c r="BX180" s="12" t="n">
        <f aca="false">F180/BW180</f>
        <v>0.355389367582507</v>
      </c>
      <c r="BY180" s="13" t="n">
        <f aca="false">IF(ISNUMBER(K180),1,0)</f>
        <v>1</v>
      </c>
      <c r="BZ180" s="16" t="n">
        <f aca="false">IF(BY180=0,"",N(N180)+N(O180)+N(P180))</f>
        <v>0.203727824988999</v>
      </c>
      <c r="CA180" s="37" t="n">
        <f aca="false">IF(BY180=0,"",(N(Y180)*34.2+N(Z180)*38.6)/1000)</f>
        <v>0.0012096369758011</v>
      </c>
      <c r="CB180" s="37" t="n">
        <f aca="false">IF(BY180=0,"",N(O180)*0.0036+N(R180)+N(V180)+(N(AA180)*25.3+N(AB180)*37)/1000)</f>
        <v>0.000419497548133377</v>
      </c>
      <c r="CC180" s="37" t="n">
        <f aca="false">IF(BY180=0,"",N(N180)*0.0036+N(Q180)+N(U180)+N(T180)+N(X180)+N(AC180)*38/1000)</f>
        <v>0.00399477218074278</v>
      </c>
      <c r="CD180" s="37" t="n">
        <f aca="false">IF(BY180=0,"",N(Q180)+N(R180)+N(S180)+N(T180)+N(U180)+N(V180)+N(W180)+N(X180)+(N(Y180)*34.2+N(Z180)*38.6+N(AA180)*25.3+N(AB180)*37+N(AC180)*38)/1000)</f>
        <v>0.00489048653471686</v>
      </c>
      <c r="CE180" s="16" t="n">
        <f aca="false">IF(BY180=0,"",MAX(0,N(L180)-N(K180))+MAX(0,N(M180)-N(L180)))</f>
        <v>4.631</v>
      </c>
      <c r="CF180" s="16" t="n">
        <f aca="false">IF(BY180=0,"",N(Y180)*N(AD180)+N(Z180)*N(AE180)+N(AA180)*N(AF180)+N(AB180)*N(AG180)+N(AC180)*N(AH180)+N(U180)*N(AI180)+N(V180)*N(AJ180)+N(W180)*N(AK180)+N(X180)*N(AL180)+N(Q180)*N(AM180)+N(R180)*N(AN180)+N(S180)*N(AO180)+N(T180)*N(AP180))</f>
        <v>0.0864771111207383</v>
      </c>
      <c r="CG180" s="16" t="n">
        <f aca="false">IF(AND(BY180=1,N(K180)&gt;0),K180,0)</f>
        <v>0.338</v>
      </c>
      <c r="CH180" s="16" t="n">
        <f aca="false">IF(CG180&gt;0,CF180*1000/CG180,"")</f>
        <v>255.849441185616</v>
      </c>
      <c r="CI180" s="16" t="n">
        <f aca="false">IF(BY180=0,"",N(AQ180)+p_road*(N(AR180)+N(AS180)+N(AT180)))</f>
        <v>1.2389578938311E-005</v>
      </c>
      <c r="CJ180" s="16" t="n">
        <f aca="false">IF(CG180&gt;0,CI180*1000/CG180,"")</f>
        <v>0.0366555589890859</v>
      </c>
      <c r="CK180" s="12" t="n">
        <f aca="false">IF(CH180="",1,MIN(p_idx_max,MAX(p_idx_min,CH180/p_fc_world)))</f>
        <v>1.58905447246205</v>
      </c>
      <c r="CL180" s="12" t="n">
        <f aca="false">IF(CJ180="",1,MIN(p_idx_max,MAX(p_idx_min,CJ180/p_cb_world)))</f>
        <v>0.25</v>
      </c>
      <c r="CM180" s="37" t="n">
        <f aca="false">p_b*(1-p_wb_idx+p_wb_idx*CK180)</f>
        <v>0.211344244837453</v>
      </c>
      <c r="CN180" s="37" t="n">
        <f aca="false">p_c*(1-p_wc_idx+p_wc_idx*CL180)</f>
        <v>0.03225</v>
      </c>
      <c r="CO180" s="28" t="n">
        <f aca="false">IF(N(BR180)&gt;0,(N(BS180)+N(BT180)+N(BU180))/BR180,"")</f>
        <v>1</v>
      </c>
      <c r="CP180" s="16" t="n">
        <f aca="false">N(BS180)+N(BT180)+N(BU180)</f>
        <v>0.08</v>
      </c>
      <c r="CQ180" s="28" t="n">
        <f aca="false">IF(CP180&gt;0,N(BS180)/CP180,"")</f>
        <v>0</v>
      </c>
      <c r="CR180" s="28" t="n">
        <f aca="false">IF(CP180&gt;0,N(BT180)/CP180,"")</f>
        <v>0</v>
      </c>
      <c r="CS180" s="28" t="n">
        <f aca="false">IF(CP180&gt;0,N(BU180)/CP180,"")</f>
        <v>1</v>
      </c>
      <c r="CT180" s="7" t="n">
        <f aca="false">1000*(p_sh_pv*p_cf_pv/p_capex_pv+(1-p_sh_pv)*p_cf_wind/p_capex_wind)*8760</f>
        <v>2301.28856624319</v>
      </c>
      <c r="CU180" s="13" t="n">
        <f aca="false">IF(AND(ISNUMBER(CO180),ISNUMBER(CQ180),BY180=1),1,0)</f>
        <v>1</v>
      </c>
      <c r="CV180" s="16" t="n">
        <f aca="false">IF(CU180=0,"",CQ180*p_hr_coal*N(AK180)+CR180*p_hr_gas*N(AO180)+CS180*p_hr_oil*N(AH180)/p_gj_l_oil)</f>
        <v>165.326466509362</v>
      </c>
      <c r="CW180" s="37" t="n">
        <f aca="false">IF(CU180=0,"",CQ180*p_hr_coal*p_ef_coal+CR180*p_hr_gas*p_ef_gas+CS180*p_hr_oil*p_ef_oil)</f>
        <v>0.8127</v>
      </c>
      <c r="CX180" s="16" t="n">
        <f aca="false">IF(CU180=0,"",CQ180*p_hr_coal*N(AW180)+CR180*p_hr_gas*N(AX180)+CS180*p_hr_oil*N(AY180)/p_gj_l_oil)</f>
        <v>0.0592557964090562</v>
      </c>
      <c r="CY180" s="37" t="n">
        <f aca="false">IF(CU180=0,"",CO180*CW180)</f>
        <v>0.8127</v>
      </c>
      <c r="CZ180" s="37" t="n">
        <f aca="false">IF(CU180=0,"",CT180*CO180*CV180/1000/1000-p_om_re)</f>
        <v>0.365463907075384</v>
      </c>
      <c r="DA180" s="37" t="n">
        <f aca="false">IF(CU180=0,"",CT180*CO180*CX180/1000/1000)</f>
        <v>0.000136364686759796</v>
      </c>
      <c r="DB180" s="37" t="n">
        <f aca="false">IF(CU180=0,"",CT180*CO180*CW180/1000)</f>
        <v>1.87025721778584</v>
      </c>
      <c r="DC180" s="13" t="n">
        <f aca="false">IF(AND(CU180=1,ISNUMBER(AD180),ISNUMBER(AV180)),1,0)</f>
        <v>1</v>
      </c>
      <c r="DD180" s="7" t="n">
        <f aca="false">IF(DC180=0,"",p_ev_km*p_ice_l/100*AD180-p_ev_km*p_ev_kwh*AV180+p_ev_km*p_ev_maint)</f>
        <v>-373.4784</v>
      </c>
      <c r="DE180" s="37" t="n">
        <f aca="false">IF(DC180=0,"",DD180/p_ev_prem)</f>
        <v>-0.07469568</v>
      </c>
      <c r="DF180" s="37" t="n">
        <f aca="false">IF(DC180=0,"",p_ev_km*p_ice_l/100*N(AZ180)/p_ev_prem)</f>
        <v>8.37E-005</v>
      </c>
      <c r="DG180" s="37" t="n">
        <f aca="false">IF(DC180=0,"",1000/p_ev_prem*(p_ev_km*p_ice_l/100*p_gj_l_gso*p_ef_gso-p_ev_km*p_ev_kwh/1000*CY180))</f>
        <v>0.0944055</v>
      </c>
      <c r="DH180" s="11" t="str">
        <f aca="false">IFERROR(IF(INDEX(Damodaran!$D:$D,MATCH(A180,Damodaran!$A:$A,0))="","",INDEX(Damodaran!$D:$D,MATCH(A180,Damodaran!$A:$A,0))),"")</f>
        <v/>
      </c>
      <c r="DI180" s="11" t="str">
        <f aca="false">IFERROR(IF(INDEX(Damodaran!$E:$E,MATCH(A180,Damodaran!$A:$A,0))="","",INDEX(Damodaran!$E:$E,MATCH(A180,Damodaran!$A:$A,0))),"")</f>
        <v/>
      </c>
      <c r="DJ180" s="11" t="str">
        <f aca="false">IFERROR(IF(INDEX(Damodaran!$G:$G,MATCH(A180,Damodaran!$A:$A,0))="","",INDEX(Damodaran!$G:$G,MATCH(A180,Damodaran!$A:$A,0))),"")</f>
        <v/>
      </c>
      <c r="DK180" s="11" t="str">
        <f aca="false">IF(ISNUMBER(BG180),(1+BG180/100)*(1+p_infl)-1,"")</f>
        <v/>
      </c>
      <c r="DL180" s="11" t="str">
        <f aca="false">IF(ISNUMBER(BH180),BH180/100,"")</f>
        <v/>
      </c>
      <c r="DM180" s="11" t="str">
        <f aca="false">IF(COUNT(DK180,DL180)=0,"",AVERAGE(DK180,DL180))</f>
        <v/>
      </c>
      <c r="DN180" s="11" t="str">
        <f aca="false">IF(OR(DH180="",DI180=""),"",p_dv*(p_rf+DH180)*(1-IF(DJ180="",p_tax_def,DJ180))+(1-p_dv)*(p_rf+p_beta*p_erp+p_lambda*DI180))</f>
        <v/>
      </c>
      <c r="DO180" s="13" t="n">
        <f aca="false">IF(AND(ISNUMBER(DM180),ISNUMBER(DN180)),1,0)</f>
        <v>0</v>
      </c>
      <c r="DP180" s="11" t="n">
        <f aca="false">IF(DO180=1,DM180,0)</f>
        <v>0</v>
      </c>
      <c r="DQ180" s="11" t="n">
        <f aca="false">IF(DO180=1,DN180,0)</f>
        <v>0</v>
      </c>
      <c r="DR180" s="11" t="str">
        <f aca="false">IF(DN180="","",DN180+p_shift)</f>
        <v/>
      </c>
      <c r="DS180" s="11" t="n">
        <f aca="false">IF(E180="AE",p_r_ae,IF(E180="China",p_r_chn,p_r_emdc))</f>
        <v>0.105</v>
      </c>
      <c r="DT180" s="11" t="n">
        <f aca="false">IF(E180="AE",p_rh_ae,IF(E180="China",p_rh_chn,p_rh_emdc))</f>
        <v>0.15</v>
      </c>
      <c r="DU180" s="11" t="n">
        <f aca="false">IF(AND(p_use_obs=1,ISNUMBER(DM180)),DM180,IF(AND(p_use_dam=1,ISNUMBER(DR180)),DR180,DS180))</f>
        <v>0.105</v>
      </c>
      <c r="DV180" s="6" t="str">
        <f aca="false">IF(AND(p_use_obs=1,ISNUMBER(DM180)),"Observed (IRENA/Steffen)",IF(AND(p_use_dam=1,ISNUMBER(DR180)),"Damodaran (eq. 5)","Group default (IHLEG)"))</f>
        <v>Group default (IHLEG)</v>
      </c>
      <c r="DW180" s="11" t="n">
        <f aca="false">IF(p_basis=1,(1+DU180)/(1+p_infl)-1,DU180)</f>
        <v>0.105</v>
      </c>
      <c r="DX180" s="11" t="n">
        <f aca="false">DW180+(DT180-DS180)</f>
        <v>0.15</v>
      </c>
      <c r="DY180" s="28" t="n">
        <f aca="false">IF(AND(p_use_pefa=1,ISNUMBER(BD180)),p_gap_lic-(BD180-1)/3*(p_gap_lic-p_gap_ae),IF(E180="AE",p_gap_ae,IF(D180="Low income",p_gap_lic,p_gap_em)))*(1-p_reform*p_reform_close)</f>
        <v>0.4</v>
      </c>
      <c r="DZ180" s="6" t="str">
        <f aca="false">IF(AND(p_use_pefa=1,ISNUMBER(BD180)),"PEFA PI-11","Income-group default (IMF 2015)")</f>
        <v>Income-group default (IMF 2015)</v>
      </c>
      <c r="EA180" s="28" t="n">
        <f aca="false">IF(E180="AE",p_ps_ae,IF(E180="China",p_ps_chn,p_ps_emdc))</f>
        <v>0.4</v>
      </c>
      <c r="EB180" s="37" t="n">
        <f aca="false">(1-EA180)+EA180/(1-DY180)</f>
        <v>1.26666666666667</v>
      </c>
      <c r="EC180" s="16" t="n">
        <f aca="false">Results_Country!F180</f>
        <v>0.165584456432925</v>
      </c>
      <c r="ED180" s="16" t="n">
        <f aca="false">IF(CH180="",0,CH180*EC180)</f>
        <v>42.3646906473879</v>
      </c>
      <c r="EE180" s="16" t="n">
        <f aca="false">IF(CJ180="",0,CJ180*EC180)</f>
        <v>0.0060695908104528</v>
      </c>
      <c r="EF180" s="16" t="n">
        <f aca="false">IF(CH180="",0,EC180)</f>
        <v>0.165584456432925</v>
      </c>
    </row>
    <row r="181" customFormat="false" ht="15" hidden="false" customHeight="false" outlineLevel="0" collapsed="false">
      <c r="A181" s="35" t="s">
        <v>1119</v>
      </c>
      <c r="B181" s="35" t="s">
        <v>1120</v>
      </c>
      <c r="C181" s="35" t="s">
        <v>784</v>
      </c>
      <c r="D181" s="35" t="s">
        <v>760</v>
      </c>
      <c r="E181" s="35" t="s">
        <v>31</v>
      </c>
      <c r="F181" s="36" t="n">
        <v>2.162</v>
      </c>
      <c r="G181" s="36" t="n">
        <v>3.127</v>
      </c>
      <c r="H181" s="33" t="n">
        <v>3.039</v>
      </c>
      <c r="I181" s="33" t="n">
        <v>2.593</v>
      </c>
      <c r="J181" s="36" t="n">
        <v>0.093772</v>
      </c>
      <c r="K181" s="36" t="n">
        <v>0.265</v>
      </c>
      <c r="L181" s="36" t="n">
        <v>0.348</v>
      </c>
      <c r="M181" s="36" t="n">
        <v>0.348</v>
      </c>
      <c r="N181" s="36" t="n">
        <v>0.206067788576024</v>
      </c>
      <c r="O181" s="36" t="n">
        <v>0.112792995737564</v>
      </c>
      <c r="P181" s="36" t="n">
        <v>0.0145609448147945</v>
      </c>
      <c r="Q181" s="31" t="n">
        <v>0</v>
      </c>
      <c r="R181" s="31" t="n">
        <v>0</v>
      </c>
      <c r="S181" s="31" t="n">
        <v>0</v>
      </c>
      <c r="T181" s="31" t="n">
        <v>0</v>
      </c>
      <c r="U181" s="31" t="n">
        <v>0</v>
      </c>
      <c r="V181" s="31" t="n">
        <v>0</v>
      </c>
      <c r="W181" s="31" t="n">
        <v>0</v>
      </c>
      <c r="X181" s="31" t="n">
        <v>0</v>
      </c>
      <c r="Y181" s="36" t="n">
        <v>0.0739073923081505</v>
      </c>
      <c r="Z181" s="36" t="n">
        <v>0.046005846163439</v>
      </c>
      <c r="AA181" s="36" t="n">
        <v>0.00679883254173323</v>
      </c>
      <c r="AB181" s="36" t="n">
        <v>1.10996818663837E-006</v>
      </c>
      <c r="AC181" s="36" t="n">
        <v>0.211030038497961</v>
      </c>
      <c r="AD181" s="31" t="n">
        <v>0.86298</v>
      </c>
      <c r="AE181" s="31" t="n">
        <v>0.677033</v>
      </c>
      <c r="AF181" s="31" t="n">
        <v>0.600566</v>
      </c>
      <c r="AG181" s="31" t="n">
        <v>0.568</v>
      </c>
      <c r="AH181" s="31" t="n">
        <v>0.532506486056634</v>
      </c>
      <c r="AI181" s="31" t="n">
        <v>7.124</v>
      </c>
      <c r="AJ181" s="31" t="n">
        <v>14.02195</v>
      </c>
      <c r="AK181" s="31" t="n">
        <v>5.575</v>
      </c>
      <c r="AL181" s="31" t="n">
        <v>8.90698333333333</v>
      </c>
      <c r="AM181" s="31" t="n">
        <v>12.771</v>
      </c>
      <c r="AN181" s="31" t="n">
        <v>23.8188</v>
      </c>
      <c r="AO181" s="31" t="n">
        <v>11.447</v>
      </c>
      <c r="AP181" s="31" t="n">
        <v>16.0122666666667</v>
      </c>
      <c r="AQ181" s="36" t="n">
        <v>0</v>
      </c>
      <c r="AR181" s="36" t="n">
        <v>0</v>
      </c>
      <c r="AS181" s="36" t="n">
        <v>0</v>
      </c>
      <c r="AT181" s="36" t="n">
        <v>0</v>
      </c>
      <c r="AU181" s="31" t="n">
        <v>0.210239376882982</v>
      </c>
      <c r="AV181" s="36" t="n">
        <v>0.51635</v>
      </c>
      <c r="AW181" s="31" t="n">
        <v>0</v>
      </c>
      <c r="AX181" s="31" t="n">
        <v>0</v>
      </c>
      <c r="AY181" s="31" t="n">
        <v>0</v>
      </c>
      <c r="AZ181" s="31" t="n">
        <v>0</v>
      </c>
      <c r="BA181" s="33" t="n">
        <v>71.773</v>
      </c>
      <c r="BB181" s="33" t="n">
        <v>10.827</v>
      </c>
      <c r="BC181" s="33"/>
      <c r="BD181" s="33"/>
      <c r="BE181" s="33"/>
      <c r="BF181" s="33" t="n">
        <v>0</v>
      </c>
      <c r="BG181" s="33"/>
      <c r="BH181" s="33"/>
      <c r="BI181" s="29"/>
      <c r="BJ181" s="33"/>
      <c r="BK181" s="33"/>
      <c r="BL181" s="33"/>
      <c r="BM181" s="33"/>
      <c r="BN181" s="29"/>
      <c r="BO181" s="33"/>
      <c r="BP181" s="33"/>
      <c r="BQ181" s="29" t="n">
        <v>2024</v>
      </c>
      <c r="BR181" s="36" t="n">
        <v>0.37</v>
      </c>
      <c r="BS181" s="36" t="n">
        <v>0</v>
      </c>
      <c r="BT181" s="36" t="n">
        <v>0</v>
      </c>
      <c r="BU181" s="36" t="n">
        <v>0.34</v>
      </c>
      <c r="BV181" s="16" t="n">
        <f aca="false">F181*(1+N(H181)/100)*(1+N(I181)/100)^5</f>
        <v>2.53189664026908</v>
      </c>
      <c r="BW181" s="16" t="n">
        <f aca="false">IF(N(G181)&gt;0,G181,F181)</f>
        <v>3.127</v>
      </c>
      <c r="BX181" s="12" t="n">
        <f aca="false">F181/BW181</f>
        <v>0.691397505596418</v>
      </c>
      <c r="BY181" s="13" t="n">
        <f aca="false">IF(ISNUMBER(K181),1,0)</f>
        <v>1</v>
      </c>
      <c r="BZ181" s="16" t="n">
        <f aca="false">IF(BY181=0,"",N(N181)+N(O181)+N(P181))</f>
        <v>0.333421729128382</v>
      </c>
      <c r="CA181" s="37" t="n">
        <f aca="false">IF(BY181=0,"",(N(Y181)*34.2+N(Z181)*38.6)/1000)</f>
        <v>0.00430345847884749</v>
      </c>
      <c r="CB181" s="37" t="n">
        <f aca="false">IF(BY181=0,"",N(O181)*0.0036+N(R181)+N(V181)+(N(AA181)*25.3+N(AB181)*37)/1000)</f>
        <v>0.000578106316783986</v>
      </c>
      <c r="CC181" s="37" t="n">
        <f aca="false">IF(BY181=0,"",N(N181)*0.0036+N(Q181)+N(U181)+N(T181)+N(X181)+N(AC181)*38/1000)</f>
        <v>0.00876098550179621</v>
      </c>
      <c r="CD181" s="37" t="n">
        <f aca="false">IF(BY181=0,"",N(Q181)+N(R181)+N(S181)+N(T181)+N(U181)+N(V181)+N(W181)+N(X181)+(N(Y181)*34.2+N(Z181)*38.6+N(AA181)*25.3+N(AB181)*37+N(AC181)*38)/1000)</f>
        <v>0.0124946514738988</v>
      </c>
      <c r="CE181" s="16" t="n">
        <f aca="false">IF(BY181=0,"",MAX(0,N(L181)-N(K181))+MAX(0,N(M181)-N(L181)))</f>
        <v>0.083</v>
      </c>
      <c r="CF181" s="16" t="n">
        <f aca="false">IF(BY181=0,"",N(Y181)*N(AD181)+N(Z181)*N(AE181)+N(AA181)*N(AF181)+N(AB181)*N(AG181)+N(AC181)*N(AH181)+N(U181)*N(AI181)+N(V181)*N(AJ181)+N(W181)*N(AK181)+N(X181)*N(AL181)+N(Q181)*N(AM181)+N(R181)*N(AN181)+N(S181)*N(AO181)+N(T181)*N(AP181))</f>
        <v>0.211386719838793</v>
      </c>
      <c r="CG181" s="16" t="n">
        <f aca="false">IF(AND(BY181=1,N(K181)&gt;0),K181,0)</f>
        <v>0.265</v>
      </c>
      <c r="CH181" s="16" t="n">
        <f aca="false">IF(CG181&gt;0,CF181*1000/CG181,"")</f>
        <v>797.685735240729</v>
      </c>
      <c r="CI181" s="16" t="n">
        <f aca="false">IF(BY181=0,"",N(AQ181)+p_road*(N(AR181)+N(AS181)+N(AT181)))</f>
        <v>0</v>
      </c>
      <c r="CJ181" s="16" t="n">
        <f aca="false">IF(CG181&gt;0,CI181*1000/CG181,"")</f>
        <v>0</v>
      </c>
      <c r="CK181" s="12" t="n">
        <f aca="false">IF(CH181="",1,MIN(p_idx_max,MAX(p_idx_min,CH181/p_fc_world)))</f>
        <v>4</v>
      </c>
      <c r="CL181" s="12" t="n">
        <f aca="false">IF(CJ181="",1,MIN(p_idx_max,MAX(p_idx_min,CJ181/p_cb_world)))</f>
        <v>0.25</v>
      </c>
      <c r="CM181" s="37" t="n">
        <f aca="false">p_b*(1-p_wb_idx+p_wb_idx*CK181)</f>
        <v>0.532</v>
      </c>
      <c r="CN181" s="37" t="n">
        <f aca="false">p_c*(1-p_wc_idx+p_wc_idx*CL181)</f>
        <v>0.03225</v>
      </c>
      <c r="CO181" s="28" t="n">
        <f aca="false">IF(N(BR181)&gt;0,(N(BS181)+N(BT181)+N(BU181))/BR181,"")</f>
        <v>0.918918918918919</v>
      </c>
      <c r="CP181" s="16" t="n">
        <f aca="false">N(BS181)+N(BT181)+N(BU181)</f>
        <v>0.34</v>
      </c>
      <c r="CQ181" s="28" t="n">
        <f aca="false">IF(CP181&gt;0,N(BS181)/CP181,"")</f>
        <v>0</v>
      </c>
      <c r="CR181" s="28" t="n">
        <f aca="false">IF(CP181&gt;0,N(BT181)/CP181,"")</f>
        <v>0</v>
      </c>
      <c r="CS181" s="28" t="n">
        <f aca="false">IF(CP181&gt;0,N(BU181)/CP181,"")</f>
        <v>1</v>
      </c>
      <c r="CT181" s="7" t="n">
        <f aca="false">1000*(p_sh_pv*p_cf_pv/p_capex_pv+(1-p_sh_pv)*p_cf_wind/p_capex_wind)*8760</f>
        <v>2301.28856624319</v>
      </c>
      <c r="CU181" s="13" t="n">
        <f aca="false">IF(AND(ISNUMBER(CO181),ISNUMBER(CQ181),BY181=1),1,0)</f>
        <v>1</v>
      </c>
      <c r="CV181" s="16" t="n">
        <f aca="false">IF(CU181=0,"",CQ181*p_hr_coal*N(AK181)+CR181*p_hr_gas*N(AO181)+CS181*p_hr_oil*N(AH181)/p_gj_l_oil)</f>
        <v>144.85280061126</v>
      </c>
      <c r="CW181" s="37" t="n">
        <f aca="false">IF(CU181=0,"",CQ181*p_hr_coal*p_ef_coal+CR181*p_hr_gas*p_ef_gas+CS181*p_hr_oil*p_ef_oil)</f>
        <v>0.8127</v>
      </c>
      <c r="CX181" s="16" t="n">
        <f aca="false">IF(CU181=0,"",CQ181*p_hr_coal*N(AW181)+CR181*p_hr_gas*N(AX181)+CS181*p_hr_oil*N(AY181)/p_gj_l_oil)</f>
        <v>0</v>
      </c>
      <c r="CY181" s="37" t="n">
        <f aca="false">IF(CU181=0,"",CO181*CW181)</f>
        <v>0.746805405405405</v>
      </c>
      <c r="CZ181" s="37" t="n">
        <f aca="false">IF(CU181=0,"",CT181*CO181*CV181/1000/1000-p_om_re)</f>
        <v>0.291319870010539</v>
      </c>
      <c r="DA181" s="37" t="n">
        <f aca="false">IF(CU181=0,"",CT181*CO181*CX181/1000/1000)</f>
        <v>0</v>
      </c>
      <c r="DB181" s="37" t="n">
        <f aca="false">IF(CU181=0,"",CT181*CO181*CW181/1000)</f>
        <v>1.71861474066807</v>
      </c>
      <c r="DC181" s="13" t="n">
        <f aca="false">IF(AND(CU181=1,ISNUMBER(AD181),ISNUMBER(AV181)),1,0)</f>
        <v>1</v>
      </c>
      <c r="DD181" s="7" t="n">
        <f aca="false">IF(DC181=0,"",p_ev_km*p_ice_l/100*AD181-p_ev_km*p_ev_kwh*AV181+p_ev_km*p_ev_maint)</f>
        <v>-243.2925</v>
      </c>
      <c r="DE181" s="37" t="n">
        <f aca="false">IF(DC181=0,"",DD181/p_ev_prem)</f>
        <v>-0.0486585</v>
      </c>
      <c r="DF181" s="37" t="n">
        <f aca="false">IF(DC181=0,"",p_ev_km*p_ice_l/100*N(AZ181)/p_ev_prem)</f>
        <v>0</v>
      </c>
      <c r="DG181" s="37" t="n">
        <f aca="false">IF(DC181=0,"",1000/p_ev_prem*(p_ev_km*p_ice_l/100*p_gj_l_gso*p_ef_gso-p_ev_km*p_ev_kwh/1000*CY181))</f>
        <v>0.129988581081081</v>
      </c>
      <c r="DH181" s="11" t="str">
        <f aca="false">IFERROR(IF(INDEX(Damodaran!$D:$D,MATCH(A181,Damodaran!$A:$A,0))="","",INDEX(Damodaran!$D:$D,MATCH(A181,Damodaran!$A:$A,0))),"")</f>
        <v/>
      </c>
      <c r="DI181" s="11" t="str">
        <f aca="false">IFERROR(IF(INDEX(Damodaran!$E:$E,MATCH(A181,Damodaran!$A:$A,0))="","",INDEX(Damodaran!$E:$E,MATCH(A181,Damodaran!$A:$A,0))),"")</f>
        <v/>
      </c>
      <c r="DJ181" s="11" t="str">
        <f aca="false">IFERROR(IF(INDEX(Damodaran!$G:$G,MATCH(A181,Damodaran!$A:$A,0))="","",INDEX(Damodaran!$G:$G,MATCH(A181,Damodaran!$A:$A,0))),"")</f>
        <v/>
      </c>
      <c r="DK181" s="11" t="str">
        <f aca="false">IF(ISNUMBER(BG181),(1+BG181/100)*(1+p_infl)-1,"")</f>
        <v/>
      </c>
      <c r="DL181" s="11" t="str">
        <f aca="false">IF(ISNUMBER(BH181),BH181/100,"")</f>
        <v/>
      </c>
      <c r="DM181" s="11" t="str">
        <f aca="false">IF(COUNT(DK181,DL181)=0,"",AVERAGE(DK181,DL181))</f>
        <v/>
      </c>
      <c r="DN181" s="11" t="str">
        <f aca="false">IF(OR(DH181="",DI181=""),"",p_dv*(p_rf+DH181)*(1-IF(DJ181="",p_tax_def,DJ181))+(1-p_dv)*(p_rf+p_beta*p_erp+p_lambda*DI181))</f>
        <v/>
      </c>
      <c r="DO181" s="13" t="n">
        <f aca="false">IF(AND(ISNUMBER(DM181),ISNUMBER(DN181)),1,0)</f>
        <v>0</v>
      </c>
      <c r="DP181" s="11" t="n">
        <f aca="false">IF(DO181=1,DM181,0)</f>
        <v>0</v>
      </c>
      <c r="DQ181" s="11" t="n">
        <f aca="false">IF(DO181=1,DN181,0)</f>
        <v>0</v>
      </c>
      <c r="DR181" s="11" t="str">
        <f aca="false">IF(DN181="","",DN181+p_shift)</f>
        <v/>
      </c>
      <c r="DS181" s="11" t="n">
        <f aca="false">IF(E181="AE",p_r_ae,IF(E181="China",p_r_chn,p_r_emdc))</f>
        <v>0.105</v>
      </c>
      <c r="DT181" s="11" t="n">
        <f aca="false">IF(E181="AE",p_rh_ae,IF(E181="China",p_rh_chn,p_rh_emdc))</f>
        <v>0.15</v>
      </c>
      <c r="DU181" s="11" t="n">
        <f aca="false">IF(AND(p_use_obs=1,ISNUMBER(DM181)),DM181,IF(AND(p_use_dam=1,ISNUMBER(DR181)),DR181,DS181))</f>
        <v>0.105</v>
      </c>
      <c r="DV181" s="6" t="str">
        <f aca="false">IF(AND(p_use_obs=1,ISNUMBER(DM181)),"Observed (IRENA/Steffen)",IF(AND(p_use_dam=1,ISNUMBER(DR181)),"Damodaran (eq. 5)","Group default (IHLEG)"))</f>
        <v>Group default (IHLEG)</v>
      </c>
      <c r="DW181" s="11" t="n">
        <f aca="false">IF(p_basis=1,(1+DU181)/(1+p_infl)-1,DU181)</f>
        <v>0.105</v>
      </c>
      <c r="DX181" s="11" t="n">
        <f aca="false">DW181+(DT181-DS181)</f>
        <v>0.15</v>
      </c>
      <c r="DY181" s="28" t="n">
        <f aca="false">IF(AND(p_use_pefa=1,ISNUMBER(BD181)),p_gap_lic-(BD181-1)/3*(p_gap_lic-p_gap_ae),IF(E181="AE",p_gap_ae,IF(D181="Low income",p_gap_lic,p_gap_em)))*(1-p_reform*p_reform_close)</f>
        <v>0.27</v>
      </c>
      <c r="DZ181" s="6" t="str">
        <f aca="false">IF(AND(p_use_pefa=1,ISNUMBER(BD181)),"PEFA PI-11","Income-group default (IMF 2015)")</f>
        <v>Income-group default (IMF 2015)</v>
      </c>
      <c r="EA181" s="28" t="n">
        <f aca="false">IF(E181="AE",p_ps_ae,IF(E181="China",p_ps_chn,p_ps_emdc))</f>
        <v>0.4</v>
      </c>
      <c r="EB181" s="37" t="n">
        <f aca="false">(1-EA181)+EA181/(1-DY181)</f>
        <v>1.14794520547945</v>
      </c>
      <c r="EC181" s="16" t="n">
        <f aca="false">Results_Country!F181</f>
        <v>0.117052788663394</v>
      </c>
      <c r="ED181" s="16" t="n">
        <f aca="false">IF(CH181="",0,CH181*EC181)</f>
        <v>93.3713397869369</v>
      </c>
      <c r="EE181" s="16" t="n">
        <f aca="false">IF(CJ181="",0,CJ181*EC181)</f>
        <v>0</v>
      </c>
      <c r="EF181" s="16" t="n">
        <f aca="false">IF(CH181="",0,EC181)</f>
        <v>0.117052788663394</v>
      </c>
    </row>
    <row r="182" customFormat="false" ht="15" hidden="false" customHeight="false" outlineLevel="0" collapsed="false">
      <c r="A182" s="35" t="s">
        <v>1121</v>
      </c>
      <c r="B182" s="35" t="s">
        <v>1122</v>
      </c>
      <c r="C182" s="35" t="s">
        <v>766</v>
      </c>
      <c r="D182" s="35" t="s">
        <v>760</v>
      </c>
      <c r="E182" s="35" t="s">
        <v>29</v>
      </c>
      <c r="F182" s="36" t="n">
        <v>2.086</v>
      </c>
      <c r="G182" s="36" t="n">
        <v>2.759</v>
      </c>
      <c r="H182" s="33" t="n">
        <v>1.5</v>
      </c>
      <c r="I182" s="33" t="n">
        <v>1.3</v>
      </c>
      <c r="J182" s="36"/>
      <c r="K182" s="36"/>
      <c r="L182" s="36"/>
      <c r="M182" s="36"/>
      <c r="N182" s="36"/>
      <c r="O182" s="36"/>
      <c r="P182" s="36"/>
      <c r="Q182" s="31"/>
      <c r="R182" s="31"/>
      <c r="S182" s="31"/>
      <c r="T182" s="31"/>
      <c r="U182" s="31"/>
      <c r="V182" s="31"/>
      <c r="W182" s="31"/>
      <c r="X182" s="31"/>
      <c r="Y182" s="36"/>
      <c r="Z182" s="36"/>
      <c r="AA182" s="36"/>
      <c r="AB182" s="36"/>
      <c r="AC182" s="36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6"/>
      <c r="AR182" s="36"/>
      <c r="AS182" s="36"/>
      <c r="AT182" s="36"/>
      <c r="AU182" s="31"/>
      <c r="AV182" s="36"/>
      <c r="AW182" s="31"/>
      <c r="AX182" s="31"/>
      <c r="AY182" s="31"/>
      <c r="AZ182" s="31"/>
      <c r="BA182" s="33" t="n">
        <v>62.852</v>
      </c>
      <c r="BB182" s="33" t="n">
        <v>9.476</v>
      </c>
      <c r="BC182" s="33"/>
      <c r="BD182" s="33"/>
      <c r="BE182" s="33"/>
      <c r="BF182" s="33" t="n">
        <v>0</v>
      </c>
      <c r="BG182" s="33"/>
      <c r="BH182" s="33"/>
      <c r="BI182" s="29"/>
      <c r="BJ182" s="33"/>
      <c r="BK182" s="33"/>
      <c r="BL182" s="33"/>
      <c r="BM182" s="33"/>
      <c r="BN182" s="29"/>
      <c r="BO182" s="33"/>
      <c r="BP182" s="33"/>
      <c r="BQ182" s="29"/>
      <c r="BR182" s="36"/>
      <c r="BS182" s="36"/>
      <c r="BT182" s="36"/>
      <c r="BU182" s="36"/>
      <c r="BV182" s="16" t="n">
        <f aca="false">F182*(1+N(H182)/100)*(1+N(I182)/100)^5</f>
        <v>2.25853889010703</v>
      </c>
      <c r="BW182" s="16" t="n">
        <f aca="false">IF(N(G182)&gt;0,G182,F182)</f>
        <v>2.759</v>
      </c>
      <c r="BX182" s="12" t="n">
        <f aca="false">F182/BW182</f>
        <v>0.756071040231968</v>
      </c>
      <c r="BY182" s="13" t="n">
        <f aca="false">IF(ISNUMBER(K182),1,0)</f>
        <v>0</v>
      </c>
      <c r="BZ182" s="16" t="str">
        <f aca="false">IF(BY182=0,"",N(N182)+N(O182)+N(P182))</f>
        <v/>
      </c>
      <c r="CA182" s="37" t="str">
        <f aca="false">IF(BY182=0,"",(N(Y182)*34.2+N(Z182)*38.6)/1000)</f>
        <v/>
      </c>
      <c r="CB182" s="37" t="str">
        <f aca="false">IF(BY182=0,"",N(O182)*0.0036+N(R182)+N(V182)+(N(AA182)*25.3+N(AB182)*37)/1000)</f>
        <v/>
      </c>
      <c r="CC182" s="37" t="str">
        <f aca="false">IF(BY182=0,"",N(N182)*0.0036+N(Q182)+N(U182)+N(T182)+N(X182)+N(AC182)*38/1000)</f>
        <v/>
      </c>
      <c r="CD182" s="37" t="str">
        <f aca="false">IF(BY182=0,"",N(Q182)+N(R182)+N(S182)+N(T182)+N(U182)+N(V182)+N(W182)+N(X182)+(N(Y182)*34.2+N(Z182)*38.6+N(AA182)*25.3+N(AB182)*37+N(AC182)*38)/1000)</f>
        <v/>
      </c>
      <c r="CE182" s="16" t="str">
        <f aca="false">IF(BY182=0,"",MAX(0,N(L182)-N(K182))+MAX(0,N(M182)-N(L182)))</f>
        <v/>
      </c>
      <c r="CF182" s="16" t="str">
        <f aca="false">IF(BY182=0,"",N(Y182)*N(AD182)+N(Z182)*N(AE182)+N(AA182)*N(AF182)+N(AB182)*N(AG182)+N(AC182)*N(AH182)+N(U182)*N(AI182)+N(V182)*N(AJ182)+N(W182)*N(AK182)+N(X182)*N(AL182)+N(Q182)*N(AM182)+N(R182)*N(AN182)+N(S182)*N(AO182)+N(T182)*N(AP182))</f>
        <v/>
      </c>
      <c r="CG182" s="16" t="n">
        <f aca="false">IF(AND(BY182=1,N(K182)&gt;0),K182,0)</f>
        <v>0</v>
      </c>
      <c r="CH182" s="16" t="str">
        <f aca="false">IF(CG182&gt;0,CF182*1000/CG182,"")</f>
        <v/>
      </c>
      <c r="CI182" s="16" t="str">
        <f aca="false">IF(BY182=0,"",N(AQ182)+p_road*(N(AR182)+N(AS182)+N(AT182)))</f>
        <v/>
      </c>
      <c r="CJ182" s="16" t="str">
        <f aca="false">IF(CG182&gt;0,CI182*1000/CG182,"")</f>
        <v/>
      </c>
      <c r="CK182" s="12" t="n">
        <f aca="false">IF(CH182="",1,MIN(p_idx_max,MAX(p_idx_min,CH182/p_fc_world)))</f>
        <v>1</v>
      </c>
      <c r="CL182" s="12" t="n">
        <f aca="false">IF(CJ182="",1,MIN(p_idx_max,MAX(p_idx_min,CJ182/p_cb_world)))</f>
        <v>1</v>
      </c>
      <c r="CM182" s="37" t="n">
        <f aca="false">p_b*(1-p_wb_idx+p_wb_idx*CK182)</f>
        <v>0.133</v>
      </c>
      <c r="CN182" s="37" t="n">
        <f aca="false">p_c*(1-p_wc_idx+p_wc_idx*CL182)</f>
        <v>0.129</v>
      </c>
      <c r="CO182" s="28" t="str">
        <f aca="false">IF(N(BR182)&gt;0,(N(BS182)+N(BT182)+N(BU182))/BR182,"")</f>
        <v/>
      </c>
      <c r="CP182" s="16" t="n">
        <f aca="false">N(BS182)+N(BT182)+N(BU182)</f>
        <v>0</v>
      </c>
      <c r="CQ182" s="28" t="str">
        <f aca="false">IF(CP182&gt;0,N(BS182)/CP182,"")</f>
        <v/>
      </c>
      <c r="CR182" s="28" t="str">
        <f aca="false">IF(CP182&gt;0,N(BT182)/CP182,"")</f>
        <v/>
      </c>
      <c r="CS182" s="28" t="str">
        <f aca="false">IF(CP182&gt;0,N(BU182)/CP182,"")</f>
        <v/>
      </c>
      <c r="CT182" s="7" t="n">
        <f aca="false">1000*(p_sh_pv*p_cf_pv/p_capex_pv+(1-p_sh_pv)*p_cf_wind/p_capex_wind)*8760</f>
        <v>2301.28856624319</v>
      </c>
      <c r="CU182" s="13" t="n">
        <f aca="false">IF(AND(ISNUMBER(CO182),ISNUMBER(CQ182),BY182=1),1,0)</f>
        <v>0</v>
      </c>
      <c r="CV182" s="16" t="str">
        <f aca="false">IF(CU182=0,"",CQ182*p_hr_coal*N(AK182)+CR182*p_hr_gas*N(AO182)+CS182*p_hr_oil*N(AH182)/p_gj_l_oil)</f>
        <v/>
      </c>
      <c r="CW182" s="37" t="str">
        <f aca="false">IF(CU182=0,"",CQ182*p_hr_coal*p_ef_coal+CR182*p_hr_gas*p_ef_gas+CS182*p_hr_oil*p_ef_oil)</f>
        <v/>
      </c>
      <c r="CX182" s="16" t="str">
        <f aca="false">IF(CU182=0,"",CQ182*p_hr_coal*N(AW182)+CR182*p_hr_gas*N(AX182)+CS182*p_hr_oil*N(AY182)/p_gj_l_oil)</f>
        <v/>
      </c>
      <c r="CY182" s="37" t="str">
        <f aca="false">IF(CU182=0,"",CO182*CW182)</f>
        <v/>
      </c>
      <c r="CZ182" s="37" t="str">
        <f aca="false">IF(CU182=0,"",CT182*CO182*CV182/1000/1000-p_om_re)</f>
        <v/>
      </c>
      <c r="DA182" s="37" t="str">
        <f aca="false">IF(CU182=0,"",CT182*CO182*CX182/1000/1000)</f>
        <v/>
      </c>
      <c r="DB182" s="37" t="str">
        <f aca="false">IF(CU182=0,"",CT182*CO182*CW182/1000)</f>
        <v/>
      </c>
      <c r="DC182" s="13" t="n">
        <f aca="false">IF(AND(CU182=1,ISNUMBER(AD182),ISNUMBER(AV182)),1,0)</f>
        <v>0</v>
      </c>
      <c r="DD182" s="7" t="str">
        <f aca="false">IF(DC182=0,"",p_ev_km*p_ice_l/100*AD182-p_ev_km*p_ev_kwh*AV182+p_ev_km*p_ev_maint)</f>
        <v/>
      </c>
      <c r="DE182" s="37" t="str">
        <f aca="false">IF(DC182=0,"",DD182/p_ev_prem)</f>
        <v/>
      </c>
      <c r="DF182" s="37" t="str">
        <f aca="false">IF(DC182=0,"",p_ev_km*p_ice_l/100*N(AZ182)/p_ev_prem)</f>
        <v/>
      </c>
      <c r="DG182" s="37" t="str">
        <f aca="false">IF(DC182=0,"",1000/p_ev_prem*(p_ev_km*p_ice_l/100*p_gj_l_gso*p_ef_gso-p_ev_km*p_ev_kwh/1000*CY182))</f>
        <v/>
      </c>
      <c r="DH182" s="11" t="str">
        <f aca="false">IFERROR(IF(INDEX(Damodaran!$D:$D,MATCH(A182,Damodaran!$A:$A,0))="","",INDEX(Damodaran!$D:$D,MATCH(A182,Damodaran!$A:$A,0))),"")</f>
        <v/>
      </c>
      <c r="DI182" s="11" t="str">
        <f aca="false">IFERROR(IF(INDEX(Damodaran!$E:$E,MATCH(A182,Damodaran!$A:$A,0))="","",INDEX(Damodaran!$E:$E,MATCH(A182,Damodaran!$A:$A,0))),"")</f>
        <v/>
      </c>
      <c r="DJ182" s="11" t="str">
        <f aca="false">IFERROR(IF(INDEX(Damodaran!$G:$G,MATCH(A182,Damodaran!$A:$A,0))="","",INDEX(Damodaran!$G:$G,MATCH(A182,Damodaran!$A:$A,0))),"")</f>
        <v/>
      </c>
      <c r="DK182" s="11" t="str">
        <f aca="false">IF(ISNUMBER(BG182),(1+BG182/100)*(1+p_infl)-1,"")</f>
        <v/>
      </c>
      <c r="DL182" s="11" t="str">
        <f aca="false">IF(ISNUMBER(BH182),BH182/100,"")</f>
        <v/>
      </c>
      <c r="DM182" s="11" t="str">
        <f aca="false">IF(COUNT(DK182,DL182)=0,"",AVERAGE(DK182,DL182))</f>
        <v/>
      </c>
      <c r="DN182" s="11" t="str">
        <f aca="false">IF(OR(DH182="",DI182=""),"",p_dv*(p_rf+DH182)*(1-IF(DJ182="",p_tax_def,DJ182))+(1-p_dv)*(p_rf+p_beta*p_erp+p_lambda*DI182))</f>
        <v/>
      </c>
      <c r="DO182" s="13" t="n">
        <f aca="false">IF(AND(ISNUMBER(DM182),ISNUMBER(DN182)),1,0)</f>
        <v>0</v>
      </c>
      <c r="DP182" s="11" t="n">
        <f aca="false">IF(DO182=1,DM182,0)</f>
        <v>0</v>
      </c>
      <c r="DQ182" s="11" t="n">
        <f aca="false">IF(DO182=1,DN182,0)</f>
        <v>0</v>
      </c>
      <c r="DR182" s="11" t="str">
        <f aca="false">IF(DN182="","",DN182+p_shift)</f>
        <v/>
      </c>
      <c r="DS182" s="11" t="n">
        <f aca="false">IF(E182="AE",p_r_ae,IF(E182="China",p_r_chn,p_r_emdc))</f>
        <v>0.055</v>
      </c>
      <c r="DT182" s="11" t="n">
        <f aca="false">IF(E182="AE",p_rh_ae,IF(E182="China",p_rh_chn,p_rh_emdc))</f>
        <v>0.07</v>
      </c>
      <c r="DU182" s="11" t="n">
        <f aca="false">IF(AND(p_use_obs=1,ISNUMBER(DM182)),DM182,IF(AND(p_use_dam=1,ISNUMBER(DR182)),DR182,DS182))</f>
        <v>0.055</v>
      </c>
      <c r="DV182" s="6" t="str">
        <f aca="false">IF(AND(p_use_obs=1,ISNUMBER(DM182)),"Observed (IRENA/Steffen)",IF(AND(p_use_dam=1,ISNUMBER(DR182)),"Damodaran (eq. 5)","Group default (IHLEG)"))</f>
        <v>Group default (IHLEG)</v>
      </c>
      <c r="DW182" s="11" t="n">
        <f aca="false">IF(p_basis=1,(1+DU182)/(1+p_infl)-1,DU182)</f>
        <v>0.055</v>
      </c>
      <c r="DX182" s="11" t="n">
        <f aca="false">DW182+(DT182-DS182)</f>
        <v>0.07</v>
      </c>
      <c r="DY182" s="28" t="n">
        <f aca="false">IF(AND(p_use_pefa=1,ISNUMBER(BD182)),p_gap_lic-(BD182-1)/3*(p_gap_lic-p_gap_ae),IF(E182="AE",p_gap_ae,IF(D182="Low income",p_gap_lic,p_gap_em)))*(1-p_reform*p_reform_close)</f>
        <v>0.13</v>
      </c>
      <c r="DZ182" s="6" t="str">
        <f aca="false">IF(AND(p_use_pefa=1,ISNUMBER(BD182)),"PEFA PI-11","Income-group default (IMF 2015)")</f>
        <v>Income-group default (IMF 2015)</v>
      </c>
      <c r="EA182" s="28" t="n">
        <f aca="false">IF(E182="AE",p_ps_ae,IF(E182="China",p_ps_chn,p_ps_emdc))</f>
        <v>0.3</v>
      </c>
      <c r="EB182" s="37" t="n">
        <f aca="false">(1-EA182)+EA182/(1-DY182)</f>
        <v>1.0448275862069</v>
      </c>
      <c r="EC182" s="16" t="n">
        <f aca="false">Results_Country!F182</f>
        <v>0.0789222355948535</v>
      </c>
      <c r="ED182" s="16" t="n">
        <f aca="false">IF(CH182="",0,CH182*EC182)</f>
        <v>0</v>
      </c>
      <c r="EE182" s="16" t="n">
        <f aca="false">IF(CJ182="",0,CJ182*EC182)</f>
        <v>0</v>
      </c>
      <c r="EF182" s="16" t="n">
        <f aca="false">IF(CH182="",0,EC182)</f>
        <v>0</v>
      </c>
    </row>
    <row r="183" customFormat="false" ht="15" hidden="false" customHeight="false" outlineLevel="0" collapsed="false">
      <c r="A183" s="35" t="s">
        <v>1123</v>
      </c>
      <c r="B183" s="35" t="s">
        <v>1124</v>
      </c>
      <c r="C183" s="35" t="s">
        <v>762</v>
      </c>
      <c r="D183" s="35" t="s">
        <v>771</v>
      </c>
      <c r="E183" s="35" t="s">
        <v>31</v>
      </c>
      <c r="F183" s="36" t="n">
        <v>1.866</v>
      </c>
      <c r="G183" s="36" t="n">
        <v>6.204</v>
      </c>
      <c r="H183" s="33" t="n">
        <v>4.5</v>
      </c>
      <c r="I183" s="33" t="n">
        <v>4.1</v>
      </c>
      <c r="J183" s="36" t="n">
        <v>1.400638</v>
      </c>
      <c r="K183" s="36" t="n">
        <v>0.561</v>
      </c>
      <c r="L183" s="36" t="n">
        <v>2.498</v>
      </c>
      <c r="M183" s="36" t="n">
        <v>2.947</v>
      </c>
      <c r="N183" s="36" t="n">
        <v>0.114401740515905</v>
      </c>
      <c r="O183" s="36" t="n">
        <v>0.155240437184304</v>
      </c>
      <c r="P183" s="36" t="n">
        <v>0.142051486058887</v>
      </c>
      <c r="Q183" s="31" t="n">
        <v>0</v>
      </c>
      <c r="R183" s="31" t="n">
        <v>0</v>
      </c>
      <c r="S183" s="31" t="n">
        <v>0</v>
      </c>
      <c r="T183" s="31" t="n">
        <v>0</v>
      </c>
      <c r="U183" s="31" t="n">
        <v>0</v>
      </c>
      <c r="V183" s="31" t="n">
        <v>0</v>
      </c>
      <c r="W183" s="31" t="n">
        <v>0</v>
      </c>
      <c r="X183" s="31" t="n">
        <v>0</v>
      </c>
      <c r="Y183" s="36" t="n">
        <v>0.0537458946258212</v>
      </c>
      <c r="Z183" s="36" t="n">
        <v>0.188857905269667</v>
      </c>
      <c r="AA183" s="36" t="n">
        <v>0.00153412002775717</v>
      </c>
      <c r="AB183" s="36" t="n">
        <v>1.13758343673298E-006</v>
      </c>
      <c r="AC183" s="36" t="n">
        <v>0.189716741698982</v>
      </c>
      <c r="AD183" s="31" t="n">
        <v>0.736981</v>
      </c>
      <c r="AE183" s="31" t="n">
        <v>0.735947</v>
      </c>
      <c r="AF183" s="31" t="n">
        <v>0.520596</v>
      </c>
      <c r="AG183" s="31" t="n">
        <v>0.652</v>
      </c>
      <c r="AH183" s="31" t="n">
        <v>0.543345303403777</v>
      </c>
      <c r="AI183" s="31" t="n">
        <v>7.124</v>
      </c>
      <c r="AJ183" s="31" t="n">
        <v>11.737275</v>
      </c>
      <c r="AK183" s="31" t="n">
        <v>4.833</v>
      </c>
      <c r="AL183" s="31" t="n">
        <v>7.89809166666667</v>
      </c>
      <c r="AM183" s="31" t="n">
        <v>9.075</v>
      </c>
      <c r="AN183" s="31" t="n">
        <v>17.4414</v>
      </c>
      <c r="AO183" s="31" t="n">
        <v>7.751</v>
      </c>
      <c r="AP183" s="31" t="n">
        <v>11.4224666666667</v>
      </c>
      <c r="AQ183" s="36" t="n">
        <v>0</v>
      </c>
      <c r="AR183" s="36" t="n">
        <v>0.00708928007547542</v>
      </c>
      <c r="AS183" s="36" t="n">
        <v>0.0146674307658734</v>
      </c>
      <c r="AT183" s="36" t="n">
        <v>0.0290748634358724</v>
      </c>
      <c r="AU183" s="31" t="n">
        <v>0.155177828054594</v>
      </c>
      <c r="AV183" s="36" t="n">
        <v>0.290945</v>
      </c>
      <c r="AW183" s="31" t="n">
        <v>0</v>
      </c>
      <c r="AX183" s="31" t="n">
        <v>0</v>
      </c>
      <c r="AY183" s="31" t="n">
        <v>0</v>
      </c>
      <c r="AZ183" s="31" t="n">
        <v>0</v>
      </c>
      <c r="BA183" s="33" t="n">
        <v>14.392</v>
      </c>
      <c r="BB183" s="33" t="n">
        <v>0.793</v>
      </c>
      <c r="BC183" s="33" t="n">
        <v>41.876</v>
      </c>
      <c r="BD183" s="33" t="n">
        <v>1.5</v>
      </c>
      <c r="BE183" s="33" t="n">
        <v>1</v>
      </c>
      <c r="BF183" s="33" t="n">
        <v>0</v>
      </c>
      <c r="BG183" s="33"/>
      <c r="BH183" s="33"/>
      <c r="BI183" s="29"/>
      <c r="BJ183" s="33"/>
      <c r="BK183" s="33"/>
      <c r="BL183" s="33"/>
      <c r="BM183" s="33"/>
      <c r="BN183" s="29" t="n">
        <v>30.965</v>
      </c>
      <c r="BO183" s="33" t="n">
        <v>1.301</v>
      </c>
      <c r="BP183" s="33"/>
      <c r="BQ183" s="29"/>
      <c r="BR183" s="36"/>
      <c r="BS183" s="36"/>
      <c r="BT183" s="36"/>
      <c r="BU183" s="36"/>
      <c r="BV183" s="16" t="n">
        <f aca="false">F183*(1+N(H183)/100)*(1+N(I183)/100)^5</f>
        <v>2.3838645611857</v>
      </c>
      <c r="BW183" s="16" t="n">
        <f aca="false">IF(N(G183)&gt;0,G183,F183)</f>
        <v>6.204</v>
      </c>
      <c r="BX183" s="12" t="n">
        <f aca="false">F183/BW183</f>
        <v>0.300773694390716</v>
      </c>
      <c r="BY183" s="13" t="n">
        <f aca="false">IF(ISNUMBER(K183),1,0)</f>
        <v>1</v>
      </c>
      <c r="BZ183" s="16" t="n">
        <f aca="false">IF(BY183=0,"",N(N183)+N(O183)+N(P183))</f>
        <v>0.411693663759096</v>
      </c>
      <c r="CA183" s="37" t="n">
        <f aca="false">IF(BY183=0,"",(N(Y183)*34.2+N(Z183)*38.6)/1000)</f>
        <v>0.00912802473961223</v>
      </c>
      <c r="CB183" s="37" t="n">
        <f aca="false">IF(BY183=0,"",N(O183)*0.0036+N(R183)+N(V183)+(N(AA183)*25.3+N(AB183)*37)/1000)</f>
        <v>0.00059772090115291</v>
      </c>
      <c r="CC183" s="37" t="n">
        <f aca="false">IF(BY183=0,"",N(N183)*0.0036+N(Q183)+N(U183)+N(T183)+N(X183)+N(AC183)*38/1000)</f>
        <v>0.00762108245041859</v>
      </c>
      <c r="CD183" s="37" t="n">
        <f aca="false">IF(BY183=0,"",N(Q183)+N(R183)+N(S183)+N(T183)+N(U183)+N(V183)+N(W183)+N(X183)+(N(Y183)*34.2+N(Z183)*38.6+N(AA183)*25.3+N(AB183)*37+N(AC183)*38)/1000)</f>
        <v>0.016376116251463</v>
      </c>
      <c r="CE183" s="16" t="n">
        <f aca="false">IF(BY183=0,"",MAX(0,N(L183)-N(K183))+MAX(0,N(M183)-N(L183)))</f>
        <v>2.386</v>
      </c>
      <c r="CF183" s="16" t="n">
        <f aca="false">IF(BY183=0,"",N(Y183)*N(AD183)+N(Z183)*N(AE183)+N(AA183)*N(AF183)+N(AB183)*N(AG183)+N(AC183)*N(AH183)+N(U183)*N(AI183)+N(V183)*N(AJ183)+N(W183)*N(AK183)+N(X183)*N(AL183)+N(Q183)*N(AM183)+N(R183)*N(AN183)+N(S183)*N(AO183)+N(T183)*N(AP183))</f>
        <v>0.282480211010309</v>
      </c>
      <c r="CG183" s="16" t="n">
        <f aca="false">IF(AND(BY183=1,N(K183)&gt;0),K183,0)</f>
        <v>0.561</v>
      </c>
      <c r="CH183" s="16" t="n">
        <f aca="false">IF(CG183&gt;0,CF183*1000/CG183,"")</f>
        <v>503.529787897163</v>
      </c>
      <c r="CI183" s="16" t="n">
        <f aca="false">IF(BY183=0,"",N(AQ183)+p_road*(N(AR183)+N(AS183)+N(AT183)))</f>
        <v>0</v>
      </c>
      <c r="CJ183" s="16" t="n">
        <f aca="false">IF(CG183&gt;0,CI183*1000/CG183,"")</f>
        <v>0</v>
      </c>
      <c r="CK183" s="12" t="n">
        <f aca="false">IF(CH183="",1,MIN(p_idx_max,MAX(p_idx_min,CH183/p_fc_world)))</f>
        <v>3.12737154229454</v>
      </c>
      <c r="CL183" s="12" t="n">
        <f aca="false">IF(CJ183="",1,MIN(p_idx_max,MAX(p_idx_min,CJ183/p_cb_world)))</f>
        <v>0.25</v>
      </c>
      <c r="CM183" s="37" t="n">
        <f aca="false">p_b*(1-p_wb_idx+p_wb_idx*CK183)</f>
        <v>0.415940415125173</v>
      </c>
      <c r="CN183" s="37" t="n">
        <f aca="false">p_c*(1-p_wc_idx+p_wc_idx*CL183)</f>
        <v>0.03225</v>
      </c>
      <c r="CO183" s="28" t="str">
        <f aca="false">IF(N(BR183)&gt;0,(N(BS183)+N(BT183)+N(BU183))/BR183,"")</f>
        <v/>
      </c>
      <c r="CP183" s="16" t="n">
        <f aca="false">N(BS183)+N(BT183)+N(BU183)</f>
        <v>0</v>
      </c>
      <c r="CQ183" s="28" t="str">
        <f aca="false">IF(CP183&gt;0,N(BS183)/CP183,"")</f>
        <v/>
      </c>
      <c r="CR183" s="28" t="str">
        <f aca="false">IF(CP183&gt;0,N(BT183)/CP183,"")</f>
        <v/>
      </c>
      <c r="CS183" s="28" t="str">
        <f aca="false">IF(CP183&gt;0,N(BU183)/CP183,"")</f>
        <v/>
      </c>
      <c r="CT183" s="7" t="n">
        <f aca="false">1000*(p_sh_pv*p_cf_pv/p_capex_pv+(1-p_sh_pv)*p_cf_wind/p_capex_wind)*8760</f>
        <v>2301.28856624319</v>
      </c>
      <c r="CU183" s="13" t="n">
        <f aca="false">IF(AND(ISNUMBER(CO183),ISNUMBER(CQ183),BY183=1),1,0)</f>
        <v>0</v>
      </c>
      <c r="CV183" s="16" t="str">
        <f aca="false">IF(CU183=0,"",CQ183*p_hr_coal*N(AK183)+CR183*p_hr_gas*N(AO183)+CS183*p_hr_oil*N(AH183)/p_gj_l_oil)</f>
        <v/>
      </c>
      <c r="CW183" s="37" t="str">
        <f aca="false">IF(CU183=0,"",CQ183*p_hr_coal*p_ef_coal+CR183*p_hr_gas*p_ef_gas+CS183*p_hr_oil*p_ef_oil)</f>
        <v/>
      </c>
      <c r="CX183" s="16" t="str">
        <f aca="false">IF(CU183=0,"",CQ183*p_hr_coal*N(AW183)+CR183*p_hr_gas*N(AX183)+CS183*p_hr_oil*N(AY183)/p_gj_l_oil)</f>
        <v/>
      </c>
      <c r="CY183" s="37" t="str">
        <f aca="false">IF(CU183=0,"",CO183*CW183)</f>
        <v/>
      </c>
      <c r="CZ183" s="37" t="str">
        <f aca="false">IF(CU183=0,"",CT183*CO183*CV183/1000/1000-p_om_re)</f>
        <v/>
      </c>
      <c r="DA183" s="37" t="str">
        <f aca="false">IF(CU183=0,"",CT183*CO183*CX183/1000/1000)</f>
        <v/>
      </c>
      <c r="DB183" s="37" t="str">
        <f aca="false">IF(CU183=0,"",CT183*CO183*CW183/1000)</f>
        <v/>
      </c>
      <c r="DC183" s="13" t="n">
        <f aca="false">IF(AND(CU183=1,ISNUMBER(AD183),ISNUMBER(AV183)),1,0)</f>
        <v>0</v>
      </c>
      <c r="DD183" s="7" t="str">
        <f aca="false">IF(DC183=0,"",p_ev_km*p_ice_l/100*AD183-p_ev_km*p_ev_kwh*AV183+p_ev_km*p_ev_maint)</f>
        <v/>
      </c>
      <c r="DE183" s="37" t="str">
        <f aca="false">IF(DC183=0,"",DD183/p_ev_prem)</f>
        <v/>
      </c>
      <c r="DF183" s="37" t="str">
        <f aca="false">IF(DC183=0,"",p_ev_km*p_ice_l/100*N(AZ183)/p_ev_prem)</f>
        <v/>
      </c>
      <c r="DG183" s="37" t="str">
        <f aca="false">IF(DC183=0,"",1000/p_ev_prem*(p_ev_km*p_ice_l/100*p_gj_l_gso*p_ef_gso-p_ev_km*p_ev_kwh/1000*CY183))</f>
        <v/>
      </c>
      <c r="DH183" s="11" t="str">
        <f aca="false">IFERROR(IF(INDEX(Damodaran!$D:$D,MATCH(A183,Damodaran!$A:$A,0))="","",INDEX(Damodaran!$D:$D,MATCH(A183,Damodaran!$A:$A,0))),"")</f>
        <v/>
      </c>
      <c r="DI183" s="11" t="str">
        <f aca="false">IFERROR(IF(INDEX(Damodaran!$E:$E,MATCH(A183,Damodaran!$A:$A,0))="","",INDEX(Damodaran!$E:$E,MATCH(A183,Damodaran!$A:$A,0))),"")</f>
        <v/>
      </c>
      <c r="DJ183" s="11" t="str">
        <f aca="false">IFERROR(IF(INDEX(Damodaran!$G:$G,MATCH(A183,Damodaran!$A:$A,0))="","",INDEX(Damodaran!$G:$G,MATCH(A183,Damodaran!$A:$A,0))),"")</f>
        <v/>
      </c>
      <c r="DK183" s="11" t="str">
        <f aca="false">IF(ISNUMBER(BG183),(1+BG183/100)*(1+p_infl)-1,"")</f>
        <v/>
      </c>
      <c r="DL183" s="11" t="str">
        <f aca="false">IF(ISNUMBER(BH183),BH183/100,"")</f>
        <v/>
      </c>
      <c r="DM183" s="11" t="str">
        <f aca="false">IF(COUNT(DK183,DL183)=0,"",AVERAGE(DK183,DL183))</f>
        <v/>
      </c>
      <c r="DN183" s="11" t="str">
        <f aca="false">IF(OR(DH183="",DI183=""),"",p_dv*(p_rf+DH183)*(1-IF(DJ183="",p_tax_def,DJ183))+(1-p_dv)*(p_rf+p_beta*p_erp+p_lambda*DI183))</f>
        <v/>
      </c>
      <c r="DO183" s="13" t="n">
        <f aca="false">IF(AND(ISNUMBER(DM183),ISNUMBER(DN183)),1,0)</f>
        <v>0</v>
      </c>
      <c r="DP183" s="11" t="n">
        <f aca="false">IF(DO183=1,DM183,0)</f>
        <v>0</v>
      </c>
      <c r="DQ183" s="11" t="n">
        <f aca="false">IF(DO183=1,DN183,0)</f>
        <v>0</v>
      </c>
      <c r="DR183" s="11" t="str">
        <f aca="false">IF(DN183="","",DN183+p_shift)</f>
        <v/>
      </c>
      <c r="DS183" s="11" t="n">
        <f aca="false">IF(E183="AE",p_r_ae,IF(E183="China",p_r_chn,p_r_emdc))</f>
        <v>0.105</v>
      </c>
      <c r="DT183" s="11" t="n">
        <f aca="false">IF(E183="AE",p_rh_ae,IF(E183="China",p_rh_chn,p_rh_emdc))</f>
        <v>0.15</v>
      </c>
      <c r="DU183" s="11" t="n">
        <f aca="false">IF(AND(p_use_obs=1,ISNUMBER(DM183)),DM183,IF(AND(p_use_dam=1,ISNUMBER(DR183)),DR183,DS183))</f>
        <v>0.105</v>
      </c>
      <c r="DV183" s="6" t="str">
        <f aca="false">IF(AND(p_use_obs=1,ISNUMBER(DM183)),"Observed (IRENA/Steffen)",IF(AND(p_use_dam=1,ISNUMBER(DR183)),"Damodaran (eq. 5)","Group default (IHLEG)"))</f>
        <v>Group default (IHLEG)</v>
      </c>
      <c r="DW183" s="11" t="n">
        <f aca="false">IF(p_basis=1,(1+DU183)/(1+p_infl)-1,DU183)</f>
        <v>0.105</v>
      </c>
      <c r="DX183" s="11" t="n">
        <f aca="false">DW183+(DT183-DS183)</f>
        <v>0.15</v>
      </c>
      <c r="DY183" s="28" t="n">
        <f aca="false">IF(AND(p_use_pefa=1,ISNUMBER(BD183)),p_gap_lic-(BD183-1)/3*(p_gap_lic-p_gap_ae),IF(E183="AE",p_gap_ae,IF(D183="Low income",p_gap_lic,p_gap_em)))*(1-p_reform*p_reform_close)</f>
        <v>0.355</v>
      </c>
      <c r="DZ183" s="6" t="str">
        <f aca="false">IF(AND(p_use_pefa=1,ISNUMBER(BD183)),"PEFA PI-11","Income-group default (IMF 2015)")</f>
        <v>PEFA PI-11</v>
      </c>
      <c r="EA183" s="28" t="n">
        <f aca="false">IF(E183="AE",p_ps_ae,IF(E183="China",p_ps_chn,p_ps_emdc))</f>
        <v>0.4</v>
      </c>
      <c r="EB183" s="37" t="n">
        <f aca="false">(1-EA183)+EA183/(1-DY183)</f>
        <v>1.22015503875969</v>
      </c>
      <c r="EC183" s="16" t="n">
        <f aca="false">Results_Country!F183</f>
        <v>0.160674501552972</v>
      </c>
      <c r="ED183" s="16" t="n">
        <f aca="false">IF(CH183="",0,CH183*EC183)</f>
        <v>80.9043976874502</v>
      </c>
      <c r="EE183" s="16" t="n">
        <f aca="false">IF(CJ183="",0,CJ183*EC183)</f>
        <v>0</v>
      </c>
      <c r="EF183" s="16" t="n">
        <f aca="false">IF(CH183="",0,EC183)</f>
        <v>0.160674501552972</v>
      </c>
    </row>
    <row r="184" customFormat="false" ht="15" hidden="false" customHeight="false" outlineLevel="0" collapsed="false">
      <c r="A184" s="35" t="s">
        <v>1125</v>
      </c>
      <c r="B184" s="35" t="s">
        <v>1126</v>
      </c>
      <c r="C184" s="35" t="s">
        <v>762</v>
      </c>
      <c r="D184" s="35" t="s">
        <v>771</v>
      </c>
      <c r="E184" s="35" t="s">
        <v>31</v>
      </c>
      <c r="F184" s="36" t="n">
        <v>1.584</v>
      </c>
      <c r="G184" s="36" t="n">
        <v>1.962</v>
      </c>
      <c r="H184" s="33" t="n">
        <v>2.679</v>
      </c>
      <c r="I184" s="33" t="n">
        <v>2.785</v>
      </c>
      <c r="J184" s="36" t="n">
        <v>0.819198</v>
      </c>
      <c r="K184" s="36" t="n">
        <v>0.332</v>
      </c>
      <c r="L184" s="36" t="n">
        <v>0.615</v>
      </c>
      <c r="M184" s="36" t="n">
        <v>43.755</v>
      </c>
      <c r="N184" s="36" t="n">
        <v>0.0695623686602555</v>
      </c>
      <c r="O184" s="36" t="n">
        <v>0.0299484340432036</v>
      </c>
      <c r="P184" s="36" t="n">
        <v>0</v>
      </c>
      <c r="Q184" s="31" t="n">
        <v>0</v>
      </c>
      <c r="R184" s="31" t="n">
        <v>0</v>
      </c>
      <c r="S184" s="31" t="n">
        <v>0</v>
      </c>
      <c r="T184" s="31" t="n">
        <v>0</v>
      </c>
      <c r="U184" s="31" t="n">
        <v>0</v>
      </c>
      <c r="V184" s="31" t="n">
        <v>0</v>
      </c>
      <c r="W184" s="31" t="n">
        <v>0</v>
      </c>
      <c r="X184" s="31" t="n">
        <v>0</v>
      </c>
      <c r="Y184" s="36" t="n">
        <v>0.0301852777314773</v>
      </c>
      <c r="Z184" s="36" t="n">
        <v>0.0613426428624865</v>
      </c>
      <c r="AA184" s="36" t="n">
        <v>0.000568531368833236</v>
      </c>
      <c r="AB184" s="36" t="n">
        <v>0.00101511652608629</v>
      </c>
      <c r="AC184" s="36" t="n">
        <v>0.0223853962848836</v>
      </c>
      <c r="AD184" s="31" t="n">
        <v>0.72</v>
      </c>
      <c r="AE184" s="31" t="n">
        <v>0.734</v>
      </c>
      <c r="AF184" s="31" t="n">
        <v>0.51</v>
      </c>
      <c r="AG184" s="31" t="n">
        <v>0.652</v>
      </c>
      <c r="AH184" s="31" t="n">
        <v>0.543345303403777</v>
      </c>
      <c r="AI184" s="31" t="n">
        <v>7.124</v>
      </c>
      <c r="AJ184" s="31" t="n">
        <v>11.451</v>
      </c>
      <c r="AK184" s="31" t="n">
        <v>4.833</v>
      </c>
      <c r="AL184" s="31" t="n">
        <v>7.80266666666667</v>
      </c>
      <c r="AM184" s="31" t="n">
        <v>8.257</v>
      </c>
      <c r="AN184" s="31" t="n">
        <v>16.199</v>
      </c>
      <c r="AO184" s="31" t="n">
        <v>6.934</v>
      </c>
      <c r="AP184" s="31" t="n">
        <v>10.4633333333333</v>
      </c>
      <c r="AQ184" s="36" t="n">
        <v>5.0642121661991E-005</v>
      </c>
      <c r="AR184" s="36" t="n">
        <v>0.0027980057310448</v>
      </c>
      <c r="AS184" s="36" t="n">
        <v>0.00393561924079981</v>
      </c>
      <c r="AT184" s="36" t="n">
        <v>0.01059198786279</v>
      </c>
      <c r="AU184" s="31" t="n">
        <v>0.246661391648496</v>
      </c>
      <c r="AV184" s="36" t="n">
        <v>0.411819</v>
      </c>
      <c r="AW184" s="31" t="n">
        <v>0.001244</v>
      </c>
      <c r="AX184" s="31" t="n">
        <v>0.00016</v>
      </c>
      <c r="AY184" s="31" t="n">
        <v>1.00242813305397E-006</v>
      </c>
      <c r="AZ184" s="31" t="n">
        <v>0.000173</v>
      </c>
      <c r="BA184" s="33" t="n">
        <v>26.095</v>
      </c>
      <c r="BB184" s="33" t="n">
        <v>1.448</v>
      </c>
      <c r="BC184" s="33" t="n">
        <v>65.2</v>
      </c>
      <c r="BD184" s="33"/>
      <c r="BE184" s="33"/>
      <c r="BF184" s="33" t="n">
        <v>0</v>
      </c>
      <c r="BG184" s="33"/>
      <c r="BH184" s="33"/>
      <c r="BI184" s="29"/>
      <c r="BJ184" s="33"/>
      <c r="BK184" s="33"/>
      <c r="BL184" s="33"/>
      <c r="BM184" s="33"/>
      <c r="BN184" s="29" t="n">
        <v>39.871</v>
      </c>
      <c r="BO184" s="33" t="n">
        <v>5.98</v>
      </c>
      <c r="BP184" s="33"/>
      <c r="BQ184" s="29" t="n">
        <v>2024</v>
      </c>
      <c r="BR184" s="36" t="n">
        <v>0.11</v>
      </c>
      <c r="BS184" s="36" t="n">
        <v>0</v>
      </c>
      <c r="BT184" s="36" t="n">
        <v>0</v>
      </c>
      <c r="BU184" s="36" t="n">
        <v>0.1</v>
      </c>
      <c r="BV184" s="16" t="n">
        <f aca="false">F184*(1+N(H184)/100)*(1+N(I184)/100)^5</f>
        <v>1.86588772967927</v>
      </c>
      <c r="BW184" s="16" t="n">
        <f aca="false">IF(N(G184)&gt;0,G184,F184)</f>
        <v>1.962</v>
      </c>
      <c r="BX184" s="12" t="n">
        <f aca="false">F184/BW184</f>
        <v>0.807339449541284</v>
      </c>
      <c r="BY184" s="13" t="n">
        <f aca="false">IF(ISNUMBER(K184),1,0)</f>
        <v>1</v>
      </c>
      <c r="BZ184" s="16" t="n">
        <f aca="false">IF(BY184=0,"",N(N184)+N(O184)+N(P184))</f>
        <v>0.0995108027034591</v>
      </c>
      <c r="CA184" s="37" t="n">
        <f aca="false">IF(BY184=0,"",(N(Y184)*34.2+N(Z184)*38.6)/1000)</f>
        <v>0.0034001625129085</v>
      </c>
      <c r="CB184" s="37" t="n">
        <f aca="false">IF(BY184=0,"",N(O184)*0.0036+N(R184)+N(V184)+(N(AA184)*25.3+N(AB184)*37)/1000)</f>
        <v>0.000159757517652206</v>
      </c>
      <c r="CC184" s="37" t="n">
        <f aca="false">IF(BY184=0,"",N(N184)*0.0036+N(Q184)+N(U184)+N(T184)+N(X184)+N(AC184)*38/1000)</f>
        <v>0.00110106958600249</v>
      </c>
      <c r="CD184" s="37" t="n">
        <f aca="false">IF(BY184=0,"",N(Q184)+N(R184)+N(S184)+N(T184)+N(U184)+N(V184)+N(W184)+N(X184)+(N(Y184)*34.2+N(Z184)*38.6+N(AA184)*25.3+N(AB184)*37+N(AC184)*38)/1000)</f>
        <v>0.00430275072683075</v>
      </c>
      <c r="CE184" s="16" t="n">
        <f aca="false">IF(BY184=0,"",MAX(0,N(L184)-N(K184))+MAX(0,N(M184)-N(L184)))</f>
        <v>43.423</v>
      </c>
      <c r="CF184" s="16" t="n">
        <f aca="false">IF(BY184=0,"",N(Y184)*N(AD184)+N(Z184)*N(AE184)+N(AA184)*N(AF184)+N(AB184)*N(AG184)+N(AC184)*N(AH184)+N(U184)*N(AI184)+N(V184)*N(AJ184)+N(W184)*N(AK184)+N(X184)*N(AL184)+N(Q184)*N(AM184)+N(R184)*N(AN184)+N(S184)*N(AO184)+N(T184)*N(AP184))</f>
        <v>0.0798737067370658</v>
      </c>
      <c r="CG184" s="16" t="n">
        <f aca="false">IF(AND(BY184=1,N(K184)&gt;0),K184,0)</f>
        <v>0.332</v>
      </c>
      <c r="CH184" s="16" t="n">
        <f aca="false">IF(CG184&gt;0,CF184*1000/CG184,"")</f>
        <v>240.583454027307</v>
      </c>
      <c r="CI184" s="16" t="n">
        <f aca="false">IF(BY184=0,"",N(AQ184)+p_road*(N(AR184)+N(AS184)+N(AT184)))</f>
        <v>5.0642121661991E-005</v>
      </c>
      <c r="CJ184" s="16" t="n">
        <f aca="false">IF(CG184&gt;0,CI184*1000/CG184,"")</f>
        <v>0.152536511030094</v>
      </c>
      <c r="CK184" s="12" t="n">
        <f aca="false">IF(CH184="",1,MIN(p_idx_max,MAX(p_idx_min,CH184/p_fc_world)))</f>
        <v>1.49423900185541</v>
      </c>
      <c r="CL184" s="12" t="n">
        <f aca="false">IF(CJ184="",1,MIN(p_idx_max,MAX(p_idx_min,CJ184/p_cb_world)))</f>
        <v>0.25</v>
      </c>
      <c r="CM184" s="37" t="n">
        <f aca="false">p_b*(1-p_wb_idx+p_wb_idx*CK184)</f>
        <v>0.19873378724677</v>
      </c>
      <c r="CN184" s="37" t="n">
        <f aca="false">p_c*(1-p_wc_idx+p_wc_idx*CL184)</f>
        <v>0.03225</v>
      </c>
      <c r="CO184" s="28" t="n">
        <f aca="false">IF(N(BR184)&gt;0,(N(BS184)+N(BT184)+N(BU184))/BR184,"")</f>
        <v>0.909090909090909</v>
      </c>
      <c r="CP184" s="16" t="n">
        <f aca="false">N(BS184)+N(BT184)+N(BU184)</f>
        <v>0.1</v>
      </c>
      <c r="CQ184" s="28" t="n">
        <f aca="false">IF(CP184&gt;0,N(BS184)/CP184,"")</f>
        <v>0</v>
      </c>
      <c r="CR184" s="28" t="n">
        <f aca="false">IF(CP184&gt;0,N(BT184)/CP184,"")</f>
        <v>0</v>
      </c>
      <c r="CS184" s="28" t="n">
        <f aca="false">IF(CP184&gt;0,N(BU184)/CP184,"")</f>
        <v>1</v>
      </c>
      <c r="CT184" s="7" t="n">
        <f aca="false">1000*(p_sh_pv*p_cf_pv/p_capex_pv+(1-p_sh_pv)*p_cf_wind/p_capex_wind)*8760</f>
        <v>2301.28856624319</v>
      </c>
      <c r="CU184" s="13" t="n">
        <f aca="false">IF(AND(ISNUMBER(CO184),ISNUMBER(CQ184),BY184=1),1,0)</f>
        <v>1</v>
      </c>
      <c r="CV184" s="16" t="n">
        <f aca="false">IF(CU184=0,"",CQ184*p_hr_coal*N(AK184)+CR184*p_hr_gas*N(AO184)+CS184*p_hr_oil*N(AH184)/p_gj_l_oil)</f>
        <v>147.801183568385</v>
      </c>
      <c r="CW184" s="37" t="n">
        <f aca="false">IF(CU184=0,"",CQ184*p_hr_coal*p_ef_coal+CR184*p_hr_gas*p_ef_gas+CS184*p_hr_oil*p_ef_oil)</f>
        <v>0.8127</v>
      </c>
      <c r="CX184" s="16" t="n">
        <f aca="false">IF(CU184=0,"",CQ184*p_hr_coal*N(AW184)+CR184*p_hr_gas*N(AX184)+CS184*p_hr_oil*N(AY184)/p_gj_l_oil)</f>
        <v>0.000272681227903283</v>
      </c>
      <c r="CY184" s="37" t="n">
        <f aca="false">IF(CU184=0,"",CO184*CW184)</f>
        <v>0.738818181818182</v>
      </c>
      <c r="CZ184" s="37" t="n">
        <f aca="false">IF(CU184=0,"",CT184*CO184*CV184/1000/1000-p_om_re)</f>
        <v>0.294211976202851</v>
      </c>
      <c r="DA184" s="37" t="n">
        <f aca="false">IF(CU184=0,"",CT184*CO184*CX184/1000/1000)</f>
        <v>5.70471083639072E-007</v>
      </c>
      <c r="DB184" s="37" t="n">
        <f aca="false">IF(CU184=0,"",CT184*CO184*CW184/1000)</f>
        <v>1.70023383435077</v>
      </c>
      <c r="DC184" s="13" t="n">
        <f aca="false">IF(AND(CU184=1,ISNUMBER(AD184),ISNUMBER(AV184)),1,0)</f>
        <v>1</v>
      </c>
      <c r="DD184" s="7" t="n">
        <f aca="false">IF(DC184=0,"",p_ev_km*p_ice_l/100*AD184-p_ev_km*p_ev_kwh*AV184+p_ev_km*p_ev_maint)</f>
        <v>-121.9113</v>
      </c>
      <c r="DE184" s="37" t="n">
        <f aca="false">IF(DC184=0,"",DD184/p_ev_prem)</f>
        <v>-0.02438226</v>
      </c>
      <c r="DF184" s="37" t="n">
        <f aca="false">IF(DC184=0,"",p_ev_km*p_ice_l/100*N(AZ184)/p_ev_prem)</f>
        <v>3.8925E-005</v>
      </c>
      <c r="DG184" s="37" t="n">
        <f aca="false">IF(DC184=0,"",1000/p_ev_prem*(p_ev_km*p_ice_l/100*p_gj_l_gso*p_ef_gso-p_ev_km*p_ev_kwh/1000*CY184))</f>
        <v>0.134301681818182</v>
      </c>
      <c r="DH184" s="11" t="str">
        <f aca="false">IFERROR(IF(INDEX(Damodaran!$D:$D,MATCH(A184,Damodaran!$A:$A,0))="","",INDEX(Damodaran!$D:$D,MATCH(A184,Damodaran!$A:$A,0))),"")</f>
        <v/>
      </c>
      <c r="DI184" s="11" t="str">
        <f aca="false">IFERROR(IF(INDEX(Damodaran!$E:$E,MATCH(A184,Damodaran!$A:$A,0))="","",INDEX(Damodaran!$E:$E,MATCH(A184,Damodaran!$A:$A,0))),"")</f>
        <v/>
      </c>
      <c r="DJ184" s="11" t="str">
        <f aca="false">IFERROR(IF(INDEX(Damodaran!$G:$G,MATCH(A184,Damodaran!$A:$A,0))="","",INDEX(Damodaran!$G:$G,MATCH(A184,Damodaran!$A:$A,0))),"")</f>
        <v/>
      </c>
      <c r="DK184" s="11" t="str">
        <f aca="false">IF(ISNUMBER(BG184),(1+BG184/100)*(1+p_infl)-1,"")</f>
        <v/>
      </c>
      <c r="DL184" s="11" t="str">
        <f aca="false">IF(ISNUMBER(BH184),BH184/100,"")</f>
        <v/>
      </c>
      <c r="DM184" s="11" t="str">
        <f aca="false">IF(COUNT(DK184,DL184)=0,"",AVERAGE(DK184,DL184))</f>
        <v/>
      </c>
      <c r="DN184" s="11" t="str">
        <f aca="false">IF(OR(DH184="",DI184=""),"",p_dv*(p_rf+DH184)*(1-IF(DJ184="",p_tax_def,DJ184))+(1-p_dv)*(p_rf+p_beta*p_erp+p_lambda*DI184))</f>
        <v/>
      </c>
      <c r="DO184" s="13" t="n">
        <f aca="false">IF(AND(ISNUMBER(DM184),ISNUMBER(DN184)),1,0)</f>
        <v>0</v>
      </c>
      <c r="DP184" s="11" t="n">
        <f aca="false">IF(DO184=1,DM184,0)</f>
        <v>0</v>
      </c>
      <c r="DQ184" s="11" t="n">
        <f aca="false">IF(DO184=1,DN184,0)</f>
        <v>0</v>
      </c>
      <c r="DR184" s="11" t="str">
        <f aca="false">IF(DN184="","",DN184+p_shift)</f>
        <v/>
      </c>
      <c r="DS184" s="11" t="n">
        <f aca="false">IF(E184="AE",p_r_ae,IF(E184="China",p_r_chn,p_r_emdc))</f>
        <v>0.105</v>
      </c>
      <c r="DT184" s="11" t="n">
        <f aca="false">IF(E184="AE",p_rh_ae,IF(E184="China",p_rh_chn,p_rh_emdc))</f>
        <v>0.15</v>
      </c>
      <c r="DU184" s="11" t="n">
        <f aca="false">IF(AND(p_use_obs=1,ISNUMBER(DM184)),DM184,IF(AND(p_use_dam=1,ISNUMBER(DR184)),DR184,DS184))</f>
        <v>0.105</v>
      </c>
      <c r="DV184" s="6" t="str">
        <f aca="false">IF(AND(p_use_obs=1,ISNUMBER(DM184)),"Observed (IRENA/Steffen)",IF(AND(p_use_dam=1,ISNUMBER(DR184)),"Damodaran (eq. 5)","Group default (IHLEG)"))</f>
        <v>Group default (IHLEG)</v>
      </c>
      <c r="DW184" s="11" t="n">
        <f aca="false">IF(p_basis=1,(1+DU184)/(1+p_infl)-1,DU184)</f>
        <v>0.105</v>
      </c>
      <c r="DX184" s="11" t="n">
        <f aca="false">DW184+(DT184-DS184)</f>
        <v>0.15</v>
      </c>
      <c r="DY184" s="28" t="n">
        <f aca="false">IF(AND(p_use_pefa=1,ISNUMBER(BD184)),p_gap_lic-(BD184-1)/3*(p_gap_lic-p_gap_ae),IF(E184="AE",p_gap_ae,IF(D184="Low income",p_gap_lic,p_gap_em)))*(1-p_reform*p_reform_close)</f>
        <v>0.27</v>
      </c>
      <c r="DZ184" s="6" t="str">
        <f aca="false">IF(AND(p_use_pefa=1,ISNUMBER(BD184)),"PEFA PI-11","Income-group default (IMF 2015)")</f>
        <v>Income-group default (IMF 2015)</v>
      </c>
      <c r="EA184" s="28" t="n">
        <f aca="false">IF(E184="AE",p_ps_ae,IF(E184="China",p_ps_chn,p_ps_emdc))</f>
        <v>0.4</v>
      </c>
      <c r="EB184" s="37" t="n">
        <f aca="false">(1-EA184)+EA184/(1-DY184)</f>
        <v>1.14794520547945</v>
      </c>
      <c r="EC184" s="16" t="n">
        <f aca="false">Results_Country!F184</f>
        <v>1.02755430619761</v>
      </c>
      <c r="ED184" s="16" t="n">
        <f aca="false">IF(CH184="",0,CH184*EC184)</f>
        <v>247.212564185653</v>
      </c>
      <c r="EE184" s="16" t="n">
        <f aca="false">IF(CJ184="",0,CJ184*EC184)</f>
        <v>0.156739548761332</v>
      </c>
      <c r="EF184" s="16" t="n">
        <f aca="false">IF(CH184="",0,EC184)</f>
        <v>1.02755430619761</v>
      </c>
    </row>
    <row r="185" customFormat="false" ht="15" hidden="false" customHeight="false" outlineLevel="0" collapsed="false">
      <c r="A185" s="35" t="s">
        <v>1127</v>
      </c>
      <c r="B185" s="35" t="s">
        <v>1128</v>
      </c>
      <c r="C185" s="35" t="s">
        <v>847</v>
      </c>
      <c r="D185" s="35" t="s">
        <v>771</v>
      </c>
      <c r="E185" s="35" t="s">
        <v>31</v>
      </c>
      <c r="F185" s="36" t="n">
        <v>1.442</v>
      </c>
      <c r="G185" s="36" t="n">
        <v>3.436</v>
      </c>
      <c r="H185" s="33" t="n">
        <v>3.776</v>
      </c>
      <c r="I185" s="33" t="n">
        <v>4.083</v>
      </c>
      <c r="J185" s="36" t="n">
        <v>0.866628</v>
      </c>
      <c r="K185" s="36" t="n">
        <v>0.339</v>
      </c>
      <c r="L185" s="36" t="n">
        <v>0.931</v>
      </c>
      <c r="M185" s="36" t="n">
        <v>0.988</v>
      </c>
      <c r="N185" s="36" t="n">
        <v>0</v>
      </c>
      <c r="O185" s="36" t="n">
        <v>0.107451518581651</v>
      </c>
      <c r="P185" s="36" t="n">
        <v>0</v>
      </c>
      <c r="Q185" s="31" t="n">
        <v>0</v>
      </c>
      <c r="R185" s="31" t="n">
        <v>0</v>
      </c>
      <c r="S185" s="31" t="n">
        <v>0</v>
      </c>
      <c r="T185" s="31" t="n">
        <v>0</v>
      </c>
      <c r="U185" s="31" t="n">
        <v>0</v>
      </c>
      <c r="V185" s="31" t="n">
        <v>0</v>
      </c>
      <c r="W185" s="31" t="n">
        <v>0</v>
      </c>
      <c r="X185" s="31" t="n">
        <v>0</v>
      </c>
      <c r="Y185" s="36" t="n">
        <v>0.0587980976166498</v>
      </c>
      <c r="Z185" s="36" t="n">
        <v>0.0599687986432368</v>
      </c>
      <c r="AA185" s="36" t="n">
        <v>0.00252323849844976</v>
      </c>
      <c r="AB185" s="36" t="n">
        <v>0.0143205727144243</v>
      </c>
      <c r="AC185" s="36" t="n">
        <v>0.0602592766811878</v>
      </c>
      <c r="AD185" s="31" t="n">
        <v>0.791687</v>
      </c>
      <c r="AE185" s="31" t="n">
        <v>0.766842</v>
      </c>
      <c r="AF185" s="31" t="n">
        <v>0.5643</v>
      </c>
      <c r="AG185" s="31" t="n">
        <v>0.6501</v>
      </c>
      <c r="AH185" s="31" t="n">
        <v>0.543170130831731</v>
      </c>
      <c r="AI185" s="31" t="n">
        <v>7.124</v>
      </c>
      <c r="AJ185" s="31" t="n">
        <v>13.4123</v>
      </c>
      <c r="AK185" s="31" t="n">
        <v>5.575</v>
      </c>
      <c r="AL185" s="31" t="n">
        <v>8.70376666666667</v>
      </c>
      <c r="AM185" s="31" t="n">
        <v>9.914</v>
      </c>
      <c r="AN185" s="31" t="n">
        <v>19.6416</v>
      </c>
      <c r="AO185" s="31" t="n">
        <v>8.591</v>
      </c>
      <c r="AP185" s="31" t="n">
        <v>12.7155333333333</v>
      </c>
      <c r="AQ185" s="36" t="n">
        <v>7.59321887398044E-005</v>
      </c>
      <c r="AR185" s="36" t="n">
        <v>0.000164913860367324</v>
      </c>
      <c r="AS185" s="36" t="n">
        <v>0.000665108049297484</v>
      </c>
      <c r="AT185" s="36" t="n">
        <v>0.00280816519608574</v>
      </c>
      <c r="AU185" s="31" t="n">
        <v>0.146182279313286</v>
      </c>
      <c r="AV185" s="36" t="n">
        <v>0.455477</v>
      </c>
      <c r="AW185" s="31" t="n">
        <v>0.028284</v>
      </c>
      <c r="AX185" s="31" t="n">
        <v>0.000128</v>
      </c>
      <c r="AY185" s="31" t="n">
        <v>0.00193537793701529</v>
      </c>
      <c r="AZ185" s="31" t="n">
        <v>0.000864</v>
      </c>
      <c r="BA185" s="33" t="n">
        <v>29.996</v>
      </c>
      <c r="BB185" s="33" t="n">
        <v>1.901</v>
      </c>
      <c r="BC185" s="33" t="n">
        <v>100</v>
      </c>
      <c r="BD185" s="33"/>
      <c r="BE185" s="33"/>
      <c r="BF185" s="33" t="n">
        <v>0</v>
      </c>
      <c r="BG185" s="33"/>
      <c r="BH185" s="33"/>
      <c r="BI185" s="29"/>
      <c r="BJ185" s="33"/>
      <c r="BK185" s="33"/>
      <c r="BL185" s="33" t="n">
        <v>2.486</v>
      </c>
      <c r="BM185" s="33" t="n">
        <v>3</v>
      </c>
      <c r="BN185" s="29" t="n">
        <v>13.77</v>
      </c>
      <c r="BO185" s="33" t="n">
        <v>3.72</v>
      </c>
      <c r="BP185" s="33"/>
      <c r="BQ185" s="29" t="n">
        <v>2023</v>
      </c>
      <c r="BR185" s="36" t="n">
        <v>0.14</v>
      </c>
      <c r="BS185" s="36" t="n">
        <v>0</v>
      </c>
      <c r="BT185" s="36" t="n">
        <v>0</v>
      </c>
      <c r="BU185" s="36" t="n">
        <v>0.14</v>
      </c>
      <c r="BV185" s="16" t="n">
        <f aca="false">F185*(1+N(H185)/100)*(1+N(I185)/100)^5</f>
        <v>1.82793687820094</v>
      </c>
      <c r="BW185" s="16" t="n">
        <f aca="false">IF(N(G185)&gt;0,G185,F185)</f>
        <v>3.436</v>
      </c>
      <c r="BX185" s="12" t="n">
        <f aca="false">F185/BW185</f>
        <v>0.419674039580908</v>
      </c>
      <c r="BY185" s="13" t="n">
        <f aca="false">IF(ISNUMBER(K185),1,0)</f>
        <v>1</v>
      </c>
      <c r="BZ185" s="16" t="n">
        <f aca="false">IF(BY185=0,"",N(N185)+N(O185)+N(P185))</f>
        <v>0.107451518581651</v>
      </c>
      <c r="CA185" s="37" t="n">
        <f aca="false">IF(BY185=0,"",(N(Y185)*34.2+N(Z185)*38.6)/1000)</f>
        <v>0.00432569056611836</v>
      </c>
      <c r="CB185" s="37" t="n">
        <f aca="false">IF(BY185=0,"",N(O185)*0.0036+N(R185)+N(V185)+(N(AA185)*25.3+N(AB185)*37)/1000)</f>
        <v>0.000980524591338421</v>
      </c>
      <c r="CC185" s="37" t="n">
        <f aca="false">IF(BY185=0,"",N(N185)*0.0036+N(Q185)+N(U185)+N(T185)+N(X185)+N(AC185)*38/1000)</f>
        <v>0.00228985251388514</v>
      </c>
      <c r="CD185" s="37" t="n">
        <f aca="false">IF(BY185=0,"",N(Q185)+N(R185)+N(S185)+N(T185)+N(U185)+N(V185)+N(W185)+N(X185)+(N(Y185)*34.2+N(Z185)*38.6+N(AA185)*25.3+N(AB185)*37+N(AC185)*38)/1000)</f>
        <v>0.00720924220444797</v>
      </c>
      <c r="CE185" s="16" t="n">
        <f aca="false">IF(BY185=0,"",MAX(0,N(L185)-N(K185))+MAX(0,N(M185)-N(L185)))</f>
        <v>0.649</v>
      </c>
      <c r="CF185" s="16" t="n">
        <f aca="false">IF(BY185=0,"",N(Y185)*N(AD185)+N(Z185)*N(AE185)+N(AA185)*N(AF185)+N(AB185)*N(AG185)+N(AC185)*N(AH185)+N(U185)*N(AI185)+N(V185)*N(AJ185)+N(W185)*N(AK185)+N(X185)*N(AL185)+N(Q185)*N(AM185)+N(R185)*N(AN185)+N(S185)*N(AO185)+N(T185)*N(AP185))</f>
        <v>0.136000990002078</v>
      </c>
      <c r="CG185" s="16" t="n">
        <f aca="false">IF(AND(BY185=1,N(K185)&gt;0),K185,0)</f>
        <v>0.339</v>
      </c>
      <c r="CH185" s="16" t="n">
        <f aca="false">IF(CG185&gt;0,CF185*1000/CG185,"")</f>
        <v>401.182861363063</v>
      </c>
      <c r="CI185" s="16" t="n">
        <f aca="false">IF(BY185=0,"",N(AQ185)+p_road*(N(AR185)+N(AS185)+N(AT185)))</f>
        <v>7.59321887398044E-005</v>
      </c>
      <c r="CJ185" s="16" t="n">
        <f aca="false">IF(CG185&gt;0,CI185*1000/CG185,"")</f>
        <v>0.223988757344556</v>
      </c>
      <c r="CK185" s="12" t="n">
        <f aca="false">IF(CH185="",1,MIN(p_idx_max,MAX(p_idx_min,CH185/p_fc_world)))</f>
        <v>2.49170534502593</v>
      </c>
      <c r="CL185" s="12" t="n">
        <f aca="false">IF(CJ185="",1,MIN(p_idx_max,MAX(p_idx_min,CJ185/p_cb_world)))</f>
        <v>0.25</v>
      </c>
      <c r="CM185" s="37" t="n">
        <f aca="false">p_b*(1-p_wb_idx+p_wb_idx*CK185)</f>
        <v>0.331396810888449</v>
      </c>
      <c r="CN185" s="37" t="n">
        <f aca="false">p_c*(1-p_wc_idx+p_wc_idx*CL185)</f>
        <v>0.03225</v>
      </c>
      <c r="CO185" s="28" t="n">
        <f aca="false">IF(N(BR185)&gt;0,(N(BS185)+N(BT185)+N(BU185))/BR185,"")</f>
        <v>1</v>
      </c>
      <c r="CP185" s="16" t="n">
        <f aca="false">N(BS185)+N(BT185)+N(BU185)</f>
        <v>0.14</v>
      </c>
      <c r="CQ185" s="28" t="n">
        <f aca="false">IF(CP185&gt;0,N(BS185)/CP185,"")</f>
        <v>0</v>
      </c>
      <c r="CR185" s="28" t="n">
        <f aca="false">IF(CP185&gt;0,N(BT185)/CP185,"")</f>
        <v>0</v>
      </c>
      <c r="CS185" s="28" t="n">
        <f aca="false">IF(CP185&gt;0,N(BU185)/CP185,"")</f>
        <v>1</v>
      </c>
      <c r="CT185" s="7" t="n">
        <f aca="false">1000*(p_sh_pv*p_cf_pv/p_capex_pv+(1-p_sh_pv)*p_cf_wind/p_capex_wind)*8760</f>
        <v>2301.28856624319</v>
      </c>
      <c r="CU185" s="13" t="n">
        <f aca="false">IF(AND(ISNUMBER(CO185),ISNUMBER(CQ185),BY185=1),1,0)</f>
        <v>1</v>
      </c>
      <c r="CV185" s="16" t="n">
        <f aca="false">IF(CU185=0,"",CQ185*p_hr_coal*N(AK185)+CR185*p_hr_gas*N(AO185)+CS185*p_hr_oil*N(AH185)/p_gj_l_oil)</f>
        <v>147.753532998269</v>
      </c>
      <c r="CW185" s="37" t="n">
        <f aca="false">IF(CU185=0,"",CQ185*p_hr_coal*p_ef_coal+CR185*p_hr_gas*p_ef_gas+CS185*p_hr_oil*p_ef_oil)</f>
        <v>0.8127</v>
      </c>
      <c r="CX185" s="16" t="n">
        <f aca="false">IF(CU185=0,"",CQ185*p_hr_coal*N(AW185)+CR185*p_hr_gas*N(AX185)+CS185*p_hr_oil*N(AY185)/p_gj_l_oil)</f>
        <v>0.526462910327994</v>
      </c>
      <c r="CY185" s="37" t="n">
        <f aca="false">IF(CU185=0,"",CO185*CW185)</f>
        <v>0.8127</v>
      </c>
      <c r="CZ185" s="37" t="n">
        <f aca="false">IF(CU185=0,"",CT185*CO185*CV185/1000/1000-p_om_re)</f>
        <v>0.325023516110953</v>
      </c>
      <c r="DA185" s="37" t="n">
        <f aca="false">IF(CU185=0,"",CT185*CO185*CX185/1000/1000)</f>
        <v>0.00121154307608893</v>
      </c>
      <c r="DB185" s="37" t="n">
        <f aca="false">IF(CU185=0,"",CT185*CO185*CW185/1000)</f>
        <v>1.87025721778584</v>
      </c>
      <c r="DC185" s="13" t="n">
        <f aca="false">IF(AND(CU185=1,ISNUMBER(AD185),ISNUMBER(AV185)),1,0)</f>
        <v>1</v>
      </c>
      <c r="DD185" s="7" t="n">
        <f aca="false">IF(DC185=0,"",p_ev_km*p_ice_l/100*AD185-p_ev_km*p_ev_kwh*AV185+p_ev_km*p_ev_maint)</f>
        <v>-159.140025</v>
      </c>
      <c r="DE185" s="37" t="n">
        <f aca="false">IF(DC185=0,"",DD185/p_ev_prem)</f>
        <v>-0.031828005</v>
      </c>
      <c r="DF185" s="37" t="n">
        <f aca="false">IF(DC185=0,"",p_ev_km*p_ice_l/100*N(AZ185)/p_ev_prem)</f>
        <v>0.0001944</v>
      </c>
      <c r="DG185" s="37" t="n">
        <f aca="false">IF(DC185=0,"",1000/p_ev_prem*(p_ev_km*p_ice_l/100*p_gj_l_gso*p_ef_gso-p_ev_km*p_ev_kwh/1000*CY185))</f>
        <v>0.0944055</v>
      </c>
      <c r="DH185" s="11" t="str">
        <f aca="false">IFERROR(IF(INDEX(Damodaran!$D:$D,MATCH(A185,Damodaran!$A:$A,0))="","",INDEX(Damodaran!$D:$D,MATCH(A185,Damodaran!$A:$A,0))),"")</f>
        <v/>
      </c>
      <c r="DI185" s="11" t="str">
        <f aca="false">IFERROR(IF(INDEX(Damodaran!$E:$E,MATCH(A185,Damodaran!$A:$A,0))="","",INDEX(Damodaran!$E:$E,MATCH(A185,Damodaran!$A:$A,0))),"")</f>
        <v/>
      </c>
      <c r="DJ185" s="11" t="str">
        <f aca="false">IFERROR(IF(INDEX(Damodaran!$G:$G,MATCH(A185,Damodaran!$A:$A,0))="","",INDEX(Damodaran!$G:$G,MATCH(A185,Damodaran!$A:$A,0))),"")</f>
        <v/>
      </c>
      <c r="DK185" s="11" t="str">
        <f aca="false">IF(ISNUMBER(BG185),(1+BG185/100)*(1+p_infl)-1,"")</f>
        <v/>
      </c>
      <c r="DL185" s="11" t="str">
        <f aca="false">IF(ISNUMBER(BH185),BH185/100,"")</f>
        <v/>
      </c>
      <c r="DM185" s="11" t="str">
        <f aca="false">IF(COUNT(DK185,DL185)=0,"",AVERAGE(DK185,DL185))</f>
        <v/>
      </c>
      <c r="DN185" s="11" t="str">
        <f aca="false">IF(OR(DH185="",DI185=""),"",p_dv*(p_rf+DH185)*(1-IF(DJ185="",p_tax_def,DJ185))+(1-p_dv)*(p_rf+p_beta*p_erp+p_lambda*DI185))</f>
        <v/>
      </c>
      <c r="DO185" s="13" t="n">
        <f aca="false">IF(AND(ISNUMBER(DM185),ISNUMBER(DN185)),1,0)</f>
        <v>0</v>
      </c>
      <c r="DP185" s="11" t="n">
        <f aca="false">IF(DO185=1,DM185,0)</f>
        <v>0</v>
      </c>
      <c r="DQ185" s="11" t="n">
        <f aca="false">IF(DO185=1,DN185,0)</f>
        <v>0</v>
      </c>
      <c r="DR185" s="11" t="str">
        <f aca="false">IF(DN185="","",DN185+p_shift)</f>
        <v/>
      </c>
      <c r="DS185" s="11" t="n">
        <f aca="false">IF(E185="AE",p_r_ae,IF(E185="China",p_r_chn,p_r_emdc))</f>
        <v>0.105</v>
      </c>
      <c r="DT185" s="11" t="n">
        <f aca="false">IF(E185="AE",p_rh_ae,IF(E185="China",p_rh_chn,p_rh_emdc))</f>
        <v>0.15</v>
      </c>
      <c r="DU185" s="11" t="n">
        <f aca="false">IF(AND(p_use_obs=1,ISNUMBER(DM185)),DM185,IF(AND(p_use_dam=1,ISNUMBER(DR185)),DR185,DS185))</f>
        <v>0.105</v>
      </c>
      <c r="DV185" s="6" t="str">
        <f aca="false">IF(AND(p_use_obs=1,ISNUMBER(DM185)),"Observed (IRENA/Steffen)",IF(AND(p_use_dam=1,ISNUMBER(DR185)),"Damodaran (eq. 5)","Group default (IHLEG)"))</f>
        <v>Group default (IHLEG)</v>
      </c>
      <c r="DW185" s="11" t="n">
        <f aca="false">IF(p_basis=1,(1+DU185)/(1+p_infl)-1,DU185)</f>
        <v>0.105</v>
      </c>
      <c r="DX185" s="11" t="n">
        <f aca="false">DW185+(DT185-DS185)</f>
        <v>0.15</v>
      </c>
      <c r="DY185" s="28" t="n">
        <f aca="false">IF(AND(p_use_pefa=1,ISNUMBER(BD185)),p_gap_lic-(BD185-1)/3*(p_gap_lic-p_gap_ae),IF(E185="AE",p_gap_ae,IF(D185="Low income",p_gap_lic,p_gap_em)))*(1-p_reform*p_reform_close)</f>
        <v>0.27</v>
      </c>
      <c r="DZ185" s="6" t="str">
        <f aca="false">IF(AND(p_use_pefa=1,ISNUMBER(BD185)),"PEFA PI-11","Income-group default (IMF 2015)")</f>
        <v>Income-group default (IMF 2015)</v>
      </c>
      <c r="EA185" s="28" t="n">
        <f aca="false">IF(E185="AE",p_ps_ae,IF(E185="China",p_ps_chn,p_ps_emdc))</f>
        <v>0.4</v>
      </c>
      <c r="EB185" s="37" t="n">
        <f aca="false">(1-EA185)+EA185/(1-DY185)</f>
        <v>1.14794520547945</v>
      </c>
      <c r="EC185" s="16" t="n">
        <f aca="false">Results_Country!F185</f>
        <v>0.084609500953523</v>
      </c>
      <c r="ED185" s="16" t="n">
        <f aca="false">IF(CH185="",0,CH185*EC185)</f>
        <v>33.9438816910351</v>
      </c>
      <c r="EE185" s="16" t="n">
        <f aca="false">IF(CJ185="",0,CJ185*EC185)</f>
        <v>0.0189515769781226</v>
      </c>
      <c r="EF185" s="16" t="n">
        <f aca="false">IF(CH185="",0,EC185)</f>
        <v>0.084609500953523</v>
      </c>
    </row>
    <row r="186" customFormat="false" ht="15" hidden="false" customHeight="false" outlineLevel="0" collapsed="false">
      <c r="A186" s="35" t="s">
        <v>1129</v>
      </c>
      <c r="B186" s="35" t="s">
        <v>1130</v>
      </c>
      <c r="C186" s="35" t="s">
        <v>784</v>
      </c>
      <c r="D186" s="35" t="s">
        <v>763</v>
      </c>
      <c r="E186" s="35" t="s">
        <v>31</v>
      </c>
      <c r="F186" s="36" t="n">
        <v>1.351</v>
      </c>
      <c r="G186" s="36" t="n">
        <v>2.333</v>
      </c>
      <c r="H186" s="33" t="n">
        <v>4.41</v>
      </c>
      <c r="I186" s="33" t="n">
        <v>3.112</v>
      </c>
      <c r="J186" s="36" t="n">
        <v>0.117208</v>
      </c>
      <c r="K186" s="36" t="n">
        <v>0.12</v>
      </c>
      <c r="L186" s="36" t="n">
        <v>0.19</v>
      </c>
      <c r="M186" s="36" t="n">
        <v>0.19</v>
      </c>
      <c r="N186" s="36" t="n">
        <v>0.124678183758325</v>
      </c>
      <c r="O186" s="36" t="n">
        <v>0.0866867913758663</v>
      </c>
      <c r="P186" s="36" t="n">
        <v>0</v>
      </c>
      <c r="Q186" s="31" t="n">
        <v>0</v>
      </c>
      <c r="R186" s="31" t="n">
        <v>0</v>
      </c>
      <c r="S186" s="31" t="n">
        <v>0</v>
      </c>
      <c r="T186" s="31" t="n">
        <v>0</v>
      </c>
      <c r="U186" s="31" t="n">
        <v>0</v>
      </c>
      <c r="V186" s="31" t="n">
        <v>0</v>
      </c>
      <c r="W186" s="31" t="n">
        <v>0</v>
      </c>
      <c r="X186" s="31" t="n">
        <v>0</v>
      </c>
      <c r="Y186" s="36" t="n">
        <v>0.0307307685723213</v>
      </c>
      <c r="Z186" s="36" t="n">
        <v>0.02812322901027</v>
      </c>
      <c r="AA186" s="36" t="n">
        <v>0.00905961887946647</v>
      </c>
      <c r="AB186" s="36" t="n">
        <v>7.45142514859358E-005</v>
      </c>
      <c r="AC186" s="36" t="n">
        <v>0.0489298754398187</v>
      </c>
      <c r="AD186" s="31" t="n">
        <v>1.0603</v>
      </c>
      <c r="AE186" s="31" t="n">
        <v>0.873902</v>
      </c>
      <c r="AF186" s="31" t="n">
        <v>0.595714</v>
      </c>
      <c r="AG186" s="31" t="n">
        <v>0.6532</v>
      </c>
      <c r="AH186" s="31" t="n">
        <v>0.597359947655657</v>
      </c>
      <c r="AI186" s="31" t="n">
        <v>7.124</v>
      </c>
      <c r="AJ186" s="31" t="n">
        <v>14.02195</v>
      </c>
      <c r="AK186" s="31" t="n">
        <v>5.575</v>
      </c>
      <c r="AL186" s="31" t="n">
        <v>8.90698333333333</v>
      </c>
      <c r="AM186" s="31" t="n">
        <v>12.771</v>
      </c>
      <c r="AN186" s="31" t="n">
        <v>23.8188</v>
      </c>
      <c r="AO186" s="31" t="n">
        <v>11.447</v>
      </c>
      <c r="AP186" s="31" t="n">
        <v>16.0122666666667</v>
      </c>
      <c r="AQ186" s="36" t="n">
        <v>0.000395284109609811</v>
      </c>
      <c r="AR186" s="36" t="n">
        <v>0.0060223994932823</v>
      </c>
      <c r="AS186" s="36" t="n">
        <v>0.00294950017218388</v>
      </c>
      <c r="AT186" s="36" t="n">
        <v>0.000558440903093051</v>
      </c>
      <c r="AU186" s="31" t="n">
        <v>0.114636632080308</v>
      </c>
      <c r="AV186" s="36" t="n">
        <v>0.384014</v>
      </c>
      <c r="AW186" s="31" t="n">
        <v>0.193605</v>
      </c>
      <c r="AX186" s="31" t="n">
        <v>0.003086</v>
      </c>
      <c r="AY186" s="31" t="n">
        <v>0.00966360720610757</v>
      </c>
      <c r="AZ186" s="31" t="n">
        <v>0.00623</v>
      </c>
      <c r="BA186" s="33" t="n">
        <v>75.078</v>
      </c>
      <c r="BB186" s="33" t="n">
        <v>7.538</v>
      </c>
      <c r="BC186" s="33"/>
      <c r="BD186" s="33"/>
      <c r="BE186" s="33"/>
      <c r="BF186" s="33" t="n">
        <v>0</v>
      </c>
      <c r="BG186" s="33"/>
      <c r="BH186" s="33"/>
      <c r="BI186" s="29"/>
      <c r="BJ186" s="33"/>
      <c r="BK186" s="33"/>
      <c r="BL186" s="33"/>
      <c r="BM186" s="33"/>
      <c r="BN186" s="29" t="n">
        <v>39.3</v>
      </c>
      <c r="BO186" s="33" t="n">
        <v>1.188</v>
      </c>
      <c r="BP186" s="33"/>
      <c r="BQ186" s="29" t="n">
        <v>2024</v>
      </c>
      <c r="BR186" s="36" t="n">
        <v>0.24</v>
      </c>
      <c r="BS186" s="36" t="n">
        <v>0</v>
      </c>
      <c r="BT186" s="36" t="n">
        <v>0</v>
      </c>
      <c r="BU186" s="36" t="n">
        <v>0.24</v>
      </c>
      <c r="BV186" s="16" t="n">
        <f aca="false">F186*(1+N(H186)/100)*(1+N(I186)/100)^5</f>
        <v>1.64415780400316</v>
      </c>
      <c r="BW186" s="16" t="n">
        <f aca="false">IF(N(G186)&gt;0,G186,F186)</f>
        <v>2.333</v>
      </c>
      <c r="BX186" s="12" t="n">
        <f aca="false">F186/BW186</f>
        <v>0.579082726103729</v>
      </c>
      <c r="BY186" s="13" t="n">
        <f aca="false">IF(ISNUMBER(K186),1,0)</f>
        <v>1</v>
      </c>
      <c r="BZ186" s="16" t="n">
        <f aca="false">IF(BY186=0,"",N(N186)+N(O186)+N(P186))</f>
        <v>0.211364975134191</v>
      </c>
      <c r="CA186" s="37" t="n">
        <f aca="false">IF(BY186=0,"",(N(Y186)*34.2+N(Z186)*38.6)/1000)</f>
        <v>0.00213654892496981</v>
      </c>
      <c r="CB186" s="37" t="n">
        <f aca="false">IF(BY186=0,"",N(O186)*0.0036+N(R186)+N(V186)+(N(AA186)*25.3+N(AB186)*37)/1000)</f>
        <v>0.0005440378339086</v>
      </c>
      <c r="CC186" s="37" t="n">
        <f aca="false">IF(BY186=0,"",N(N186)*0.0036+N(Q186)+N(U186)+N(T186)+N(X186)+N(AC186)*38/1000)</f>
        <v>0.00230817672824308</v>
      </c>
      <c r="CD186" s="37" t="n">
        <f aca="false">IF(BY186=0,"",N(Q186)+N(R186)+N(S186)+N(T186)+N(U186)+N(V186)+N(W186)+N(X186)+(N(Y186)*34.2+N(Z186)*38.6+N(AA186)*25.3+N(AB186)*37+N(AC186)*38)/1000)</f>
        <v>0.0042278495766384</v>
      </c>
      <c r="CE186" s="16" t="n">
        <f aca="false">IF(BY186=0,"",MAX(0,N(L186)-N(K186))+MAX(0,N(M186)-N(L186)))</f>
        <v>0.07</v>
      </c>
      <c r="CF186" s="16" t="n">
        <f aca="false">IF(BY186=0,"",N(Y186)*N(AD186)+N(Z186)*N(AE186)+N(AA186)*N(AF186)+N(AB186)*N(AG186)+N(AC186)*N(AH186)+N(U186)*N(AI186)+N(V186)*N(AJ186)+N(W186)*N(AK186)+N(X186)*N(AL186)+N(Q186)*N(AM186)+N(R186)*N(AN186)+N(S186)*N(AO186)+N(T186)*N(AP186))</f>
        <v>0.0918351423375262</v>
      </c>
      <c r="CG186" s="16" t="n">
        <f aca="false">IF(AND(BY186=1,N(K186)&gt;0),K186,0)</f>
        <v>0.12</v>
      </c>
      <c r="CH186" s="16" t="n">
        <f aca="false">IF(CG186&gt;0,CF186*1000/CG186,"")</f>
        <v>765.292852812718</v>
      </c>
      <c r="CI186" s="16" t="n">
        <f aca="false">IF(BY186=0,"",N(AQ186)+p_road*(N(AR186)+N(AS186)+N(AT186)))</f>
        <v>0.000395284109609811</v>
      </c>
      <c r="CJ186" s="16" t="n">
        <f aca="false">IF(CG186&gt;0,CI186*1000/CG186,"")</f>
        <v>3.29403424674842</v>
      </c>
      <c r="CK186" s="12" t="n">
        <f aca="false">IF(CH186="",1,MIN(p_idx_max,MAX(p_idx_min,CH186/p_fc_world)))</f>
        <v>4</v>
      </c>
      <c r="CL186" s="12" t="n">
        <f aca="false">IF(CJ186="",1,MIN(p_idx_max,MAX(p_idx_min,CJ186/p_cb_world)))</f>
        <v>0.25</v>
      </c>
      <c r="CM186" s="37" t="n">
        <f aca="false">p_b*(1-p_wb_idx+p_wb_idx*CK186)</f>
        <v>0.532</v>
      </c>
      <c r="CN186" s="37" t="n">
        <f aca="false">p_c*(1-p_wc_idx+p_wc_idx*CL186)</f>
        <v>0.03225</v>
      </c>
      <c r="CO186" s="28" t="n">
        <f aca="false">IF(N(BR186)&gt;0,(N(BS186)+N(BT186)+N(BU186))/BR186,"")</f>
        <v>1</v>
      </c>
      <c r="CP186" s="16" t="n">
        <f aca="false">N(BS186)+N(BT186)+N(BU186)</f>
        <v>0.24</v>
      </c>
      <c r="CQ186" s="28" t="n">
        <f aca="false">IF(CP186&gt;0,N(BS186)/CP186,"")</f>
        <v>0</v>
      </c>
      <c r="CR186" s="28" t="n">
        <f aca="false">IF(CP186&gt;0,N(BT186)/CP186,"")</f>
        <v>0</v>
      </c>
      <c r="CS186" s="28" t="n">
        <f aca="false">IF(CP186&gt;0,N(BU186)/CP186,"")</f>
        <v>1</v>
      </c>
      <c r="CT186" s="7" t="n">
        <f aca="false">1000*(p_sh_pv*p_cf_pv/p_capex_pv+(1-p_sh_pv)*p_cf_wind/p_capex_wind)*8760</f>
        <v>2301.28856624319</v>
      </c>
      <c r="CU186" s="13" t="n">
        <f aca="false">IF(AND(ISNUMBER(CO186),ISNUMBER(CQ186),BY186=1),1,0)</f>
        <v>1</v>
      </c>
      <c r="CV186" s="16" t="n">
        <f aca="false">IF(CU186=0,"",CQ186*p_hr_coal*N(AK186)+CR186*p_hr_gas*N(AO186)+CS186*p_hr_oil*N(AH186)/p_gj_l_oil)</f>
        <v>162.494286279389</v>
      </c>
      <c r="CW186" s="37" t="n">
        <f aca="false">IF(CU186=0,"",CQ186*p_hr_coal*p_ef_coal+CR186*p_hr_gas*p_ef_gas+CS186*p_hr_oil*p_ef_oil)</f>
        <v>0.8127</v>
      </c>
      <c r="CX186" s="16" t="n">
        <f aca="false">IF(CU186=0,"",CQ186*p_hr_coal*N(AW186)+CR186*p_hr_gas*N(AX186)+CS186*p_hr_oil*N(AY186)/p_gj_l_oil)</f>
        <v>2.62870144207589</v>
      </c>
      <c r="CY186" s="37" t="n">
        <f aca="false">IF(CU186=0,"",CO186*CW186)</f>
        <v>0.8127</v>
      </c>
      <c r="CZ186" s="37" t="n">
        <f aca="false">IF(CU186=0,"",CT186*CO186*CV186/1000/1000-p_om_re)</f>
        <v>0.358946243094605</v>
      </c>
      <c r="DA186" s="37" t="n">
        <f aca="false">IF(CU186=0,"",CT186*CO186*CX186/1000/1000)</f>
        <v>0.00604940057271625</v>
      </c>
      <c r="DB186" s="37" t="n">
        <f aca="false">IF(CU186=0,"",CT186*CO186*CW186/1000)</f>
        <v>1.87025721778584</v>
      </c>
      <c r="DC186" s="13" t="n">
        <f aca="false">IF(AND(CU186=1,ISNUMBER(AD186),ISNUMBER(AV186)),1,0)</f>
        <v>1</v>
      </c>
      <c r="DD186" s="7" t="n">
        <f aca="false">IF(DC186=0,"",p_ev_km*p_ice_l/100*AD186-p_ev_km*p_ev_kwh*AV186+p_ev_km*p_ev_maint)</f>
        <v>335.9997</v>
      </c>
      <c r="DE186" s="37" t="n">
        <f aca="false">IF(DC186=0,"",DD186/p_ev_prem)</f>
        <v>0.06719994</v>
      </c>
      <c r="DF186" s="37" t="n">
        <f aca="false">IF(DC186=0,"",p_ev_km*p_ice_l/100*N(AZ186)/p_ev_prem)</f>
        <v>0.00140175</v>
      </c>
      <c r="DG186" s="37" t="n">
        <f aca="false">IF(DC186=0,"",1000/p_ev_prem*(p_ev_km*p_ice_l/100*p_gj_l_gso*p_ef_gso-p_ev_km*p_ev_kwh/1000*CY186))</f>
        <v>0.0944055</v>
      </c>
      <c r="DH186" s="11" t="str">
        <f aca="false">IFERROR(IF(INDEX(Damodaran!$D:$D,MATCH(A186,Damodaran!$A:$A,0))="","",INDEX(Damodaran!$D:$D,MATCH(A186,Damodaran!$A:$A,0))),"")</f>
        <v/>
      </c>
      <c r="DI186" s="11" t="str">
        <f aca="false">IFERROR(IF(INDEX(Damodaran!$E:$E,MATCH(A186,Damodaran!$A:$A,0))="","",INDEX(Damodaran!$E:$E,MATCH(A186,Damodaran!$A:$A,0))),"")</f>
        <v/>
      </c>
      <c r="DJ186" s="11" t="str">
        <f aca="false">IFERROR(IF(INDEX(Damodaran!$G:$G,MATCH(A186,Damodaran!$A:$A,0))="","",INDEX(Damodaran!$G:$G,MATCH(A186,Damodaran!$A:$A,0))),"")</f>
        <v/>
      </c>
      <c r="DK186" s="11" t="str">
        <f aca="false">IF(ISNUMBER(BG186),(1+BG186/100)*(1+p_infl)-1,"")</f>
        <v/>
      </c>
      <c r="DL186" s="11" t="str">
        <f aca="false">IF(ISNUMBER(BH186),BH186/100,"")</f>
        <v/>
      </c>
      <c r="DM186" s="11" t="str">
        <f aca="false">IF(COUNT(DK186,DL186)=0,"",AVERAGE(DK186,DL186))</f>
        <v/>
      </c>
      <c r="DN186" s="11" t="str">
        <f aca="false">IF(OR(DH186="",DI186=""),"",p_dv*(p_rf+DH186)*(1-IF(DJ186="",p_tax_def,DJ186))+(1-p_dv)*(p_rf+p_beta*p_erp+p_lambda*DI186))</f>
        <v/>
      </c>
      <c r="DO186" s="13" t="n">
        <f aca="false">IF(AND(ISNUMBER(DM186),ISNUMBER(DN186)),1,0)</f>
        <v>0</v>
      </c>
      <c r="DP186" s="11" t="n">
        <f aca="false">IF(DO186=1,DM186,0)</f>
        <v>0</v>
      </c>
      <c r="DQ186" s="11" t="n">
        <f aca="false">IF(DO186=1,DN186,0)</f>
        <v>0</v>
      </c>
      <c r="DR186" s="11" t="str">
        <f aca="false">IF(DN186="","",DN186+p_shift)</f>
        <v/>
      </c>
      <c r="DS186" s="11" t="n">
        <f aca="false">IF(E186="AE",p_r_ae,IF(E186="China",p_r_chn,p_r_emdc))</f>
        <v>0.105</v>
      </c>
      <c r="DT186" s="11" t="n">
        <f aca="false">IF(E186="AE",p_rh_ae,IF(E186="China",p_rh_chn,p_rh_emdc))</f>
        <v>0.15</v>
      </c>
      <c r="DU186" s="11" t="n">
        <f aca="false">IF(AND(p_use_obs=1,ISNUMBER(DM186)),DM186,IF(AND(p_use_dam=1,ISNUMBER(DR186)),DR186,DS186))</f>
        <v>0.105</v>
      </c>
      <c r="DV186" s="6" t="str">
        <f aca="false">IF(AND(p_use_obs=1,ISNUMBER(DM186)),"Observed (IRENA/Steffen)",IF(AND(p_use_dam=1,ISNUMBER(DR186)),"Damodaran (eq. 5)","Group default (IHLEG)"))</f>
        <v>Group default (IHLEG)</v>
      </c>
      <c r="DW186" s="11" t="n">
        <f aca="false">IF(p_basis=1,(1+DU186)/(1+p_infl)-1,DU186)</f>
        <v>0.105</v>
      </c>
      <c r="DX186" s="11" t="n">
        <f aca="false">DW186+(DT186-DS186)</f>
        <v>0.15</v>
      </c>
      <c r="DY186" s="28" t="n">
        <f aca="false">IF(AND(p_use_pefa=1,ISNUMBER(BD186)),p_gap_lic-(BD186-1)/3*(p_gap_lic-p_gap_ae),IF(E186="AE",p_gap_ae,IF(D186="Low income",p_gap_lic,p_gap_em)))*(1-p_reform*p_reform_close)</f>
        <v>0.27</v>
      </c>
      <c r="DZ186" s="6" t="str">
        <f aca="false">IF(AND(p_use_pefa=1,ISNUMBER(BD186)),"PEFA PI-11","Income-group default (IMF 2015)")</f>
        <v>Income-group default (IMF 2015)</v>
      </c>
      <c r="EA186" s="28" t="n">
        <f aca="false">IF(E186="AE",p_ps_ae,IF(E186="China",p_ps_chn,p_ps_emdc))</f>
        <v>0.4</v>
      </c>
      <c r="EB186" s="37" t="n">
        <f aca="false">(1-EA186)+EA186/(1-DY186)</f>
        <v>1.14794520547945</v>
      </c>
      <c r="EC186" s="16" t="n">
        <f aca="false">Results_Country!F186</f>
        <v>0.067400804212717</v>
      </c>
      <c r="ED186" s="16" t="n">
        <f aca="false">IF(CH186="",0,CH186*EC186)</f>
        <v>51.5813537378216</v>
      </c>
      <c r="EE186" s="16" t="n">
        <f aca="false">IF(CJ186="",0,CJ186*EC186)</f>
        <v>0.222020557335075</v>
      </c>
      <c r="EF186" s="16" t="n">
        <f aca="false">IF(CH186="",0,EC186)</f>
        <v>0.067400804212717</v>
      </c>
    </row>
    <row r="187" customFormat="false" ht="15" hidden="false" customHeight="false" outlineLevel="0" collapsed="false">
      <c r="A187" s="35" t="s">
        <v>1131</v>
      </c>
      <c r="B187" s="35" t="s">
        <v>1132</v>
      </c>
      <c r="C187" s="35" t="s">
        <v>762</v>
      </c>
      <c r="D187" s="35" t="s">
        <v>771</v>
      </c>
      <c r="E187" s="35" t="s">
        <v>31</v>
      </c>
      <c r="F187" s="36" t="n">
        <v>1.265</v>
      </c>
      <c r="G187" s="36" t="n">
        <v>1.242</v>
      </c>
      <c r="H187" s="33" t="n">
        <v>3.053</v>
      </c>
      <c r="I187" s="33" t="n">
        <v>3.528</v>
      </c>
      <c r="J187" s="36" t="n">
        <v>0.327778</v>
      </c>
      <c r="K187" s="36" t="n">
        <v>0.233</v>
      </c>
      <c r="L187" s="36" t="n">
        <v>0.654</v>
      </c>
      <c r="M187" s="36" t="n">
        <v>0.654</v>
      </c>
      <c r="N187" s="36" t="n">
        <v>0.0391226966474329</v>
      </c>
      <c r="O187" s="36" t="n">
        <v>0.0301164831835875</v>
      </c>
      <c r="P187" s="36" t="n">
        <v>0</v>
      </c>
      <c r="Q187" s="31" t="n">
        <v>0</v>
      </c>
      <c r="R187" s="31" t="n">
        <v>0</v>
      </c>
      <c r="S187" s="31" t="n">
        <v>0</v>
      </c>
      <c r="T187" s="31" t="n">
        <v>0</v>
      </c>
      <c r="U187" s="31" t="n">
        <v>0</v>
      </c>
      <c r="V187" s="31" t="n">
        <v>0</v>
      </c>
      <c r="W187" s="31" t="n">
        <v>0</v>
      </c>
      <c r="X187" s="31" t="n">
        <v>0</v>
      </c>
      <c r="Y187" s="36" t="n">
        <v>0.0146128256368239</v>
      </c>
      <c r="Z187" s="36" t="n">
        <v>0.0583987025178644</v>
      </c>
      <c r="AA187" s="36" t="n">
        <v>0.00386336566540279</v>
      </c>
      <c r="AB187" s="36" t="n">
        <v>9.57206550528142E-005</v>
      </c>
      <c r="AC187" s="36" t="n">
        <v>0.0122800327344069</v>
      </c>
      <c r="AD187" s="31" t="n">
        <v>0.777256</v>
      </c>
      <c r="AE187" s="31" t="n">
        <v>0.764846</v>
      </c>
      <c r="AF187" s="31" t="n">
        <v>0.5865</v>
      </c>
      <c r="AG187" s="31" t="n">
        <v>0.7498</v>
      </c>
      <c r="AH187" s="31" t="n">
        <v>0.543345303403777</v>
      </c>
      <c r="AI187" s="31" t="n">
        <v>7.124</v>
      </c>
      <c r="AJ187" s="31" t="n">
        <v>13.16865</v>
      </c>
      <c r="AK187" s="31" t="n">
        <v>4.833</v>
      </c>
      <c r="AL187" s="31" t="n">
        <v>8.37521666666667</v>
      </c>
      <c r="AM187" s="31" t="n">
        <v>13.543</v>
      </c>
      <c r="AN187" s="31" t="n">
        <v>24.7066</v>
      </c>
      <c r="AO187" s="31" t="n">
        <v>12.219</v>
      </c>
      <c r="AP187" s="31" t="n">
        <v>16.8228666666667</v>
      </c>
      <c r="AQ187" s="36" t="n">
        <v>1.87874633388638E-007</v>
      </c>
      <c r="AR187" s="36" t="n">
        <v>0</v>
      </c>
      <c r="AS187" s="36" t="n">
        <v>0</v>
      </c>
      <c r="AT187" s="36" t="n">
        <v>0</v>
      </c>
      <c r="AU187" s="31" t="n">
        <v>0.276462794778389</v>
      </c>
      <c r="AV187" s="36" t="n">
        <v>0.307177</v>
      </c>
      <c r="AW187" s="31" t="n">
        <v>0.001675</v>
      </c>
      <c r="AX187" s="31" t="n">
        <v>0.000215</v>
      </c>
      <c r="AY187" s="31" t="n">
        <v>1.65783957855544E-006</v>
      </c>
      <c r="AZ187" s="31" t="n">
        <v>0.000142</v>
      </c>
      <c r="BA187" s="33" t="n">
        <v>39.053</v>
      </c>
      <c r="BB187" s="33" t="n">
        <v>2.436</v>
      </c>
      <c r="BC187" s="33"/>
      <c r="BD187" s="33" t="n">
        <v>2.5</v>
      </c>
      <c r="BE187" s="33" t="n">
        <v>2</v>
      </c>
      <c r="BF187" s="33" t="n">
        <v>0</v>
      </c>
      <c r="BG187" s="33"/>
      <c r="BH187" s="33"/>
      <c r="BI187" s="29"/>
      <c r="BJ187" s="33"/>
      <c r="BK187" s="33"/>
      <c r="BL187" s="33"/>
      <c r="BM187" s="33"/>
      <c r="BN187" s="29" t="n">
        <v>30.426</v>
      </c>
      <c r="BO187" s="33" t="n">
        <v>1.923</v>
      </c>
      <c r="BP187" s="33"/>
      <c r="BQ187" s="29" t="n">
        <v>2023</v>
      </c>
      <c r="BR187" s="36" t="n">
        <v>0.08</v>
      </c>
      <c r="BS187" s="36" t="n">
        <v>0</v>
      </c>
      <c r="BT187" s="36" t="n">
        <v>0</v>
      </c>
      <c r="BU187" s="36" t="n">
        <v>0.06</v>
      </c>
      <c r="BV187" s="16" t="n">
        <f aca="false">F187*(1+N(H187)/100)*(1+N(I187)/100)^5</f>
        <v>1.55038759791573</v>
      </c>
      <c r="BW187" s="16" t="n">
        <f aca="false">IF(N(G187)&gt;0,G187,F187)</f>
        <v>1.242</v>
      </c>
      <c r="BX187" s="12" t="n">
        <f aca="false">F187/BW187</f>
        <v>1.01851851851852</v>
      </c>
      <c r="BY187" s="13" t="n">
        <f aca="false">IF(ISNUMBER(K187),1,0)</f>
        <v>1</v>
      </c>
      <c r="BZ187" s="16" t="n">
        <f aca="false">IF(BY187=0,"",N(N187)+N(O187)+N(P187))</f>
        <v>0.0692391798310204</v>
      </c>
      <c r="CA187" s="37" t="n">
        <f aca="false">IF(BY187=0,"",(N(Y187)*34.2+N(Z187)*38.6)/1000)</f>
        <v>0.00275394855396894</v>
      </c>
      <c r="CB187" s="37" t="n">
        <f aca="false">IF(BY187=0,"",N(O187)*0.0036+N(R187)+N(V187)+(N(AA187)*25.3+N(AB187)*37)/1000)</f>
        <v>0.00020970415503256</v>
      </c>
      <c r="CC187" s="37" t="n">
        <f aca="false">IF(BY187=0,"",N(N187)*0.0036+N(Q187)+N(U187)+N(T187)+N(X187)+N(AC187)*38/1000)</f>
        <v>0.00060748295183822</v>
      </c>
      <c r="CD187" s="37" t="n">
        <f aca="false">IF(BY187=0,"",N(Q187)+N(R187)+N(S187)+N(T187)+N(U187)+N(V187)+N(W187)+N(X187)+(N(Y187)*34.2+N(Z187)*38.6+N(AA187)*25.3+N(AB187)*37+N(AC187)*38)/1000)</f>
        <v>0.00332187461344805</v>
      </c>
      <c r="CE187" s="16" t="n">
        <f aca="false">IF(BY187=0,"",MAX(0,N(L187)-N(K187))+MAX(0,N(M187)-N(L187)))</f>
        <v>0.421</v>
      </c>
      <c r="CF187" s="16" t="n">
        <f aca="false">IF(BY187=0,"",N(Y187)*N(AD187)+N(Z187)*N(AE187)+N(AA187)*N(AF187)+N(AB187)*N(AG187)+N(AC187)*N(AH187)+N(U187)*N(AI187)+N(V187)*N(AJ187)+N(W187)*N(AK187)+N(X187)*N(AL187)+N(Q187)*N(AM187)+N(R187)*N(AN187)+N(S187)*N(AO187)+N(T187)*N(AP187))</f>
        <v>0.0650338538509556</v>
      </c>
      <c r="CG187" s="16" t="n">
        <f aca="false">IF(AND(BY187=1,N(K187)&gt;0),K187,0)</f>
        <v>0.233</v>
      </c>
      <c r="CH187" s="16" t="n">
        <f aca="false">IF(CG187&gt;0,CF187*1000/CG187,"")</f>
        <v>279.115252579209</v>
      </c>
      <c r="CI187" s="16" t="n">
        <f aca="false">IF(BY187=0,"",N(AQ187)+p_road*(N(AR187)+N(AS187)+N(AT187)))</f>
        <v>1.87874633388638E-007</v>
      </c>
      <c r="CJ187" s="16" t="n">
        <f aca="false">IF(CG187&gt;0,CI187*1000/CG187,"")</f>
        <v>0.000806328898663681</v>
      </c>
      <c r="CK187" s="12" t="n">
        <f aca="false">IF(CH187="",1,MIN(p_idx_max,MAX(p_idx_min,CH187/p_fc_world)))</f>
        <v>1.73355602571589</v>
      </c>
      <c r="CL187" s="12" t="n">
        <f aca="false">IF(CJ187="",1,MIN(p_idx_max,MAX(p_idx_min,CJ187/p_cb_world)))</f>
        <v>0.25</v>
      </c>
      <c r="CM187" s="37" t="n">
        <f aca="false">p_b*(1-p_wb_idx+p_wb_idx*CK187)</f>
        <v>0.230562951420213</v>
      </c>
      <c r="CN187" s="37" t="n">
        <f aca="false">p_c*(1-p_wc_idx+p_wc_idx*CL187)</f>
        <v>0.03225</v>
      </c>
      <c r="CO187" s="28" t="n">
        <f aca="false">IF(N(BR187)&gt;0,(N(BS187)+N(BT187)+N(BU187))/BR187,"")</f>
        <v>0.75</v>
      </c>
      <c r="CP187" s="16" t="n">
        <f aca="false">N(BS187)+N(BT187)+N(BU187)</f>
        <v>0.06</v>
      </c>
      <c r="CQ187" s="28" t="n">
        <f aca="false">IF(CP187&gt;0,N(BS187)/CP187,"")</f>
        <v>0</v>
      </c>
      <c r="CR187" s="28" t="n">
        <f aca="false">IF(CP187&gt;0,N(BT187)/CP187,"")</f>
        <v>0</v>
      </c>
      <c r="CS187" s="28" t="n">
        <f aca="false">IF(CP187&gt;0,N(BU187)/CP187,"")</f>
        <v>1</v>
      </c>
      <c r="CT187" s="7" t="n">
        <f aca="false">1000*(p_sh_pv*p_cf_pv/p_capex_pv+(1-p_sh_pv)*p_cf_wind/p_capex_wind)*8760</f>
        <v>2301.28856624319</v>
      </c>
      <c r="CU187" s="13" t="n">
        <f aca="false">IF(AND(ISNUMBER(CO187),ISNUMBER(CQ187),BY187=1),1,0)</f>
        <v>1</v>
      </c>
      <c r="CV187" s="16" t="n">
        <f aca="false">IF(CU187=0,"",CQ187*p_hr_coal*N(AK187)+CR187*p_hr_gas*N(AO187)+CS187*p_hr_oil*N(AH187)/p_gj_l_oil)</f>
        <v>147.801183568385</v>
      </c>
      <c r="CW187" s="37" t="n">
        <f aca="false">IF(CU187=0,"",CQ187*p_hr_coal*p_ef_coal+CR187*p_hr_gas*p_ef_gas+CS187*p_hr_oil*p_ef_oil)</f>
        <v>0.8127</v>
      </c>
      <c r="CX187" s="16" t="n">
        <f aca="false">IF(CU187=0,"",CQ187*p_hr_coal*N(AW187)+CR187*p_hr_gas*N(AX187)+CS187*p_hr_oil*N(AY187)/p_gj_l_oil)</f>
        <v>0.000450966724736583</v>
      </c>
      <c r="CY187" s="37" t="n">
        <f aca="false">IF(CU187=0,"",CO187*CW187)</f>
        <v>0.609525</v>
      </c>
      <c r="CZ187" s="37" t="n">
        <f aca="false">IF(CU187=0,"",CT187*CO187*CV187/1000/1000-p_om_re)</f>
        <v>0.240099880367352</v>
      </c>
      <c r="DA187" s="37" t="n">
        <f aca="false">IF(CU187=0,"",CT187*CO187*CX187/1000/1000)</f>
        <v>7.7835342554433E-007</v>
      </c>
      <c r="DB187" s="37" t="n">
        <f aca="false">IF(CU187=0,"",CT187*CO187*CW187/1000)</f>
        <v>1.40269291333938</v>
      </c>
      <c r="DC187" s="13" t="n">
        <f aca="false">IF(AND(CU187=1,ISNUMBER(AD187),ISNUMBER(AV187)),1,0)</f>
        <v>1</v>
      </c>
      <c r="DD187" s="7" t="n">
        <f aca="false">IF(DC187=0,"",p_ev_km*p_ice_l/100*AD187-p_ev_km*p_ev_kwh*AV187+p_ev_km*p_ev_maint)</f>
        <v>225.0351</v>
      </c>
      <c r="DE187" s="37" t="n">
        <f aca="false">IF(DC187=0,"",DD187/p_ev_prem)</f>
        <v>0.04500702</v>
      </c>
      <c r="DF187" s="37" t="n">
        <f aca="false">IF(DC187=0,"",p_ev_km*p_ice_l/100*N(AZ187)/p_ev_prem)</f>
        <v>3.195E-005</v>
      </c>
      <c r="DG187" s="37" t="n">
        <f aca="false">IF(DC187=0,"",1000/p_ev_prem*(p_ev_km*p_ice_l/100*p_gj_l_gso*p_ef_gso-p_ev_km*p_ev_kwh/1000*CY187))</f>
        <v>0.20412</v>
      </c>
      <c r="DH187" s="11" t="str">
        <f aca="false">IFERROR(IF(INDEX(Damodaran!$D:$D,MATCH(A187,Damodaran!$A:$A,0))="","",INDEX(Damodaran!$D:$D,MATCH(A187,Damodaran!$A:$A,0))),"")</f>
        <v/>
      </c>
      <c r="DI187" s="11" t="str">
        <f aca="false">IFERROR(IF(INDEX(Damodaran!$E:$E,MATCH(A187,Damodaran!$A:$A,0))="","",INDEX(Damodaran!$E:$E,MATCH(A187,Damodaran!$A:$A,0))),"")</f>
        <v/>
      </c>
      <c r="DJ187" s="11" t="str">
        <f aca="false">IFERROR(IF(INDEX(Damodaran!$G:$G,MATCH(A187,Damodaran!$A:$A,0))="","",INDEX(Damodaran!$G:$G,MATCH(A187,Damodaran!$A:$A,0))),"")</f>
        <v/>
      </c>
      <c r="DK187" s="11" t="str">
        <f aca="false">IF(ISNUMBER(BG187),(1+BG187/100)*(1+p_infl)-1,"")</f>
        <v/>
      </c>
      <c r="DL187" s="11" t="str">
        <f aca="false">IF(ISNUMBER(BH187),BH187/100,"")</f>
        <v/>
      </c>
      <c r="DM187" s="11" t="str">
        <f aca="false">IF(COUNT(DK187,DL187)=0,"",AVERAGE(DK187,DL187))</f>
        <v/>
      </c>
      <c r="DN187" s="11" t="str">
        <f aca="false">IF(OR(DH187="",DI187=""),"",p_dv*(p_rf+DH187)*(1-IF(DJ187="",p_tax_def,DJ187))+(1-p_dv)*(p_rf+p_beta*p_erp+p_lambda*DI187))</f>
        <v/>
      </c>
      <c r="DO187" s="13" t="n">
        <f aca="false">IF(AND(ISNUMBER(DM187),ISNUMBER(DN187)),1,0)</f>
        <v>0</v>
      </c>
      <c r="DP187" s="11" t="n">
        <f aca="false">IF(DO187=1,DM187,0)</f>
        <v>0</v>
      </c>
      <c r="DQ187" s="11" t="n">
        <f aca="false">IF(DO187=1,DN187,0)</f>
        <v>0</v>
      </c>
      <c r="DR187" s="11" t="str">
        <f aca="false">IF(DN187="","",DN187+p_shift)</f>
        <v/>
      </c>
      <c r="DS187" s="11" t="n">
        <f aca="false">IF(E187="AE",p_r_ae,IF(E187="China",p_r_chn,p_r_emdc))</f>
        <v>0.105</v>
      </c>
      <c r="DT187" s="11" t="n">
        <f aca="false">IF(E187="AE",p_rh_ae,IF(E187="China",p_rh_chn,p_rh_emdc))</f>
        <v>0.15</v>
      </c>
      <c r="DU187" s="11" t="n">
        <f aca="false">IF(AND(p_use_obs=1,ISNUMBER(DM187)),DM187,IF(AND(p_use_dam=1,ISNUMBER(DR187)),DR187,DS187))</f>
        <v>0.105</v>
      </c>
      <c r="DV187" s="6" t="str">
        <f aca="false">IF(AND(p_use_obs=1,ISNUMBER(DM187)),"Observed (IRENA/Steffen)",IF(AND(p_use_dam=1,ISNUMBER(DR187)),"Damodaran (eq. 5)","Group default (IHLEG)"))</f>
        <v>Group default (IHLEG)</v>
      </c>
      <c r="DW187" s="11" t="n">
        <f aca="false">IF(p_basis=1,(1+DU187)/(1+p_infl)-1,DU187)</f>
        <v>0.105</v>
      </c>
      <c r="DX187" s="11" t="n">
        <f aca="false">DW187+(DT187-DS187)</f>
        <v>0.15</v>
      </c>
      <c r="DY187" s="28" t="n">
        <f aca="false">IF(AND(p_use_pefa=1,ISNUMBER(BD187)),p_gap_lic-(BD187-1)/3*(p_gap_lic-p_gap_ae),IF(E187="AE",p_gap_ae,IF(D187="Low income",p_gap_lic,p_gap_em)))*(1-p_reform*p_reform_close)</f>
        <v>0.265</v>
      </c>
      <c r="DZ187" s="6" t="str">
        <f aca="false">IF(AND(p_use_pefa=1,ISNUMBER(BD187)),"PEFA PI-11","Income-group default (IMF 2015)")</f>
        <v>PEFA PI-11</v>
      </c>
      <c r="EA187" s="28" t="n">
        <f aca="false">IF(E187="AE",p_ps_ae,IF(E187="China",p_ps_chn,p_ps_emdc))</f>
        <v>0.4</v>
      </c>
      <c r="EB187" s="37" t="n">
        <f aca="false">(1-EA187)+EA187/(1-DY187)</f>
        <v>1.14421768707483</v>
      </c>
      <c r="EC187" s="16" t="n">
        <f aca="false">Results_Country!F187</f>
        <v>0.0602450133084321</v>
      </c>
      <c r="ED187" s="16" t="n">
        <f aca="false">IF(CH187="",0,CH187*EC187)</f>
        <v>16.8153021062208</v>
      </c>
      <c r="EE187" s="16" t="n">
        <f aca="false">IF(CJ187="",0,CJ187*EC187)</f>
        <v>4.85772952309669E-005</v>
      </c>
      <c r="EF187" s="16" t="n">
        <f aca="false">IF(CH187="",0,EC187)</f>
        <v>0.0602450133084321</v>
      </c>
    </row>
    <row r="188" customFormat="false" ht="15" hidden="false" customHeight="false" outlineLevel="0" collapsed="false">
      <c r="A188" s="35" t="s">
        <v>1133</v>
      </c>
      <c r="B188" s="35" t="s">
        <v>1134</v>
      </c>
      <c r="C188" s="35" t="s">
        <v>762</v>
      </c>
      <c r="D188" s="35" t="s">
        <v>763</v>
      </c>
      <c r="E188" s="35" t="s">
        <v>31</v>
      </c>
      <c r="F188" s="36" t="n">
        <v>1.176</v>
      </c>
      <c r="G188" s="36" t="n">
        <v>1.667</v>
      </c>
      <c r="H188" s="33" t="n">
        <v>4.204</v>
      </c>
      <c r="I188" s="33" t="n">
        <v>3.208</v>
      </c>
      <c r="J188" s="36" t="n">
        <v>0.218019</v>
      </c>
      <c r="K188" s="36" t="n">
        <v>0.375</v>
      </c>
      <c r="L188" s="36" t="n">
        <v>0.585</v>
      </c>
      <c r="M188" s="36" t="n">
        <v>0.686</v>
      </c>
      <c r="N188" s="36" t="n">
        <v>0.10324734820094</v>
      </c>
      <c r="O188" s="36" t="n">
        <v>0.0524061505876151</v>
      </c>
      <c r="P188" s="36" t="n">
        <v>0</v>
      </c>
      <c r="Q188" s="31" t="n">
        <v>0</v>
      </c>
      <c r="R188" s="31" t="n">
        <v>0</v>
      </c>
      <c r="S188" s="31" t="n">
        <v>0</v>
      </c>
      <c r="T188" s="31" t="n">
        <v>0</v>
      </c>
      <c r="U188" s="31" t="n">
        <v>0</v>
      </c>
      <c r="V188" s="31" t="n">
        <v>0</v>
      </c>
      <c r="W188" s="31" t="n">
        <v>0</v>
      </c>
      <c r="X188" s="31" t="n">
        <v>0</v>
      </c>
      <c r="Y188" s="36" t="n">
        <v>0.0484421913941507</v>
      </c>
      <c r="Z188" s="36" t="n">
        <v>0.0334235943407628</v>
      </c>
      <c r="AA188" s="36" t="n">
        <v>0.00655321175857949</v>
      </c>
      <c r="AB188" s="36" t="n">
        <v>0.00119185465804462</v>
      </c>
      <c r="AC188" s="36" t="n">
        <v>0.0220967644194409</v>
      </c>
      <c r="AD188" s="31" t="n">
        <v>0.828</v>
      </c>
      <c r="AE188" s="31" t="n">
        <v>0.74407</v>
      </c>
      <c r="AF188" s="31" t="n">
        <v>0.557962</v>
      </c>
      <c r="AG188" s="31" t="n">
        <v>0.739505</v>
      </c>
      <c r="AH188" s="31" t="n">
        <v>0.543345303403777</v>
      </c>
      <c r="AI188" s="31" t="n">
        <v>7.124</v>
      </c>
      <c r="AJ188" s="31" t="n">
        <v>13.16865</v>
      </c>
      <c r="AK188" s="31" t="n">
        <v>4.833</v>
      </c>
      <c r="AL188" s="31" t="n">
        <v>8.37521666666667</v>
      </c>
      <c r="AM188" s="31" t="n">
        <v>12.541</v>
      </c>
      <c r="AN188" s="31" t="n">
        <v>23.55545</v>
      </c>
      <c r="AO188" s="31" t="n">
        <v>11.218</v>
      </c>
      <c r="AP188" s="31" t="n">
        <v>15.7714833333333</v>
      </c>
      <c r="AQ188" s="36" t="n">
        <v>0.00021148103823842</v>
      </c>
      <c r="AR188" s="36" t="n">
        <v>0.00624210427430431</v>
      </c>
      <c r="AS188" s="36" t="n">
        <v>0.00306880116873529</v>
      </c>
      <c r="AT188" s="36" t="n">
        <v>0.00492853935588356</v>
      </c>
      <c r="AU188" s="31" t="n">
        <v>0.484272504956946</v>
      </c>
      <c r="AV188" s="36" t="n">
        <v>0.267262</v>
      </c>
      <c r="AW188" s="31" t="n">
        <v>0.010278</v>
      </c>
      <c r="AX188" s="31" t="n">
        <v>0.001319</v>
      </c>
      <c r="AY188" s="31" t="n">
        <v>3.18623024651679E-006</v>
      </c>
      <c r="AZ188" s="31" t="n">
        <v>0.001329</v>
      </c>
      <c r="BA188" s="33" t="n">
        <v>25.166</v>
      </c>
      <c r="BB188" s="33"/>
      <c r="BC188" s="33"/>
      <c r="BD188" s="33"/>
      <c r="BE188" s="33"/>
      <c r="BF188" s="33" t="n">
        <v>0</v>
      </c>
      <c r="BG188" s="33"/>
      <c r="BH188" s="33"/>
      <c r="BI188" s="29"/>
      <c r="BJ188" s="33"/>
      <c r="BK188" s="33"/>
      <c r="BL188" s="33"/>
      <c r="BM188" s="33"/>
      <c r="BN188" s="29" t="n">
        <v>24</v>
      </c>
      <c r="BO188" s="33" t="n">
        <v>2.118</v>
      </c>
      <c r="BP188" s="33"/>
      <c r="BQ188" s="29" t="n">
        <v>2024</v>
      </c>
      <c r="BR188" s="36" t="n">
        <v>0.16</v>
      </c>
      <c r="BS188" s="36" t="n">
        <v>0</v>
      </c>
      <c r="BT188" s="36" t="n">
        <v>0</v>
      </c>
      <c r="BU188" s="36" t="n">
        <v>0.09</v>
      </c>
      <c r="BV188" s="16" t="n">
        <f aca="false">F188*(1+N(H188)/100)*(1+N(I188)/100)^5</f>
        <v>1.43502188068647</v>
      </c>
      <c r="BW188" s="16" t="n">
        <f aca="false">IF(N(G188)&gt;0,G188,F188)</f>
        <v>1.667</v>
      </c>
      <c r="BX188" s="12" t="n">
        <f aca="false">F188/BW188</f>
        <v>0.705458908218356</v>
      </c>
      <c r="BY188" s="13" t="n">
        <f aca="false">IF(ISNUMBER(K188),1,0)</f>
        <v>1</v>
      </c>
      <c r="BZ188" s="16" t="n">
        <f aca="false">IF(BY188=0,"",N(N188)+N(O188)+N(P188))</f>
        <v>0.155653498788555</v>
      </c>
      <c r="CA188" s="37" t="n">
        <f aca="false">IF(BY188=0,"",(N(Y188)*34.2+N(Z188)*38.6)/1000)</f>
        <v>0.0029468736872334</v>
      </c>
      <c r="CB188" s="37" t="n">
        <f aca="false">IF(BY188=0,"",N(O188)*0.0036+N(R188)+N(V188)+(N(AA188)*25.3+N(AB188)*37)/1000)</f>
        <v>0.000398557021955127</v>
      </c>
      <c r="CC188" s="37" t="n">
        <f aca="false">IF(BY188=0,"",N(N188)*0.0036+N(Q188)+N(U188)+N(T188)+N(X188)+N(AC188)*38/1000)</f>
        <v>0.00121136750146214</v>
      </c>
      <c r="CD188" s="37" t="n">
        <f aca="false">IF(BY188=0,"",N(Q188)+N(R188)+N(S188)+N(T188)+N(U188)+N(V188)+N(W188)+N(X188)+(N(Y188)*34.2+N(Z188)*38.6+N(AA188)*25.3+N(AB188)*37+N(AC188)*38)/1000)</f>
        <v>0.00399644561501186</v>
      </c>
      <c r="CE188" s="16" t="n">
        <f aca="false">IF(BY188=0,"",MAX(0,N(L188)-N(K188))+MAX(0,N(M188)-N(L188)))</f>
        <v>0.311</v>
      </c>
      <c r="CF188" s="16" t="n">
        <f aca="false">IF(BY188=0,"",N(Y188)*N(AD188)+N(Z188)*N(AE188)+N(AA188)*N(AF188)+N(AB188)*N(AG188)+N(AC188)*N(AH188)+N(U188)*N(AI188)+N(V188)*N(AJ188)+N(W188)*N(AK188)+N(X188)*N(AL188)+N(Q188)*N(AM188)+N(R188)*N(AN188)+N(S188)*N(AO188)+N(T188)*N(AP188))</f>
        <v>0.0815236271013489</v>
      </c>
      <c r="CG188" s="16" t="n">
        <f aca="false">IF(AND(BY188=1,N(K188)&gt;0),K188,0)</f>
        <v>0.375</v>
      </c>
      <c r="CH188" s="16" t="n">
        <f aca="false">IF(CG188&gt;0,CF188*1000/CG188,"")</f>
        <v>217.39633893693</v>
      </c>
      <c r="CI188" s="16" t="n">
        <f aca="false">IF(BY188=0,"",N(AQ188)+p_road*(N(AR188)+N(AS188)+N(AT188)))</f>
        <v>0.00021148103823842</v>
      </c>
      <c r="CJ188" s="16" t="n">
        <f aca="false">IF(CG188&gt;0,CI188*1000/CG188,"")</f>
        <v>0.563949435302454</v>
      </c>
      <c r="CK188" s="12" t="n">
        <f aca="false">IF(CH188="",1,MIN(p_idx_max,MAX(p_idx_min,CH188/p_fc_world)))</f>
        <v>1.35022622321845</v>
      </c>
      <c r="CL188" s="12" t="n">
        <f aca="false">IF(CJ188="",1,MIN(p_idx_max,MAX(p_idx_min,CJ188/p_cb_world)))</f>
        <v>0.25</v>
      </c>
      <c r="CM188" s="37" t="n">
        <f aca="false">p_b*(1-p_wb_idx+p_wb_idx*CK188)</f>
        <v>0.179580087688054</v>
      </c>
      <c r="CN188" s="37" t="n">
        <f aca="false">p_c*(1-p_wc_idx+p_wc_idx*CL188)</f>
        <v>0.03225</v>
      </c>
      <c r="CO188" s="28" t="n">
        <f aca="false">IF(N(BR188)&gt;0,(N(BS188)+N(BT188)+N(BU188))/BR188,"")</f>
        <v>0.5625</v>
      </c>
      <c r="CP188" s="16" t="n">
        <f aca="false">N(BS188)+N(BT188)+N(BU188)</f>
        <v>0.09</v>
      </c>
      <c r="CQ188" s="28" t="n">
        <f aca="false">IF(CP188&gt;0,N(BS188)/CP188,"")</f>
        <v>0</v>
      </c>
      <c r="CR188" s="28" t="n">
        <f aca="false">IF(CP188&gt;0,N(BT188)/CP188,"")</f>
        <v>0</v>
      </c>
      <c r="CS188" s="28" t="n">
        <f aca="false">IF(CP188&gt;0,N(BU188)/CP188,"")</f>
        <v>1</v>
      </c>
      <c r="CT188" s="7" t="n">
        <f aca="false">1000*(p_sh_pv*p_cf_pv/p_capex_pv+(1-p_sh_pv)*p_cf_wind/p_capex_wind)*8760</f>
        <v>2301.28856624319</v>
      </c>
      <c r="CU188" s="13" t="n">
        <f aca="false">IF(AND(ISNUMBER(CO188),ISNUMBER(CQ188),BY188=1),1,0)</f>
        <v>1</v>
      </c>
      <c r="CV188" s="16" t="n">
        <f aca="false">IF(CU188=0,"",CQ188*p_hr_coal*N(AK188)+CR188*p_hr_gas*N(AO188)+CS188*p_hr_oil*N(AH188)/p_gj_l_oil)</f>
        <v>147.801183568385</v>
      </c>
      <c r="CW188" s="37" t="n">
        <f aca="false">IF(CU188=0,"",CQ188*p_hr_coal*p_ef_coal+CR188*p_hr_gas*p_ef_gas+CS188*p_hr_oil*p_ef_oil)</f>
        <v>0.8127</v>
      </c>
      <c r="CX188" s="16" t="n">
        <f aca="false">IF(CU188=0,"",CQ188*p_hr_coal*N(AW188)+CR188*p_hr_gas*N(AX188)+CS188*p_hr_oil*N(AY188)/p_gj_l_oil)</f>
        <v>0.000866720662912597</v>
      </c>
      <c r="CY188" s="37" t="n">
        <f aca="false">IF(CU188=0,"",CO188*CW188)</f>
        <v>0.45714375</v>
      </c>
      <c r="CZ188" s="37" t="n">
        <f aca="false">IF(CU188=0,"",CT188*CO188*CV188/1000/1000-p_om_re)</f>
        <v>0.176324910275514</v>
      </c>
      <c r="DA188" s="37" t="n">
        <f aca="false">IF(CU188=0,"",CT188*CO188*CX188/1000/1000)</f>
        <v>1.12194807282421E-006</v>
      </c>
      <c r="DB188" s="37" t="n">
        <f aca="false">IF(CU188=0,"",CT188*CO188*CW188/1000)</f>
        <v>1.05201968500454</v>
      </c>
      <c r="DC188" s="13" t="n">
        <f aca="false">IF(AND(CU188=1,ISNUMBER(AD188),ISNUMBER(AV188)),1,0)</f>
        <v>1</v>
      </c>
      <c r="DD188" s="7" t="n">
        <f aca="false">IF(DC188=0,"",p_ev_km*p_ice_l/100*AD188-p_ev_km*p_ev_kwh*AV188+p_ev_km*p_ev_maint)</f>
        <v>389.8926</v>
      </c>
      <c r="DE188" s="37" t="n">
        <f aca="false">IF(DC188=0,"",DD188/p_ev_prem)</f>
        <v>0.07797852</v>
      </c>
      <c r="DF188" s="37" t="n">
        <f aca="false">IF(DC188=0,"",p_ev_km*p_ice_l/100*N(AZ188)/p_ev_prem)</f>
        <v>0.000299025</v>
      </c>
      <c r="DG188" s="37" t="n">
        <f aca="false">IF(DC188=0,"",1000/p_ev_prem*(p_ev_km*p_ice_l/100*p_gj_l_gso*p_ef_gso-p_ev_km*p_ev_kwh/1000*CY188))</f>
        <v>0.286405875</v>
      </c>
      <c r="DH188" s="11" t="str">
        <f aca="false">IFERROR(IF(INDEX(Damodaran!$D:$D,MATCH(A188,Damodaran!$A:$A,0))="","",INDEX(Damodaran!$D:$D,MATCH(A188,Damodaran!$A:$A,0))),"")</f>
        <v/>
      </c>
      <c r="DI188" s="11" t="str">
        <f aca="false">IFERROR(IF(INDEX(Damodaran!$E:$E,MATCH(A188,Damodaran!$A:$A,0))="","",INDEX(Damodaran!$E:$E,MATCH(A188,Damodaran!$A:$A,0))),"")</f>
        <v/>
      </c>
      <c r="DJ188" s="11" t="str">
        <f aca="false">IFERROR(IF(INDEX(Damodaran!$G:$G,MATCH(A188,Damodaran!$A:$A,0))="","",INDEX(Damodaran!$G:$G,MATCH(A188,Damodaran!$A:$A,0))),"")</f>
        <v/>
      </c>
      <c r="DK188" s="11" t="str">
        <f aca="false">IF(ISNUMBER(BG188),(1+BG188/100)*(1+p_infl)-1,"")</f>
        <v/>
      </c>
      <c r="DL188" s="11" t="str">
        <f aca="false">IF(ISNUMBER(BH188),BH188/100,"")</f>
        <v/>
      </c>
      <c r="DM188" s="11" t="str">
        <f aca="false">IF(COUNT(DK188,DL188)=0,"",AVERAGE(DK188,DL188))</f>
        <v/>
      </c>
      <c r="DN188" s="11" t="str">
        <f aca="false">IF(OR(DH188="",DI188=""),"",p_dv*(p_rf+DH188)*(1-IF(DJ188="",p_tax_def,DJ188))+(1-p_dv)*(p_rf+p_beta*p_erp+p_lambda*DI188))</f>
        <v/>
      </c>
      <c r="DO188" s="13" t="n">
        <f aca="false">IF(AND(ISNUMBER(DM188),ISNUMBER(DN188)),1,0)</f>
        <v>0</v>
      </c>
      <c r="DP188" s="11" t="n">
        <f aca="false">IF(DO188=1,DM188,0)</f>
        <v>0</v>
      </c>
      <c r="DQ188" s="11" t="n">
        <f aca="false">IF(DO188=1,DN188,0)</f>
        <v>0</v>
      </c>
      <c r="DR188" s="11" t="str">
        <f aca="false">IF(DN188="","",DN188+p_shift)</f>
        <v/>
      </c>
      <c r="DS188" s="11" t="n">
        <f aca="false">IF(E188="AE",p_r_ae,IF(E188="China",p_r_chn,p_r_emdc))</f>
        <v>0.105</v>
      </c>
      <c r="DT188" s="11" t="n">
        <f aca="false">IF(E188="AE",p_rh_ae,IF(E188="China",p_rh_chn,p_rh_emdc))</f>
        <v>0.15</v>
      </c>
      <c r="DU188" s="11" t="n">
        <f aca="false">IF(AND(p_use_obs=1,ISNUMBER(DM188)),DM188,IF(AND(p_use_dam=1,ISNUMBER(DR188)),DR188,DS188))</f>
        <v>0.105</v>
      </c>
      <c r="DV188" s="6" t="str">
        <f aca="false">IF(AND(p_use_obs=1,ISNUMBER(DM188)),"Observed (IRENA/Steffen)",IF(AND(p_use_dam=1,ISNUMBER(DR188)),"Damodaran (eq. 5)","Group default (IHLEG)"))</f>
        <v>Group default (IHLEG)</v>
      </c>
      <c r="DW188" s="11" t="n">
        <f aca="false">IF(p_basis=1,(1+DU188)/(1+p_infl)-1,DU188)</f>
        <v>0.105</v>
      </c>
      <c r="DX188" s="11" t="n">
        <f aca="false">DW188+(DT188-DS188)</f>
        <v>0.15</v>
      </c>
      <c r="DY188" s="28" t="n">
        <f aca="false">IF(AND(p_use_pefa=1,ISNUMBER(BD188)),p_gap_lic-(BD188-1)/3*(p_gap_lic-p_gap_ae),IF(E188="AE",p_gap_ae,IF(D188="Low income",p_gap_lic,p_gap_em)))*(1-p_reform*p_reform_close)</f>
        <v>0.27</v>
      </c>
      <c r="DZ188" s="6" t="str">
        <f aca="false">IF(AND(p_use_pefa=1,ISNUMBER(BD188)),"PEFA PI-11","Income-group default (IMF 2015)")</f>
        <v>Income-group default (IMF 2015)</v>
      </c>
      <c r="EA188" s="28" t="n">
        <f aca="false">IF(E188="AE",p_ps_ae,IF(E188="China",p_ps_chn,p_ps_emdc))</f>
        <v>0.4</v>
      </c>
      <c r="EB188" s="37" t="n">
        <f aca="false">(1-EA188)+EA188/(1-DY188)</f>
        <v>1.14794520547945</v>
      </c>
      <c r="EC188" s="16" t="n">
        <f aca="false">Results_Country!F188</f>
        <v>0.064643333037272</v>
      </c>
      <c r="ED188" s="16" t="n">
        <f aca="false">IF(CH188="",0,CH188*EC188)</f>
        <v>14.0532239389837</v>
      </c>
      <c r="EE188" s="16" t="n">
        <f aca="false">IF(CJ188="",0,CJ188*EC188)</f>
        <v>0.036455571162438</v>
      </c>
      <c r="EF188" s="16" t="n">
        <f aca="false">IF(CH188="",0,EC188)</f>
        <v>0.064643333037272</v>
      </c>
    </row>
    <row r="189" customFormat="false" ht="15" hidden="false" customHeight="false" outlineLevel="0" collapsed="false">
      <c r="A189" s="35" t="s">
        <v>1135</v>
      </c>
      <c r="B189" s="35" t="s">
        <v>1136</v>
      </c>
      <c r="C189" s="35" t="s">
        <v>784</v>
      </c>
      <c r="D189" s="35" t="s">
        <v>763</v>
      </c>
      <c r="E189" s="35" t="s">
        <v>31</v>
      </c>
      <c r="F189" s="36" t="n">
        <v>1.126</v>
      </c>
      <c r="G189" s="36" t="n">
        <v>2.174</v>
      </c>
      <c r="H189" s="33" t="n">
        <v>3.39</v>
      </c>
      <c r="I189" s="33" t="n">
        <v>3</v>
      </c>
      <c r="J189" s="36" t="n">
        <v>0.100616</v>
      </c>
      <c r="K189" s="36" t="n">
        <v>0.083</v>
      </c>
      <c r="L189" s="36" t="n">
        <v>0.152</v>
      </c>
      <c r="M189" s="36" t="n">
        <v>0.152</v>
      </c>
      <c r="N189" s="36" t="n">
        <v>0.0686740742837248</v>
      </c>
      <c r="O189" s="36" t="n">
        <v>0.0799361676146119</v>
      </c>
      <c r="P189" s="36" t="n">
        <v>0</v>
      </c>
      <c r="Q189" s="31" t="n">
        <v>0</v>
      </c>
      <c r="R189" s="31" t="n">
        <v>0</v>
      </c>
      <c r="S189" s="31" t="n">
        <v>0</v>
      </c>
      <c r="T189" s="31" t="n">
        <v>0</v>
      </c>
      <c r="U189" s="31" t="n">
        <v>0</v>
      </c>
      <c r="V189" s="31" t="n">
        <v>0</v>
      </c>
      <c r="W189" s="31" t="n">
        <v>0</v>
      </c>
      <c r="X189" s="31" t="n">
        <v>0</v>
      </c>
      <c r="Y189" s="36" t="n">
        <v>0.0484557248597485</v>
      </c>
      <c r="Z189" s="36" t="n">
        <v>0.0104616553928271</v>
      </c>
      <c r="AA189" s="36" t="n">
        <v>0.00766067395529576</v>
      </c>
      <c r="AB189" s="36" t="n">
        <v>1.10996818663837E-006</v>
      </c>
      <c r="AC189" s="36" t="n">
        <v>0.0281467268364024</v>
      </c>
      <c r="AD189" s="31" t="n">
        <v>0.87696</v>
      </c>
      <c r="AE189" s="31" t="n">
        <v>0.655</v>
      </c>
      <c r="AF189" s="31" t="n">
        <v>0.61944</v>
      </c>
      <c r="AG189" s="31" t="n">
        <v>0.568</v>
      </c>
      <c r="AH189" s="31" t="n">
        <v>0.521290377838329</v>
      </c>
      <c r="AI189" s="31" t="n">
        <v>7.124</v>
      </c>
      <c r="AJ189" s="31" t="n">
        <v>14.14388</v>
      </c>
      <c r="AK189" s="31" t="n">
        <v>5.575</v>
      </c>
      <c r="AL189" s="31" t="n">
        <v>8.94762666666667</v>
      </c>
      <c r="AM189" s="31" t="n">
        <v>8.095</v>
      </c>
      <c r="AN189" s="31" t="n">
        <v>18.60176</v>
      </c>
      <c r="AO189" s="31" t="n">
        <v>6.771</v>
      </c>
      <c r="AP189" s="31" t="n">
        <v>11.15592</v>
      </c>
      <c r="AQ189" s="36" t="n">
        <v>0.00106244661767016</v>
      </c>
      <c r="AR189" s="36" t="n">
        <v>0.0136646771457643</v>
      </c>
      <c r="AS189" s="36" t="n">
        <v>0.00549287178848479</v>
      </c>
      <c r="AT189" s="36" t="n">
        <v>0</v>
      </c>
      <c r="AU189" s="31" t="n">
        <v>0.277050574744418</v>
      </c>
      <c r="AV189" s="36" t="n">
        <v>0.305969</v>
      </c>
      <c r="AW189" s="31" t="n">
        <v>0.194684</v>
      </c>
      <c r="AX189" s="31" t="n">
        <v>0.002914</v>
      </c>
      <c r="AY189" s="31" t="n">
        <v>0.0125342794198858</v>
      </c>
      <c r="AZ189" s="31" t="n">
        <v>0.005852</v>
      </c>
      <c r="BA189" s="33" t="n">
        <v>102.838</v>
      </c>
      <c r="BB189" s="33" t="n">
        <v>10.388</v>
      </c>
      <c r="BC189" s="33"/>
      <c r="BD189" s="33"/>
      <c r="BE189" s="33"/>
      <c r="BF189" s="33" t="n">
        <v>0</v>
      </c>
      <c r="BG189" s="33"/>
      <c r="BH189" s="33"/>
      <c r="BI189" s="29"/>
      <c r="BJ189" s="33"/>
      <c r="BK189" s="33"/>
      <c r="BL189" s="33" t="n">
        <v>1.015</v>
      </c>
      <c r="BM189" s="33" t="n">
        <v>4.9</v>
      </c>
      <c r="BN189" s="29" t="n">
        <v>35.406</v>
      </c>
      <c r="BO189" s="33" t="n">
        <v>0.391</v>
      </c>
      <c r="BP189" s="33"/>
      <c r="BQ189" s="29" t="n">
        <v>2024</v>
      </c>
      <c r="BR189" s="36" t="n">
        <v>0.15</v>
      </c>
      <c r="BS189" s="36" t="n">
        <v>0</v>
      </c>
      <c r="BT189" s="36" t="n">
        <v>0</v>
      </c>
      <c r="BU189" s="36" t="n">
        <v>0.13</v>
      </c>
      <c r="BV189" s="16" t="n">
        <f aca="false">F189*(1+N(H189)/100)*(1+N(I189)/100)^5</f>
        <v>1.34959372206153</v>
      </c>
      <c r="BW189" s="16" t="n">
        <f aca="false">IF(N(G189)&gt;0,G189,F189)</f>
        <v>2.174</v>
      </c>
      <c r="BX189" s="12" t="n">
        <f aca="false">F189/BW189</f>
        <v>0.517939282428703</v>
      </c>
      <c r="BY189" s="13" t="n">
        <f aca="false">IF(ISNUMBER(K189),1,0)</f>
        <v>1</v>
      </c>
      <c r="BZ189" s="16" t="n">
        <f aca="false">IF(BY189=0,"",N(N189)+N(O189)+N(P189))</f>
        <v>0.148610241898337</v>
      </c>
      <c r="CA189" s="37" t="n">
        <f aca="false">IF(BY189=0,"",(N(Y189)*34.2+N(Z189)*38.6)/1000)</f>
        <v>0.00206100568836652</v>
      </c>
      <c r="CB189" s="37" t="n">
        <f aca="false">IF(BY189=0,"",N(O189)*0.0036+N(R189)+N(V189)+(N(AA189)*25.3+N(AB189)*37)/1000)</f>
        <v>0.000481626323304491</v>
      </c>
      <c r="CC189" s="37" t="n">
        <f aca="false">IF(BY189=0,"",N(N189)*0.0036+N(Q189)+N(U189)+N(T189)+N(X189)+N(AC189)*38/1000)</f>
        <v>0.0013168022872047</v>
      </c>
      <c r="CD189" s="37" t="n">
        <f aca="false">IF(BY189=0,"",N(Q189)+N(R189)+N(S189)+N(T189)+N(U189)+N(V189)+N(W189)+N(X189)+(N(Y189)*34.2+N(Z189)*38.6+N(AA189)*25.3+N(AB189)*37+N(AC189)*38)/1000)</f>
        <v>0.0033244374280417</v>
      </c>
      <c r="CE189" s="16" t="n">
        <f aca="false">IF(BY189=0,"",MAX(0,N(L189)-N(K189))+MAX(0,N(M189)-N(L189)))</f>
        <v>0.069</v>
      </c>
      <c r="CF189" s="16" t="n">
        <f aca="false">IF(BY189=0,"",N(Y189)*N(AD189)+N(Z189)*N(AE189)+N(AA189)*N(AF189)+N(AB189)*N(AG189)+N(AC189)*N(AH189)+N(U189)*N(AI189)+N(V189)*N(AJ189)+N(W189)*N(AK189)+N(X189)*N(AL189)+N(Q189)*N(AM189)+N(R189)*N(AN189)+N(S189)*N(AO189)+N(T189)*N(AP189))</f>
        <v>0.0687646929595656</v>
      </c>
      <c r="CG189" s="16" t="n">
        <f aca="false">IF(AND(BY189=1,N(K189)&gt;0),K189,0)</f>
        <v>0.083</v>
      </c>
      <c r="CH189" s="16" t="n">
        <f aca="false">IF(CG189&gt;0,CF189*1000/CG189,"")</f>
        <v>828.490276621272</v>
      </c>
      <c r="CI189" s="16" t="n">
        <f aca="false">IF(BY189=0,"",N(AQ189)+p_road*(N(AR189)+N(AS189)+N(AT189)))</f>
        <v>0.00106244661767016</v>
      </c>
      <c r="CJ189" s="16" t="n">
        <f aca="false">IF(CG189&gt;0,CI189*1000/CG189,"")</f>
        <v>12.8005616586766</v>
      </c>
      <c r="CK189" s="12" t="n">
        <f aca="false">IF(CH189="",1,MIN(p_idx_max,MAX(p_idx_min,CH189/p_fc_world)))</f>
        <v>4</v>
      </c>
      <c r="CL189" s="12" t="n">
        <f aca="false">IF(CJ189="",1,MIN(p_idx_max,MAX(p_idx_min,CJ189/p_cb_world)))</f>
        <v>0.25</v>
      </c>
      <c r="CM189" s="37" t="n">
        <f aca="false">p_b*(1-p_wb_idx+p_wb_idx*CK189)</f>
        <v>0.532</v>
      </c>
      <c r="CN189" s="37" t="n">
        <f aca="false">p_c*(1-p_wc_idx+p_wc_idx*CL189)</f>
        <v>0.03225</v>
      </c>
      <c r="CO189" s="28" t="n">
        <f aca="false">IF(N(BR189)&gt;0,(N(BS189)+N(BT189)+N(BU189))/BR189,"")</f>
        <v>0.866666666666667</v>
      </c>
      <c r="CP189" s="16" t="n">
        <f aca="false">N(BS189)+N(BT189)+N(BU189)</f>
        <v>0.13</v>
      </c>
      <c r="CQ189" s="28" t="n">
        <f aca="false">IF(CP189&gt;0,N(BS189)/CP189,"")</f>
        <v>0</v>
      </c>
      <c r="CR189" s="28" t="n">
        <f aca="false">IF(CP189&gt;0,N(BT189)/CP189,"")</f>
        <v>0</v>
      </c>
      <c r="CS189" s="28" t="n">
        <f aca="false">IF(CP189&gt;0,N(BU189)/CP189,"")</f>
        <v>1</v>
      </c>
      <c r="CT189" s="7" t="n">
        <f aca="false">1000*(p_sh_pv*p_cf_pv/p_capex_pv+(1-p_sh_pv)*p_cf_wind/p_capex_wind)*8760</f>
        <v>2301.28856624319</v>
      </c>
      <c r="CU189" s="13" t="n">
        <f aca="false">IF(AND(ISNUMBER(CO189),ISNUMBER(CQ189),BY189=1),1,0)</f>
        <v>1</v>
      </c>
      <c r="CV189" s="16" t="n">
        <f aca="false">IF(CU189=0,"",CQ189*p_hr_coal*N(AK189)+CR189*p_hr_gas*N(AO189)+CS189*p_hr_oil*N(AH189)/p_gj_l_oil)</f>
        <v>141.80178671768</v>
      </c>
      <c r="CW189" s="37" t="n">
        <f aca="false">IF(CU189=0,"",CQ189*p_hr_coal*p_ef_coal+CR189*p_hr_gas*p_ef_gas+CS189*p_hr_oil*p_ef_oil)</f>
        <v>0.8127</v>
      </c>
      <c r="CX189" s="16" t="n">
        <f aca="false">IF(CU189=0,"",CQ189*p_hr_coal*N(AW189)+CR189*p_hr_gas*N(AX189)+CS189*p_hr_oil*N(AY189)/p_gj_l_oil)</f>
        <v>3.40958378002074</v>
      </c>
      <c r="CY189" s="37" t="n">
        <f aca="false">IF(CU189=0,"",CO189*CW189)</f>
        <v>0.70434</v>
      </c>
      <c r="CZ189" s="37" t="n">
        <f aca="false">IF(CU189=0,"",CT189*CO189*CV189/1000/1000-p_om_re)</f>
        <v>0.267816586386753</v>
      </c>
      <c r="DA189" s="37" t="n">
        <f aca="false">IF(CU189=0,"",CT189*CO189*CX189/1000/1000)</f>
        <v>0.00680024467946199</v>
      </c>
      <c r="DB189" s="37" t="n">
        <f aca="false">IF(CU189=0,"",CT189*CO189*CW189/1000)</f>
        <v>1.62088958874773</v>
      </c>
      <c r="DC189" s="13" t="n">
        <f aca="false">IF(AND(CU189=1,ISNUMBER(AD189),ISNUMBER(AV189)),1,0)</f>
        <v>1</v>
      </c>
      <c r="DD189" s="7" t="n">
        <f aca="false">IF(DC189=0,"",p_ev_km*p_ice_l/100*AD189-p_ev_km*p_ev_kwh*AV189+p_ev_km*p_ev_maint)</f>
        <v>340.4637</v>
      </c>
      <c r="DE189" s="37" t="n">
        <f aca="false">IF(DC189=0,"",DD189/p_ev_prem)</f>
        <v>0.06809274</v>
      </c>
      <c r="DF189" s="37" t="n">
        <f aca="false">IF(DC189=0,"",p_ev_km*p_ice_l/100*N(AZ189)/p_ev_prem)</f>
        <v>0.0013167</v>
      </c>
      <c r="DG189" s="37" t="n">
        <f aca="false">IF(DC189=0,"",1000/p_ev_prem*(p_ev_km*p_ice_l/100*p_gj_l_gso*p_ef_gso-p_ev_km*p_ev_kwh/1000*CY189))</f>
        <v>0.1529199</v>
      </c>
      <c r="DH189" s="11" t="str">
        <f aca="false">IFERROR(IF(INDEX(Damodaran!$D:$D,MATCH(A189,Damodaran!$A:$A,0))="","",INDEX(Damodaran!$D:$D,MATCH(A189,Damodaran!$A:$A,0))),"")</f>
        <v/>
      </c>
      <c r="DI189" s="11" t="str">
        <f aca="false">IFERROR(IF(INDEX(Damodaran!$E:$E,MATCH(A189,Damodaran!$A:$A,0))="","",INDEX(Damodaran!$E:$E,MATCH(A189,Damodaran!$A:$A,0))),"")</f>
        <v/>
      </c>
      <c r="DJ189" s="11" t="str">
        <f aca="false">IFERROR(IF(INDEX(Damodaran!$G:$G,MATCH(A189,Damodaran!$A:$A,0))="","",INDEX(Damodaran!$G:$G,MATCH(A189,Damodaran!$A:$A,0))),"")</f>
        <v/>
      </c>
      <c r="DK189" s="11" t="str">
        <f aca="false">IF(ISNUMBER(BG189),(1+BG189/100)*(1+p_infl)-1,"")</f>
        <v/>
      </c>
      <c r="DL189" s="11" t="str">
        <f aca="false">IF(ISNUMBER(BH189),BH189/100,"")</f>
        <v/>
      </c>
      <c r="DM189" s="11" t="str">
        <f aca="false">IF(COUNT(DK189,DL189)=0,"",AVERAGE(DK189,DL189))</f>
        <v/>
      </c>
      <c r="DN189" s="11" t="str">
        <f aca="false">IF(OR(DH189="",DI189=""),"",p_dv*(p_rf+DH189)*(1-IF(DJ189="",p_tax_def,DJ189))+(1-p_dv)*(p_rf+p_beta*p_erp+p_lambda*DI189))</f>
        <v/>
      </c>
      <c r="DO189" s="13" t="n">
        <f aca="false">IF(AND(ISNUMBER(DM189),ISNUMBER(DN189)),1,0)</f>
        <v>0</v>
      </c>
      <c r="DP189" s="11" t="n">
        <f aca="false">IF(DO189=1,DM189,0)</f>
        <v>0</v>
      </c>
      <c r="DQ189" s="11" t="n">
        <f aca="false">IF(DO189=1,DN189,0)</f>
        <v>0</v>
      </c>
      <c r="DR189" s="11" t="str">
        <f aca="false">IF(DN189="","",DN189+p_shift)</f>
        <v/>
      </c>
      <c r="DS189" s="11" t="n">
        <f aca="false">IF(E189="AE",p_r_ae,IF(E189="China",p_r_chn,p_r_emdc))</f>
        <v>0.105</v>
      </c>
      <c r="DT189" s="11" t="n">
        <f aca="false">IF(E189="AE",p_rh_ae,IF(E189="China",p_rh_chn,p_rh_emdc))</f>
        <v>0.15</v>
      </c>
      <c r="DU189" s="11" t="n">
        <f aca="false">IF(AND(p_use_obs=1,ISNUMBER(DM189)),DM189,IF(AND(p_use_dam=1,ISNUMBER(DR189)),DR189,DS189))</f>
        <v>0.105</v>
      </c>
      <c r="DV189" s="6" t="str">
        <f aca="false">IF(AND(p_use_obs=1,ISNUMBER(DM189)),"Observed (IRENA/Steffen)",IF(AND(p_use_dam=1,ISNUMBER(DR189)),"Damodaran (eq. 5)","Group default (IHLEG)"))</f>
        <v>Group default (IHLEG)</v>
      </c>
      <c r="DW189" s="11" t="n">
        <f aca="false">IF(p_basis=1,(1+DU189)/(1+p_infl)-1,DU189)</f>
        <v>0.105</v>
      </c>
      <c r="DX189" s="11" t="n">
        <f aca="false">DW189+(DT189-DS189)</f>
        <v>0.15</v>
      </c>
      <c r="DY189" s="28" t="n">
        <f aca="false">IF(AND(p_use_pefa=1,ISNUMBER(BD189)),p_gap_lic-(BD189-1)/3*(p_gap_lic-p_gap_ae),IF(E189="AE",p_gap_ae,IF(D189="Low income",p_gap_lic,p_gap_em)))*(1-p_reform*p_reform_close)</f>
        <v>0.27</v>
      </c>
      <c r="DZ189" s="6" t="str">
        <f aca="false">IF(AND(p_use_pefa=1,ISNUMBER(BD189)),"PEFA PI-11","Income-group default (IMF 2015)")</f>
        <v>Income-group default (IMF 2015)</v>
      </c>
      <c r="EA189" s="28" t="n">
        <f aca="false">IF(E189="AE",p_ps_ae,IF(E189="China",p_ps_chn,p_ps_emdc))</f>
        <v>0.4</v>
      </c>
      <c r="EB189" s="37" t="n">
        <f aca="false">(1-EA189)+EA189/(1-DY189)</f>
        <v>1.14794520547945</v>
      </c>
      <c r="EC189" s="16" t="n">
        <f aca="false">Results_Country!F189</f>
        <v>0.0553168433999935</v>
      </c>
      <c r="ED189" s="16" t="n">
        <f aca="false">IF(CH189="",0,CH189*EC189)</f>
        <v>45.8294668902762</v>
      </c>
      <c r="EE189" s="16" t="n">
        <f aca="false">IF(CJ189="",0,CJ189*EC189)</f>
        <v>0.708086664704977</v>
      </c>
      <c r="EF189" s="16" t="n">
        <f aca="false">IF(CH189="",0,EC189)</f>
        <v>0.0553168433999935</v>
      </c>
    </row>
    <row r="190" customFormat="false" ht="15" hidden="false" customHeight="false" outlineLevel="0" collapsed="false">
      <c r="A190" s="35" t="s">
        <v>1137</v>
      </c>
      <c r="B190" s="35" t="s">
        <v>1138</v>
      </c>
      <c r="C190" s="35" t="s">
        <v>784</v>
      </c>
      <c r="D190" s="35" t="s">
        <v>760</v>
      </c>
      <c r="E190" s="35" t="s">
        <v>31</v>
      </c>
      <c r="F190" s="36" t="n">
        <v>1.051</v>
      </c>
      <c r="G190" s="36" t="n">
        <v>1.654</v>
      </c>
      <c r="H190" s="33" t="n">
        <v>1.495</v>
      </c>
      <c r="I190" s="33" t="n">
        <v>2.039</v>
      </c>
      <c r="J190" s="36" t="n">
        <v>0.046843</v>
      </c>
      <c r="K190" s="36" t="n">
        <v>0.096</v>
      </c>
      <c r="L190" s="36" t="n">
        <v>0.146</v>
      </c>
      <c r="M190" s="36" t="n">
        <v>0.146</v>
      </c>
      <c r="N190" s="36" t="n">
        <v>0.129428406959524</v>
      </c>
      <c r="O190" s="36" t="n">
        <v>0.0558006370393464</v>
      </c>
      <c r="P190" s="36" t="n">
        <v>0</v>
      </c>
      <c r="Q190" s="31" t="n">
        <v>0</v>
      </c>
      <c r="R190" s="31" t="n">
        <v>0</v>
      </c>
      <c r="S190" s="31" t="n">
        <v>0</v>
      </c>
      <c r="T190" s="31" t="n">
        <v>0</v>
      </c>
      <c r="U190" s="31" t="n">
        <v>0</v>
      </c>
      <c r="V190" s="31" t="n">
        <v>0</v>
      </c>
      <c r="W190" s="31" t="n">
        <v>0</v>
      </c>
      <c r="X190" s="31" t="n">
        <v>0</v>
      </c>
      <c r="Y190" s="36" t="n">
        <v>0.0251044340944463</v>
      </c>
      <c r="Z190" s="36" t="n">
        <v>0.0639405009325304</v>
      </c>
      <c r="AA190" s="36" t="n">
        <v>0.00386168724031993</v>
      </c>
      <c r="AB190" s="36" t="n">
        <v>0.000383237993352765</v>
      </c>
      <c r="AC190" s="36" t="n">
        <v>0.0791392035542488</v>
      </c>
      <c r="AD190" s="31" t="n">
        <v>0.877244</v>
      </c>
      <c r="AE190" s="31" t="n">
        <v>0.688081</v>
      </c>
      <c r="AF190" s="31" t="n">
        <v>0.609442</v>
      </c>
      <c r="AG190" s="31" t="n">
        <v>0.660052</v>
      </c>
      <c r="AH190" s="31" t="n">
        <v>0.521813140181357</v>
      </c>
      <c r="AI190" s="31" t="n">
        <v>7.124</v>
      </c>
      <c r="AJ190" s="31" t="n">
        <v>14.26581</v>
      </c>
      <c r="AK190" s="31" t="n">
        <v>5.575</v>
      </c>
      <c r="AL190" s="31" t="n">
        <v>8.98827</v>
      </c>
      <c r="AM190" s="31" t="n">
        <v>12.771</v>
      </c>
      <c r="AN190" s="31" t="n">
        <v>24.23304</v>
      </c>
      <c r="AO190" s="31" t="n">
        <v>11.447</v>
      </c>
      <c r="AP190" s="31" t="n">
        <v>16.1503466666667</v>
      </c>
      <c r="AQ190" s="36" t="s">
        <v>844</v>
      </c>
      <c r="AR190" s="36" t="s">
        <v>844</v>
      </c>
      <c r="AS190" s="36" t="s">
        <v>844</v>
      </c>
      <c r="AT190" s="36" t="s">
        <v>844</v>
      </c>
      <c r="AU190" s="31" t="n">
        <v>0.131220417124841</v>
      </c>
      <c r="AV190" s="36" t="n">
        <v>0.323</v>
      </c>
      <c r="AW190" s="31" t="s">
        <v>844</v>
      </c>
      <c r="AX190" s="31" t="s">
        <v>844</v>
      </c>
      <c r="AY190" s="31" t="s">
        <v>844</v>
      </c>
      <c r="AZ190" s="31" t="s">
        <v>844</v>
      </c>
      <c r="BA190" s="33" t="n">
        <v>58.125</v>
      </c>
      <c r="BB190" s="33" t="n">
        <v>3.79</v>
      </c>
      <c r="BC190" s="33"/>
      <c r="BD190" s="33"/>
      <c r="BE190" s="33"/>
      <c r="BF190" s="33" t="n">
        <v>0</v>
      </c>
      <c r="BG190" s="33"/>
      <c r="BH190" s="33"/>
      <c r="BI190" s="29"/>
      <c r="BJ190" s="33"/>
      <c r="BK190" s="33"/>
      <c r="BL190" s="33"/>
      <c r="BM190" s="33"/>
      <c r="BN190" s="29"/>
      <c r="BO190" s="33"/>
      <c r="BP190" s="33" t="n">
        <v>0.911</v>
      </c>
      <c r="BQ190" s="29" t="n">
        <v>2024</v>
      </c>
      <c r="BR190" s="36" t="n">
        <v>0.23</v>
      </c>
      <c r="BS190" s="36" t="n">
        <v>0</v>
      </c>
      <c r="BT190" s="36" t="n">
        <v>0</v>
      </c>
      <c r="BU190" s="36" t="n">
        <v>0.21</v>
      </c>
      <c r="BV190" s="16" t="n">
        <f aca="false">F190*(1+N(H190)/100)*(1+N(I190)/100)^5</f>
        <v>1.17999001654529</v>
      </c>
      <c r="BW190" s="16" t="n">
        <f aca="false">IF(N(G190)&gt;0,G190,F190)</f>
        <v>1.654</v>
      </c>
      <c r="BX190" s="12" t="n">
        <f aca="false">F190/BW190</f>
        <v>0.635429262394196</v>
      </c>
      <c r="BY190" s="13" t="n">
        <f aca="false">IF(ISNUMBER(K190),1,0)</f>
        <v>1</v>
      </c>
      <c r="BZ190" s="16" t="n">
        <f aca="false">IF(BY190=0,"",N(N190)+N(O190)+N(P190))</f>
        <v>0.185229043998871</v>
      </c>
      <c r="CA190" s="37" t="n">
        <f aca="false">IF(BY190=0,"",(N(Y190)*34.2+N(Z190)*38.6)/1000)</f>
        <v>0.00332667498202574</v>
      </c>
      <c r="CB190" s="37" t="n">
        <f aca="false">IF(BY190=0,"",N(O190)*0.0036+N(R190)+N(V190)+(N(AA190)*25.3+N(AB190)*37)/1000)</f>
        <v>0.000312762786275794</v>
      </c>
      <c r="CC190" s="37" t="n">
        <f aca="false">IF(BY190=0,"",N(N190)*0.0036+N(Q190)+N(U190)+N(T190)+N(X190)+N(AC190)*38/1000)</f>
        <v>0.00347323200011574</v>
      </c>
      <c r="CD190" s="37" t="n">
        <f aca="false">IF(BY190=0,"",N(Q190)+N(R190)+N(S190)+N(T190)+N(U190)+N(V190)+N(W190)+N(X190)+(N(Y190)*34.2+N(Z190)*38.6+N(AA190)*25.3+N(AB190)*37+N(AC190)*38)/1000)</f>
        <v>0.00644584521002134</v>
      </c>
      <c r="CE190" s="16" t="n">
        <f aca="false">IF(BY190=0,"",MAX(0,N(L190)-N(K190))+MAX(0,N(M190)-N(L190)))</f>
        <v>0.05</v>
      </c>
      <c r="CF190" s="16" t="n">
        <f aca="false">IF(BY190=0,"",N(Y190)*N(AD190)+N(Z190)*N(AE190)+N(AA190)*N(AF190)+N(AB190)*N(AG190)+N(AC190)*N(AH190)+N(U190)*N(AI190)+N(V190)*N(AJ190)+N(W190)*N(AK190)+N(X190)*N(AL190)+N(Q190)*N(AM190)+N(R190)*N(AN190)+N(S190)*N(AO190)+N(T190)*N(AP190))</f>
        <v>0.109921265722103</v>
      </c>
      <c r="CG190" s="16" t="n">
        <f aca="false">IF(AND(BY190=1,N(K190)&gt;0),K190,0)</f>
        <v>0.096</v>
      </c>
      <c r="CH190" s="16" t="n">
        <f aca="false">IF(CG190&gt;0,CF190*1000/CG190,"")</f>
        <v>1145.01318460523</v>
      </c>
      <c r="CI190" s="16" t="n">
        <f aca="false">IF(BY190=0,"",N(AQ190)+p_road*(N(AR190)+N(AS190)+N(AT190)))</f>
        <v>0</v>
      </c>
      <c r="CJ190" s="16" t="n">
        <f aca="false">IF(CG190&gt;0,CI190*1000/CG190,"")</f>
        <v>0</v>
      </c>
      <c r="CK190" s="12" t="n">
        <f aca="false">IF(CH190="",1,MIN(p_idx_max,MAX(p_idx_min,CH190/p_fc_world)))</f>
        <v>4</v>
      </c>
      <c r="CL190" s="12" t="n">
        <f aca="false">IF(CJ190="",1,MIN(p_idx_max,MAX(p_idx_min,CJ190/p_cb_world)))</f>
        <v>0.25</v>
      </c>
      <c r="CM190" s="37" t="n">
        <f aca="false">p_b*(1-p_wb_idx+p_wb_idx*CK190)</f>
        <v>0.532</v>
      </c>
      <c r="CN190" s="37" t="n">
        <f aca="false">p_c*(1-p_wc_idx+p_wc_idx*CL190)</f>
        <v>0.03225</v>
      </c>
      <c r="CO190" s="28" t="n">
        <f aca="false">IF(N(BR190)&gt;0,(N(BS190)+N(BT190)+N(BU190))/BR190,"")</f>
        <v>0.91304347826087</v>
      </c>
      <c r="CP190" s="16" t="n">
        <f aca="false">N(BS190)+N(BT190)+N(BU190)</f>
        <v>0.21</v>
      </c>
      <c r="CQ190" s="28" t="n">
        <f aca="false">IF(CP190&gt;0,N(BS190)/CP190,"")</f>
        <v>0</v>
      </c>
      <c r="CR190" s="28" t="n">
        <f aca="false">IF(CP190&gt;0,N(BT190)/CP190,"")</f>
        <v>0</v>
      </c>
      <c r="CS190" s="28" t="n">
        <f aca="false">IF(CP190&gt;0,N(BU190)/CP190,"")</f>
        <v>1</v>
      </c>
      <c r="CT190" s="7" t="n">
        <f aca="false">1000*(p_sh_pv*p_cf_pv/p_capex_pv+(1-p_sh_pv)*p_cf_wind/p_capex_wind)*8760</f>
        <v>2301.28856624319</v>
      </c>
      <c r="CU190" s="13" t="n">
        <f aca="false">IF(AND(ISNUMBER(CO190),ISNUMBER(CQ190),BY190=1),1,0)</f>
        <v>1</v>
      </c>
      <c r="CV190" s="16" t="n">
        <f aca="false">IF(CU190=0,"",CQ190*p_hr_coal*N(AK190)+CR190*p_hr_gas*N(AO190)+CS190*p_hr_oil*N(AH190)/p_gj_l_oil)</f>
        <v>141.943988909436</v>
      </c>
      <c r="CW190" s="37" t="n">
        <f aca="false">IF(CU190=0,"",CQ190*p_hr_coal*p_ef_coal+CR190*p_hr_gas*p_ef_gas+CS190*p_hr_oil*p_ef_oil)</f>
        <v>0.8127</v>
      </c>
      <c r="CX190" s="16" t="n">
        <f aca="false">IF(CU190=0,"",CQ190*p_hr_coal*N(AW190)+CR190*p_hr_gas*N(AX190)+CS190*p_hr_oil*N(AY190)/p_gj_l_oil)</f>
        <v>0</v>
      </c>
      <c r="CY190" s="37" t="n">
        <f aca="false">IF(CU190=0,"",CO190*CW190)</f>
        <v>0.742030434782609</v>
      </c>
      <c r="CZ190" s="37" t="n">
        <f aca="false">IF(CU190=0,"",CT190*CO190*CV190/1000/1000-p_om_re)</f>
        <v>0.283249376226477</v>
      </c>
      <c r="DA190" s="37" t="n">
        <f aca="false">IF(CU190=0,"",CT190*CO190*CX190/1000/1000)</f>
        <v>0</v>
      </c>
      <c r="DB190" s="37" t="n">
        <f aca="false">IF(CU190=0,"",CT190*CO190*CW190/1000)</f>
        <v>1.70762615536968</v>
      </c>
      <c r="DC190" s="13" t="n">
        <f aca="false">IF(AND(CU190=1,ISNUMBER(AD190),ISNUMBER(AV190)),1,0)</f>
        <v>1</v>
      </c>
      <c r="DD190" s="7" t="n">
        <f aca="false">IF(DC190=0,"",p_ev_km*p_ice_l/100*AD190-p_ev_km*p_ev_kwh*AV190+p_ev_km*p_ev_maint)</f>
        <v>294.7995</v>
      </c>
      <c r="DE190" s="37" t="n">
        <f aca="false">IF(DC190=0,"",DD190/p_ev_prem)</f>
        <v>0.0589599</v>
      </c>
      <c r="DF190" s="37" t="n">
        <f aca="false">IF(DC190=0,"",p_ev_km*p_ice_l/100*N(AZ190)/p_ev_prem)</f>
        <v>0</v>
      </c>
      <c r="DG190" s="37" t="n">
        <f aca="false">IF(DC190=0,"",1000/p_ev_prem*(p_ev_km*p_ice_l/100*p_gj_l_gso*p_ef_gso-p_ev_km*p_ev_kwh/1000*CY190))</f>
        <v>0.132567065217391</v>
      </c>
      <c r="DH190" s="11" t="str">
        <f aca="false">IFERROR(IF(INDEX(Damodaran!$D:$D,MATCH(A190,Damodaran!$A:$A,0))="","",INDEX(Damodaran!$D:$D,MATCH(A190,Damodaran!$A:$A,0))),"")</f>
        <v/>
      </c>
      <c r="DI190" s="11" t="str">
        <f aca="false">IFERROR(IF(INDEX(Damodaran!$E:$E,MATCH(A190,Damodaran!$A:$A,0))="","",INDEX(Damodaran!$E:$E,MATCH(A190,Damodaran!$A:$A,0))),"")</f>
        <v/>
      </c>
      <c r="DJ190" s="11" t="str">
        <f aca="false">IFERROR(IF(INDEX(Damodaran!$G:$G,MATCH(A190,Damodaran!$A:$A,0))="","",INDEX(Damodaran!$G:$G,MATCH(A190,Damodaran!$A:$A,0))),"")</f>
        <v/>
      </c>
      <c r="DK190" s="11" t="str">
        <f aca="false">IF(ISNUMBER(BG190),(1+BG190/100)*(1+p_infl)-1,"")</f>
        <v/>
      </c>
      <c r="DL190" s="11" t="str">
        <f aca="false">IF(ISNUMBER(BH190),BH190/100,"")</f>
        <v/>
      </c>
      <c r="DM190" s="11" t="str">
        <f aca="false">IF(COUNT(DK190,DL190)=0,"",AVERAGE(DK190,DL190))</f>
        <v/>
      </c>
      <c r="DN190" s="11" t="str">
        <f aca="false">IF(OR(DH190="",DI190=""),"",p_dv*(p_rf+DH190)*(1-IF(DJ190="",p_tax_def,DJ190))+(1-p_dv)*(p_rf+p_beta*p_erp+p_lambda*DI190))</f>
        <v/>
      </c>
      <c r="DO190" s="13" t="n">
        <f aca="false">IF(AND(ISNUMBER(DM190),ISNUMBER(DN190)),1,0)</f>
        <v>0</v>
      </c>
      <c r="DP190" s="11" t="n">
        <f aca="false">IF(DO190=1,DM190,0)</f>
        <v>0</v>
      </c>
      <c r="DQ190" s="11" t="n">
        <f aca="false">IF(DO190=1,DN190,0)</f>
        <v>0</v>
      </c>
      <c r="DR190" s="11" t="str">
        <f aca="false">IF(DN190="","",DN190+p_shift)</f>
        <v/>
      </c>
      <c r="DS190" s="11" t="n">
        <f aca="false">IF(E190="AE",p_r_ae,IF(E190="China",p_r_chn,p_r_emdc))</f>
        <v>0.105</v>
      </c>
      <c r="DT190" s="11" t="n">
        <f aca="false">IF(E190="AE",p_rh_ae,IF(E190="China",p_rh_chn,p_rh_emdc))</f>
        <v>0.15</v>
      </c>
      <c r="DU190" s="11" t="n">
        <f aca="false">IF(AND(p_use_obs=1,ISNUMBER(DM190)),DM190,IF(AND(p_use_dam=1,ISNUMBER(DR190)),DR190,DS190))</f>
        <v>0.105</v>
      </c>
      <c r="DV190" s="6" t="str">
        <f aca="false">IF(AND(p_use_obs=1,ISNUMBER(DM190)),"Observed (IRENA/Steffen)",IF(AND(p_use_dam=1,ISNUMBER(DR190)),"Damodaran (eq. 5)","Group default (IHLEG)"))</f>
        <v>Group default (IHLEG)</v>
      </c>
      <c r="DW190" s="11" t="n">
        <f aca="false">IF(p_basis=1,(1+DU190)/(1+p_infl)-1,DU190)</f>
        <v>0.105</v>
      </c>
      <c r="DX190" s="11" t="n">
        <f aca="false">DW190+(DT190-DS190)</f>
        <v>0.15</v>
      </c>
      <c r="DY190" s="28" t="n">
        <f aca="false">IF(AND(p_use_pefa=1,ISNUMBER(BD190)),p_gap_lic-(BD190-1)/3*(p_gap_lic-p_gap_ae),IF(E190="AE",p_gap_ae,IF(D190="Low income",p_gap_lic,p_gap_em)))*(1-p_reform*p_reform_close)</f>
        <v>0.27</v>
      </c>
      <c r="DZ190" s="6" t="str">
        <f aca="false">IF(AND(p_use_pefa=1,ISNUMBER(BD190)),"PEFA PI-11","Income-group default (IMF 2015)")</f>
        <v>Income-group default (IMF 2015)</v>
      </c>
      <c r="EA190" s="28" t="n">
        <f aca="false">IF(E190="AE",p_ps_ae,IF(E190="China",p_ps_chn,p_ps_emdc))</f>
        <v>0.4</v>
      </c>
      <c r="EB190" s="37" t="n">
        <f aca="false">(1-EA190)+EA190/(1-DY190)</f>
        <v>1.14794520547945</v>
      </c>
      <c r="EC190" s="16" t="n">
        <f aca="false">Results_Country!F190</f>
        <v>0.0628351287283249</v>
      </c>
      <c r="ED190" s="16" t="n">
        <f aca="false">IF(CH190="",0,CH190*EC190)</f>
        <v>71.9470508502991</v>
      </c>
      <c r="EE190" s="16" t="n">
        <f aca="false">IF(CJ190="",0,CJ190*EC190)</f>
        <v>0</v>
      </c>
      <c r="EF190" s="16" t="n">
        <f aca="false">IF(CH190="",0,EC190)</f>
        <v>0.0628351287283249</v>
      </c>
    </row>
    <row r="191" customFormat="false" ht="15" hidden="false" customHeight="false" outlineLevel="0" collapsed="false">
      <c r="A191" s="35" t="s">
        <v>1139</v>
      </c>
      <c r="B191" s="35" t="s">
        <v>1140</v>
      </c>
      <c r="C191" s="35" t="s">
        <v>847</v>
      </c>
      <c r="D191" s="35" t="s">
        <v>771</v>
      </c>
      <c r="E191" s="35" t="s">
        <v>31</v>
      </c>
      <c r="F191" s="36" t="n">
        <v>0.828</v>
      </c>
      <c r="G191" s="36" t="n">
        <v>1.472</v>
      </c>
      <c r="H191" s="33" t="n">
        <v>2.1</v>
      </c>
      <c r="I191" s="33" t="n">
        <v>3.4</v>
      </c>
      <c r="J191" s="36" t="n">
        <v>0.235536</v>
      </c>
      <c r="K191" s="36" t="n">
        <v>0.153</v>
      </c>
      <c r="L191" s="36" t="n">
        <v>0.257</v>
      </c>
      <c r="M191" s="36" t="n">
        <v>0.461</v>
      </c>
      <c r="N191" s="36" t="n">
        <v>0.0319474191995639</v>
      </c>
      <c r="O191" s="36" t="n">
        <v>0.0275155594985294</v>
      </c>
      <c r="P191" s="36" t="n">
        <v>0</v>
      </c>
      <c r="Q191" s="31" t="n">
        <v>0</v>
      </c>
      <c r="R191" s="31" t="n">
        <v>0</v>
      </c>
      <c r="S191" s="31" t="n">
        <v>0</v>
      </c>
      <c r="T191" s="31" t="n">
        <v>0</v>
      </c>
      <c r="U191" s="31" t="n">
        <v>0</v>
      </c>
      <c r="V191" s="31" t="n">
        <v>0</v>
      </c>
      <c r="W191" s="31" t="n">
        <v>0</v>
      </c>
      <c r="X191" s="31" t="n">
        <v>0</v>
      </c>
      <c r="Y191" s="36" t="n">
        <v>0.00812694212875115</v>
      </c>
      <c r="Z191" s="36" t="n">
        <v>0.00685951653277989</v>
      </c>
      <c r="AA191" s="36" t="n">
        <v>0.000316992792606274</v>
      </c>
      <c r="AB191" s="36" t="n">
        <v>0.00517474411954724</v>
      </c>
      <c r="AC191" s="36" t="n">
        <v>0.0283885543126636</v>
      </c>
      <c r="AD191" s="31" t="n">
        <v>0.724</v>
      </c>
      <c r="AE191" s="31" t="n">
        <v>0.75</v>
      </c>
      <c r="AF191" s="31" t="n">
        <v>0.513</v>
      </c>
      <c r="AG191" s="31" t="n">
        <v>0.591</v>
      </c>
      <c r="AH191" s="31" t="n">
        <v>0.519462891908447</v>
      </c>
      <c r="AI191" s="31" t="n">
        <v>7.124</v>
      </c>
      <c r="AJ191" s="31" t="n">
        <v>12.193</v>
      </c>
      <c r="AK191" s="31" t="n">
        <v>5.575</v>
      </c>
      <c r="AL191" s="31" t="n">
        <v>8.29733333333333</v>
      </c>
      <c r="AM191" s="31" t="n">
        <v>12.345</v>
      </c>
      <c r="AN191" s="31" t="n">
        <v>20.286</v>
      </c>
      <c r="AO191" s="31" t="n">
        <v>11.021</v>
      </c>
      <c r="AP191" s="31" t="n">
        <v>14.5506666666667</v>
      </c>
      <c r="AQ191" s="36" t="s">
        <v>844</v>
      </c>
      <c r="AR191" s="36" t="s">
        <v>844</v>
      </c>
      <c r="AS191" s="36" t="s">
        <v>844</v>
      </c>
      <c r="AT191" s="36" t="s">
        <v>844</v>
      </c>
      <c r="AU191" s="31" t="n">
        <v>0.0542563989867557</v>
      </c>
      <c r="AV191" s="36" t="n">
        <v>0.306178</v>
      </c>
      <c r="AW191" s="31" t="s">
        <v>844</v>
      </c>
      <c r="AX191" s="31" t="s">
        <v>844</v>
      </c>
      <c r="AY191" s="31" t="s">
        <v>844</v>
      </c>
      <c r="AZ191" s="31" t="s">
        <v>844</v>
      </c>
      <c r="BA191" s="33" t="n">
        <v>65.223</v>
      </c>
      <c r="BB191" s="33" t="n">
        <v>2.86</v>
      </c>
      <c r="BC191" s="33" t="n">
        <v>57.04</v>
      </c>
      <c r="BD191" s="33" t="n">
        <v>1</v>
      </c>
      <c r="BE191" s="33" t="n">
        <v>1</v>
      </c>
      <c r="BF191" s="33" t="n">
        <v>0</v>
      </c>
      <c r="BG191" s="33"/>
      <c r="BH191" s="33"/>
      <c r="BI191" s="29"/>
      <c r="BJ191" s="33"/>
      <c r="BK191" s="33"/>
      <c r="BL191" s="33" t="n">
        <v>1.35</v>
      </c>
      <c r="BM191" s="33" t="n">
        <v>1.5</v>
      </c>
      <c r="BN191" s="29" t="n">
        <v>18.517</v>
      </c>
      <c r="BO191" s="33" t="n">
        <v>0.199</v>
      </c>
      <c r="BP191" s="33" t="n">
        <v>0.091</v>
      </c>
      <c r="BQ191" s="29" t="n">
        <v>2023</v>
      </c>
      <c r="BR191" s="36" t="n">
        <v>0.09</v>
      </c>
      <c r="BS191" s="36" t="n">
        <v>0</v>
      </c>
      <c r="BT191" s="36" t="n">
        <v>0</v>
      </c>
      <c r="BU191" s="36" t="n">
        <v>0.08</v>
      </c>
      <c r="BV191" s="16" t="n">
        <f aca="false">F191*(1+N(H191)/100)*(1+N(I191)/100)^5</f>
        <v>0.999214603602174</v>
      </c>
      <c r="BW191" s="16" t="n">
        <f aca="false">IF(N(G191)&gt;0,G191,F191)</f>
        <v>1.472</v>
      </c>
      <c r="BX191" s="12" t="n">
        <f aca="false">F191/BW191</f>
        <v>0.5625</v>
      </c>
      <c r="BY191" s="13" t="n">
        <f aca="false">IF(ISNUMBER(K191),1,0)</f>
        <v>1</v>
      </c>
      <c r="BZ191" s="16" t="n">
        <f aca="false">IF(BY191=0,"",N(N191)+N(O191)+N(P191))</f>
        <v>0.0594629786980933</v>
      </c>
      <c r="CA191" s="37" t="n">
        <f aca="false">IF(BY191=0,"",(N(Y191)*34.2+N(Z191)*38.6)/1000)</f>
        <v>0.000542718758968593</v>
      </c>
      <c r="CB191" s="37" t="n">
        <f aca="false">IF(BY191=0,"",N(O191)*0.0036+N(R191)+N(V191)+(N(AA191)*25.3+N(AB191)*37)/1000)</f>
        <v>0.000298541464270893</v>
      </c>
      <c r="CC191" s="37" t="n">
        <f aca="false">IF(BY191=0,"",N(N191)*0.0036+N(Q191)+N(U191)+N(T191)+N(X191)+N(AC191)*38/1000)</f>
        <v>0.00119377577299965</v>
      </c>
      <c r="CD191" s="37" t="n">
        <f aca="false">IF(BY191=0,"",N(Q191)+N(R191)+N(S191)+N(T191)+N(U191)+N(V191)+N(W191)+N(X191)+(N(Y191)*34.2+N(Z191)*38.6+N(AA191)*25.3+N(AB191)*37+N(AC191)*38)/1000)</f>
        <v>0.001820969272926</v>
      </c>
      <c r="CE191" s="16" t="n">
        <f aca="false">IF(BY191=0,"",MAX(0,N(L191)-N(K191))+MAX(0,N(M191)-N(L191)))</f>
        <v>0.308</v>
      </c>
      <c r="CF191" s="16" t="n">
        <f aca="false">IF(BY191=0,"",N(Y191)*N(AD191)+N(Z191)*N(AE191)+N(AA191)*N(AF191)+N(AB191)*N(AG191)+N(AC191)*N(AH191)+N(U191)*N(AI191)+N(V191)*N(AJ191)+N(W191)*N(AK191)+N(X191)*N(AL191)+N(Q191)*N(AM191)+N(R191)*N(AN191)+N(S191)*N(AO191)+N(T191)*N(AP191))</f>
        <v>0.0289962350984164</v>
      </c>
      <c r="CG191" s="16" t="n">
        <f aca="false">IF(AND(BY191=1,N(K191)&gt;0),K191,0)</f>
        <v>0.153</v>
      </c>
      <c r="CH191" s="16" t="n">
        <f aca="false">IF(CG191&gt;0,CF191*1000/CG191,"")</f>
        <v>189.517876460238</v>
      </c>
      <c r="CI191" s="16" t="n">
        <f aca="false">IF(BY191=0,"",N(AQ191)+p_road*(N(AR191)+N(AS191)+N(AT191)))</f>
        <v>0</v>
      </c>
      <c r="CJ191" s="16" t="n">
        <f aca="false">IF(CG191&gt;0,CI191*1000/CG191,"")</f>
        <v>0</v>
      </c>
      <c r="CK191" s="12" t="n">
        <f aca="false">IF(CH191="",1,MIN(p_idx_max,MAX(p_idx_min,CH191/p_fc_world)))</f>
        <v>1.1770759701686</v>
      </c>
      <c r="CL191" s="12" t="n">
        <f aca="false">IF(CJ191="",1,MIN(p_idx_max,MAX(p_idx_min,CJ191/p_cb_world)))</f>
        <v>0.25</v>
      </c>
      <c r="CM191" s="37" t="n">
        <f aca="false">p_b*(1-p_wb_idx+p_wb_idx*CK191)</f>
        <v>0.156551104032423</v>
      </c>
      <c r="CN191" s="37" t="n">
        <f aca="false">p_c*(1-p_wc_idx+p_wc_idx*CL191)</f>
        <v>0.03225</v>
      </c>
      <c r="CO191" s="28" t="n">
        <f aca="false">IF(N(BR191)&gt;0,(N(BS191)+N(BT191)+N(BU191))/BR191,"")</f>
        <v>0.888888888888889</v>
      </c>
      <c r="CP191" s="16" t="n">
        <f aca="false">N(BS191)+N(BT191)+N(BU191)</f>
        <v>0.08</v>
      </c>
      <c r="CQ191" s="28" t="n">
        <f aca="false">IF(CP191&gt;0,N(BS191)/CP191,"")</f>
        <v>0</v>
      </c>
      <c r="CR191" s="28" t="n">
        <f aca="false">IF(CP191&gt;0,N(BT191)/CP191,"")</f>
        <v>0</v>
      </c>
      <c r="CS191" s="28" t="n">
        <f aca="false">IF(CP191&gt;0,N(BU191)/CP191,"")</f>
        <v>1</v>
      </c>
      <c r="CT191" s="7" t="n">
        <f aca="false">1000*(p_sh_pv*p_cf_pv/p_capex_pv+(1-p_sh_pv)*p_cf_wind/p_capex_wind)*8760</f>
        <v>2301.28856624319</v>
      </c>
      <c r="CU191" s="13" t="n">
        <f aca="false">IF(AND(ISNUMBER(CO191),ISNUMBER(CQ191),BY191=1),1,0)</f>
        <v>1</v>
      </c>
      <c r="CV191" s="16" t="n">
        <f aca="false">IF(CU191=0,"",CQ191*p_hr_coal*N(AK191)+CR191*p_hr_gas*N(AO191)+CS191*p_hr_oil*N(AH191)/p_gj_l_oil)</f>
        <v>141.304672669396</v>
      </c>
      <c r="CW191" s="37" t="n">
        <f aca="false">IF(CU191=0,"",CQ191*p_hr_coal*p_ef_coal+CR191*p_hr_gas*p_ef_gas+CS191*p_hr_oil*p_ef_oil)</f>
        <v>0.8127</v>
      </c>
      <c r="CX191" s="16" t="n">
        <f aca="false">IF(CU191=0,"",CQ191*p_hr_coal*N(AW191)+CR191*p_hr_gas*N(AX191)+CS191*p_hr_oil*N(AY191)/p_gj_l_oil)</f>
        <v>0</v>
      </c>
      <c r="CY191" s="37" t="n">
        <f aca="false">IF(CU191=0,"",CO191*CW191)</f>
        <v>0.7224</v>
      </c>
      <c r="CZ191" s="37" t="n">
        <f aca="false">IF(CU191=0,"",CT191*CO191*CV191/1000/1000-p_om_re)</f>
        <v>0.274051402285172</v>
      </c>
      <c r="DA191" s="37" t="n">
        <f aca="false">IF(CU191=0,"",CT191*CO191*CX191/1000/1000)</f>
        <v>0</v>
      </c>
      <c r="DB191" s="37" t="n">
        <f aca="false">IF(CU191=0,"",CT191*CO191*CW191/1000)</f>
        <v>1.66245086025408</v>
      </c>
      <c r="DC191" s="13" t="n">
        <f aca="false">IF(AND(CU191=1,ISNUMBER(AD191),ISNUMBER(AV191)),1,0)</f>
        <v>1</v>
      </c>
      <c r="DD191" s="7" t="n">
        <f aca="false">IF(DC191=0,"",p_ev_km*p_ice_l/100*AD191-p_ev_km*p_ev_kwh*AV191+p_ev_km*p_ev_maint)</f>
        <v>167.8194</v>
      </c>
      <c r="DE191" s="37" t="n">
        <f aca="false">IF(DC191=0,"",DD191/p_ev_prem)</f>
        <v>0.03356388</v>
      </c>
      <c r="DF191" s="37" t="n">
        <f aca="false">IF(DC191=0,"",p_ev_km*p_ice_l/100*N(AZ191)/p_ev_prem)</f>
        <v>0</v>
      </c>
      <c r="DG191" s="37" t="n">
        <f aca="false">IF(DC191=0,"",1000/p_ev_prem*(p_ev_km*p_ice_l/100*p_gj_l_gso*p_ef_gso-p_ev_km*p_ev_kwh/1000*CY191))</f>
        <v>0.1431675</v>
      </c>
      <c r="DH191" s="11" t="str">
        <f aca="false">IFERROR(IF(INDEX(Damodaran!$D:$D,MATCH(A191,Damodaran!$A:$A,0))="","",INDEX(Damodaran!$D:$D,MATCH(A191,Damodaran!$A:$A,0))),"")</f>
        <v/>
      </c>
      <c r="DI191" s="11" t="str">
        <f aca="false">IFERROR(IF(INDEX(Damodaran!$E:$E,MATCH(A191,Damodaran!$A:$A,0))="","",INDEX(Damodaran!$E:$E,MATCH(A191,Damodaran!$A:$A,0))),"")</f>
        <v/>
      </c>
      <c r="DJ191" s="11" t="str">
        <f aca="false">IFERROR(IF(INDEX(Damodaran!$G:$G,MATCH(A191,Damodaran!$A:$A,0))="","",INDEX(Damodaran!$G:$G,MATCH(A191,Damodaran!$A:$A,0))),"")</f>
        <v/>
      </c>
      <c r="DK191" s="11" t="str">
        <f aca="false">IF(ISNUMBER(BG191),(1+BG191/100)*(1+p_infl)-1,"")</f>
        <v/>
      </c>
      <c r="DL191" s="11" t="str">
        <f aca="false">IF(ISNUMBER(BH191),BH191/100,"")</f>
        <v/>
      </c>
      <c r="DM191" s="11" t="str">
        <f aca="false">IF(COUNT(DK191,DL191)=0,"",AVERAGE(DK191,DL191))</f>
        <v/>
      </c>
      <c r="DN191" s="11" t="str">
        <f aca="false">IF(OR(DH191="",DI191=""),"",p_dv*(p_rf+DH191)*(1-IF(DJ191="",p_tax_def,DJ191))+(1-p_dv)*(p_rf+p_beta*p_erp+p_lambda*DI191))</f>
        <v/>
      </c>
      <c r="DO191" s="13" t="n">
        <f aca="false">IF(AND(ISNUMBER(DM191),ISNUMBER(DN191)),1,0)</f>
        <v>0</v>
      </c>
      <c r="DP191" s="11" t="n">
        <f aca="false">IF(DO191=1,DM191,0)</f>
        <v>0</v>
      </c>
      <c r="DQ191" s="11" t="n">
        <f aca="false">IF(DO191=1,DN191,0)</f>
        <v>0</v>
      </c>
      <c r="DR191" s="11" t="str">
        <f aca="false">IF(DN191="","",DN191+p_shift)</f>
        <v/>
      </c>
      <c r="DS191" s="11" t="n">
        <f aca="false">IF(E191="AE",p_r_ae,IF(E191="China",p_r_chn,p_r_emdc))</f>
        <v>0.105</v>
      </c>
      <c r="DT191" s="11" t="n">
        <f aca="false">IF(E191="AE",p_rh_ae,IF(E191="China",p_rh_chn,p_rh_emdc))</f>
        <v>0.15</v>
      </c>
      <c r="DU191" s="11" t="n">
        <f aca="false">IF(AND(p_use_obs=1,ISNUMBER(DM191)),DM191,IF(AND(p_use_dam=1,ISNUMBER(DR191)),DR191,DS191))</f>
        <v>0.105</v>
      </c>
      <c r="DV191" s="6" t="str">
        <f aca="false">IF(AND(p_use_obs=1,ISNUMBER(DM191)),"Observed (IRENA/Steffen)",IF(AND(p_use_dam=1,ISNUMBER(DR191)),"Damodaran (eq. 5)","Group default (IHLEG)"))</f>
        <v>Group default (IHLEG)</v>
      </c>
      <c r="DW191" s="11" t="n">
        <f aca="false">IF(p_basis=1,(1+DU191)/(1+p_infl)-1,DU191)</f>
        <v>0.105</v>
      </c>
      <c r="DX191" s="11" t="n">
        <f aca="false">DW191+(DT191-DS191)</f>
        <v>0.15</v>
      </c>
      <c r="DY191" s="28" t="n">
        <f aca="false">IF(AND(p_use_pefa=1,ISNUMBER(BD191)),p_gap_lic-(BD191-1)/3*(p_gap_lic-p_gap_ae),IF(E191="AE",p_gap_ae,IF(D191="Low income",p_gap_lic,p_gap_em)))*(1-p_reform*p_reform_close)</f>
        <v>0.4</v>
      </c>
      <c r="DZ191" s="6" t="str">
        <f aca="false">IF(AND(p_use_pefa=1,ISNUMBER(BD191)),"PEFA PI-11","Income-group default (IMF 2015)")</f>
        <v>PEFA PI-11</v>
      </c>
      <c r="EA191" s="28" t="n">
        <f aca="false">IF(E191="AE",p_ps_ae,IF(E191="China",p_ps_chn,p_ps_emdc))</f>
        <v>0.4</v>
      </c>
      <c r="EB191" s="37" t="n">
        <f aca="false">(1-EA191)+EA191/(1-DY191)</f>
        <v>1.26666666666667</v>
      </c>
      <c r="EC191" s="16" t="n">
        <f aca="false">Results_Country!F191</f>
        <v>0.0379648442494214</v>
      </c>
      <c r="ED191" s="16" t="n">
        <f aca="false">IF(CH191="",0,CH191*EC191)</f>
        <v>7.19501666229402</v>
      </c>
      <c r="EE191" s="16" t="n">
        <f aca="false">IF(CJ191="",0,CJ191*EC191)</f>
        <v>0</v>
      </c>
      <c r="EF191" s="16" t="n">
        <f aca="false">IF(CH191="",0,EC191)</f>
        <v>0.0379648442494214</v>
      </c>
    </row>
    <row r="192" customFormat="false" ht="15" hidden="false" customHeight="false" outlineLevel="0" collapsed="false">
      <c r="A192" s="35" t="s">
        <v>1141</v>
      </c>
      <c r="B192" s="35" t="s">
        <v>1142</v>
      </c>
      <c r="C192" s="35" t="s">
        <v>784</v>
      </c>
      <c r="D192" s="35" t="s">
        <v>763</v>
      </c>
      <c r="E192" s="35" t="s">
        <v>31</v>
      </c>
      <c r="F192" s="36" t="n">
        <v>0.689</v>
      </c>
      <c r="G192" s="36" t="n">
        <v>1.366</v>
      </c>
      <c r="H192" s="33" t="n">
        <v>4.542</v>
      </c>
      <c r="I192" s="33" t="n">
        <v>3.137</v>
      </c>
      <c r="J192" s="36" t="n">
        <v>0.066205</v>
      </c>
      <c r="K192" s="36" t="n">
        <v>0.07</v>
      </c>
      <c r="L192" s="36" t="n">
        <v>0.147</v>
      </c>
      <c r="M192" s="36" t="n">
        <v>0.133</v>
      </c>
      <c r="N192" s="36" t="n">
        <v>0.102998767845863</v>
      </c>
      <c r="O192" s="36" t="n">
        <v>0.0533575071893016</v>
      </c>
      <c r="P192" s="36" t="n">
        <v>0</v>
      </c>
      <c r="Q192" s="31" t="n">
        <v>0</v>
      </c>
      <c r="R192" s="31" t="n">
        <v>0</v>
      </c>
      <c r="S192" s="31" t="n">
        <v>0</v>
      </c>
      <c r="T192" s="31" t="n">
        <v>0</v>
      </c>
      <c r="U192" s="31" t="n">
        <v>0</v>
      </c>
      <c r="V192" s="31" t="n">
        <v>0</v>
      </c>
      <c r="W192" s="31" t="n">
        <v>0</v>
      </c>
      <c r="X192" s="31" t="n">
        <v>0</v>
      </c>
      <c r="Y192" s="36" t="n">
        <v>0.012878279032108</v>
      </c>
      <c r="Z192" s="36" t="n">
        <v>0.011425323773859</v>
      </c>
      <c r="AA192" s="36" t="n">
        <v>0.00496147601758162</v>
      </c>
      <c r="AB192" s="36" t="n">
        <v>0.000186086500598297</v>
      </c>
      <c r="AC192" s="36" t="n">
        <v>0.0319268946651948</v>
      </c>
      <c r="AD192" s="31" t="n">
        <v>0.8694</v>
      </c>
      <c r="AE192" s="31" t="n">
        <v>0.660523</v>
      </c>
      <c r="AF192" s="31" t="n">
        <v>0.607718</v>
      </c>
      <c r="AG192" s="31" t="n">
        <v>0.6532</v>
      </c>
      <c r="AH192" s="31" t="n">
        <v>0.51980164820094</v>
      </c>
      <c r="AI192" s="31" t="n">
        <v>7.124</v>
      </c>
      <c r="AJ192" s="31" t="n">
        <v>14.02195</v>
      </c>
      <c r="AK192" s="31" t="n">
        <v>5.575</v>
      </c>
      <c r="AL192" s="31" t="n">
        <v>8.90698333333333</v>
      </c>
      <c r="AM192" s="31" t="n">
        <v>8.176</v>
      </c>
      <c r="AN192" s="31" t="n">
        <v>18.5357</v>
      </c>
      <c r="AO192" s="31" t="n">
        <v>6.853</v>
      </c>
      <c r="AP192" s="31" t="n">
        <v>11.1882333333333</v>
      </c>
      <c r="AQ192" s="36" t="n">
        <v>0</v>
      </c>
      <c r="AR192" s="36" t="n">
        <v>0.00111761134172986</v>
      </c>
      <c r="AS192" s="36" t="n">
        <v>0.000918970270136167</v>
      </c>
      <c r="AT192" s="36" t="n">
        <v>4.410045402567E-005</v>
      </c>
      <c r="AU192" s="31" t="n">
        <v>0.282433722719879</v>
      </c>
      <c r="AV192" s="36" t="n">
        <v>0.294557</v>
      </c>
      <c r="AW192" s="31" t="n">
        <v>0</v>
      </c>
      <c r="AX192" s="31" t="n">
        <v>0</v>
      </c>
      <c r="AY192" s="31" t="n">
        <v>0</v>
      </c>
      <c r="AZ192" s="31" t="n">
        <v>0</v>
      </c>
      <c r="BA192" s="33" t="n">
        <v>108.234</v>
      </c>
      <c r="BB192" s="33" t="n">
        <v>3.87</v>
      </c>
      <c r="BC192" s="33" t="n">
        <v>142.064</v>
      </c>
      <c r="BD192" s="33"/>
      <c r="BE192" s="33"/>
      <c r="BF192" s="33" t="n">
        <v>0</v>
      </c>
      <c r="BG192" s="33"/>
      <c r="BH192" s="33"/>
      <c r="BI192" s="29"/>
      <c r="BJ192" s="33"/>
      <c r="BK192" s="33"/>
      <c r="BL192" s="33" t="n">
        <v>2.431</v>
      </c>
      <c r="BM192" s="33" t="n">
        <v>3.744</v>
      </c>
      <c r="BN192" s="29" t="n">
        <v>34.204</v>
      </c>
      <c r="BO192" s="33" t="n">
        <v>4.433</v>
      </c>
      <c r="BP192" s="33"/>
      <c r="BQ192" s="29" t="n">
        <v>2023</v>
      </c>
      <c r="BR192" s="36" t="n">
        <v>0.15</v>
      </c>
      <c r="BS192" s="36" t="n">
        <v>0</v>
      </c>
      <c r="BT192" s="36" t="n">
        <v>0</v>
      </c>
      <c r="BU192" s="36" t="n">
        <v>0.13</v>
      </c>
      <c r="BV192" s="16" t="n">
        <f aca="false">F192*(1+N(H192)/100)*(1+N(I192)/100)^5</f>
        <v>0.840586672103695</v>
      </c>
      <c r="BW192" s="16" t="n">
        <f aca="false">IF(N(G192)&gt;0,G192,F192)</f>
        <v>1.366</v>
      </c>
      <c r="BX192" s="12" t="n">
        <f aca="false">F192/BW192</f>
        <v>0.504392386530015</v>
      </c>
      <c r="BY192" s="13" t="n">
        <f aca="false">IF(ISNUMBER(K192),1,0)</f>
        <v>1</v>
      </c>
      <c r="BZ192" s="16" t="n">
        <f aca="false">IF(BY192=0,"",N(N192)+N(O192)+N(P192))</f>
        <v>0.156356275035165</v>
      </c>
      <c r="CA192" s="37" t="n">
        <f aca="false">IF(BY192=0,"",(N(Y192)*34.2+N(Z192)*38.6)/1000)</f>
        <v>0.000881454640569053</v>
      </c>
      <c r="CB192" s="37" t="n">
        <f aca="false">IF(BY192=0,"",N(O192)*0.0036+N(R192)+N(V192)+(N(AA192)*25.3+N(AB192)*37)/1000)</f>
        <v>0.000324497569648438</v>
      </c>
      <c r="CC192" s="37" t="n">
        <f aca="false">IF(BY192=0,"",N(N192)*0.0036+N(Q192)+N(U192)+N(T192)+N(X192)+N(AC192)*38/1000)</f>
        <v>0.00158401756152251</v>
      </c>
      <c r="CD192" s="37" t="n">
        <f aca="false">IF(BY192=0,"",N(Q192)+N(R192)+N(S192)+N(T192)+N(U192)+N(V192)+N(W192)+N(X192)+(N(Y192)*34.2+N(Z192)*38.6+N(AA192)*25.3+N(AB192)*37+N(AC192)*38)/1000)</f>
        <v>0.00222708718161341</v>
      </c>
      <c r="CE192" s="16" t="n">
        <f aca="false">IF(BY192=0,"",MAX(0,N(L192)-N(K192))+MAX(0,N(M192)-N(L192)))</f>
        <v>0.077</v>
      </c>
      <c r="CF192" s="16" t="n">
        <f aca="false">IF(BY192=0,"",N(Y192)*N(AD192)+N(Z192)*N(AE192)+N(AA192)*N(AF192)+N(AB192)*N(AG192)+N(AC192)*N(AH192)+N(U192)*N(AI192)+N(V192)*N(AJ192)+N(W192)*N(AK192)+N(X192)*N(AL192)+N(Q192)*N(AM192)+N(R192)*N(AN192)+N(S192)*N(AO192)+N(T192)*N(AP192))</f>
        <v>0.0384754473791449</v>
      </c>
      <c r="CG192" s="16" t="n">
        <f aca="false">IF(AND(BY192=1,N(K192)&gt;0),K192,0)</f>
        <v>0.07</v>
      </c>
      <c r="CH192" s="16" t="n">
        <f aca="false">IF(CG192&gt;0,CF192*1000/CG192,"")</f>
        <v>549.649248273499</v>
      </c>
      <c r="CI192" s="16" t="n">
        <f aca="false">IF(BY192=0,"",N(AQ192)+p_road*(N(AR192)+N(AS192)+N(AT192)))</f>
        <v>0</v>
      </c>
      <c r="CJ192" s="16" t="n">
        <f aca="false">IF(CG192&gt;0,CI192*1000/CG192,"")</f>
        <v>0</v>
      </c>
      <c r="CK192" s="12" t="n">
        <f aca="false">IF(CH192="",1,MIN(p_idx_max,MAX(p_idx_min,CH192/p_fc_world)))</f>
        <v>3.41381475060854</v>
      </c>
      <c r="CL192" s="12" t="n">
        <f aca="false">IF(CJ192="",1,MIN(p_idx_max,MAX(p_idx_min,CJ192/p_cb_world)))</f>
        <v>0.25</v>
      </c>
      <c r="CM192" s="37" t="n">
        <f aca="false">p_b*(1-p_wb_idx+p_wb_idx*CK192)</f>
        <v>0.454037361830936</v>
      </c>
      <c r="CN192" s="37" t="n">
        <f aca="false">p_c*(1-p_wc_idx+p_wc_idx*CL192)</f>
        <v>0.03225</v>
      </c>
      <c r="CO192" s="28" t="n">
        <f aca="false">IF(N(BR192)&gt;0,(N(BS192)+N(BT192)+N(BU192))/BR192,"")</f>
        <v>0.866666666666667</v>
      </c>
      <c r="CP192" s="16" t="n">
        <f aca="false">N(BS192)+N(BT192)+N(BU192)</f>
        <v>0.13</v>
      </c>
      <c r="CQ192" s="28" t="n">
        <f aca="false">IF(CP192&gt;0,N(BS192)/CP192,"")</f>
        <v>0</v>
      </c>
      <c r="CR192" s="28" t="n">
        <f aca="false">IF(CP192&gt;0,N(BT192)/CP192,"")</f>
        <v>0</v>
      </c>
      <c r="CS192" s="28" t="n">
        <f aca="false">IF(CP192&gt;0,N(BU192)/CP192,"")</f>
        <v>1</v>
      </c>
      <c r="CT192" s="7" t="n">
        <f aca="false">1000*(p_sh_pv*p_cf_pv/p_capex_pv+(1-p_sh_pv)*p_cf_wind/p_capex_wind)*8760</f>
        <v>2301.28856624319</v>
      </c>
      <c r="CU192" s="13" t="n">
        <f aca="false">IF(AND(ISNUMBER(CO192),ISNUMBER(CQ192),BY192=1),1,0)</f>
        <v>1</v>
      </c>
      <c r="CV192" s="16" t="n">
        <f aca="false">IF(CU192=0,"",CQ192*p_hr_coal*N(AK192)+CR192*p_hr_gas*N(AO192)+CS192*p_hr_oil*N(AH192)/p_gj_l_oil)</f>
        <v>141.39682140181</v>
      </c>
      <c r="CW192" s="37" t="n">
        <f aca="false">IF(CU192=0,"",CQ192*p_hr_coal*p_ef_coal+CR192*p_hr_gas*p_ef_gas+CS192*p_hr_oil*p_ef_oil)</f>
        <v>0.8127</v>
      </c>
      <c r="CX192" s="16" t="n">
        <f aca="false">IF(CU192=0,"",CQ192*p_hr_coal*N(AW192)+CR192*p_hr_gas*N(AX192)+CS192*p_hr_oil*N(AY192)/p_gj_l_oil)</f>
        <v>0</v>
      </c>
      <c r="CY192" s="37" t="n">
        <f aca="false">IF(CU192=0,"",CO192*CW192)</f>
        <v>0.70434</v>
      </c>
      <c r="CZ192" s="37" t="n">
        <f aca="false">IF(CU192=0,"",CT192*CO192*CV192/1000/1000-p_om_re)</f>
        <v>0.267008903275767</v>
      </c>
      <c r="DA192" s="37" t="n">
        <f aca="false">IF(CU192=0,"",CT192*CO192*CX192/1000/1000)</f>
        <v>0</v>
      </c>
      <c r="DB192" s="37" t="n">
        <f aca="false">IF(CU192=0,"",CT192*CO192*CW192/1000)</f>
        <v>1.62088958874773</v>
      </c>
      <c r="DC192" s="13" t="n">
        <f aca="false">IF(AND(CU192=1,ISNUMBER(AD192),ISNUMBER(AV192)),1,0)</f>
        <v>1</v>
      </c>
      <c r="DD192" s="7" t="n">
        <f aca="false">IF(DC192=0,"",p_ev_km*p_ice_l/100*AD192-p_ev_km*p_ev_kwh*AV192+p_ev_km*p_ev_maint)</f>
        <v>362.7711</v>
      </c>
      <c r="DE192" s="37" t="n">
        <f aca="false">IF(DC192=0,"",DD192/p_ev_prem)</f>
        <v>0.07255422</v>
      </c>
      <c r="DF192" s="37" t="n">
        <f aca="false">IF(DC192=0,"",p_ev_km*p_ice_l/100*N(AZ192)/p_ev_prem)</f>
        <v>0</v>
      </c>
      <c r="DG192" s="37" t="n">
        <f aca="false">IF(DC192=0,"",1000/p_ev_prem*(p_ev_km*p_ice_l/100*p_gj_l_gso*p_ef_gso-p_ev_km*p_ev_kwh/1000*CY192))</f>
        <v>0.1529199</v>
      </c>
      <c r="DH192" s="11" t="str">
        <f aca="false">IFERROR(IF(INDEX(Damodaran!$D:$D,MATCH(A192,Damodaran!$A:$A,0))="","",INDEX(Damodaran!$D:$D,MATCH(A192,Damodaran!$A:$A,0))),"")</f>
        <v/>
      </c>
      <c r="DI192" s="11" t="str">
        <f aca="false">IFERROR(IF(INDEX(Damodaran!$E:$E,MATCH(A192,Damodaran!$A:$A,0))="","",INDEX(Damodaran!$E:$E,MATCH(A192,Damodaran!$A:$A,0))),"")</f>
        <v/>
      </c>
      <c r="DJ192" s="11" t="str">
        <f aca="false">IFERROR(IF(INDEX(Damodaran!$G:$G,MATCH(A192,Damodaran!$A:$A,0))="","",INDEX(Damodaran!$G:$G,MATCH(A192,Damodaran!$A:$A,0))),"")</f>
        <v/>
      </c>
      <c r="DK192" s="11" t="str">
        <f aca="false">IF(ISNUMBER(BG192),(1+BG192/100)*(1+p_infl)-1,"")</f>
        <v/>
      </c>
      <c r="DL192" s="11" t="str">
        <f aca="false">IF(ISNUMBER(BH192),BH192/100,"")</f>
        <v/>
      </c>
      <c r="DM192" s="11" t="str">
        <f aca="false">IF(COUNT(DK192,DL192)=0,"",AVERAGE(DK192,DL192))</f>
        <v/>
      </c>
      <c r="DN192" s="11" t="str">
        <f aca="false">IF(OR(DH192="",DI192=""),"",p_dv*(p_rf+DH192)*(1-IF(DJ192="",p_tax_def,DJ192))+(1-p_dv)*(p_rf+p_beta*p_erp+p_lambda*DI192))</f>
        <v/>
      </c>
      <c r="DO192" s="13" t="n">
        <f aca="false">IF(AND(ISNUMBER(DM192),ISNUMBER(DN192)),1,0)</f>
        <v>0</v>
      </c>
      <c r="DP192" s="11" t="n">
        <f aca="false">IF(DO192=1,DM192,0)</f>
        <v>0</v>
      </c>
      <c r="DQ192" s="11" t="n">
        <f aca="false">IF(DO192=1,DN192,0)</f>
        <v>0</v>
      </c>
      <c r="DR192" s="11" t="str">
        <f aca="false">IF(DN192="","",DN192+p_shift)</f>
        <v/>
      </c>
      <c r="DS192" s="11" t="n">
        <f aca="false">IF(E192="AE",p_r_ae,IF(E192="China",p_r_chn,p_r_emdc))</f>
        <v>0.105</v>
      </c>
      <c r="DT192" s="11" t="n">
        <f aca="false">IF(E192="AE",p_rh_ae,IF(E192="China",p_rh_chn,p_rh_emdc))</f>
        <v>0.15</v>
      </c>
      <c r="DU192" s="11" t="n">
        <f aca="false">IF(AND(p_use_obs=1,ISNUMBER(DM192)),DM192,IF(AND(p_use_dam=1,ISNUMBER(DR192)),DR192,DS192))</f>
        <v>0.105</v>
      </c>
      <c r="DV192" s="6" t="str">
        <f aca="false">IF(AND(p_use_obs=1,ISNUMBER(DM192)),"Observed (IRENA/Steffen)",IF(AND(p_use_dam=1,ISNUMBER(DR192)),"Damodaran (eq. 5)","Group default (IHLEG)"))</f>
        <v>Group default (IHLEG)</v>
      </c>
      <c r="DW192" s="11" t="n">
        <f aca="false">IF(p_basis=1,(1+DU192)/(1+p_infl)-1,DU192)</f>
        <v>0.105</v>
      </c>
      <c r="DX192" s="11" t="n">
        <f aca="false">DW192+(DT192-DS192)</f>
        <v>0.15</v>
      </c>
      <c r="DY192" s="28" t="n">
        <f aca="false">IF(AND(p_use_pefa=1,ISNUMBER(BD192)),p_gap_lic-(BD192-1)/3*(p_gap_lic-p_gap_ae),IF(E192="AE",p_gap_ae,IF(D192="Low income",p_gap_lic,p_gap_em)))*(1-p_reform*p_reform_close)</f>
        <v>0.27</v>
      </c>
      <c r="DZ192" s="6" t="str">
        <f aca="false">IF(AND(p_use_pefa=1,ISNUMBER(BD192)),"PEFA PI-11","Income-group default (IMF 2015)")</f>
        <v>Income-group default (IMF 2015)</v>
      </c>
      <c r="EA192" s="28" t="n">
        <f aca="false">IF(E192="AE",p_ps_ae,IF(E192="China",p_ps_chn,p_ps_emdc))</f>
        <v>0.4</v>
      </c>
      <c r="EB192" s="37" t="n">
        <f aca="false">(1-EA192)+EA192/(1-DY192)</f>
        <v>1.14794520547945</v>
      </c>
      <c r="EC192" s="16" t="n">
        <f aca="false">Results_Country!F192</f>
        <v>0.0385037986260943</v>
      </c>
      <c r="ED192" s="16" t="n">
        <f aca="false">IF(CH192="",0,CH192*EC192)</f>
        <v>21.1635839705069</v>
      </c>
      <c r="EE192" s="16" t="n">
        <f aca="false">IF(CJ192="",0,CJ192*EC192)</f>
        <v>0</v>
      </c>
      <c r="EF192" s="16" t="n">
        <f aca="false">IF(CH192="",0,EC192)</f>
        <v>0.0385037986260943</v>
      </c>
    </row>
    <row r="193" customFormat="false" ht="15" hidden="false" customHeight="false" outlineLevel="0" collapsed="false">
      <c r="A193" s="35" t="s">
        <v>1143</v>
      </c>
      <c r="B193" s="35" t="s">
        <v>1144</v>
      </c>
      <c r="C193" s="35" t="s">
        <v>762</v>
      </c>
      <c r="D193" s="35" t="s">
        <v>763</v>
      </c>
      <c r="E193" s="35" t="s">
        <v>31</v>
      </c>
      <c r="F193" s="36" t="n">
        <v>0.646</v>
      </c>
      <c r="G193" s="36" t="n">
        <v>0.755</v>
      </c>
      <c r="H193" s="33" t="n">
        <v>2.8</v>
      </c>
      <c r="I193" s="33" t="n">
        <v>2.323</v>
      </c>
      <c r="J193" s="36" t="n">
        <v>0.104176</v>
      </c>
      <c r="K193" s="36" t="n">
        <v>0.177</v>
      </c>
      <c r="L193" s="36" t="n">
        <v>0.292</v>
      </c>
      <c r="M193" s="36" t="n">
        <v>0.292</v>
      </c>
      <c r="N193" s="36" t="n">
        <v>0.0216810765337004</v>
      </c>
      <c r="O193" s="36" t="n">
        <v>0.0475627539356612</v>
      </c>
      <c r="P193" s="36" t="n">
        <v>0</v>
      </c>
      <c r="Q193" s="31" t="n">
        <v>0</v>
      </c>
      <c r="R193" s="31" t="n">
        <v>0</v>
      </c>
      <c r="S193" s="31" t="n">
        <v>0</v>
      </c>
      <c r="T193" s="31" t="n">
        <v>0</v>
      </c>
      <c r="U193" s="31" t="n">
        <v>0</v>
      </c>
      <c r="V193" s="31" t="n">
        <v>0</v>
      </c>
      <c r="W193" s="31" t="n">
        <v>0</v>
      </c>
      <c r="X193" s="31" t="n">
        <v>0</v>
      </c>
      <c r="Y193" s="36" t="n">
        <v>0.0272131021160412</v>
      </c>
      <c r="Z193" s="36" t="n">
        <v>0.0134166302610822</v>
      </c>
      <c r="AA193" s="36" t="n">
        <v>0.00585104665349708</v>
      </c>
      <c r="AB193" s="36" t="n">
        <v>0.000355240688400118</v>
      </c>
      <c r="AC193" s="36" t="n">
        <v>0.0131308738480314</v>
      </c>
      <c r="AD193" s="31" t="n">
        <v>0.828</v>
      </c>
      <c r="AE193" s="31" t="n">
        <v>0.747088</v>
      </c>
      <c r="AF193" s="31" t="n">
        <v>0.5865</v>
      </c>
      <c r="AG193" s="31" t="n">
        <v>0.7498</v>
      </c>
      <c r="AH193" s="31" t="n">
        <v>0.551869129734231</v>
      </c>
      <c r="AI193" s="31" t="n">
        <v>7.124</v>
      </c>
      <c r="AJ193" s="31" t="n">
        <v>13.16865</v>
      </c>
      <c r="AK193" s="31" t="n">
        <v>4.833</v>
      </c>
      <c r="AL193" s="31" t="n">
        <v>8.37521666666667</v>
      </c>
      <c r="AM193" s="31" t="n">
        <v>7.788</v>
      </c>
      <c r="AN193" s="31" t="n">
        <v>18.0895</v>
      </c>
      <c r="AO193" s="31" t="n">
        <v>6.465</v>
      </c>
      <c r="AP193" s="31" t="n">
        <v>10.7808333333333</v>
      </c>
      <c r="AQ193" s="36" t="n">
        <v>6.27358371885755E-005</v>
      </c>
      <c r="AR193" s="36" t="n">
        <v>0.00669215258615518</v>
      </c>
      <c r="AS193" s="36" t="n">
        <v>0.00157830479864519</v>
      </c>
      <c r="AT193" s="36" t="n">
        <v>0.00334230010881306</v>
      </c>
      <c r="AU193" s="31" t="n">
        <v>0.19054836974296</v>
      </c>
      <c r="AV193" s="36" t="n">
        <v>0.31593</v>
      </c>
      <c r="AW193" s="31" t="n">
        <v>0.009773</v>
      </c>
      <c r="AX193" s="31" t="n">
        <v>0.000896</v>
      </c>
      <c r="AY193" s="31" t="n">
        <v>4.68646802905382E-006</v>
      </c>
      <c r="AZ193" s="31" t="n">
        <v>0.000861</v>
      </c>
      <c r="BA193" s="33" t="n">
        <v>31.922</v>
      </c>
      <c r="BB193" s="33" t="n">
        <v>0.816</v>
      </c>
      <c r="BC193" s="33" t="n">
        <v>88.862</v>
      </c>
      <c r="BD193" s="33" t="n">
        <v>2.5</v>
      </c>
      <c r="BE193" s="33" t="n">
        <v>2</v>
      </c>
      <c r="BF193" s="33" t="n">
        <v>0</v>
      </c>
      <c r="BG193" s="33"/>
      <c r="BH193" s="33"/>
      <c r="BI193" s="29"/>
      <c r="BJ193" s="33"/>
      <c r="BK193" s="33"/>
      <c r="BL193" s="33"/>
      <c r="BM193" s="33"/>
      <c r="BN193" s="29" t="n">
        <v>40</v>
      </c>
      <c r="BO193" s="33" t="n">
        <v>5.512</v>
      </c>
      <c r="BP193" s="33"/>
      <c r="BQ193" s="29" t="n">
        <v>2024</v>
      </c>
      <c r="BR193" s="36" t="n">
        <v>0.07</v>
      </c>
      <c r="BS193" s="36" t="n">
        <v>0</v>
      </c>
      <c r="BT193" s="36" t="n">
        <v>0</v>
      </c>
      <c r="BU193" s="36" t="n">
        <v>0.06</v>
      </c>
      <c r="BV193" s="16" t="n">
        <f aca="false">F193*(1+N(H193)/100)*(1+N(I193)/100)^5</f>
        <v>0.74488967784483</v>
      </c>
      <c r="BW193" s="16" t="n">
        <f aca="false">IF(N(G193)&gt;0,G193,F193)</f>
        <v>0.755</v>
      </c>
      <c r="BX193" s="12" t="n">
        <f aca="false">F193/BW193</f>
        <v>0.855629139072848</v>
      </c>
      <c r="BY193" s="13" t="n">
        <f aca="false">IF(ISNUMBER(K193),1,0)</f>
        <v>1</v>
      </c>
      <c r="BZ193" s="16" t="n">
        <f aca="false">IF(BY193=0,"",N(N193)+N(O193)+N(P193))</f>
        <v>0.0692438304693617</v>
      </c>
      <c r="CA193" s="37" t="n">
        <f aca="false">IF(BY193=0,"",(N(Y193)*34.2+N(Z193)*38.6)/1000)</f>
        <v>0.00144857002044638</v>
      </c>
      <c r="CB193" s="37" t="n">
        <f aca="false">IF(BY193=0,"",N(O193)*0.0036+N(R193)+N(V193)+(N(AA193)*25.3+N(AB193)*37)/1000)</f>
        <v>0.000332401299972661</v>
      </c>
      <c r="CC193" s="37" t="n">
        <f aca="false">IF(BY193=0,"",N(N193)*0.0036+N(Q193)+N(U193)+N(T193)+N(X193)+N(AC193)*38/1000)</f>
        <v>0.000577025081746514</v>
      </c>
      <c r="CD193" s="37" t="n">
        <f aca="false">IF(BY193=0,"",N(Q193)+N(R193)+N(S193)+N(T193)+N(U193)+N(V193)+N(W193)+N(X193)+(N(Y193)*34.2+N(Z193)*38.6+N(AA193)*25.3+N(AB193)*37+N(AC193)*38)/1000)</f>
        <v>0.00210871861247586</v>
      </c>
      <c r="CE193" s="16" t="n">
        <f aca="false">IF(BY193=0,"",MAX(0,N(L193)-N(K193))+MAX(0,N(M193)-N(L193)))</f>
        <v>0.115</v>
      </c>
      <c r="CF193" s="16" t="n">
        <f aca="false">IF(BY193=0,"",N(Y193)*N(AD193)+N(Z193)*N(AE193)+N(AA193)*N(AF193)+N(AB193)*N(AG193)+N(AC193)*N(AH193)+N(U193)*N(AI193)+N(V193)*N(AJ193)+N(W193)*N(AK193)+N(X193)*N(AL193)+N(Q193)*N(AM193)+N(R193)*N(AN193)+N(S193)*N(AO193)+N(T193)*N(AP193))</f>
        <v>0.043500374274175</v>
      </c>
      <c r="CG193" s="16" t="n">
        <f aca="false">IF(AND(BY193=1,N(K193)&gt;0),K193,0)</f>
        <v>0.177</v>
      </c>
      <c r="CH193" s="16" t="n">
        <f aca="false">IF(CG193&gt;0,CF193*1000/CG193,"")</f>
        <v>245.764826407769</v>
      </c>
      <c r="CI193" s="16" t="n">
        <f aca="false">IF(BY193=0,"",N(AQ193)+p_road*(N(AR193)+N(AS193)+N(AT193)))</f>
        <v>6.27358371885755E-005</v>
      </c>
      <c r="CJ193" s="16" t="n">
        <f aca="false">IF(CG193&gt;0,CI193*1000/CG193,"")</f>
        <v>0.354439758127545</v>
      </c>
      <c r="CK193" s="12" t="n">
        <f aca="false">IF(CH193="",1,MIN(p_idx_max,MAX(p_idx_min,CH193/p_fc_world)))</f>
        <v>1.52641997093047</v>
      </c>
      <c r="CL193" s="12" t="n">
        <f aca="false">IF(CJ193="",1,MIN(p_idx_max,MAX(p_idx_min,CJ193/p_cb_world)))</f>
        <v>0.25</v>
      </c>
      <c r="CM193" s="37" t="n">
        <f aca="false">p_b*(1-p_wb_idx+p_wb_idx*CK193)</f>
        <v>0.203013856133752</v>
      </c>
      <c r="CN193" s="37" t="n">
        <f aca="false">p_c*(1-p_wc_idx+p_wc_idx*CL193)</f>
        <v>0.03225</v>
      </c>
      <c r="CO193" s="28" t="n">
        <f aca="false">IF(N(BR193)&gt;0,(N(BS193)+N(BT193)+N(BU193))/BR193,"")</f>
        <v>0.857142857142857</v>
      </c>
      <c r="CP193" s="16" t="n">
        <f aca="false">N(BS193)+N(BT193)+N(BU193)</f>
        <v>0.06</v>
      </c>
      <c r="CQ193" s="28" t="n">
        <f aca="false">IF(CP193&gt;0,N(BS193)/CP193,"")</f>
        <v>0</v>
      </c>
      <c r="CR193" s="28" t="n">
        <f aca="false">IF(CP193&gt;0,N(BT193)/CP193,"")</f>
        <v>0</v>
      </c>
      <c r="CS193" s="28" t="n">
        <f aca="false">IF(CP193&gt;0,N(BU193)/CP193,"")</f>
        <v>1</v>
      </c>
      <c r="CT193" s="7" t="n">
        <f aca="false">1000*(p_sh_pv*p_cf_pv/p_capex_pv+(1-p_sh_pv)*p_cf_wind/p_capex_wind)*8760</f>
        <v>2301.28856624319</v>
      </c>
      <c r="CU193" s="13" t="n">
        <f aca="false">IF(AND(ISNUMBER(CO193),ISNUMBER(CQ193),BY193=1),1,0)</f>
        <v>1</v>
      </c>
      <c r="CV193" s="16" t="n">
        <f aca="false">IF(CU193=0,"",CQ193*p_hr_coal*N(AK193)+CR193*p_hr_gas*N(AO193)+CS193*p_hr_oil*N(AH193)/p_gj_l_oil)</f>
        <v>150.119840989881</v>
      </c>
      <c r="CW193" s="37" t="n">
        <f aca="false">IF(CU193=0,"",CQ193*p_hr_coal*p_ef_coal+CR193*p_hr_gas*p_ef_gas+CS193*p_hr_oil*p_ef_oil)</f>
        <v>0.8127</v>
      </c>
      <c r="CX193" s="16" t="n">
        <f aca="false">IF(CU193=0,"",CQ193*p_hr_coal*N(AW193)+CR193*p_hr_gas*N(AX193)+CS193*p_hr_oil*N(AY193)/p_gj_l_oil)</f>
        <v>0.00127481643277371</v>
      </c>
      <c r="CY193" s="37" t="n">
        <f aca="false">IF(CU193=0,"",CO193*CW193)</f>
        <v>0.6966</v>
      </c>
      <c r="CZ193" s="37" t="n">
        <f aca="false">IF(CU193=0,"",CT193*CO193*CV193/1000/1000-p_om_re)</f>
        <v>0.28111634883108</v>
      </c>
      <c r="DA193" s="37" t="n">
        <f aca="false">IF(CU193=0,"",CT193*CO193*CX193/1000/1000)</f>
        <v>2.51461755497235E-006</v>
      </c>
      <c r="DB193" s="37" t="n">
        <f aca="false">IF(CU193=0,"",CT193*CO193*CW193/1000)</f>
        <v>1.60307761524501</v>
      </c>
      <c r="DC193" s="13" t="n">
        <f aca="false">IF(AND(CU193=1,ISNUMBER(AD193),ISNUMBER(AV193)),1,0)</f>
        <v>1</v>
      </c>
      <c r="DD193" s="7" t="n">
        <f aca="false">IF(DC193=0,"",p_ev_km*p_ice_l/100*AD193-p_ev_km*p_ev_kwh*AV193+p_ev_km*p_ev_maint)</f>
        <v>258.489</v>
      </c>
      <c r="DE193" s="37" t="n">
        <f aca="false">IF(DC193=0,"",DD193/p_ev_prem)</f>
        <v>0.0516978</v>
      </c>
      <c r="DF193" s="37" t="n">
        <f aca="false">IF(DC193=0,"",p_ev_km*p_ice_l/100*N(AZ193)/p_ev_prem)</f>
        <v>0.000193725</v>
      </c>
      <c r="DG193" s="37" t="n">
        <f aca="false">IF(DC193=0,"",1000/p_ev_prem*(p_ev_km*p_ice_l/100*p_gj_l_gso*p_ef_gso-p_ev_km*p_ev_kwh/1000*CY193))</f>
        <v>0.1570995</v>
      </c>
      <c r="DH193" s="11" t="str">
        <f aca="false">IFERROR(IF(INDEX(Damodaran!$D:$D,MATCH(A193,Damodaran!$A:$A,0))="","",INDEX(Damodaran!$D:$D,MATCH(A193,Damodaran!$A:$A,0))),"")</f>
        <v/>
      </c>
      <c r="DI193" s="11" t="str">
        <f aca="false">IFERROR(IF(INDEX(Damodaran!$E:$E,MATCH(A193,Damodaran!$A:$A,0))="","",INDEX(Damodaran!$E:$E,MATCH(A193,Damodaran!$A:$A,0))),"")</f>
        <v/>
      </c>
      <c r="DJ193" s="11" t="str">
        <f aca="false">IFERROR(IF(INDEX(Damodaran!$G:$G,MATCH(A193,Damodaran!$A:$A,0))="","",INDEX(Damodaran!$G:$G,MATCH(A193,Damodaran!$A:$A,0))),"")</f>
        <v/>
      </c>
      <c r="DK193" s="11" t="str">
        <f aca="false">IF(ISNUMBER(BG193),(1+BG193/100)*(1+p_infl)-1,"")</f>
        <v/>
      </c>
      <c r="DL193" s="11" t="str">
        <f aca="false">IF(ISNUMBER(BH193),BH193/100,"")</f>
        <v/>
      </c>
      <c r="DM193" s="11" t="str">
        <f aca="false">IF(COUNT(DK193,DL193)=0,"",AVERAGE(DK193,DL193))</f>
        <v/>
      </c>
      <c r="DN193" s="11" t="str">
        <f aca="false">IF(OR(DH193="",DI193=""),"",p_dv*(p_rf+DH193)*(1-IF(DJ193="",p_tax_def,DJ193))+(1-p_dv)*(p_rf+p_beta*p_erp+p_lambda*DI193))</f>
        <v/>
      </c>
      <c r="DO193" s="13" t="n">
        <f aca="false">IF(AND(ISNUMBER(DM193),ISNUMBER(DN193)),1,0)</f>
        <v>0</v>
      </c>
      <c r="DP193" s="11" t="n">
        <f aca="false">IF(DO193=1,DM193,0)</f>
        <v>0</v>
      </c>
      <c r="DQ193" s="11" t="n">
        <f aca="false">IF(DO193=1,DN193,0)</f>
        <v>0</v>
      </c>
      <c r="DR193" s="11" t="str">
        <f aca="false">IF(DN193="","",DN193+p_shift)</f>
        <v/>
      </c>
      <c r="DS193" s="11" t="n">
        <f aca="false">IF(E193="AE",p_r_ae,IF(E193="China",p_r_chn,p_r_emdc))</f>
        <v>0.105</v>
      </c>
      <c r="DT193" s="11" t="n">
        <f aca="false">IF(E193="AE",p_rh_ae,IF(E193="China",p_rh_chn,p_rh_emdc))</f>
        <v>0.15</v>
      </c>
      <c r="DU193" s="11" t="n">
        <f aca="false">IF(AND(p_use_obs=1,ISNUMBER(DM193)),DM193,IF(AND(p_use_dam=1,ISNUMBER(DR193)),DR193,DS193))</f>
        <v>0.105</v>
      </c>
      <c r="DV193" s="6" t="str">
        <f aca="false">IF(AND(p_use_obs=1,ISNUMBER(DM193)),"Observed (IRENA/Steffen)",IF(AND(p_use_dam=1,ISNUMBER(DR193)),"Damodaran (eq. 5)","Group default (IHLEG)"))</f>
        <v>Group default (IHLEG)</v>
      </c>
      <c r="DW193" s="11" t="n">
        <f aca="false">IF(p_basis=1,(1+DU193)/(1+p_infl)-1,DU193)</f>
        <v>0.105</v>
      </c>
      <c r="DX193" s="11" t="n">
        <f aca="false">DW193+(DT193-DS193)</f>
        <v>0.15</v>
      </c>
      <c r="DY193" s="28" t="n">
        <f aca="false">IF(AND(p_use_pefa=1,ISNUMBER(BD193)),p_gap_lic-(BD193-1)/3*(p_gap_lic-p_gap_ae),IF(E193="AE",p_gap_ae,IF(D193="Low income",p_gap_lic,p_gap_em)))*(1-p_reform*p_reform_close)</f>
        <v>0.265</v>
      </c>
      <c r="DZ193" s="6" t="str">
        <f aca="false">IF(AND(p_use_pefa=1,ISNUMBER(BD193)),"PEFA PI-11","Income-group default (IMF 2015)")</f>
        <v>PEFA PI-11</v>
      </c>
      <c r="EA193" s="28" t="n">
        <f aca="false">IF(E193="AE",p_ps_ae,IF(E193="China",p_ps_chn,p_ps_emdc))</f>
        <v>0.4</v>
      </c>
      <c r="EB193" s="37" t="n">
        <f aca="false">(1-EA193)+EA193/(1-DY193)</f>
        <v>1.14421768707483</v>
      </c>
      <c r="EC193" s="16" t="n">
        <f aca="false">Results_Country!F193</f>
        <v>0.0329616257866606</v>
      </c>
      <c r="ED193" s="16" t="n">
        <f aca="false">IF(CH193="",0,CH193*EC193)</f>
        <v>8.10080823957647</v>
      </c>
      <c r="EE193" s="16" t="n">
        <f aca="false">IF(CJ193="",0,CJ193*EC193)</f>
        <v>0.0116829106713146</v>
      </c>
      <c r="EF193" s="16" t="n">
        <f aca="false">IF(CH193="",0,EC193)</f>
        <v>0.0329616257866606</v>
      </c>
    </row>
    <row r="194" customFormat="false" ht="15" hidden="false" customHeight="false" outlineLevel="0" collapsed="false">
      <c r="A194" s="35" t="s">
        <v>1145</v>
      </c>
      <c r="B194" s="35" t="s">
        <v>1146</v>
      </c>
      <c r="C194" s="35" t="s">
        <v>762</v>
      </c>
      <c r="D194" s="35" t="s">
        <v>763</v>
      </c>
      <c r="E194" s="35" t="s">
        <v>31</v>
      </c>
      <c r="F194" s="36" t="n">
        <v>0.481</v>
      </c>
      <c r="G194" s="36" t="n">
        <v>0.444</v>
      </c>
      <c r="H194" s="33" t="n">
        <v>1.063</v>
      </c>
      <c r="I194" s="33" t="n">
        <v>0.666</v>
      </c>
      <c r="J194" s="36"/>
      <c r="K194" s="36"/>
      <c r="L194" s="36"/>
      <c r="M194" s="36"/>
      <c r="N194" s="36"/>
      <c r="O194" s="36"/>
      <c r="P194" s="36"/>
      <c r="Q194" s="31"/>
      <c r="R194" s="31"/>
      <c r="S194" s="31"/>
      <c r="T194" s="31"/>
      <c r="U194" s="31"/>
      <c r="V194" s="31"/>
      <c r="W194" s="31"/>
      <c r="X194" s="31"/>
      <c r="Y194" s="36"/>
      <c r="Z194" s="36"/>
      <c r="AA194" s="36"/>
      <c r="AB194" s="36"/>
      <c r="AC194" s="36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6"/>
      <c r="AR194" s="36"/>
      <c r="AS194" s="36"/>
      <c r="AT194" s="36"/>
      <c r="AU194" s="31"/>
      <c r="AV194" s="36"/>
      <c r="AW194" s="31"/>
      <c r="AX194" s="31"/>
      <c r="AY194" s="31"/>
      <c r="AZ194" s="31"/>
      <c r="BA194" s="33" t="n">
        <v>10.413</v>
      </c>
      <c r="BB194" s="33" t="n">
        <v>0.311</v>
      </c>
      <c r="BC194" s="33"/>
      <c r="BD194" s="33"/>
      <c r="BE194" s="33"/>
      <c r="BF194" s="33" t="n">
        <v>0</v>
      </c>
      <c r="BG194" s="33"/>
      <c r="BH194" s="33"/>
      <c r="BI194" s="29"/>
      <c r="BJ194" s="33"/>
      <c r="BK194" s="33"/>
      <c r="BL194" s="33"/>
      <c r="BM194" s="33"/>
      <c r="BN194" s="29"/>
      <c r="BO194" s="33" t="n">
        <v>1.395</v>
      </c>
      <c r="BP194" s="33"/>
      <c r="BQ194" s="29"/>
      <c r="BR194" s="36"/>
      <c r="BS194" s="36"/>
      <c r="BT194" s="36"/>
      <c r="BU194" s="36"/>
      <c r="BV194" s="16" t="n">
        <f aca="false">F194*(1+N(H194)/100)*(1+N(I194)/100)^5</f>
        <v>0.502517653056664</v>
      </c>
      <c r="BW194" s="16" t="n">
        <f aca="false">IF(N(G194)&gt;0,G194,F194)</f>
        <v>0.444</v>
      </c>
      <c r="BX194" s="12" t="n">
        <f aca="false">F194/BW194</f>
        <v>1.08333333333333</v>
      </c>
      <c r="BY194" s="13" t="n">
        <f aca="false">IF(ISNUMBER(K194),1,0)</f>
        <v>0</v>
      </c>
      <c r="BZ194" s="16" t="str">
        <f aca="false">IF(BY194=0,"",N(N194)+N(O194)+N(P194))</f>
        <v/>
      </c>
      <c r="CA194" s="37" t="str">
        <f aca="false">IF(BY194=0,"",(N(Y194)*34.2+N(Z194)*38.6)/1000)</f>
        <v/>
      </c>
      <c r="CB194" s="37" t="str">
        <f aca="false">IF(BY194=0,"",N(O194)*0.0036+N(R194)+N(V194)+(N(AA194)*25.3+N(AB194)*37)/1000)</f>
        <v/>
      </c>
      <c r="CC194" s="37" t="str">
        <f aca="false">IF(BY194=0,"",N(N194)*0.0036+N(Q194)+N(U194)+N(T194)+N(X194)+N(AC194)*38/1000)</f>
        <v/>
      </c>
      <c r="CD194" s="37" t="str">
        <f aca="false">IF(BY194=0,"",N(Q194)+N(R194)+N(S194)+N(T194)+N(U194)+N(V194)+N(W194)+N(X194)+(N(Y194)*34.2+N(Z194)*38.6+N(AA194)*25.3+N(AB194)*37+N(AC194)*38)/1000)</f>
        <v/>
      </c>
      <c r="CE194" s="16" t="str">
        <f aca="false">IF(BY194=0,"",MAX(0,N(L194)-N(K194))+MAX(0,N(M194)-N(L194)))</f>
        <v/>
      </c>
      <c r="CF194" s="16" t="str">
        <f aca="false">IF(BY194=0,"",N(Y194)*N(AD194)+N(Z194)*N(AE194)+N(AA194)*N(AF194)+N(AB194)*N(AG194)+N(AC194)*N(AH194)+N(U194)*N(AI194)+N(V194)*N(AJ194)+N(W194)*N(AK194)+N(X194)*N(AL194)+N(Q194)*N(AM194)+N(R194)*N(AN194)+N(S194)*N(AO194)+N(T194)*N(AP194))</f>
        <v/>
      </c>
      <c r="CG194" s="16" t="n">
        <f aca="false">IF(AND(BY194=1,N(K194)&gt;0),K194,0)</f>
        <v>0</v>
      </c>
      <c r="CH194" s="16" t="str">
        <f aca="false">IF(CG194&gt;0,CF194*1000/CG194,"")</f>
        <v/>
      </c>
      <c r="CI194" s="16" t="str">
        <f aca="false">IF(BY194=0,"",N(AQ194)+p_road*(N(AR194)+N(AS194)+N(AT194)))</f>
        <v/>
      </c>
      <c r="CJ194" s="16" t="str">
        <f aca="false">IF(CG194&gt;0,CI194*1000/CG194,"")</f>
        <v/>
      </c>
      <c r="CK194" s="12" t="n">
        <f aca="false">IF(CH194="",1,MIN(p_idx_max,MAX(p_idx_min,CH194/p_fc_world)))</f>
        <v>1</v>
      </c>
      <c r="CL194" s="12" t="n">
        <f aca="false">IF(CJ194="",1,MIN(p_idx_max,MAX(p_idx_min,CJ194/p_cb_world)))</f>
        <v>1</v>
      </c>
      <c r="CM194" s="37" t="n">
        <f aca="false">p_b*(1-p_wb_idx+p_wb_idx*CK194)</f>
        <v>0.133</v>
      </c>
      <c r="CN194" s="37" t="n">
        <f aca="false">p_c*(1-p_wc_idx+p_wc_idx*CL194)</f>
        <v>0.129</v>
      </c>
      <c r="CO194" s="28" t="str">
        <f aca="false">IF(N(BR194)&gt;0,(N(BS194)+N(BT194)+N(BU194))/BR194,"")</f>
        <v/>
      </c>
      <c r="CP194" s="16" t="n">
        <f aca="false">N(BS194)+N(BT194)+N(BU194)</f>
        <v>0</v>
      </c>
      <c r="CQ194" s="28" t="str">
        <f aca="false">IF(CP194&gt;0,N(BS194)/CP194,"")</f>
        <v/>
      </c>
      <c r="CR194" s="28" t="str">
        <f aca="false">IF(CP194&gt;0,N(BT194)/CP194,"")</f>
        <v/>
      </c>
      <c r="CS194" s="28" t="str">
        <f aca="false">IF(CP194&gt;0,N(BU194)/CP194,"")</f>
        <v/>
      </c>
      <c r="CT194" s="7" t="n">
        <f aca="false">1000*(p_sh_pv*p_cf_pv/p_capex_pv+(1-p_sh_pv)*p_cf_wind/p_capex_wind)*8760</f>
        <v>2301.28856624319</v>
      </c>
      <c r="CU194" s="13" t="n">
        <f aca="false">IF(AND(ISNUMBER(CO194),ISNUMBER(CQ194),BY194=1),1,0)</f>
        <v>0</v>
      </c>
      <c r="CV194" s="16" t="str">
        <f aca="false">IF(CU194=0,"",CQ194*p_hr_coal*N(AK194)+CR194*p_hr_gas*N(AO194)+CS194*p_hr_oil*N(AH194)/p_gj_l_oil)</f>
        <v/>
      </c>
      <c r="CW194" s="37" t="str">
        <f aca="false">IF(CU194=0,"",CQ194*p_hr_coal*p_ef_coal+CR194*p_hr_gas*p_ef_gas+CS194*p_hr_oil*p_ef_oil)</f>
        <v/>
      </c>
      <c r="CX194" s="16" t="str">
        <f aca="false">IF(CU194=0,"",CQ194*p_hr_coal*N(AW194)+CR194*p_hr_gas*N(AX194)+CS194*p_hr_oil*N(AY194)/p_gj_l_oil)</f>
        <v/>
      </c>
      <c r="CY194" s="37" t="str">
        <f aca="false">IF(CU194=0,"",CO194*CW194)</f>
        <v/>
      </c>
      <c r="CZ194" s="37" t="str">
        <f aca="false">IF(CU194=0,"",CT194*CO194*CV194/1000/1000-p_om_re)</f>
        <v/>
      </c>
      <c r="DA194" s="37" t="str">
        <f aca="false">IF(CU194=0,"",CT194*CO194*CX194/1000/1000)</f>
        <v/>
      </c>
      <c r="DB194" s="37" t="str">
        <f aca="false">IF(CU194=0,"",CT194*CO194*CW194/1000)</f>
        <v/>
      </c>
      <c r="DC194" s="13" t="n">
        <f aca="false">IF(AND(CU194=1,ISNUMBER(AD194),ISNUMBER(AV194)),1,0)</f>
        <v>0</v>
      </c>
      <c r="DD194" s="7" t="str">
        <f aca="false">IF(DC194=0,"",p_ev_km*p_ice_l/100*AD194-p_ev_km*p_ev_kwh*AV194+p_ev_km*p_ev_maint)</f>
        <v/>
      </c>
      <c r="DE194" s="37" t="str">
        <f aca="false">IF(DC194=0,"",DD194/p_ev_prem)</f>
        <v/>
      </c>
      <c r="DF194" s="37" t="str">
        <f aca="false">IF(DC194=0,"",p_ev_km*p_ice_l/100*N(AZ194)/p_ev_prem)</f>
        <v/>
      </c>
      <c r="DG194" s="37" t="str">
        <f aca="false">IF(DC194=0,"",1000/p_ev_prem*(p_ev_km*p_ice_l/100*p_gj_l_gso*p_ef_gso-p_ev_km*p_ev_kwh/1000*CY194))</f>
        <v/>
      </c>
      <c r="DH194" s="11" t="str">
        <f aca="false">IFERROR(IF(INDEX(Damodaran!$D:$D,MATCH(A194,Damodaran!$A:$A,0))="","",INDEX(Damodaran!$D:$D,MATCH(A194,Damodaran!$A:$A,0))),"")</f>
        <v/>
      </c>
      <c r="DI194" s="11" t="str">
        <f aca="false">IFERROR(IF(INDEX(Damodaran!$E:$E,MATCH(A194,Damodaran!$A:$A,0))="","",INDEX(Damodaran!$E:$E,MATCH(A194,Damodaran!$A:$A,0))),"")</f>
        <v/>
      </c>
      <c r="DJ194" s="11" t="str">
        <f aca="false">IFERROR(IF(INDEX(Damodaran!$G:$G,MATCH(A194,Damodaran!$A:$A,0))="","",INDEX(Damodaran!$G:$G,MATCH(A194,Damodaran!$A:$A,0))),"")</f>
        <v/>
      </c>
      <c r="DK194" s="11" t="str">
        <f aca="false">IF(ISNUMBER(BG194),(1+BG194/100)*(1+p_infl)-1,"")</f>
        <v/>
      </c>
      <c r="DL194" s="11" t="str">
        <f aca="false">IF(ISNUMBER(BH194),BH194/100,"")</f>
        <v/>
      </c>
      <c r="DM194" s="11" t="str">
        <f aca="false">IF(COUNT(DK194,DL194)=0,"",AVERAGE(DK194,DL194))</f>
        <v/>
      </c>
      <c r="DN194" s="11" t="str">
        <f aca="false">IF(OR(DH194="",DI194=""),"",p_dv*(p_rf+DH194)*(1-IF(DJ194="",p_tax_def,DJ194))+(1-p_dv)*(p_rf+p_beta*p_erp+p_lambda*DI194))</f>
        <v/>
      </c>
      <c r="DO194" s="13" t="n">
        <f aca="false">IF(AND(ISNUMBER(DM194),ISNUMBER(DN194)),1,0)</f>
        <v>0</v>
      </c>
      <c r="DP194" s="11" t="n">
        <f aca="false">IF(DO194=1,DM194,0)</f>
        <v>0</v>
      </c>
      <c r="DQ194" s="11" t="n">
        <f aca="false">IF(DO194=1,DN194,0)</f>
        <v>0</v>
      </c>
      <c r="DR194" s="11" t="str">
        <f aca="false">IF(DN194="","",DN194+p_shift)</f>
        <v/>
      </c>
      <c r="DS194" s="11" t="n">
        <f aca="false">IF(E194="AE",p_r_ae,IF(E194="China",p_r_chn,p_r_emdc))</f>
        <v>0.105</v>
      </c>
      <c r="DT194" s="11" t="n">
        <f aca="false">IF(E194="AE",p_rh_ae,IF(E194="China",p_rh_chn,p_rh_emdc))</f>
        <v>0.15</v>
      </c>
      <c r="DU194" s="11" t="n">
        <f aca="false">IF(AND(p_use_obs=1,ISNUMBER(DM194)),DM194,IF(AND(p_use_dam=1,ISNUMBER(DR194)),DR194,DS194))</f>
        <v>0.105</v>
      </c>
      <c r="DV194" s="6" t="str">
        <f aca="false">IF(AND(p_use_obs=1,ISNUMBER(DM194)),"Observed (IRENA/Steffen)",IF(AND(p_use_dam=1,ISNUMBER(DR194)),"Damodaran (eq. 5)","Group default (IHLEG)"))</f>
        <v>Group default (IHLEG)</v>
      </c>
      <c r="DW194" s="11" t="n">
        <f aca="false">IF(p_basis=1,(1+DU194)/(1+p_infl)-1,DU194)</f>
        <v>0.105</v>
      </c>
      <c r="DX194" s="11" t="n">
        <f aca="false">DW194+(DT194-DS194)</f>
        <v>0.15</v>
      </c>
      <c r="DY194" s="28" t="n">
        <f aca="false">IF(AND(p_use_pefa=1,ISNUMBER(BD194)),p_gap_lic-(BD194-1)/3*(p_gap_lic-p_gap_ae),IF(E194="AE",p_gap_ae,IF(D194="Low income",p_gap_lic,p_gap_em)))*(1-p_reform*p_reform_close)</f>
        <v>0.27</v>
      </c>
      <c r="DZ194" s="6" t="str">
        <f aca="false">IF(AND(p_use_pefa=1,ISNUMBER(BD194)),"PEFA PI-11","Income-group default (IMF 2015)")</f>
        <v>Income-group default (IMF 2015)</v>
      </c>
      <c r="EA194" s="28" t="n">
        <f aca="false">IF(E194="AE",p_ps_ae,IF(E194="China",p_ps_chn,p_ps_emdc))</f>
        <v>0.4</v>
      </c>
      <c r="EB194" s="37" t="n">
        <f aca="false">(1-EA194)+EA194/(1-DY194)</f>
        <v>1.14794520547945</v>
      </c>
      <c r="EC194" s="16" t="n">
        <f aca="false">Results_Country!F194</f>
        <v>0.0192845705962067</v>
      </c>
      <c r="ED194" s="16" t="n">
        <f aca="false">IF(CH194="",0,CH194*EC194)</f>
        <v>0</v>
      </c>
      <c r="EE194" s="16" t="n">
        <f aca="false">IF(CJ194="",0,CJ194*EC194)</f>
        <v>0</v>
      </c>
      <c r="EF194" s="16" t="n">
        <f aca="false">IF(CH194="",0,EC194)</f>
        <v>0</v>
      </c>
    </row>
    <row r="195" customFormat="false" ht="15" hidden="false" customHeight="false" outlineLevel="0" collapsed="false">
      <c r="A195" s="35" t="s">
        <v>1147</v>
      </c>
      <c r="B195" s="35" t="s">
        <v>1148</v>
      </c>
      <c r="C195" s="35" t="s">
        <v>762</v>
      </c>
      <c r="D195" s="35" t="s">
        <v>771</v>
      </c>
      <c r="E195" s="35" t="s">
        <v>31</v>
      </c>
      <c r="F195" s="36" t="n">
        <v>0.343</v>
      </c>
      <c r="G195" s="36" t="n">
        <v>0.453</v>
      </c>
      <c r="H195" s="33" t="n">
        <v>4.288</v>
      </c>
      <c r="I195" s="33" t="n">
        <v>3.102</v>
      </c>
      <c r="J195" s="36"/>
      <c r="K195" s="36"/>
      <c r="L195" s="36"/>
      <c r="M195" s="36"/>
      <c r="N195" s="36"/>
      <c r="O195" s="36"/>
      <c r="P195" s="36"/>
      <c r="Q195" s="31"/>
      <c r="R195" s="31"/>
      <c r="S195" s="31"/>
      <c r="T195" s="31"/>
      <c r="U195" s="31"/>
      <c r="V195" s="31"/>
      <c r="W195" s="31"/>
      <c r="X195" s="31"/>
      <c r="Y195" s="36"/>
      <c r="Z195" s="36"/>
      <c r="AA195" s="36"/>
      <c r="AB195" s="36"/>
      <c r="AC195" s="36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6"/>
      <c r="AR195" s="36"/>
      <c r="AS195" s="36"/>
      <c r="AT195" s="36"/>
      <c r="AU195" s="31"/>
      <c r="AV195" s="36"/>
      <c r="AW195" s="31"/>
      <c r="AX195" s="31"/>
      <c r="AY195" s="31"/>
      <c r="AZ195" s="31"/>
      <c r="BA195" s="33" t="n">
        <v>8.899</v>
      </c>
      <c r="BB195" s="33" t="n">
        <v>0.179</v>
      </c>
      <c r="BC195" s="33" t="n">
        <v>146.641</v>
      </c>
      <c r="BD195" s="33"/>
      <c r="BE195" s="33"/>
      <c r="BF195" s="33" t="n">
        <v>1</v>
      </c>
      <c r="BG195" s="33"/>
      <c r="BH195" s="33"/>
      <c r="BI195" s="29"/>
      <c r="BJ195" s="33"/>
      <c r="BK195" s="33"/>
      <c r="BL195" s="33"/>
      <c r="BM195" s="33"/>
      <c r="BN195" s="29"/>
      <c r="BO195" s="33" t="n">
        <v>4.976</v>
      </c>
      <c r="BP195" s="33"/>
      <c r="BQ195" s="29" t="n">
        <v>2024</v>
      </c>
      <c r="BR195" s="36" t="n">
        <v>0.04</v>
      </c>
      <c r="BS195" s="36" t="n">
        <v>0</v>
      </c>
      <c r="BT195" s="36" t="n">
        <v>0</v>
      </c>
      <c r="BU195" s="36" t="n">
        <v>0.03</v>
      </c>
      <c r="BV195" s="16" t="n">
        <f aca="false">F195*(1+N(H195)/100)*(1+N(I195)/100)^5</f>
        <v>0.416738772758675</v>
      </c>
      <c r="BW195" s="16" t="n">
        <f aca="false">IF(N(G195)&gt;0,G195,F195)</f>
        <v>0.453</v>
      </c>
      <c r="BX195" s="12" t="n">
        <f aca="false">F195/BW195</f>
        <v>0.757174392935982</v>
      </c>
      <c r="BY195" s="13" t="n">
        <f aca="false">IF(ISNUMBER(K195),1,0)</f>
        <v>0</v>
      </c>
      <c r="BZ195" s="16" t="str">
        <f aca="false">IF(BY195=0,"",N(N195)+N(O195)+N(P195))</f>
        <v/>
      </c>
      <c r="CA195" s="37" t="str">
        <f aca="false">IF(BY195=0,"",(N(Y195)*34.2+N(Z195)*38.6)/1000)</f>
        <v/>
      </c>
      <c r="CB195" s="37" t="str">
        <f aca="false">IF(BY195=0,"",N(O195)*0.0036+N(R195)+N(V195)+(N(AA195)*25.3+N(AB195)*37)/1000)</f>
        <v/>
      </c>
      <c r="CC195" s="37" t="str">
        <f aca="false">IF(BY195=0,"",N(N195)*0.0036+N(Q195)+N(U195)+N(T195)+N(X195)+N(AC195)*38/1000)</f>
        <v/>
      </c>
      <c r="CD195" s="37" t="str">
        <f aca="false">IF(BY195=0,"",N(Q195)+N(R195)+N(S195)+N(T195)+N(U195)+N(V195)+N(W195)+N(X195)+(N(Y195)*34.2+N(Z195)*38.6+N(AA195)*25.3+N(AB195)*37+N(AC195)*38)/1000)</f>
        <v/>
      </c>
      <c r="CE195" s="16" t="str">
        <f aca="false">IF(BY195=0,"",MAX(0,N(L195)-N(K195))+MAX(0,N(M195)-N(L195)))</f>
        <v/>
      </c>
      <c r="CF195" s="16" t="str">
        <f aca="false">IF(BY195=0,"",N(Y195)*N(AD195)+N(Z195)*N(AE195)+N(AA195)*N(AF195)+N(AB195)*N(AG195)+N(AC195)*N(AH195)+N(U195)*N(AI195)+N(V195)*N(AJ195)+N(W195)*N(AK195)+N(X195)*N(AL195)+N(Q195)*N(AM195)+N(R195)*N(AN195)+N(S195)*N(AO195)+N(T195)*N(AP195))</f>
        <v/>
      </c>
      <c r="CG195" s="16" t="n">
        <f aca="false">IF(AND(BY195=1,N(K195)&gt;0),K195,0)</f>
        <v>0</v>
      </c>
      <c r="CH195" s="16" t="str">
        <f aca="false">IF(CG195&gt;0,CF195*1000/CG195,"")</f>
        <v/>
      </c>
      <c r="CI195" s="16" t="str">
        <f aca="false">IF(BY195=0,"",N(AQ195)+p_road*(N(AR195)+N(AS195)+N(AT195)))</f>
        <v/>
      </c>
      <c r="CJ195" s="16" t="str">
        <f aca="false">IF(CG195&gt;0,CI195*1000/CG195,"")</f>
        <v/>
      </c>
      <c r="CK195" s="12" t="n">
        <f aca="false">IF(CH195="",1,MIN(p_idx_max,MAX(p_idx_min,CH195/p_fc_world)))</f>
        <v>1</v>
      </c>
      <c r="CL195" s="12" t="n">
        <f aca="false">IF(CJ195="",1,MIN(p_idx_max,MAX(p_idx_min,CJ195/p_cb_world)))</f>
        <v>1</v>
      </c>
      <c r="CM195" s="37" t="n">
        <f aca="false">p_b*(1-p_wb_idx+p_wb_idx*CK195)</f>
        <v>0.133</v>
      </c>
      <c r="CN195" s="37" t="n">
        <f aca="false">p_c*(1-p_wc_idx+p_wc_idx*CL195)</f>
        <v>0.129</v>
      </c>
      <c r="CO195" s="28" t="n">
        <f aca="false">IF(N(BR195)&gt;0,(N(BS195)+N(BT195)+N(BU195))/BR195,"")</f>
        <v>0.75</v>
      </c>
      <c r="CP195" s="16" t="n">
        <f aca="false">N(BS195)+N(BT195)+N(BU195)</f>
        <v>0.03</v>
      </c>
      <c r="CQ195" s="28" t="n">
        <f aca="false">IF(CP195&gt;0,N(BS195)/CP195,"")</f>
        <v>0</v>
      </c>
      <c r="CR195" s="28" t="n">
        <f aca="false">IF(CP195&gt;0,N(BT195)/CP195,"")</f>
        <v>0</v>
      </c>
      <c r="CS195" s="28" t="n">
        <f aca="false">IF(CP195&gt;0,N(BU195)/CP195,"")</f>
        <v>1</v>
      </c>
      <c r="CT195" s="7" t="n">
        <f aca="false">1000*(p_sh_pv*p_cf_pv/p_capex_pv+(1-p_sh_pv)*p_cf_wind/p_capex_wind)*8760</f>
        <v>2301.28856624319</v>
      </c>
      <c r="CU195" s="13" t="n">
        <f aca="false">IF(AND(ISNUMBER(CO195),ISNUMBER(CQ195),BY195=1),1,0)</f>
        <v>0</v>
      </c>
      <c r="CV195" s="16" t="str">
        <f aca="false">IF(CU195=0,"",CQ195*p_hr_coal*N(AK195)+CR195*p_hr_gas*N(AO195)+CS195*p_hr_oil*N(AH195)/p_gj_l_oil)</f>
        <v/>
      </c>
      <c r="CW195" s="37" t="str">
        <f aca="false">IF(CU195=0,"",CQ195*p_hr_coal*p_ef_coal+CR195*p_hr_gas*p_ef_gas+CS195*p_hr_oil*p_ef_oil)</f>
        <v/>
      </c>
      <c r="CX195" s="16" t="str">
        <f aca="false">IF(CU195=0,"",CQ195*p_hr_coal*N(AW195)+CR195*p_hr_gas*N(AX195)+CS195*p_hr_oil*N(AY195)/p_gj_l_oil)</f>
        <v/>
      </c>
      <c r="CY195" s="37" t="str">
        <f aca="false">IF(CU195=0,"",CO195*CW195)</f>
        <v/>
      </c>
      <c r="CZ195" s="37" t="str">
        <f aca="false">IF(CU195=0,"",CT195*CO195*CV195/1000/1000-p_om_re)</f>
        <v/>
      </c>
      <c r="DA195" s="37" t="str">
        <f aca="false">IF(CU195=0,"",CT195*CO195*CX195/1000/1000)</f>
        <v/>
      </c>
      <c r="DB195" s="37" t="str">
        <f aca="false">IF(CU195=0,"",CT195*CO195*CW195/1000)</f>
        <v/>
      </c>
      <c r="DC195" s="13" t="n">
        <f aca="false">IF(AND(CU195=1,ISNUMBER(AD195),ISNUMBER(AV195)),1,0)</f>
        <v>0</v>
      </c>
      <c r="DD195" s="7" t="str">
        <f aca="false">IF(DC195=0,"",p_ev_km*p_ice_l/100*AD195-p_ev_km*p_ev_kwh*AV195+p_ev_km*p_ev_maint)</f>
        <v/>
      </c>
      <c r="DE195" s="37" t="str">
        <f aca="false">IF(DC195=0,"",DD195/p_ev_prem)</f>
        <v/>
      </c>
      <c r="DF195" s="37" t="str">
        <f aca="false">IF(DC195=0,"",p_ev_km*p_ice_l/100*N(AZ195)/p_ev_prem)</f>
        <v/>
      </c>
      <c r="DG195" s="37" t="str">
        <f aca="false">IF(DC195=0,"",1000/p_ev_prem*(p_ev_km*p_ice_l/100*p_gj_l_gso*p_ef_gso-p_ev_km*p_ev_kwh/1000*CY195))</f>
        <v/>
      </c>
      <c r="DH195" s="11" t="str">
        <f aca="false">IFERROR(IF(INDEX(Damodaran!$D:$D,MATCH(A195,Damodaran!$A:$A,0))="","",INDEX(Damodaran!$D:$D,MATCH(A195,Damodaran!$A:$A,0))),"")</f>
        <v/>
      </c>
      <c r="DI195" s="11" t="str">
        <f aca="false">IFERROR(IF(INDEX(Damodaran!$E:$E,MATCH(A195,Damodaran!$A:$A,0))="","",INDEX(Damodaran!$E:$E,MATCH(A195,Damodaran!$A:$A,0))),"")</f>
        <v/>
      </c>
      <c r="DJ195" s="11" t="str">
        <f aca="false">IFERROR(IF(INDEX(Damodaran!$G:$G,MATCH(A195,Damodaran!$A:$A,0))="","",INDEX(Damodaran!$G:$G,MATCH(A195,Damodaran!$A:$A,0))),"")</f>
        <v/>
      </c>
      <c r="DK195" s="11" t="str">
        <f aca="false">IF(ISNUMBER(BG195),(1+BG195/100)*(1+p_infl)-1,"")</f>
        <v/>
      </c>
      <c r="DL195" s="11" t="str">
        <f aca="false">IF(ISNUMBER(BH195),BH195/100,"")</f>
        <v/>
      </c>
      <c r="DM195" s="11" t="str">
        <f aca="false">IF(COUNT(DK195,DL195)=0,"",AVERAGE(DK195,DL195))</f>
        <v/>
      </c>
      <c r="DN195" s="11" t="str">
        <f aca="false">IF(OR(DH195="",DI195=""),"",p_dv*(p_rf+DH195)*(1-IF(DJ195="",p_tax_def,DJ195))+(1-p_dv)*(p_rf+p_beta*p_erp+p_lambda*DI195))</f>
        <v/>
      </c>
      <c r="DO195" s="13" t="n">
        <f aca="false">IF(AND(ISNUMBER(DM195),ISNUMBER(DN195)),1,0)</f>
        <v>0</v>
      </c>
      <c r="DP195" s="11" t="n">
        <f aca="false">IF(DO195=1,DM195,0)</f>
        <v>0</v>
      </c>
      <c r="DQ195" s="11" t="n">
        <f aca="false">IF(DO195=1,DN195,0)</f>
        <v>0</v>
      </c>
      <c r="DR195" s="11" t="str">
        <f aca="false">IF(DN195="","",DN195+p_shift)</f>
        <v/>
      </c>
      <c r="DS195" s="11" t="n">
        <f aca="false">IF(E195="AE",p_r_ae,IF(E195="China",p_r_chn,p_r_emdc))</f>
        <v>0.105</v>
      </c>
      <c r="DT195" s="11" t="n">
        <f aca="false">IF(E195="AE",p_rh_ae,IF(E195="China",p_rh_chn,p_rh_emdc))</f>
        <v>0.15</v>
      </c>
      <c r="DU195" s="11" t="n">
        <f aca="false">IF(AND(p_use_obs=1,ISNUMBER(DM195)),DM195,IF(AND(p_use_dam=1,ISNUMBER(DR195)),DR195,DS195))</f>
        <v>0.105</v>
      </c>
      <c r="DV195" s="6" t="str">
        <f aca="false">IF(AND(p_use_obs=1,ISNUMBER(DM195)),"Observed (IRENA/Steffen)",IF(AND(p_use_dam=1,ISNUMBER(DR195)),"Damodaran (eq. 5)","Group default (IHLEG)"))</f>
        <v>Group default (IHLEG)</v>
      </c>
      <c r="DW195" s="11" t="n">
        <f aca="false">IF(p_basis=1,(1+DU195)/(1+p_infl)-1,DU195)</f>
        <v>0.105</v>
      </c>
      <c r="DX195" s="11" t="n">
        <f aca="false">DW195+(DT195-DS195)</f>
        <v>0.15</v>
      </c>
      <c r="DY195" s="28" t="n">
        <f aca="false">IF(AND(p_use_pefa=1,ISNUMBER(BD195)),p_gap_lic-(BD195-1)/3*(p_gap_lic-p_gap_ae),IF(E195="AE",p_gap_ae,IF(D195="Low income",p_gap_lic,p_gap_em)))*(1-p_reform*p_reform_close)</f>
        <v>0.27</v>
      </c>
      <c r="DZ195" s="6" t="str">
        <f aca="false">IF(AND(p_use_pefa=1,ISNUMBER(BD195)),"PEFA PI-11","Income-group default (IMF 2015)")</f>
        <v>Income-group default (IMF 2015)</v>
      </c>
      <c r="EA195" s="28" t="n">
        <f aca="false">IF(E195="AE",p_ps_ae,IF(E195="China",p_ps_chn,p_ps_emdc))</f>
        <v>0.4</v>
      </c>
      <c r="EB195" s="37" t="n">
        <f aca="false">(1-EA195)+EA195/(1-DY195)</f>
        <v>1.14794520547945</v>
      </c>
      <c r="EC195" s="16" t="n">
        <f aca="false">Results_Country!F195</f>
        <v>0.0164490988616035</v>
      </c>
      <c r="ED195" s="16" t="n">
        <f aca="false">IF(CH195="",0,CH195*EC195)</f>
        <v>0</v>
      </c>
      <c r="EE195" s="16" t="n">
        <f aca="false">IF(CJ195="",0,CJ195*EC195)</f>
        <v>0</v>
      </c>
      <c r="EF195" s="16" t="n">
        <f aca="false">IF(CH195="",0,EC195)</f>
        <v>0</v>
      </c>
    </row>
    <row r="196" customFormat="false" ht="15" hidden="false" customHeight="false" outlineLevel="0" collapsed="false">
      <c r="A196" s="35" t="s">
        <v>1149</v>
      </c>
      <c r="B196" s="35" t="s">
        <v>1150</v>
      </c>
      <c r="C196" s="35" t="s">
        <v>762</v>
      </c>
      <c r="D196" s="35" t="s">
        <v>760</v>
      </c>
      <c r="E196" s="35" t="s">
        <v>31</v>
      </c>
      <c r="F196" s="36" t="n">
        <v>0.322</v>
      </c>
      <c r="G196" s="36" t="n">
        <v>0.311</v>
      </c>
      <c r="H196" s="33" t="n">
        <v>6.324</v>
      </c>
      <c r="I196" s="33" t="n">
        <v>3.3</v>
      </c>
      <c r="J196" s="36" t="n">
        <v>0.017696</v>
      </c>
      <c r="K196" s="36" t="n">
        <v>1.341</v>
      </c>
      <c r="L196" s="36" t="n">
        <v>1.403</v>
      </c>
      <c r="M196" s="36" t="n">
        <v>1.403</v>
      </c>
      <c r="N196" s="36" t="n">
        <v>0.0524733393065966</v>
      </c>
      <c r="O196" s="36" t="n">
        <v>0.0294632738247061</v>
      </c>
      <c r="P196" s="36" t="n">
        <v>0.00947033801508414</v>
      </c>
      <c r="Q196" s="31" t="n">
        <v>0</v>
      </c>
      <c r="R196" s="31" t="n">
        <v>0</v>
      </c>
      <c r="S196" s="31" t="n">
        <v>0</v>
      </c>
      <c r="T196" s="31" t="n">
        <v>0</v>
      </c>
      <c r="U196" s="31" t="n">
        <v>0</v>
      </c>
      <c r="V196" s="31" t="n">
        <v>0</v>
      </c>
      <c r="W196" s="31" t="n">
        <v>0</v>
      </c>
      <c r="X196" s="31" t="n">
        <v>0</v>
      </c>
      <c r="Y196" s="36" t="n">
        <v>0.0170063081502152</v>
      </c>
      <c r="Z196" s="36" t="n">
        <v>0.0283834042180005</v>
      </c>
      <c r="AA196" s="36" t="n">
        <v>0.00203967968808307</v>
      </c>
      <c r="AB196" s="36" t="n">
        <v>0.000316887881154541</v>
      </c>
      <c r="AC196" s="36" t="n">
        <v>0.0295058606863848</v>
      </c>
      <c r="AD196" s="31" t="n">
        <v>0.72</v>
      </c>
      <c r="AE196" s="31" t="n">
        <v>0.734</v>
      </c>
      <c r="AF196" s="31" t="n">
        <v>0.51</v>
      </c>
      <c r="AG196" s="31" t="n">
        <v>0.652</v>
      </c>
      <c r="AH196" s="31" t="n">
        <v>0.543345303403777</v>
      </c>
      <c r="AI196" s="31" t="n">
        <v>7.124</v>
      </c>
      <c r="AJ196" s="31" t="n">
        <v>11.451</v>
      </c>
      <c r="AK196" s="31" t="n">
        <v>4.833</v>
      </c>
      <c r="AL196" s="31" t="n">
        <v>7.80266666666667</v>
      </c>
      <c r="AM196" s="31" t="n">
        <v>6.34</v>
      </c>
      <c r="AN196" s="31" t="n">
        <v>14.282</v>
      </c>
      <c r="AO196" s="31" t="n">
        <v>5.017</v>
      </c>
      <c r="AP196" s="31" t="n">
        <v>8.54633333333333</v>
      </c>
      <c r="AQ196" s="36" t="s">
        <v>844</v>
      </c>
      <c r="AR196" s="36" t="s">
        <v>844</v>
      </c>
      <c r="AS196" s="36" t="s">
        <v>844</v>
      </c>
      <c r="AT196" s="36" t="s">
        <v>844</v>
      </c>
      <c r="AU196" s="31" t="n">
        <v>0.126745322657</v>
      </c>
      <c r="AV196" s="36" t="n">
        <v>0.191124</v>
      </c>
      <c r="AW196" s="31" t="s">
        <v>844</v>
      </c>
      <c r="AX196" s="31" t="s">
        <v>844</v>
      </c>
      <c r="AY196" s="31" t="s">
        <v>844</v>
      </c>
      <c r="AZ196" s="31" t="s">
        <v>844</v>
      </c>
      <c r="BA196" s="33" t="n">
        <v>66.262</v>
      </c>
      <c r="BB196" s="33"/>
      <c r="BC196" s="33"/>
      <c r="BD196" s="33" t="n">
        <v>2.5</v>
      </c>
      <c r="BE196" s="33" t="n">
        <v>2</v>
      </c>
      <c r="BF196" s="33" t="n">
        <v>0</v>
      </c>
      <c r="BG196" s="33"/>
      <c r="BH196" s="33"/>
      <c r="BI196" s="29"/>
      <c r="BJ196" s="33"/>
      <c r="BK196" s="33"/>
      <c r="BL196" s="33"/>
      <c r="BM196" s="33"/>
      <c r="BN196" s="29"/>
      <c r="BO196" s="33" t="n">
        <v>0.725</v>
      </c>
      <c r="BP196" s="33" t="n">
        <v>1.366</v>
      </c>
      <c r="BQ196" s="29"/>
      <c r="BR196" s="36"/>
      <c r="BS196" s="36"/>
      <c r="BT196" s="36"/>
      <c r="BU196" s="36"/>
      <c r="BV196" s="16" t="n">
        <f aca="false">F196*(1+N(H196)/100)*(1+N(I196)/100)^5</f>
        <v>0.402706635888672</v>
      </c>
      <c r="BW196" s="16" t="n">
        <f aca="false">IF(N(G196)&gt;0,G196,F196)</f>
        <v>0.311</v>
      </c>
      <c r="BX196" s="12" t="n">
        <f aca="false">F196/BW196</f>
        <v>1.03536977491961</v>
      </c>
      <c r="BY196" s="13" t="n">
        <f aca="false">IF(ISNUMBER(K196),1,0)</f>
        <v>1</v>
      </c>
      <c r="BZ196" s="16" t="n">
        <f aca="false">IF(BY196=0,"",N(N196)+N(O196)+N(P196))</f>
        <v>0.0914069511463869</v>
      </c>
      <c r="CA196" s="37" t="n">
        <f aca="false">IF(BY196=0,"",(N(Y196)*34.2+N(Z196)*38.6)/1000)</f>
        <v>0.00167721514155218</v>
      </c>
      <c r="CB196" s="37" t="n">
        <f aca="false">IF(BY196=0,"",N(O196)*0.0036+N(R196)+N(V196)+(N(AA196)*25.3+N(AB196)*37)/1000)</f>
        <v>0.000169396533480162</v>
      </c>
      <c r="CC196" s="37" t="n">
        <f aca="false">IF(BY196=0,"",N(N196)*0.0036+N(Q196)+N(U196)+N(T196)+N(X196)+N(AC196)*38/1000)</f>
        <v>0.00131012672758637</v>
      </c>
      <c r="CD196" s="37" t="n">
        <f aca="false">IF(BY196=0,"",N(Q196)+N(R196)+N(S196)+N(T196)+N(U196)+N(V196)+N(W196)+N(X196)+(N(Y196)*34.2+N(Z196)*38.6+N(AA196)*25.3+N(AB196)*37+N(AC196)*38)/1000)</f>
        <v>0.00286176659534602</v>
      </c>
      <c r="CE196" s="16" t="n">
        <f aca="false">IF(BY196=0,"",MAX(0,N(L196)-N(K196))+MAX(0,N(M196)-N(L196)))</f>
        <v>0.0620000000000001</v>
      </c>
      <c r="CF196" s="16" t="n">
        <f aca="false">IF(BY196=0,"",N(Y196)*N(AD196)+N(Z196)*N(AE196)+N(AA196)*N(AF196)+N(AB196)*N(AG196)+N(AC196)*N(AH196)+N(U196)*N(AI196)+N(V196)*N(AJ196)+N(W196)*N(AK196)+N(X196)*N(AL196)+N(Q196)*N(AM196)+N(R196)*N(AN196)+N(S196)*N(AO196)+N(T196)*N(AP196))</f>
        <v>0.0503566789304358</v>
      </c>
      <c r="CG196" s="16" t="n">
        <f aca="false">IF(AND(BY196=1,N(K196)&gt;0),K196,0)</f>
        <v>1.341</v>
      </c>
      <c r="CH196" s="16" t="n">
        <f aca="false">IF(CG196&gt;0,CF196*1000/CG196,"")</f>
        <v>37.5515875693033</v>
      </c>
      <c r="CI196" s="16" t="n">
        <f aca="false">IF(BY196=0,"",N(AQ196)+p_road*(N(AR196)+N(AS196)+N(AT196)))</f>
        <v>0</v>
      </c>
      <c r="CJ196" s="16" t="n">
        <f aca="false">IF(CG196&gt;0,CI196*1000/CG196,"")</f>
        <v>0</v>
      </c>
      <c r="CK196" s="12" t="n">
        <f aca="false">IF(CH196="",1,MIN(p_idx_max,MAX(p_idx_min,CH196/p_fc_world)))</f>
        <v>0.25</v>
      </c>
      <c r="CL196" s="12" t="n">
        <f aca="false">IF(CJ196="",1,MIN(p_idx_max,MAX(p_idx_min,CJ196/p_cb_world)))</f>
        <v>0.25</v>
      </c>
      <c r="CM196" s="37" t="n">
        <f aca="false">p_b*(1-p_wb_idx+p_wb_idx*CK196)</f>
        <v>0.03325</v>
      </c>
      <c r="CN196" s="37" t="n">
        <f aca="false">p_c*(1-p_wc_idx+p_wc_idx*CL196)</f>
        <v>0.03225</v>
      </c>
      <c r="CO196" s="28" t="str">
        <f aca="false">IF(N(BR196)&gt;0,(N(BS196)+N(BT196)+N(BU196))/BR196,"")</f>
        <v/>
      </c>
      <c r="CP196" s="16" t="n">
        <f aca="false">N(BS196)+N(BT196)+N(BU196)</f>
        <v>0</v>
      </c>
      <c r="CQ196" s="28" t="str">
        <f aca="false">IF(CP196&gt;0,N(BS196)/CP196,"")</f>
        <v/>
      </c>
      <c r="CR196" s="28" t="str">
        <f aca="false">IF(CP196&gt;0,N(BT196)/CP196,"")</f>
        <v/>
      </c>
      <c r="CS196" s="28" t="str">
        <f aca="false">IF(CP196&gt;0,N(BU196)/CP196,"")</f>
        <v/>
      </c>
      <c r="CT196" s="7" t="n">
        <f aca="false">1000*(p_sh_pv*p_cf_pv/p_capex_pv+(1-p_sh_pv)*p_cf_wind/p_capex_wind)*8760</f>
        <v>2301.28856624319</v>
      </c>
      <c r="CU196" s="13" t="n">
        <f aca="false">IF(AND(ISNUMBER(CO196),ISNUMBER(CQ196),BY196=1),1,0)</f>
        <v>0</v>
      </c>
      <c r="CV196" s="16" t="str">
        <f aca="false">IF(CU196=0,"",CQ196*p_hr_coal*N(AK196)+CR196*p_hr_gas*N(AO196)+CS196*p_hr_oil*N(AH196)/p_gj_l_oil)</f>
        <v/>
      </c>
      <c r="CW196" s="37" t="str">
        <f aca="false">IF(CU196=0,"",CQ196*p_hr_coal*p_ef_coal+CR196*p_hr_gas*p_ef_gas+CS196*p_hr_oil*p_ef_oil)</f>
        <v/>
      </c>
      <c r="CX196" s="16" t="str">
        <f aca="false">IF(CU196=0,"",CQ196*p_hr_coal*N(AW196)+CR196*p_hr_gas*N(AX196)+CS196*p_hr_oil*N(AY196)/p_gj_l_oil)</f>
        <v/>
      </c>
      <c r="CY196" s="37" t="str">
        <f aca="false">IF(CU196=0,"",CO196*CW196)</f>
        <v/>
      </c>
      <c r="CZ196" s="37" t="str">
        <f aca="false">IF(CU196=0,"",CT196*CO196*CV196/1000/1000-p_om_re)</f>
        <v/>
      </c>
      <c r="DA196" s="37" t="str">
        <f aca="false">IF(CU196=0,"",CT196*CO196*CX196/1000/1000)</f>
        <v/>
      </c>
      <c r="DB196" s="37" t="str">
        <f aca="false">IF(CU196=0,"",CT196*CO196*CW196/1000)</f>
        <v/>
      </c>
      <c r="DC196" s="13" t="n">
        <f aca="false">IF(AND(CU196=1,ISNUMBER(AD196),ISNUMBER(AV196)),1,0)</f>
        <v>0</v>
      </c>
      <c r="DD196" s="7" t="str">
        <f aca="false">IF(DC196=0,"",p_ev_km*p_ice_l/100*AD196-p_ev_km*p_ev_kwh*AV196+p_ev_km*p_ev_maint)</f>
        <v/>
      </c>
      <c r="DE196" s="37" t="str">
        <f aca="false">IF(DC196=0,"",DD196/p_ev_prem)</f>
        <v/>
      </c>
      <c r="DF196" s="37" t="str">
        <f aca="false">IF(DC196=0,"",p_ev_km*p_ice_l/100*N(AZ196)/p_ev_prem)</f>
        <v/>
      </c>
      <c r="DG196" s="37" t="str">
        <f aca="false">IF(DC196=0,"",1000/p_ev_prem*(p_ev_km*p_ice_l/100*p_gj_l_gso*p_ef_gso-p_ev_km*p_ev_kwh/1000*CY196))</f>
        <v/>
      </c>
      <c r="DH196" s="11" t="str">
        <f aca="false">IFERROR(IF(INDEX(Damodaran!$D:$D,MATCH(A196,Damodaran!$A:$A,0))="","",INDEX(Damodaran!$D:$D,MATCH(A196,Damodaran!$A:$A,0))),"")</f>
        <v/>
      </c>
      <c r="DI196" s="11" t="str">
        <f aca="false">IFERROR(IF(INDEX(Damodaran!$E:$E,MATCH(A196,Damodaran!$A:$A,0))="","",INDEX(Damodaran!$E:$E,MATCH(A196,Damodaran!$A:$A,0))),"")</f>
        <v/>
      </c>
      <c r="DJ196" s="11" t="str">
        <f aca="false">IFERROR(IF(INDEX(Damodaran!$G:$G,MATCH(A196,Damodaran!$A:$A,0))="","",INDEX(Damodaran!$G:$G,MATCH(A196,Damodaran!$A:$A,0))),"")</f>
        <v/>
      </c>
      <c r="DK196" s="11" t="str">
        <f aca="false">IF(ISNUMBER(BG196),(1+BG196/100)*(1+p_infl)-1,"")</f>
        <v/>
      </c>
      <c r="DL196" s="11" t="str">
        <f aca="false">IF(ISNUMBER(BH196),BH196/100,"")</f>
        <v/>
      </c>
      <c r="DM196" s="11" t="str">
        <f aca="false">IF(COUNT(DK196,DL196)=0,"",AVERAGE(DK196,DL196))</f>
        <v/>
      </c>
      <c r="DN196" s="11" t="str">
        <f aca="false">IF(OR(DH196="",DI196=""),"",p_dv*(p_rf+DH196)*(1-IF(DJ196="",p_tax_def,DJ196))+(1-p_dv)*(p_rf+p_beta*p_erp+p_lambda*DI196))</f>
        <v/>
      </c>
      <c r="DO196" s="13" t="n">
        <f aca="false">IF(AND(ISNUMBER(DM196),ISNUMBER(DN196)),1,0)</f>
        <v>0</v>
      </c>
      <c r="DP196" s="11" t="n">
        <f aca="false">IF(DO196=1,DM196,0)</f>
        <v>0</v>
      </c>
      <c r="DQ196" s="11" t="n">
        <f aca="false">IF(DO196=1,DN196,0)</f>
        <v>0</v>
      </c>
      <c r="DR196" s="11" t="str">
        <f aca="false">IF(DN196="","",DN196+p_shift)</f>
        <v/>
      </c>
      <c r="DS196" s="11" t="n">
        <f aca="false">IF(E196="AE",p_r_ae,IF(E196="China",p_r_chn,p_r_emdc))</f>
        <v>0.105</v>
      </c>
      <c r="DT196" s="11" t="n">
        <f aca="false">IF(E196="AE",p_rh_ae,IF(E196="China",p_rh_chn,p_rh_emdc))</f>
        <v>0.15</v>
      </c>
      <c r="DU196" s="11" t="n">
        <f aca="false">IF(AND(p_use_obs=1,ISNUMBER(DM196)),DM196,IF(AND(p_use_dam=1,ISNUMBER(DR196)),DR196,DS196))</f>
        <v>0.105</v>
      </c>
      <c r="DV196" s="6" t="str">
        <f aca="false">IF(AND(p_use_obs=1,ISNUMBER(DM196)),"Observed (IRENA/Steffen)",IF(AND(p_use_dam=1,ISNUMBER(DR196)),"Damodaran (eq. 5)","Group default (IHLEG)"))</f>
        <v>Group default (IHLEG)</v>
      </c>
      <c r="DW196" s="11" t="n">
        <f aca="false">IF(p_basis=1,(1+DU196)/(1+p_infl)-1,DU196)</f>
        <v>0.105</v>
      </c>
      <c r="DX196" s="11" t="n">
        <f aca="false">DW196+(DT196-DS196)</f>
        <v>0.15</v>
      </c>
      <c r="DY196" s="28" t="n">
        <f aca="false">IF(AND(p_use_pefa=1,ISNUMBER(BD196)),p_gap_lic-(BD196-1)/3*(p_gap_lic-p_gap_ae),IF(E196="AE",p_gap_ae,IF(D196="Low income",p_gap_lic,p_gap_em)))*(1-p_reform*p_reform_close)</f>
        <v>0.265</v>
      </c>
      <c r="DZ196" s="6" t="str">
        <f aca="false">IF(AND(p_use_pefa=1,ISNUMBER(BD196)),"PEFA PI-11","Income-group default (IMF 2015)")</f>
        <v>PEFA PI-11</v>
      </c>
      <c r="EA196" s="28" t="n">
        <f aca="false">IF(E196="AE",p_ps_ae,IF(E196="China",p_ps_chn,p_ps_emdc))</f>
        <v>0.4</v>
      </c>
      <c r="EB196" s="37" t="n">
        <f aca="false">(1-EA196)+EA196/(1-DY196)</f>
        <v>1.14421768707483</v>
      </c>
      <c r="EC196" s="16" t="n">
        <f aca="false">Results_Country!F196</f>
        <v>0.0293050372409858</v>
      </c>
      <c r="ED196" s="16" t="n">
        <f aca="false">IF(CH196="",0,CH196*EC196)</f>
        <v>1.10045067217657</v>
      </c>
      <c r="EE196" s="16" t="n">
        <f aca="false">IF(CJ196="",0,CJ196*EC196)</f>
        <v>0</v>
      </c>
      <c r="EF196" s="16" t="n">
        <f aca="false">IF(CH196="",0,EC196)</f>
        <v>0.0293050372409858</v>
      </c>
    </row>
    <row r="197" customFormat="false" ht="15" hidden="false" customHeight="false" outlineLevel="0" collapsed="false">
      <c r="A197" s="35" t="s">
        <v>1151</v>
      </c>
      <c r="B197" s="35" t="s">
        <v>1152</v>
      </c>
      <c r="C197" s="35" t="s">
        <v>762</v>
      </c>
      <c r="D197" s="35" t="s">
        <v>763</v>
      </c>
      <c r="E197" s="35" t="s">
        <v>31</v>
      </c>
      <c r="F197" s="36" t="n">
        <v>0.285</v>
      </c>
      <c r="G197" s="36" t="n">
        <v>0.268</v>
      </c>
      <c r="H197" s="33" t="n">
        <v>2.527</v>
      </c>
      <c r="I197" s="33" t="n">
        <v>3.67</v>
      </c>
      <c r="J197" s="36"/>
      <c r="K197" s="36"/>
      <c r="L197" s="36"/>
      <c r="M197" s="36"/>
      <c r="N197" s="36"/>
      <c r="O197" s="36"/>
      <c r="P197" s="36"/>
      <c r="Q197" s="31"/>
      <c r="R197" s="31"/>
      <c r="S197" s="31"/>
      <c r="T197" s="31"/>
      <c r="U197" s="31"/>
      <c r="V197" s="31"/>
      <c r="W197" s="31"/>
      <c r="X197" s="31"/>
      <c r="Y197" s="36"/>
      <c r="Z197" s="36"/>
      <c r="AA197" s="36"/>
      <c r="AB197" s="36"/>
      <c r="AC197" s="36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6"/>
      <c r="AR197" s="36"/>
      <c r="AS197" s="36"/>
      <c r="AT197" s="36"/>
      <c r="AU197" s="31"/>
      <c r="AV197" s="36"/>
      <c r="AW197" s="31"/>
      <c r="AX197" s="31"/>
      <c r="AY197" s="31"/>
      <c r="AZ197" s="31"/>
      <c r="BA197" s="33" t="n">
        <v>14.18</v>
      </c>
      <c r="BB197" s="33" t="n">
        <v>0.303</v>
      </c>
      <c r="BC197" s="33"/>
      <c r="BD197" s="33"/>
      <c r="BE197" s="33"/>
      <c r="BF197" s="33" t="n">
        <v>1</v>
      </c>
      <c r="BG197" s="33"/>
      <c r="BH197" s="33"/>
      <c r="BI197" s="29"/>
      <c r="BJ197" s="33"/>
      <c r="BK197" s="33"/>
      <c r="BL197" s="33"/>
      <c r="BM197" s="33"/>
      <c r="BN197" s="29"/>
      <c r="BO197" s="33" t="n">
        <v>20.14</v>
      </c>
      <c r="BP197" s="33"/>
      <c r="BQ197" s="29"/>
      <c r="BR197" s="36"/>
      <c r="BS197" s="36"/>
      <c r="BT197" s="36"/>
      <c r="BU197" s="36"/>
      <c r="BV197" s="16" t="n">
        <f aca="false">F197*(1+N(H197)/100)*(1+N(I197)/100)^5</f>
        <v>0.349903754505447</v>
      </c>
      <c r="BW197" s="16" t="n">
        <f aca="false">IF(N(G197)&gt;0,G197,F197)</f>
        <v>0.268</v>
      </c>
      <c r="BX197" s="12" t="n">
        <f aca="false">F197/BW197</f>
        <v>1.0634328358209</v>
      </c>
      <c r="BY197" s="13" t="n">
        <f aca="false">IF(ISNUMBER(K197),1,0)</f>
        <v>0</v>
      </c>
      <c r="BZ197" s="16" t="str">
        <f aca="false">IF(BY197=0,"",N(N197)+N(O197)+N(P197))</f>
        <v/>
      </c>
      <c r="CA197" s="37" t="str">
        <f aca="false">IF(BY197=0,"",(N(Y197)*34.2+N(Z197)*38.6)/1000)</f>
        <v/>
      </c>
      <c r="CB197" s="37" t="str">
        <f aca="false">IF(BY197=0,"",N(O197)*0.0036+N(R197)+N(V197)+(N(AA197)*25.3+N(AB197)*37)/1000)</f>
        <v/>
      </c>
      <c r="CC197" s="37" t="str">
        <f aca="false">IF(BY197=0,"",N(N197)*0.0036+N(Q197)+N(U197)+N(T197)+N(X197)+N(AC197)*38/1000)</f>
        <v/>
      </c>
      <c r="CD197" s="37" t="str">
        <f aca="false">IF(BY197=0,"",N(Q197)+N(R197)+N(S197)+N(T197)+N(U197)+N(V197)+N(W197)+N(X197)+(N(Y197)*34.2+N(Z197)*38.6+N(AA197)*25.3+N(AB197)*37+N(AC197)*38)/1000)</f>
        <v/>
      </c>
      <c r="CE197" s="16" t="str">
        <f aca="false">IF(BY197=0,"",MAX(0,N(L197)-N(K197))+MAX(0,N(M197)-N(L197)))</f>
        <v/>
      </c>
      <c r="CF197" s="16" t="str">
        <f aca="false">IF(BY197=0,"",N(Y197)*N(AD197)+N(Z197)*N(AE197)+N(AA197)*N(AF197)+N(AB197)*N(AG197)+N(AC197)*N(AH197)+N(U197)*N(AI197)+N(V197)*N(AJ197)+N(W197)*N(AK197)+N(X197)*N(AL197)+N(Q197)*N(AM197)+N(R197)*N(AN197)+N(S197)*N(AO197)+N(T197)*N(AP197))</f>
        <v/>
      </c>
      <c r="CG197" s="16" t="n">
        <f aca="false">IF(AND(BY197=1,N(K197)&gt;0),K197,0)</f>
        <v>0</v>
      </c>
      <c r="CH197" s="16" t="str">
        <f aca="false">IF(CG197&gt;0,CF197*1000/CG197,"")</f>
        <v/>
      </c>
      <c r="CI197" s="16" t="str">
        <f aca="false">IF(BY197=0,"",N(AQ197)+p_road*(N(AR197)+N(AS197)+N(AT197)))</f>
        <v/>
      </c>
      <c r="CJ197" s="16" t="str">
        <f aca="false">IF(CG197&gt;0,CI197*1000/CG197,"")</f>
        <v/>
      </c>
      <c r="CK197" s="12" t="n">
        <f aca="false">IF(CH197="",1,MIN(p_idx_max,MAX(p_idx_min,CH197/p_fc_world)))</f>
        <v>1</v>
      </c>
      <c r="CL197" s="12" t="n">
        <f aca="false">IF(CJ197="",1,MIN(p_idx_max,MAX(p_idx_min,CJ197/p_cb_world)))</f>
        <v>1</v>
      </c>
      <c r="CM197" s="37" t="n">
        <f aca="false">p_b*(1-p_wb_idx+p_wb_idx*CK197)</f>
        <v>0.133</v>
      </c>
      <c r="CN197" s="37" t="n">
        <f aca="false">p_c*(1-p_wc_idx+p_wc_idx*CL197)</f>
        <v>0.129</v>
      </c>
      <c r="CO197" s="28" t="str">
        <f aca="false">IF(N(BR197)&gt;0,(N(BS197)+N(BT197)+N(BU197))/BR197,"")</f>
        <v/>
      </c>
      <c r="CP197" s="16" t="n">
        <f aca="false">N(BS197)+N(BT197)+N(BU197)</f>
        <v>0</v>
      </c>
      <c r="CQ197" s="28" t="str">
        <f aca="false">IF(CP197&gt;0,N(BS197)/CP197,"")</f>
        <v/>
      </c>
      <c r="CR197" s="28" t="str">
        <f aca="false">IF(CP197&gt;0,N(BT197)/CP197,"")</f>
        <v/>
      </c>
      <c r="CS197" s="28" t="str">
        <f aca="false">IF(CP197&gt;0,N(BU197)/CP197,"")</f>
        <v/>
      </c>
      <c r="CT197" s="7" t="n">
        <f aca="false">1000*(p_sh_pv*p_cf_pv/p_capex_pv+(1-p_sh_pv)*p_cf_wind/p_capex_wind)*8760</f>
        <v>2301.28856624319</v>
      </c>
      <c r="CU197" s="13" t="n">
        <f aca="false">IF(AND(ISNUMBER(CO197),ISNUMBER(CQ197),BY197=1),1,0)</f>
        <v>0</v>
      </c>
      <c r="CV197" s="16" t="str">
        <f aca="false">IF(CU197=0,"",CQ197*p_hr_coal*N(AK197)+CR197*p_hr_gas*N(AO197)+CS197*p_hr_oil*N(AH197)/p_gj_l_oil)</f>
        <v/>
      </c>
      <c r="CW197" s="37" t="str">
        <f aca="false">IF(CU197=0,"",CQ197*p_hr_coal*p_ef_coal+CR197*p_hr_gas*p_ef_gas+CS197*p_hr_oil*p_ef_oil)</f>
        <v/>
      </c>
      <c r="CX197" s="16" t="str">
        <f aca="false">IF(CU197=0,"",CQ197*p_hr_coal*N(AW197)+CR197*p_hr_gas*N(AX197)+CS197*p_hr_oil*N(AY197)/p_gj_l_oil)</f>
        <v/>
      </c>
      <c r="CY197" s="37" t="str">
        <f aca="false">IF(CU197=0,"",CO197*CW197)</f>
        <v/>
      </c>
      <c r="CZ197" s="37" t="str">
        <f aca="false">IF(CU197=0,"",CT197*CO197*CV197/1000/1000-p_om_re)</f>
        <v/>
      </c>
      <c r="DA197" s="37" t="str">
        <f aca="false">IF(CU197=0,"",CT197*CO197*CX197/1000/1000)</f>
        <v/>
      </c>
      <c r="DB197" s="37" t="str">
        <f aca="false">IF(CU197=0,"",CT197*CO197*CW197/1000)</f>
        <v/>
      </c>
      <c r="DC197" s="13" t="n">
        <f aca="false">IF(AND(CU197=1,ISNUMBER(AD197),ISNUMBER(AV197)),1,0)</f>
        <v>0</v>
      </c>
      <c r="DD197" s="7" t="str">
        <f aca="false">IF(DC197=0,"",p_ev_km*p_ice_l/100*AD197-p_ev_km*p_ev_kwh*AV197+p_ev_km*p_ev_maint)</f>
        <v/>
      </c>
      <c r="DE197" s="37" t="str">
        <f aca="false">IF(DC197=0,"",DD197/p_ev_prem)</f>
        <v/>
      </c>
      <c r="DF197" s="37" t="str">
        <f aca="false">IF(DC197=0,"",p_ev_km*p_ice_l/100*N(AZ197)/p_ev_prem)</f>
        <v/>
      </c>
      <c r="DG197" s="37" t="str">
        <f aca="false">IF(DC197=0,"",1000/p_ev_prem*(p_ev_km*p_ice_l/100*p_gj_l_gso*p_ef_gso-p_ev_km*p_ev_kwh/1000*CY197))</f>
        <v/>
      </c>
      <c r="DH197" s="11" t="str">
        <f aca="false">IFERROR(IF(INDEX(Damodaran!$D:$D,MATCH(A197,Damodaran!$A:$A,0))="","",INDEX(Damodaran!$D:$D,MATCH(A197,Damodaran!$A:$A,0))),"")</f>
        <v/>
      </c>
      <c r="DI197" s="11" t="str">
        <f aca="false">IFERROR(IF(INDEX(Damodaran!$E:$E,MATCH(A197,Damodaran!$A:$A,0))="","",INDEX(Damodaran!$E:$E,MATCH(A197,Damodaran!$A:$A,0))),"")</f>
        <v/>
      </c>
      <c r="DJ197" s="11" t="str">
        <f aca="false">IFERROR(IF(INDEX(Damodaran!$G:$G,MATCH(A197,Damodaran!$A:$A,0))="","",INDEX(Damodaran!$G:$G,MATCH(A197,Damodaran!$A:$A,0))),"")</f>
        <v/>
      </c>
      <c r="DK197" s="11" t="str">
        <f aca="false">IF(ISNUMBER(BG197),(1+BG197/100)*(1+p_infl)-1,"")</f>
        <v/>
      </c>
      <c r="DL197" s="11" t="str">
        <f aca="false">IF(ISNUMBER(BH197),BH197/100,"")</f>
        <v/>
      </c>
      <c r="DM197" s="11" t="str">
        <f aca="false">IF(COUNT(DK197,DL197)=0,"",AVERAGE(DK197,DL197))</f>
        <v/>
      </c>
      <c r="DN197" s="11" t="str">
        <f aca="false">IF(OR(DH197="",DI197=""),"",p_dv*(p_rf+DH197)*(1-IF(DJ197="",p_tax_def,DJ197))+(1-p_dv)*(p_rf+p_beta*p_erp+p_lambda*DI197))</f>
        <v/>
      </c>
      <c r="DO197" s="13" t="n">
        <f aca="false">IF(AND(ISNUMBER(DM197),ISNUMBER(DN197)),1,0)</f>
        <v>0</v>
      </c>
      <c r="DP197" s="11" t="n">
        <f aca="false">IF(DO197=1,DM197,0)</f>
        <v>0</v>
      </c>
      <c r="DQ197" s="11" t="n">
        <f aca="false">IF(DO197=1,DN197,0)</f>
        <v>0</v>
      </c>
      <c r="DR197" s="11" t="str">
        <f aca="false">IF(DN197="","",DN197+p_shift)</f>
        <v/>
      </c>
      <c r="DS197" s="11" t="n">
        <f aca="false">IF(E197="AE",p_r_ae,IF(E197="China",p_r_chn,p_r_emdc))</f>
        <v>0.105</v>
      </c>
      <c r="DT197" s="11" t="n">
        <f aca="false">IF(E197="AE",p_rh_ae,IF(E197="China",p_rh_chn,p_rh_emdc))</f>
        <v>0.15</v>
      </c>
      <c r="DU197" s="11" t="n">
        <f aca="false">IF(AND(p_use_obs=1,ISNUMBER(DM197)),DM197,IF(AND(p_use_dam=1,ISNUMBER(DR197)),DR197,DS197))</f>
        <v>0.105</v>
      </c>
      <c r="DV197" s="6" t="str">
        <f aca="false">IF(AND(p_use_obs=1,ISNUMBER(DM197)),"Observed (IRENA/Steffen)",IF(AND(p_use_dam=1,ISNUMBER(DR197)),"Damodaran (eq. 5)","Group default (IHLEG)"))</f>
        <v>Group default (IHLEG)</v>
      </c>
      <c r="DW197" s="11" t="n">
        <f aca="false">IF(p_basis=1,(1+DU197)/(1+p_infl)-1,DU197)</f>
        <v>0.105</v>
      </c>
      <c r="DX197" s="11" t="n">
        <f aca="false">DW197+(DT197-DS197)</f>
        <v>0.15</v>
      </c>
      <c r="DY197" s="28" t="n">
        <f aca="false">IF(AND(p_use_pefa=1,ISNUMBER(BD197)),p_gap_lic-(BD197-1)/3*(p_gap_lic-p_gap_ae),IF(E197="AE",p_gap_ae,IF(D197="Low income",p_gap_lic,p_gap_em)))*(1-p_reform*p_reform_close)</f>
        <v>0.27</v>
      </c>
      <c r="DZ197" s="6" t="str">
        <f aca="false">IF(AND(p_use_pefa=1,ISNUMBER(BD197)),"PEFA PI-11","Income-group default (IMF 2015)")</f>
        <v>Income-group default (IMF 2015)</v>
      </c>
      <c r="EA197" s="28" t="n">
        <f aca="false">IF(E197="AE",p_ps_ae,IF(E197="China",p_ps_chn,p_ps_emdc))</f>
        <v>0.4</v>
      </c>
      <c r="EB197" s="37" t="n">
        <f aca="false">(1-EA197)+EA197/(1-DY197)</f>
        <v>1.14794520547945</v>
      </c>
      <c r="EC197" s="16" t="n">
        <f aca="false">Results_Country!F197</f>
        <v>0.0115328269841856</v>
      </c>
      <c r="ED197" s="16" t="n">
        <f aca="false">IF(CH197="",0,CH197*EC197)</f>
        <v>0</v>
      </c>
      <c r="EE197" s="16" t="n">
        <f aca="false">IF(CJ197="",0,CJ197*EC197)</f>
        <v>0</v>
      </c>
      <c r="EF197" s="16" t="n">
        <f aca="false">IF(CH197="",0,EC197)</f>
        <v>0</v>
      </c>
    </row>
    <row r="198" customFormat="false" ht="15" hidden="false" customHeight="false" outlineLevel="0" collapsed="false">
      <c r="A198" s="35" t="s">
        <v>1153</v>
      </c>
      <c r="B198" s="35" t="s">
        <v>1154</v>
      </c>
      <c r="C198" s="35" t="s">
        <v>762</v>
      </c>
      <c r="D198" s="35" t="s">
        <v>760</v>
      </c>
      <c r="E198" s="35" t="s">
        <v>31</v>
      </c>
      <c r="F198" s="36" t="n">
        <v>0.168</v>
      </c>
      <c r="G198" s="36" t="n">
        <v>0.136</v>
      </c>
      <c r="H198" s="33" t="n">
        <v>2.213</v>
      </c>
      <c r="I198" s="33" t="n">
        <v>2.13</v>
      </c>
      <c r="J198" s="36" t="n">
        <v>0.011947</v>
      </c>
      <c r="K198" s="36" t="n">
        <v>0.101</v>
      </c>
      <c r="L198" s="36" t="n">
        <v>0.101</v>
      </c>
      <c r="M198" s="36" t="n">
        <v>0.101</v>
      </c>
      <c r="N198" s="36" t="n">
        <v>0.0180941508003649</v>
      </c>
      <c r="O198" s="36" t="n">
        <v>0.0196276822267002</v>
      </c>
      <c r="P198" s="36" t="n">
        <v>0</v>
      </c>
      <c r="Q198" s="31" t="n">
        <v>0</v>
      </c>
      <c r="R198" s="31" t="n">
        <v>0</v>
      </c>
      <c r="S198" s="31" t="n">
        <v>0</v>
      </c>
      <c r="T198" s="31" t="n">
        <v>0</v>
      </c>
      <c r="U198" s="31" t="n">
        <v>0</v>
      </c>
      <c r="V198" s="31" t="n">
        <v>0</v>
      </c>
      <c r="W198" s="31" t="n">
        <v>0</v>
      </c>
      <c r="X198" s="31" t="n">
        <v>0</v>
      </c>
      <c r="Y198" s="36" t="n">
        <v>0.00431321326496647</v>
      </c>
      <c r="Z198" s="36" t="n">
        <v>0.0126506320238264</v>
      </c>
      <c r="AA198" s="36" t="n">
        <v>2.9447565307667E-005</v>
      </c>
      <c r="AB198" s="36" t="n">
        <v>1.13758343673298E-006</v>
      </c>
      <c r="AC198" s="36" t="n">
        <v>0.0179390944392094</v>
      </c>
      <c r="AD198" s="31" t="n">
        <v>0.72</v>
      </c>
      <c r="AE198" s="31" t="n">
        <v>0.734</v>
      </c>
      <c r="AF198" s="31" t="n">
        <v>0.51</v>
      </c>
      <c r="AG198" s="31" t="n">
        <v>0.652</v>
      </c>
      <c r="AH198" s="31" t="n">
        <v>0.543345303403777</v>
      </c>
      <c r="AI198" s="31" t="n">
        <v>7.124</v>
      </c>
      <c r="AJ198" s="31" t="n">
        <v>11.451</v>
      </c>
      <c r="AK198" s="31" t="n">
        <v>4.833</v>
      </c>
      <c r="AL198" s="31" t="n">
        <v>7.80266666666667</v>
      </c>
      <c r="AM198" s="31" t="n">
        <v>13.543</v>
      </c>
      <c r="AN198" s="31" t="n">
        <v>21.484</v>
      </c>
      <c r="AO198" s="31" t="n">
        <v>12.219</v>
      </c>
      <c r="AP198" s="31" t="n">
        <v>15.7486666666667</v>
      </c>
      <c r="AQ198" s="36" t="s">
        <v>844</v>
      </c>
      <c r="AR198" s="36" t="s">
        <v>844</v>
      </c>
      <c r="AS198" s="36" t="s">
        <v>844</v>
      </c>
      <c r="AT198" s="36" t="s">
        <v>844</v>
      </c>
      <c r="AU198" s="31" t="n">
        <v>0.197279189287937</v>
      </c>
      <c r="AV198" s="36" t="n">
        <v>0.269021</v>
      </c>
      <c r="AW198" s="31" t="s">
        <v>844</v>
      </c>
      <c r="AX198" s="31" t="s">
        <v>844</v>
      </c>
      <c r="AY198" s="31" t="s">
        <v>844</v>
      </c>
      <c r="AZ198" s="31" t="s">
        <v>844</v>
      </c>
      <c r="BA198" s="33" t="n">
        <v>16.853</v>
      </c>
      <c r="BB198" s="33"/>
      <c r="BC198" s="33"/>
      <c r="BD198" s="33" t="n">
        <v>1</v>
      </c>
      <c r="BE198" s="33" t="n">
        <v>1</v>
      </c>
      <c r="BF198" s="33" t="n">
        <v>0</v>
      </c>
      <c r="BG198" s="33"/>
      <c r="BH198" s="33"/>
      <c r="BI198" s="29"/>
      <c r="BJ198" s="33"/>
      <c r="BK198" s="33"/>
      <c r="BL198" s="33"/>
      <c r="BM198" s="33"/>
      <c r="BN198" s="29"/>
      <c r="BO198" s="33" t="n">
        <v>16.443</v>
      </c>
      <c r="BP198" s="33"/>
      <c r="BQ198" s="29" t="n">
        <v>2024</v>
      </c>
      <c r="BR198" s="36" t="n">
        <v>0.05</v>
      </c>
      <c r="BS198" s="36" t="n">
        <v>0</v>
      </c>
      <c r="BT198" s="36" t="n">
        <v>0</v>
      </c>
      <c r="BU198" s="36" t="n">
        <v>0.04</v>
      </c>
      <c r="BV198" s="16" t="n">
        <f aca="false">F198*(1+N(H198)/100)*(1+N(I198)/100)^5</f>
        <v>0.190801628228568</v>
      </c>
      <c r="BW198" s="16" t="n">
        <f aca="false">IF(N(G198)&gt;0,G198,F198)</f>
        <v>0.136</v>
      </c>
      <c r="BX198" s="12" t="n">
        <f aca="false">F198/BW198</f>
        <v>1.23529411764706</v>
      </c>
      <c r="BY198" s="13" t="n">
        <f aca="false">IF(ISNUMBER(K198),1,0)</f>
        <v>1</v>
      </c>
      <c r="BZ198" s="16" t="n">
        <f aca="false">IF(BY198=0,"",N(N198)+N(O198)+N(P198))</f>
        <v>0.0377218330270651</v>
      </c>
      <c r="CA198" s="37" t="n">
        <f aca="false">IF(BY198=0,"",(N(Y198)*34.2+N(Z198)*38.6)/1000)</f>
        <v>0.00063582628978155</v>
      </c>
      <c r="CB198" s="37" t="n">
        <f aca="false">IF(BY198=0,"",N(O198)*0.0036+N(R198)+N(V198)+(N(AA198)*25.3+N(AB198)*37)/1000)</f>
        <v>7.14467700055637E-005</v>
      </c>
      <c r="CC198" s="37" t="n">
        <f aca="false">IF(BY198=0,"",N(N198)*0.0036+N(Q198)+N(U198)+N(T198)+N(X198)+N(AC198)*38/1000)</f>
        <v>0.000746824531571269</v>
      </c>
      <c r="CD198" s="37" t="n">
        <f aca="false">IF(BY198=0,"",N(Q198)+N(R198)+N(S198)+N(T198)+N(U198)+N(V198)+N(W198)+N(X198)+(N(Y198)*34.2+N(Z198)*38.6+N(AA198)*25.3+N(AB198)*37+N(AC198)*38)/1000)</f>
        <v>0.00131829899246095</v>
      </c>
      <c r="CE198" s="16" t="n">
        <f aca="false">IF(BY198=0,"",MAX(0,N(L198)-N(K198))+MAX(0,N(M198)-N(L198)))</f>
        <v>0</v>
      </c>
      <c r="CF198" s="16" t="n">
        <f aca="false">IF(BY198=0,"",N(Y198)*N(AD198)+N(Z198)*N(AE198)+N(AA198)*N(AF198)+N(AB198)*N(AG198)+N(AC198)*N(AH198)+N(U198)*N(AI198)+N(V198)*N(AJ198)+N(W198)*N(AK198)+N(X198)*N(AL198)+N(Q198)*N(AM198)+N(R198)*N(AN198)+N(S198)*N(AO198)+N(T198)*N(AP198))</f>
        <v>0.0221539601298333</v>
      </c>
      <c r="CG198" s="16" t="n">
        <f aca="false">IF(AND(BY198=1,N(K198)&gt;0),K198,0)</f>
        <v>0.101</v>
      </c>
      <c r="CH198" s="16" t="n">
        <f aca="false">IF(CG198&gt;0,CF198*1000/CG198,"")</f>
        <v>219.346139899339</v>
      </c>
      <c r="CI198" s="16" t="n">
        <f aca="false">IF(BY198=0,"",N(AQ198)+p_road*(N(AR198)+N(AS198)+N(AT198)))</f>
        <v>0</v>
      </c>
      <c r="CJ198" s="16" t="n">
        <f aca="false">IF(CG198&gt;0,CI198*1000/CG198,"")</f>
        <v>0</v>
      </c>
      <c r="CK198" s="12" t="n">
        <f aca="false">IF(CH198="",1,MIN(p_idx_max,MAX(p_idx_min,CH198/p_fc_world)))</f>
        <v>1.36233623575304</v>
      </c>
      <c r="CL198" s="12" t="n">
        <f aca="false">IF(CJ198="",1,MIN(p_idx_max,MAX(p_idx_min,CJ198/p_cb_world)))</f>
        <v>0.25</v>
      </c>
      <c r="CM198" s="37" t="n">
        <f aca="false">p_b*(1-p_wb_idx+p_wb_idx*CK198)</f>
        <v>0.181190719355155</v>
      </c>
      <c r="CN198" s="37" t="n">
        <f aca="false">p_c*(1-p_wc_idx+p_wc_idx*CL198)</f>
        <v>0.03225</v>
      </c>
      <c r="CO198" s="28" t="n">
        <f aca="false">IF(N(BR198)&gt;0,(N(BS198)+N(BT198)+N(BU198))/BR198,"")</f>
        <v>0.8</v>
      </c>
      <c r="CP198" s="16" t="n">
        <f aca="false">N(BS198)+N(BT198)+N(BU198)</f>
        <v>0.04</v>
      </c>
      <c r="CQ198" s="28" t="n">
        <f aca="false">IF(CP198&gt;0,N(BS198)/CP198,"")</f>
        <v>0</v>
      </c>
      <c r="CR198" s="28" t="n">
        <f aca="false">IF(CP198&gt;0,N(BT198)/CP198,"")</f>
        <v>0</v>
      </c>
      <c r="CS198" s="28" t="n">
        <f aca="false">IF(CP198&gt;0,N(BU198)/CP198,"")</f>
        <v>1</v>
      </c>
      <c r="CT198" s="7" t="n">
        <f aca="false">1000*(p_sh_pv*p_cf_pv/p_capex_pv+(1-p_sh_pv)*p_cf_wind/p_capex_wind)*8760</f>
        <v>2301.28856624319</v>
      </c>
      <c r="CU198" s="13" t="n">
        <f aca="false">IF(AND(ISNUMBER(CO198),ISNUMBER(CQ198),BY198=1),1,0)</f>
        <v>1</v>
      </c>
      <c r="CV198" s="16" t="n">
        <f aca="false">IF(CU198=0,"",CQ198*p_hr_coal*N(AK198)+CR198*p_hr_gas*N(AO198)+CS198*p_hr_oil*N(AH198)/p_gj_l_oil)</f>
        <v>147.801183568385</v>
      </c>
      <c r="CW198" s="37" t="n">
        <f aca="false">IF(CU198=0,"",CQ198*p_hr_coal*p_ef_coal+CR198*p_hr_gas*p_ef_gas+CS198*p_hr_oil*p_ef_oil)</f>
        <v>0.8127</v>
      </c>
      <c r="CX198" s="16" t="n">
        <f aca="false">IF(CU198=0,"",CQ198*p_hr_coal*N(AW198)+CR198*p_hr_gas*N(AX198)+CS198*p_hr_oil*N(AY198)/p_gj_l_oil)</f>
        <v>0</v>
      </c>
      <c r="CY198" s="37" t="n">
        <f aca="false">IF(CU198=0,"",CO198*CW198)</f>
        <v>0.65016</v>
      </c>
      <c r="CZ198" s="37" t="n">
        <f aca="false">IF(CU198=0,"",CT198*CO198*CV198/1000/1000-p_om_re)</f>
        <v>0.257106539058509</v>
      </c>
      <c r="DA198" s="37" t="n">
        <f aca="false">IF(CU198=0,"",CT198*CO198*CX198/1000/1000)</f>
        <v>0</v>
      </c>
      <c r="DB198" s="37" t="n">
        <f aca="false">IF(CU198=0,"",CT198*CO198*CW198/1000)</f>
        <v>1.49620577422867</v>
      </c>
      <c r="DC198" s="13" t="n">
        <f aca="false">IF(AND(CU198=1,ISNUMBER(AD198),ISNUMBER(AV198)),1,0)</f>
        <v>1</v>
      </c>
      <c r="DD198" s="7" t="n">
        <f aca="false">IF(DC198=0,"",p_ev_km*p_ice_l/100*AD198-p_ev_km*p_ev_kwh*AV198+p_ev_km*p_ev_maint)</f>
        <v>263.6433</v>
      </c>
      <c r="DE198" s="37" t="n">
        <f aca="false">IF(DC198=0,"",DD198/p_ev_prem)</f>
        <v>0.05272866</v>
      </c>
      <c r="DF198" s="37" t="n">
        <f aca="false">IF(DC198=0,"",p_ev_km*p_ice_l/100*N(AZ198)/p_ev_prem)</f>
        <v>0</v>
      </c>
      <c r="DG198" s="37" t="n">
        <f aca="false">IF(DC198=0,"",1000/p_ev_prem*(p_ev_km*p_ice_l/100*p_gj_l_gso*p_ef_gso-p_ev_km*p_ev_kwh/1000*CY198))</f>
        <v>0.1821771</v>
      </c>
      <c r="DH198" s="11" t="str">
        <f aca="false">IFERROR(IF(INDEX(Damodaran!$D:$D,MATCH(A198,Damodaran!$A:$A,0))="","",INDEX(Damodaran!$D:$D,MATCH(A198,Damodaran!$A:$A,0))),"")</f>
        <v/>
      </c>
      <c r="DI198" s="11" t="str">
        <f aca="false">IFERROR(IF(INDEX(Damodaran!$E:$E,MATCH(A198,Damodaran!$A:$A,0))="","",INDEX(Damodaran!$E:$E,MATCH(A198,Damodaran!$A:$A,0))),"")</f>
        <v/>
      </c>
      <c r="DJ198" s="11" t="str">
        <f aca="false">IFERROR(IF(INDEX(Damodaran!$G:$G,MATCH(A198,Damodaran!$A:$A,0))="","",INDEX(Damodaran!$G:$G,MATCH(A198,Damodaran!$A:$A,0))),"")</f>
        <v/>
      </c>
      <c r="DK198" s="11" t="str">
        <f aca="false">IF(ISNUMBER(BG198),(1+BG198/100)*(1+p_infl)-1,"")</f>
        <v/>
      </c>
      <c r="DL198" s="11" t="str">
        <f aca="false">IF(ISNUMBER(BH198),BH198/100,"")</f>
        <v/>
      </c>
      <c r="DM198" s="11" t="str">
        <f aca="false">IF(COUNT(DK198,DL198)=0,"",AVERAGE(DK198,DL198))</f>
        <v/>
      </c>
      <c r="DN198" s="11" t="str">
        <f aca="false">IF(OR(DH198="",DI198=""),"",p_dv*(p_rf+DH198)*(1-IF(DJ198="",p_tax_def,DJ198))+(1-p_dv)*(p_rf+p_beta*p_erp+p_lambda*DI198))</f>
        <v/>
      </c>
      <c r="DO198" s="13" t="n">
        <f aca="false">IF(AND(ISNUMBER(DM198),ISNUMBER(DN198)),1,0)</f>
        <v>0</v>
      </c>
      <c r="DP198" s="11" t="n">
        <f aca="false">IF(DO198=1,DM198,0)</f>
        <v>0</v>
      </c>
      <c r="DQ198" s="11" t="n">
        <f aca="false">IF(DO198=1,DN198,0)</f>
        <v>0</v>
      </c>
      <c r="DR198" s="11" t="str">
        <f aca="false">IF(DN198="","",DN198+p_shift)</f>
        <v/>
      </c>
      <c r="DS198" s="11" t="n">
        <f aca="false">IF(E198="AE",p_r_ae,IF(E198="China",p_r_chn,p_r_emdc))</f>
        <v>0.105</v>
      </c>
      <c r="DT198" s="11" t="n">
        <f aca="false">IF(E198="AE",p_rh_ae,IF(E198="China",p_rh_chn,p_rh_emdc))</f>
        <v>0.15</v>
      </c>
      <c r="DU198" s="11" t="n">
        <f aca="false">IF(AND(p_use_obs=1,ISNUMBER(DM198)),DM198,IF(AND(p_use_dam=1,ISNUMBER(DR198)),DR198,DS198))</f>
        <v>0.105</v>
      </c>
      <c r="DV198" s="6" t="str">
        <f aca="false">IF(AND(p_use_obs=1,ISNUMBER(DM198)),"Observed (IRENA/Steffen)",IF(AND(p_use_dam=1,ISNUMBER(DR198)),"Damodaran (eq. 5)","Group default (IHLEG)"))</f>
        <v>Group default (IHLEG)</v>
      </c>
      <c r="DW198" s="11" t="n">
        <f aca="false">IF(p_basis=1,(1+DU198)/(1+p_infl)-1,DU198)</f>
        <v>0.105</v>
      </c>
      <c r="DX198" s="11" t="n">
        <f aca="false">DW198+(DT198-DS198)</f>
        <v>0.15</v>
      </c>
      <c r="DY198" s="28" t="n">
        <f aca="false">IF(AND(p_use_pefa=1,ISNUMBER(BD198)),p_gap_lic-(BD198-1)/3*(p_gap_lic-p_gap_ae),IF(E198="AE",p_gap_ae,IF(D198="Low income",p_gap_lic,p_gap_em)))*(1-p_reform*p_reform_close)</f>
        <v>0.4</v>
      </c>
      <c r="DZ198" s="6" t="str">
        <f aca="false">IF(AND(p_use_pefa=1,ISNUMBER(BD198)),"PEFA PI-11","Income-group default (IMF 2015)")</f>
        <v>PEFA PI-11</v>
      </c>
      <c r="EA198" s="28" t="n">
        <f aca="false">IF(E198="AE",p_ps_ae,IF(E198="China",p_ps_chn,p_ps_emdc))</f>
        <v>0.4</v>
      </c>
      <c r="EB198" s="37" t="n">
        <f aca="false">(1-EA198)+EA198/(1-DY198)</f>
        <v>1.26666666666667</v>
      </c>
      <c r="EC198" s="16" t="n">
        <f aca="false">Results_Country!F198</f>
        <v>0.0127907222379652</v>
      </c>
      <c r="ED198" s="16" t="n">
        <f aca="false">IF(CH198="",0,CH198*EC198)</f>
        <v>2.8055955494223</v>
      </c>
      <c r="EE198" s="16" t="n">
        <f aca="false">IF(CJ198="",0,CJ198*EC198)</f>
        <v>0</v>
      </c>
      <c r="EF198" s="16" t="n">
        <f aca="false">IF(CH198="",0,EC198)</f>
        <v>0.0127907222379652</v>
      </c>
    </row>
    <row r="199" customFormat="false" ht="15" hidden="false" customHeight="false" outlineLevel="0" collapsed="false">
      <c r="A199" s="35" t="s">
        <v>1155</v>
      </c>
      <c r="B199" s="35" t="s">
        <v>1156</v>
      </c>
      <c r="C199" s="35" t="s">
        <v>762</v>
      </c>
      <c r="D199" s="35" t="s">
        <v>763</v>
      </c>
      <c r="E199" s="35" t="s">
        <v>31</v>
      </c>
      <c r="F199" s="36" t="n">
        <v>0.056</v>
      </c>
      <c r="G199" s="36" t="n">
        <v>0.058</v>
      </c>
      <c r="H199" s="33" t="n">
        <v>2.159</v>
      </c>
      <c r="I199" s="33" t="n">
        <v>2.537</v>
      </c>
      <c r="J199" s="36"/>
      <c r="K199" s="36"/>
      <c r="L199" s="36"/>
      <c r="M199" s="36"/>
      <c r="N199" s="36"/>
      <c r="O199" s="36"/>
      <c r="P199" s="36"/>
      <c r="Q199" s="31"/>
      <c r="R199" s="31"/>
      <c r="S199" s="31"/>
      <c r="T199" s="31"/>
      <c r="U199" s="31"/>
      <c r="V199" s="31"/>
      <c r="W199" s="31"/>
      <c r="X199" s="31"/>
      <c r="Y199" s="36"/>
      <c r="Z199" s="36"/>
      <c r="AA199" s="36"/>
      <c r="AB199" s="36"/>
      <c r="AC199" s="36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6"/>
      <c r="AR199" s="36"/>
      <c r="AS199" s="36"/>
      <c r="AT199" s="36"/>
      <c r="AU199" s="31"/>
      <c r="AV199" s="36"/>
      <c r="AW199" s="31"/>
      <c r="AX199" s="31"/>
      <c r="AY199" s="31"/>
      <c r="AZ199" s="31"/>
      <c r="BA199" s="33" t="n">
        <v>6.957</v>
      </c>
      <c r="BB199" s="33" t="n">
        <v>0.125</v>
      </c>
      <c r="BC199" s="33" t="n">
        <v>170.025</v>
      </c>
      <c r="BD199" s="33" t="n">
        <v>1</v>
      </c>
      <c r="BE199" s="33" t="n">
        <v>1</v>
      </c>
      <c r="BF199" s="33" t="n">
        <v>0</v>
      </c>
      <c r="BG199" s="33"/>
      <c r="BH199" s="33"/>
      <c r="BI199" s="29"/>
      <c r="BJ199" s="33"/>
      <c r="BK199" s="33"/>
      <c r="BL199" s="33"/>
      <c r="BM199" s="33"/>
      <c r="BN199" s="29"/>
      <c r="BO199" s="33" t="n">
        <v>48.393</v>
      </c>
      <c r="BP199" s="33"/>
      <c r="BQ199" s="29"/>
      <c r="BR199" s="36"/>
      <c r="BS199" s="36"/>
      <c r="BT199" s="36"/>
      <c r="BU199" s="36"/>
      <c r="BV199" s="16" t="n">
        <f aca="false">F199*(1+N(H199)/100)*(1+N(I199)/100)^5</f>
        <v>0.0648436860194777</v>
      </c>
      <c r="BW199" s="16" t="n">
        <f aca="false">IF(N(G199)&gt;0,G199,F199)</f>
        <v>0.058</v>
      </c>
      <c r="BX199" s="12" t="n">
        <f aca="false">F199/BW199</f>
        <v>0.96551724137931</v>
      </c>
      <c r="BY199" s="13" t="n">
        <f aca="false">IF(ISNUMBER(K199),1,0)</f>
        <v>0</v>
      </c>
      <c r="BZ199" s="16" t="str">
        <f aca="false">IF(BY199=0,"",N(N199)+N(O199)+N(P199))</f>
        <v/>
      </c>
      <c r="CA199" s="37" t="str">
        <f aca="false">IF(BY199=0,"",(N(Y199)*34.2+N(Z199)*38.6)/1000)</f>
        <v/>
      </c>
      <c r="CB199" s="37" t="str">
        <f aca="false">IF(BY199=0,"",N(O199)*0.0036+N(R199)+N(V199)+(N(AA199)*25.3+N(AB199)*37)/1000)</f>
        <v/>
      </c>
      <c r="CC199" s="37" t="str">
        <f aca="false">IF(BY199=0,"",N(N199)*0.0036+N(Q199)+N(U199)+N(T199)+N(X199)+N(AC199)*38/1000)</f>
        <v/>
      </c>
      <c r="CD199" s="37" t="str">
        <f aca="false">IF(BY199=0,"",N(Q199)+N(R199)+N(S199)+N(T199)+N(U199)+N(V199)+N(W199)+N(X199)+(N(Y199)*34.2+N(Z199)*38.6+N(AA199)*25.3+N(AB199)*37+N(AC199)*38)/1000)</f>
        <v/>
      </c>
      <c r="CE199" s="16" t="str">
        <f aca="false">IF(BY199=0,"",MAX(0,N(L199)-N(K199))+MAX(0,N(M199)-N(L199)))</f>
        <v/>
      </c>
      <c r="CF199" s="16" t="str">
        <f aca="false">IF(BY199=0,"",N(Y199)*N(AD199)+N(Z199)*N(AE199)+N(AA199)*N(AF199)+N(AB199)*N(AG199)+N(AC199)*N(AH199)+N(U199)*N(AI199)+N(V199)*N(AJ199)+N(W199)*N(AK199)+N(X199)*N(AL199)+N(Q199)*N(AM199)+N(R199)*N(AN199)+N(S199)*N(AO199)+N(T199)*N(AP199))</f>
        <v/>
      </c>
      <c r="CG199" s="16" t="n">
        <f aca="false">IF(AND(BY199=1,N(K199)&gt;0),K199,0)</f>
        <v>0</v>
      </c>
      <c r="CH199" s="16" t="str">
        <f aca="false">IF(CG199&gt;0,CF199*1000/CG199,"")</f>
        <v/>
      </c>
      <c r="CI199" s="16" t="str">
        <f aca="false">IF(BY199=0,"",N(AQ199)+p_road*(N(AR199)+N(AS199)+N(AT199)))</f>
        <v/>
      </c>
      <c r="CJ199" s="16" t="str">
        <f aca="false">IF(CG199&gt;0,CI199*1000/CG199,"")</f>
        <v/>
      </c>
      <c r="CK199" s="12" t="n">
        <f aca="false">IF(CH199="",1,MIN(p_idx_max,MAX(p_idx_min,CH199/p_fc_world)))</f>
        <v>1</v>
      </c>
      <c r="CL199" s="12" t="n">
        <f aca="false">IF(CJ199="",1,MIN(p_idx_max,MAX(p_idx_min,CJ199/p_cb_world)))</f>
        <v>1</v>
      </c>
      <c r="CM199" s="37" t="n">
        <f aca="false">p_b*(1-p_wb_idx+p_wb_idx*CK199)</f>
        <v>0.133</v>
      </c>
      <c r="CN199" s="37" t="n">
        <f aca="false">p_c*(1-p_wc_idx+p_wc_idx*CL199)</f>
        <v>0.129</v>
      </c>
      <c r="CO199" s="28" t="str">
        <f aca="false">IF(N(BR199)&gt;0,(N(BS199)+N(BT199)+N(BU199))/BR199,"")</f>
        <v/>
      </c>
      <c r="CP199" s="16" t="n">
        <f aca="false">N(BS199)+N(BT199)+N(BU199)</f>
        <v>0</v>
      </c>
      <c r="CQ199" s="28" t="str">
        <f aca="false">IF(CP199&gt;0,N(BS199)/CP199,"")</f>
        <v/>
      </c>
      <c r="CR199" s="28" t="str">
        <f aca="false">IF(CP199&gt;0,N(BT199)/CP199,"")</f>
        <v/>
      </c>
      <c r="CS199" s="28" t="str">
        <f aca="false">IF(CP199&gt;0,N(BU199)/CP199,"")</f>
        <v/>
      </c>
      <c r="CT199" s="7" t="n">
        <f aca="false">1000*(p_sh_pv*p_cf_pv/p_capex_pv+(1-p_sh_pv)*p_cf_wind/p_capex_wind)*8760</f>
        <v>2301.28856624319</v>
      </c>
      <c r="CU199" s="13" t="n">
        <f aca="false">IF(AND(ISNUMBER(CO199),ISNUMBER(CQ199),BY199=1),1,0)</f>
        <v>0</v>
      </c>
      <c r="CV199" s="16" t="str">
        <f aca="false">IF(CU199=0,"",CQ199*p_hr_coal*N(AK199)+CR199*p_hr_gas*N(AO199)+CS199*p_hr_oil*N(AH199)/p_gj_l_oil)</f>
        <v/>
      </c>
      <c r="CW199" s="37" t="str">
        <f aca="false">IF(CU199=0,"",CQ199*p_hr_coal*p_ef_coal+CR199*p_hr_gas*p_ef_gas+CS199*p_hr_oil*p_ef_oil)</f>
        <v/>
      </c>
      <c r="CX199" s="16" t="str">
        <f aca="false">IF(CU199=0,"",CQ199*p_hr_coal*N(AW199)+CR199*p_hr_gas*N(AX199)+CS199*p_hr_oil*N(AY199)/p_gj_l_oil)</f>
        <v/>
      </c>
      <c r="CY199" s="37" t="str">
        <f aca="false">IF(CU199=0,"",CO199*CW199)</f>
        <v/>
      </c>
      <c r="CZ199" s="37" t="str">
        <f aca="false">IF(CU199=0,"",CT199*CO199*CV199/1000/1000-p_om_re)</f>
        <v/>
      </c>
      <c r="DA199" s="37" t="str">
        <f aca="false">IF(CU199=0,"",CT199*CO199*CX199/1000/1000)</f>
        <v/>
      </c>
      <c r="DB199" s="37" t="str">
        <f aca="false">IF(CU199=0,"",CT199*CO199*CW199/1000)</f>
        <v/>
      </c>
      <c r="DC199" s="13" t="n">
        <f aca="false">IF(AND(CU199=1,ISNUMBER(AD199),ISNUMBER(AV199)),1,0)</f>
        <v>0</v>
      </c>
      <c r="DD199" s="7" t="str">
        <f aca="false">IF(DC199=0,"",p_ev_km*p_ice_l/100*AD199-p_ev_km*p_ev_kwh*AV199+p_ev_km*p_ev_maint)</f>
        <v/>
      </c>
      <c r="DE199" s="37" t="str">
        <f aca="false">IF(DC199=0,"",DD199/p_ev_prem)</f>
        <v/>
      </c>
      <c r="DF199" s="37" t="str">
        <f aca="false">IF(DC199=0,"",p_ev_km*p_ice_l/100*N(AZ199)/p_ev_prem)</f>
        <v/>
      </c>
      <c r="DG199" s="37" t="str">
        <f aca="false">IF(DC199=0,"",1000/p_ev_prem*(p_ev_km*p_ice_l/100*p_gj_l_gso*p_ef_gso-p_ev_km*p_ev_kwh/1000*CY199))</f>
        <v/>
      </c>
      <c r="DH199" s="11" t="str">
        <f aca="false">IFERROR(IF(INDEX(Damodaran!$D:$D,MATCH(A199,Damodaran!$A:$A,0))="","",INDEX(Damodaran!$D:$D,MATCH(A199,Damodaran!$A:$A,0))),"")</f>
        <v/>
      </c>
      <c r="DI199" s="11" t="str">
        <f aca="false">IFERROR(IF(INDEX(Damodaran!$E:$E,MATCH(A199,Damodaran!$A:$A,0))="","",INDEX(Damodaran!$E:$E,MATCH(A199,Damodaran!$A:$A,0))),"")</f>
        <v/>
      </c>
      <c r="DJ199" s="11" t="str">
        <f aca="false">IFERROR(IF(INDEX(Damodaran!$G:$G,MATCH(A199,Damodaran!$A:$A,0))="","",INDEX(Damodaran!$G:$G,MATCH(A199,Damodaran!$A:$A,0))),"")</f>
        <v/>
      </c>
      <c r="DK199" s="11" t="str">
        <f aca="false">IF(ISNUMBER(BG199),(1+BG199/100)*(1+p_infl)-1,"")</f>
        <v/>
      </c>
      <c r="DL199" s="11" t="str">
        <f aca="false">IF(ISNUMBER(BH199),BH199/100,"")</f>
        <v/>
      </c>
      <c r="DM199" s="11" t="str">
        <f aca="false">IF(COUNT(DK199,DL199)=0,"",AVERAGE(DK199,DL199))</f>
        <v/>
      </c>
      <c r="DN199" s="11" t="str">
        <f aca="false">IF(OR(DH199="",DI199=""),"",p_dv*(p_rf+DH199)*(1-IF(DJ199="",p_tax_def,DJ199))+(1-p_dv)*(p_rf+p_beta*p_erp+p_lambda*DI199))</f>
        <v/>
      </c>
      <c r="DO199" s="13" t="n">
        <f aca="false">IF(AND(ISNUMBER(DM199),ISNUMBER(DN199)),1,0)</f>
        <v>0</v>
      </c>
      <c r="DP199" s="11" t="n">
        <f aca="false">IF(DO199=1,DM199,0)</f>
        <v>0</v>
      </c>
      <c r="DQ199" s="11" t="n">
        <f aca="false">IF(DO199=1,DN199,0)</f>
        <v>0</v>
      </c>
      <c r="DR199" s="11" t="str">
        <f aca="false">IF(DN199="","",DN199+p_shift)</f>
        <v/>
      </c>
      <c r="DS199" s="11" t="n">
        <f aca="false">IF(E199="AE",p_r_ae,IF(E199="China",p_r_chn,p_r_emdc))</f>
        <v>0.105</v>
      </c>
      <c r="DT199" s="11" t="n">
        <f aca="false">IF(E199="AE",p_rh_ae,IF(E199="China",p_rh_chn,p_rh_emdc))</f>
        <v>0.15</v>
      </c>
      <c r="DU199" s="11" t="n">
        <f aca="false">IF(AND(p_use_obs=1,ISNUMBER(DM199)),DM199,IF(AND(p_use_dam=1,ISNUMBER(DR199)),DR199,DS199))</f>
        <v>0.105</v>
      </c>
      <c r="DV199" s="6" t="str">
        <f aca="false">IF(AND(p_use_obs=1,ISNUMBER(DM199)),"Observed (IRENA/Steffen)",IF(AND(p_use_dam=1,ISNUMBER(DR199)),"Damodaran (eq. 5)","Group default (IHLEG)"))</f>
        <v>Group default (IHLEG)</v>
      </c>
      <c r="DW199" s="11" t="n">
        <f aca="false">IF(p_basis=1,(1+DU199)/(1+p_infl)-1,DU199)</f>
        <v>0.105</v>
      </c>
      <c r="DX199" s="11" t="n">
        <f aca="false">DW199+(DT199-DS199)</f>
        <v>0.15</v>
      </c>
      <c r="DY199" s="28" t="n">
        <f aca="false">IF(AND(p_use_pefa=1,ISNUMBER(BD199)),p_gap_lic-(BD199-1)/3*(p_gap_lic-p_gap_ae),IF(E199="AE",p_gap_ae,IF(D199="Low income",p_gap_lic,p_gap_em)))*(1-p_reform*p_reform_close)</f>
        <v>0.4</v>
      </c>
      <c r="DZ199" s="6" t="str">
        <f aca="false">IF(AND(p_use_pefa=1,ISNUMBER(BD199)),"PEFA PI-11","Income-group default (IMF 2015)")</f>
        <v>PEFA PI-11</v>
      </c>
      <c r="EA199" s="28" t="n">
        <f aca="false">IF(E199="AE",p_ps_ae,IF(E199="China",p_ps_chn,p_ps_emdc))</f>
        <v>0.4</v>
      </c>
      <c r="EB199" s="37" t="n">
        <f aca="false">(1-EA199)+EA199/(1-DY199)</f>
        <v>1.26666666666667</v>
      </c>
      <c r="EC199" s="16" t="n">
        <f aca="false">Results_Country!F199</f>
        <v>0.00237823058517142</v>
      </c>
      <c r="ED199" s="16" t="n">
        <f aca="false">IF(CH199="",0,CH199*EC199)</f>
        <v>0</v>
      </c>
      <c r="EE199" s="16" t="n">
        <f aca="false">IF(CJ199="",0,CJ199*EC199)</f>
        <v>0</v>
      </c>
      <c r="EF199" s="16" t="n">
        <f aca="false">IF(CH199="",0,EC199)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7" min="4" style="0" width="12"/>
    <col collapsed="false" customWidth="true" hidden="false" outlineLevel="0" max="8" min="8" style="0" width="9"/>
  </cols>
  <sheetData>
    <row r="1" customFormat="false" ht="16.15" hidden="false" customHeight="false" outlineLevel="0" collapsed="false">
      <c r="A1" s="1" t="s">
        <v>1157</v>
      </c>
    </row>
    <row r="2" customFormat="false" ht="15" hidden="false" customHeight="false" outlineLevel="0" collapsed="false">
      <c r="A2" s="4" t="s">
        <v>1158</v>
      </c>
    </row>
    <row r="3" customFormat="false" ht="48" hidden="false" customHeight="true" outlineLevel="0" collapsed="false">
      <c r="A3" s="38" t="s">
        <v>1159</v>
      </c>
      <c r="B3" s="38"/>
      <c r="C3" s="38"/>
      <c r="D3" s="38"/>
      <c r="E3" s="38"/>
      <c r="F3" s="38"/>
      <c r="G3" s="38"/>
      <c r="H3" s="38"/>
    </row>
    <row r="5" customFormat="false" ht="36" hidden="false" customHeight="true" outlineLevel="0" collapsed="false">
      <c r="A5" s="5" t="s">
        <v>1160</v>
      </c>
      <c r="B5" s="5" t="s">
        <v>1161</v>
      </c>
      <c r="C5" s="5" t="s">
        <v>1162</v>
      </c>
      <c r="D5" s="5" t="s">
        <v>1163</v>
      </c>
      <c r="E5" s="5" t="s">
        <v>1164</v>
      </c>
      <c r="F5" s="5" t="s">
        <v>1165</v>
      </c>
      <c r="G5" s="5" t="s">
        <v>1166</v>
      </c>
      <c r="H5" s="5" t="s">
        <v>1167</v>
      </c>
    </row>
    <row r="6" customFormat="false" ht="15" hidden="false" customHeight="false" outlineLevel="0" collapsed="false">
      <c r="A6" s="6" t="str">
        <f aca="false">IF(B6="","",IFERROR(INDEX(Lists!$B:$B,MATCH(B6,Lists!$A:$A,0)),""))</f>
        <v/>
      </c>
      <c r="B6" s="35"/>
      <c r="C6" s="35"/>
      <c r="D6" s="39"/>
      <c r="E6" s="39"/>
      <c r="F6" s="39"/>
      <c r="G6" s="39"/>
      <c r="H6" s="6" t="str">
        <f aca="false">IF(B6="","",IF(A6="","NO","yes"))</f>
        <v/>
      </c>
    </row>
    <row r="7" customFormat="false" ht="15" hidden="false" customHeight="false" outlineLevel="0" collapsed="false">
      <c r="A7" s="6" t="str">
        <f aca="false">IF(B7="","",IFERROR(INDEX(Lists!$B:$B,MATCH(B7,Lists!$A:$A,0)),""))</f>
        <v/>
      </c>
      <c r="B7" s="35"/>
      <c r="C7" s="35"/>
      <c r="D7" s="39"/>
      <c r="E7" s="39"/>
      <c r="F7" s="39"/>
      <c r="G7" s="39"/>
      <c r="H7" s="6" t="str">
        <f aca="false">IF(B7="","",IF(A7="","NO","yes"))</f>
        <v/>
      </c>
    </row>
    <row r="8" customFormat="false" ht="15" hidden="false" customHeight="false" outlineLevel="0" collapsed="false">
      <c r="A8" s="6" t="str">
        <f aca="false">IF(B8="","",IFERROR(INDEX(Lists!$B:$B,MATCH(B8,Lists!$A:$A,0)),""))</f>
        <v/>
      </c>
      <c r="B8" s="35"/>
      <c r="C8" s="35"/>
      <c r="D8" s="39"/>
      <c r="E8" s="39"/>
      <c r="F8" s="39"/>
      <c r="G8" s="39"/>
      <c r="H8" s="6" t="str">
        <f aca="false">IF(B8="","",IF(A8="","NO","yes"))</f>
        <v/>
      </c>
    </row>
    <row r="9" customFormat="false" ht="15" hidden="false" customHeight="false" outlineLevel="0" collapsed="false">
      <c r="A9" s="6" t="str">
        <f aca="false">IF(B9="","",IFERROR(INDEX(Lists!$B:$B,MATCH(B9,Lists!$A:$A,0)),""))</f>
        <v/>
      </c>
      <c r="B9" s="35"/>
      <c r="C9" s="35"/>
      <c r="D9" s="39"/>
      <c r="E9" s="39"/>
      <c r="F9" s="39"/>
      <c r="G9" s="39"/>
      <c r="H9" s="6" t="str">
        <f aca="false">IF(B9="","",IF(A9="","NO","yes"))</f>
        <v/>
      </c>
    </row>
    <row r="10" customFormat="false" ht="15" hidden="false" customHeight="false" outlineLevel="0" collapsed="false">
      <c r="A10" s="6" t="str">
        <f aca="false">IF(B10="","",IFERROR(INDEX(Lists!$B:$B,MATCH(B10,Lists!$A:$A,0)),""))</f>
        <v/>
      </c>
      <c r="B10" s="35"/>
      <c r="C10" s="35"/>
      <c r="D10" s="39"/>
      <c r="E10" s="39"/>
      <c r="F10" s="39"/>
      <c r="G10" s="39"/>
      <c r="H10" s="6" t="str">
        <f aca="false">IF(B10="","",IF(A10="","NO","yes"))</f>
        <v/>
      </c>
    </row>
    <row r="11" customFormat="false" ht="15" hidden="false" customHeight="false" outlineLevel="0" collapsed="false">
      <c r="A11" s="6" t="str">
        <f aca="false">IF(B11="","",IFERROR(INDEX(Lists!$B:$B,MATCH(B11,Lists!$A:$A,0)),""))</f>
        <v/>
      </c>
      <c r="B11" s="35"/>
      <c r="C11" s="35"/>
      <c r="D11" s="39"/>
      <c r="E11" s="39"/>
      <c r="F11" s="39"/>
      <c r="G11" s="39"/>
      <c r="H11" s="6" t="str">
        <f aca="false">IF(B11="","",IF(A11="","NO","yes"))</f>
        <v/>
      </c>
    </row>
    <row r="12" customFormat="false" ht="15" hidden="false" customHeight="false" outlineLevel="0" collapsed="false">
      <c r="A12" s="6" t="str">
        <f aca="false">IF(B12="","",IFERROR(INDEX(Lists!$B:$B,MATCH(B12,Lists!$A:$A,0)),""))</f>
        <v/>
      </c>
      <c r="B12" s="35"/>
      <c r="C12" s="35"/>
      <c r="D12" s="39"/>
      <c r="E12" s="39"/>
      <c r="F12" s="39"/>
      <c r="G12" s="39"/>
      <c r="H12" s="6" t="str">
        <f aca="false">IF(B12="","",IF(A12="","NO","yes"))</f>
        <v/>
      </c>
    </row>
    <row r="13" customFormat="false" ht="15" hidden="false" customHeight="false" outlineLevel="0" collapsed="false">
      <c r="A13" s="6" t="str">
        <f aca="false">IF(B13="","",IFERROR(INDEX(Lists!$B:$B,MATCH(B13,Lists!$A:$A,0)),""))</f>
        <v/>
      </c>
      <c r="B13" s="35"/>
      <c r="C13" s="35"/>
      <c r="D13" s="39"/>
      <c r="E13" s="39"/>
      <c r="F13" s="39"/>
      <c r="G13" s="39"/>
      <c r="H13" s="6" t="str">
        <f aca="false">IF(B13="","",IF(A13="","NO","yes"))</f>
        <v/>
      </c>
    </row>
    <row r="14" customFormat="false" ht="15" hidden="false" customHeight="false" outlineLevel="0" collapsed="false">
      <c r="A14" s="6" t="str">
        <f aca="false">IF(B14="","",IFERROR(INDEX(Lists!$B:$B,MATCH(B14,Lists!$A:$A,0)),""))</f>
        <v/>
      </c>
      <c r="B14" s="35"/>
      <c r="C14" s="35"/>
      <c r="D14" s="39"/>
      <c r="E14" s="39"/>
      <c r="F14" s="39"/>
      <c r="G14" s="39"/>
      <c r="H14" s="6" t="str">
        <f aca="false">IF(B14="","",IF(A14="","NO","yes"))</f>
        <v/>
      </c>
    </row>
    <row r="15" customFormat="false" ht="15" hidden="false" customHeight="false" outlineLevel="0" collapsed="false">
      <c r="A15" s="6" t="str">
        <f aca="false">IF(B15="","",IFERROR(INDEX(Lists!$B:$B,MATCH(B15,Lists!$A:$A,0)),""))</f>
        <v/>
      </c>
      <c r="B15" s="35"/>
      <c r="C15" s="35"/>
      <c r="D15" s="39"/>
      <c r="E15" s="39"/>
      <c r="F15" s="39"/>
      <c r="G15" s="39"/>
      <c r="H15" s="6" t="str">
        <f aca="false">IF(B15="","",IF(A15="","NO","yes"))</f>
        <v/>
      </c>
    </row>
    <row r="16" customFormat="false" ht="15" hidden="false" customHeight="false" outlineLevel="0" collapsed="false">
      <c r="A16" s="6" t="str">
        <f aca="false">IF(B16="","",IFERROR(INDEX(Lists!$B:$B,MATCH(B16,Lists!$A:$A,0)),""))</f>
        <v/>
      </c>
      <c r="B16" s="35"/>
      <c r="C16" s="35"/>
      <c r="D16" s="39"/>
      <c r="E16" s="39"/>
      <c r="F16" s="39"/>
      <c r="G16" s="39"/>
      <c r="H16" s="6" t="str">
        <f aca="false">IF(B16="","",IF(A16="","NO","yes"))</f>
        <v/>
      </c>
    </row>
    <row r="17" customFormat="false" ht="15" hidden="false" customHeight="false" outlineLevel="0" collapsed="false">
      <c r="A17" s="6" t="str">
        <f aca="false">IF(B17="","",IFERROR(INDEX(Lists!$B:$B,MATCH(B17,Lists!$A:$A,0)),""))</f>
        <v/>
      </c>
      <c r="B17" s="35"/>
      <c r="C17" s="35"/>
      <c r="D17" s="39"/>
      <c r="E17" s="39"/>
      <c r="F17" s="39"/>
      <c r="G17" s="39"/>
      <c r="H17" s="6" t="str">
        <f aca="false">IF(B17="","",IF(A17="","NO","yes"))</f>
        <v/>
      </c>
    </row>
    <row r="18" customFormat="false" ht="15" hidden="false" customHeight="false" outlineLevel="0" collapsed="false">
      <c r="A18" s="6" t="str">
        <f aca="false">IF(B18="","",IFERROR(INDEX(Lists!$B:$B,MATCH(B18,Lists!$A:$A,0)),""))</f>
        <v/>
      </c>
      <c r="B18" s="35"/>
      <c r="C18" s="35"/>
      <c r="D18" s="39"/>
      <c r="E18" s="39"/>
      <c r="F18" s="39"/>
      <c r="G18" s="39"/>
      <c r="H18" s="6" t="str">
        <f aca="false">IF(B18="","",IF(A18="","NO","yes"))</f>
        <v/>
      </c>
    </row>
    <row r="19" customFormat="false" ht="15" hidden="false" customHeight="false" outlineLevel="0" collapsed="false">
      <c r="A19" s="6" t="str">
        <f aca="false">IF(B19="","",IFERROR(INDEX(Lists!$B:$B,MATCH(B19,Lists!$A:$A,0)),""))</f>
        <v/>
      </c>
      <c r="B19" s="35"/>
      <c r="C19" s="35"/>
      <c r="D19" s="39"/>
      <c r="E19" s="39"/>
      <c r="F19" s="39"/>
      <c r="G19" s="39"/>
      <c r="H19" s="6" t="str">
        <f aca="false">IF(B19="","",IF(A19="","NO","yes"))</f>
        <v/>
      </c>
    </row>
    <row r="20" customFormat="false" ht="15" hidden="false" customHeight="false" outlineLevel="0" collapsed="false">
      <c r="A20" s="6" t="str">
        <f aca="false">IF(B20="","",IFERROR(INDEX(Lists!$B:$B,MATCH(B20,Lists!$A:$A,0)),""))</f>
        <v/>
      </c>
      <c r="B20" s="35"/>
      <c r="C20" s="35"/>
      <c r="D20" s="39"/>
      <c r="E20" s="39"/>
      <c r="F20" s="39"/>
      <c r="G20" s="39"/>
      <c r="H20" s="6" t="str">
        <f aca="false">IF(B20="","",IF(A20="","NO","yes"))</f>
        <v/>
      </c>
    </row>
    <row r="21" customFormat="false" ht="15" hidden="false" customHeight="false" outlineLevel="0" collapsed="false">
      <c r="A21" s="6" t="str">
        <f aca="false">IF(B21="","",IFERROR(INDEX(Lists!$B:$B,MATCH(B21,Lists!$A:$A,0)),""))</f>
        <v/>
      </c>
      <c r="B21" s="35"/>
      <c r="C21" s="35"/>
      <c r="D21" s="39"/>
      <c r="E21" s="39"/>
      <c r="F21" s="39"/>
      <c r="G21" s="39"/>
      <c r="H21" s="6" t="str">
        <f aca="false">IF(B21="","",IF(A21="","NO","yes"))</f>
        <v/>
      </c>
    </row>
    <row r="22" customFormat="false" ht="15" hidden="false" customHeight="false" outlineLevel="0" collapsed="false">
      <c r="A22" s="6" t="str">
        <f aca="false">IF(B22="","",IFERROR(INDEX(Lists!$B:$B,MATCH(B22,Lists!$A:$A,0)),""))</f>
        <v/>
      </c>
      <c r="B22" s="35"/>
      <c r="C22" s="35"/>
      <c r="D22" s="39"/>
      <c r="E22" s="39"/>
      <c r="F22" s="39"/>
      <c r="G22" s="39"/>
      <c r="H22" s="6" t="str">
        <f aca="false">IF(B22="","",IF(A22="","NO","yes"))</f>
        <v/>
      </c>
    </row>
    <row r="23" customFormat="false" ht="15" hidden="false" customHeight="false" outlineLevel="0" collapsed="false">
      <c r="A23" s="6" t="str">
        <f aca="false">IF(B23="","",IFERROR(INDEX(Lists!$B:$B,MATCH(B23,Lists!$A:$A,0)),""))</f>
        <v/>
      </c>
      <c r="B23" s="35"/>
      <c r="C23" s="35"/>
      <c r="D23" s="39"/>
      <c r="E23" s="39"/>
      <c r="F23" s="39"/>
      <c r="G23" s="39"/>
      <c r="H23" s="6" t="str">
        <f aca="false">IF(B23="","",IF(A23="","NO","yes"))</f>
        <v/>
      </c>
    </row>
    <row r="24" customFormat="false" ht="15" hidden="false" customHeight="false" outlineLevel="0" collapsed="false">
      <c r="A24" s="6" t="str">
        <f aca="false">IF(B24="","",IFERROR(INDEX(Lists!$B:$B,MATCH(B24,Lists!$A:$A,0)),""))</f>
        <v/>
      </c>
      <c r="B24" s="35"/>
      <c r="C24" s="35"/>
      <c r="D24" s="39"/>
      <c r="E24" s="39"/>
      <c r="F24" s="39"/>
      <c r="G24" s="39"/>
      <c r="H24" s="6" t="str">
        <f aca="false">IF(B24="","",IF(A24="","NO","yes"))</f>
        <v/>
      </c>
    </row>
    <row r="25" customFormat="false" ht="15" hidden="false" customHeight="false" outlineLevel="0" collapsed="false">
      <c r="A25" s="6" t="str">
        <f aca="false">IF(B25="","",IFERROR(INDEX(Lists!$B:$B,MATCH(B25,Lists!$A:$A,0)),""))</f>
        <v/>
      </c>
      <c r="B25" s="35"/>
      <c r="C25" s="35"/>
      <c r="D25" s="39"/>
      <c r="E25" s="39"/>
      <c r="F25" s="39"/>
      <c r="G25" s="39"/>
      <c r="H25" s="6" t="str">
        <f aca="false">IF(B25="","",IF(A25="","NO","yes"))</f>
        <v/>
      </c>
    </row>
    <row r="26" customFormat="false" ht="15" hidden="false" customHeight="false" outlineLevel="0" collapsed="false">
      <c r="A26" s="6" t="str">
        <f aca="false">IF(B26="","",IFERROR(INDEX(Lists!$B:$B,MATCH(B26,Lists!$A:$A,0)),""))</f>
        <v/>
      </c>
      <c r="B26" s="35"/>
      <c r="C26" s="35"/>
      <c r="D26" s="39"/>
      <c r="E26" s="39"/>
      <c r="F26" s="39"/>
      <c r="G26" s="39"/>
      <c r="H26" s="6" t="str">
        <f aca="false">IF(B26="","",IF(A26="","NO","yes"))</f>
        <v/>
      </c>
    </row>
    <row r="27" customFormat="false" ht="15" hidden="false" customHeight="false" outlineLevel="0" collapsed="false">
      <c r="A27" s="6" t="str">
        <f aca="false">IF(B27="","",IFERROR(INDEX(Lists!$B:$B,MATCH(B27,Lists!$A:$A,0)),""))</f>
        <v/>
      </c>
      <c r="B27" s="35"/>
      <c r="C27" s="35"/>
      <c r="D27" s="39"/>
      <c r="E27" s="39"/>
      <c r="F27" s="39"/>
      <c r="G27" s="39"/>
      <c r="H27" s="6" t="str">
        <f aca="false">IF(B27="","",IF(A27="","NO","yes"))</f>
        <v/>
      </c>
    </row>
    <row r="28" customFormat="false" ht="15" hidden="false" customHeight="false" outlineLevel="0" collapsed="false">
      <c r="A28" s="6" t="str">
        <f aca="false">IF(B28="","",IFERROR(INDEX(Lists!$B:$B,MATCH(B28,Lists!$A:$A,0)),""))</f>
        <v/>
      </c>
      <c r="B28" s="35"/>
      <c r="C28" s="35"/>
      <c r="D28" s="39"/>
      <c r="E28" s="39"/>
      <c r="F28" s="39"/>
      <c r="G28" s="39"/>
      <c r="H28" s="6" t="str">
        <f aca="false">IF(B28="","",IF(A28="","NO","yes"))</f>
        <v/>
      </c>
    </row>
    <row r="29" customFormat="false" ht="15" hidden="false" customHeight="false" outlineLevel="0" collapsed="false">
      <c r="A29" s="6" t="str">
        <f aca="false">IF(B29="","",IFERROR(INDEX(Lists!$B:$B,MATCH(B29,Lists!$A:$A,0)),""))</f>
        <v/>
      </c>
      <c r="B29" s="35"/>
      <c r="C29" s="35"/>
      <c r="D29" s="39"/>
      <c r="E29" s="39"/>
      <c r="F29" s="39"/>
      <c r="G29" s="39"/>
      <c r="H29" s="6" t="str">
        <f aca="false">IF(B29="","",IF(A29="","NO","yes"))</f>
        <v/>
      </c>
    </row>
    <row r="30" customFormat="false" ht="15" hidden="false" customHeight="false" outlineLevel="0" collapsed="false">
      <c r="A30" s="6" t="str">
        <f aca="false">IF(B30="","",IFERROR(INDEX(Lists!$B:$B,MATCH(B30,Lists!$A:$A,0)),""))</f>
        <v/>
      </c>
      <c r="B30" s="35"/>
      <c r="C30" s="35"/>
      <c r="D30" s="39"/>
      <c r="E30" s="39"/>
      <c r="F30" s="39"/>
      <c r="G30" s="39"/>
      <c r="H30" s="6" t="str">
        <f aca="false">IF(B30="","",IF(A30="","NO","yes"))</f>
        <v/>
      </c>
    </row>
    <row r="31" customFormat="false" ht="15" hidden="false" customHeight="false" outlineLevel="0" collapsed="false">
      <c r="A31" s="6" t="str">
        <f aca="false">IF(B31="","",IFERROR(INDEX(Lists!$B:$B,MATCH(B31,Lists!$A:$A,0)),""))</f>
        <v/>
      </c>
      <c r="B31" s="35"/>
      <c r="C31" s="35"/>
      <c r="D31" s="39"/>
      <c r="E31" s="39"/>
      <c r="F31" s="39"/>
      <c r="G31" s="39"/>
      <c r="H31" s="6" t="str">
        <f aca="false">IF(B31="","",IF(A31="","NO","yes"))</f>
        <v/>
      </c>
    </row>
    <row r="32" customFormat="false" ht="15" hidden="false" customHeight="false" outlineLevel="0" collapsed="false">
      <c r="A32" s="6" t="str">
        <f aca="false">IF(B32="","",IFERROR(INDEX(Lists!$B:$B,MATCH(B32,Lists!$A:$A,0)),""))</f>
        <v/>
      </c>
      <c r="B32" s="35"/>
      <c r="C32" s="35"/>
      <c r="D32" s="39"/>
      <c r="E32" s="39"/>
      <c r="F32" s="39"/>
      <c r="G32" s="39"/>
      <c r="H32" s="6" t="str">
        <f aca="false">IF(B32="","",IF(A32="","NO","yes"))</f>
        <v/>
      </c>
    </row>
    <row r="33" customFormat="false" ht="15" hidden="false" customHeight="false" outlineLevel="0" collapsed="false">
      <c r="A33" s="6" t="str">
        <f aca="false">IF(B33="","",IFERROR(INDEX(Lists!$B:$B,MATCH(B33,Lists!$A:$A,0)),""))</f>
        <v/>
      </c>
      <c r="B33" s="35"/>
      <c r="C33" s="35"/>
      <c r="D33" s="39"/>
      <c r="E33" s="39"/>
      <c r="F33" s="39"/>
      <c r="G33" s="39"/>
      <c r="H33" s="6" t="str">
        <f aca="false">IF(B33="","",IF(A33="","NO","yes"))</f>
        <v/>
      </c>
    </row>
    <row r="34" customFormat="false" ht="15" hidden="false" customHeight="false" outlineLevel="0" collapsed="false">
      <c r="A34" s="6" t="str">
        <f aca="false">IF(B34="","",IFERROR(INDEX(Lists!$B:$B,MATCH(B34,Lists!$A:$A,0)),""))</f>
        <v/>
      </c>
      <c r="B34" s="35"/>
      <c r="C34" s="35"/>
      <c r="D34" s="39"/>
      <c r="E34" s="39"/>
      <c r="F34" s="39"/>
      <c r="G34" s="39"/>
      <c r="H34" s="6" t="str">
        <f aca="false">IF(B34="","",IF(A34="","NO","yes"))</f>
        <v/>
      </c>
    </row>
    <row r="35" customFormat="false" ht="15" hidden="false" customHeight="false" outlineLevel="0" collapsed="false">
      <c r="A35" s="6" t="str">
        <f aca="false">IF(B35="","",IFERROR(INDEX(Lists!$B:$B,MATCH(B35,Lists!$A:$A,0)),""))</f>
        <v/>
      </c>
      <c r="B35" s="35"/>
      <c r="C35" s="35"/>
      <c r="D35" s="39"/>
      <c r="E35" s="39"/>
      <c r="F35" s="39"/>
      <c r="G35" s="39"/>
      <c r="H35" s="6" t="str">
        <f aca="false">IF(B35="","",IF(A35="","NO","yes"))</f>
        <v/>
      </c>
    </row>
    <row r="36" customFormat="false" ht="15" hidden="false" customHeight="false" outlineLevel="0" collapsed="false">
      <c r="A36" s="6" t="str">
        <f aca="false">IF(B36="","",IFERROR(INDEX(Lists!$B:$B,MATCH(B36,Lists!$A:$A,0)),""))</f>
        <v/>
      </c>
      <c r="B36" s="35"/>
      <c r="C36" s="35"/>
      <c r="D36" s="39"/>
      <c r="E36" s="39"/>
      <c r="F36" s="39"/>
      <c r="G36" s="39"/>
      <c r="H36" s="6" t="str">
        <f aca="false">IF(B36="","",IF(A36="","NO","yes"))</f>
        <v/>
      </c>
    </row>
    <row r="37" customFormat="false" ht="15" hidden="false" customHeight="false" outlineLevel="0" collapsed="false">
      <c r="A37" s="6" t="str">
        <f aca="false">IF(B37="","",IFERROR(INDEX(Lists!$B:$B,MATCH(B37,Lists!$A:$A,0)),""))</f>
        <v/>
      </c>
      <c r="B37" s="35"/>
      <c r="C37" s="35"/>
      <c r="D37" s="39"/>
      <c r="E37" s="39"/>
      <c r="F37" s="39"/>
      <c r="G37" s="39"/>
      <c r="H37" s="6" t="str">
        <f aca="false">IF(B37="","",IF(A37="","NO","yes"))</f>
        <v/>
      </c>
    </row>
    <row r="38" customFormat="false" ht="15" hidden="false" customHeight="false" outlineLevel="0" collapsed="false">
      <c r="A38" s="6" t="str">
        <f aca="false">IF(B38="","",IFERROR(INDEX(Lists!$B:$B,MATCH(B38,Lists!$A:$A,0)),""))</f>
        <v/>
      </c>
      <c r="B38" s="35"/>
      <c r="C38" s="35"/>
      <c r="D38" s="39"/>
      <c r="E38" s="39"/>
      <c r="F38" s="39"/>
      <c r="G38" s="39"/>
      <c r="H38" s="6" t="str">
        <f aca="false">IF(B38="","",IF(A38="","NO","yes"))</f>
        <v/>
      </c>
    </row>
    <row r="39" customFormat="false" ht="15" hidden="false" customHeight="false" outlineLevel="0" collapsed="false">
      <c r="A39" s="6" t="str">
        <f aca="false">IF(B39="","",IFERROR(INDEX(Lists!$B:$B,MATCH(B39,Lists!$A:$A,0)),""))</f>
        <v/>
      </c>
      <c r="B39" s="35"/>
      <c r="C39" s="35"/>
      <c r="D39" s="39"/>
      <c r="E39" s="39"/>
      <c r="F39" s="39"/>
      <c r="G39" s="39"/>
      <c r="H39" s="6" t="str">
        <f aca="false">IF(B39="","",IF(A39="","NO","yes"))</f>
        <v/>
      </c>
    </row>
    <row r="40" customFormat="false" ht="15" hidden="false" customHeight="false" outlineLevel="0" collapsed="false">
      <c r="A40" s="6" t="str">
        <f aca="false">IF(B40="","",IFERROR(INDEX(Lists!$B:$B,MATCH(B40,Lists!$A:$A,0)),""))</f>
        <v/>
      </c>
      <c r="B40" s="35"/>
      <c r="C40" s="35"/>
      <c r="D40" s="39"/>
      <c r="E40" s="39"/>
      <c r="F40" s="39"/>
      <c r="G40" s="39"/>
      <c r="H40" s="6" t="str">
        <f aca="false">IF(B40="","",IF(A40="","NO","yes"))</f>
        <v/>
      </c>
    </row>
    <row r="41" customFormat="false" ht="15" hidden="false" customHeight="false" outlineLevel="0" collapsed="false">
      <c r="A41" s="6" t="str">
        <f aca="false">IF(B41="","",IFERROR(INDEX(Lists!$B:$B,MATCH(B41,Lists!$A:$A,0)),""))</f>
        <v/>
      </c>
      <c r="B41" s="35"/>
      <c r="C41" s="35"/>
      <c r="D41" s="39"/>
      <c r="E41" s="39"/>
      <c r="F41" s="39"/>
      <c r="G41" s="39"/>
      <c r="H41" s="6" t="str">
        <f aca="false">IF(B41="","",IF(A41="","NO","yes"))</f>
        <v/>
      </c>
    </row>
    <row r="42" customFormat="false" ht="15" hidden="false" customHeight="false" outlineLevel="0" collapsed="false">
      <c r="A42" s="6" t="str">
        <f aca="false">IF(B42="","",IFERROR(INDEX(Lists!$B:$B,MATCH(B42,Lists!$A:$A,0)),""))</f>
        <v/>
      </c>
      <c r="B42" s="35"/>
      <c r="C42" s="35"/>
      <c r="D42" s="39"/>
      <c r="E42" s="39"/>
      <c r="F42" s="39"/>
      <c r="G42" s="39"/>
      <c r="H42" s="6" t="str">
        <f aca="false">IF(B42="","",IF(A42="","NO","yes"))</f>
        <v/>
      </c>
    </row>
    <row r="43" customFormat="false" ht="15" hidden="false" customHeight="false" outlineLevel="0" collapsed="false">
      <c r="A43" s="6" t="str">
        <f aca="false">IF(B43="","",IFERROR(INDEX(Lists!$B:$B,MATCH(B43,Lists!$A:$A,0)),""))</f>
        <v/>
      </c>
      <c r="B43" s="35"/>
      <c r="C43" s="35"/>
      <c r="D43" s="39"/>
      <c r="E43" s="39"/>
      <c r="F43" s="39"/>
      <c r="G43" s="39"/>
      <c r="H43" s="6" t="str">
        <f aca="false">IF(B43="","",IF(A43="","NO","yes"))</f>
        <v/>
      </c>
    </row>
    <row r="44" customFormat="false" ht="15" hidden="false" customHeight="false" outlineLevel="0" collapsed="false">
      <c r="A44" s="6" t="str">
        <f aca="false">IF(B44="","",IFERROR(INDEX(Lists!$B:$B,MATCH(B44,Lists!$A:$A,0)),""))</f>
        <v/>
      </c>
      <c r="B44" s="35"/>
      <c r="C44" s="35"/>
      <c r="D44" s="39"/>
      <c r="E44" s="39"/>
      <c r="F44" s="39"/>
      <c r="G44" s="39"/>
      <c r="H44" s="6" t="str">
        <f aca="false">IF(B44="","",IF(A44="","NO","yes"))</f>
        <v/>
      </c>
    </row>
    <row r="45" customFormat="false" ht="15" hidden="false" customHeight="false" outlineLevel="0" collapsed="false">
      <c r="A45" s="6" t="str">
        <f aca="false">IF(B45="","",IFERROR(INDEX(Lists!$B:$B,MATCH(B45,Lists!$A:$A,0)),""))</f>
        <v/>
      </c>
      <c r="B45" s="35"/>
      <c r="C45" s="35"/>
      <c r="D45" s="39"/>
      <c r="E45" s="39"/>
      <c r="F45" s="39"/>
      <c r="G45" s="39"/>
      <c r="H45" s="6" t="str">
        <f aca="false">IF(B45="","",IF(A45="","NO","yes"))</f>
        <v/>
      </c>
    </row>
    <row r="46" customFormat="false" ht="15" hidden="false" customHeight="false" outlineLevel="0" collapsed="false">
      <c r="A46" s="6" t="str">
        <f aca="false">IF(B46="","",IFERROR(INDEX(Lists!$B:$B,MATCH(B46,Lists!$A:$A,0)),""))</f>
        <v/>
      </c>
      <c r="B46" s="35"/>
      <c r="C46" s="35"/>
      <c r="D46" s="39"/>
      <c r="E46" s="39"/>
      <c r="F46" s="39"/>
      <c r="G46" s="39"/>
      <c r="H46" s="6" t="str">
        <f aca="false">IF(B46="","",IF(A46="","NO","yes"))</f>
        <v/>
      </c>
    </row>
    <row r="47" customFormat="false" ht="15" hidden="false" customHeight="false" outlineLevel="0" collapsed="false">
      <c r="A47" s="6" t="str">
        <f aca="false">IF(B47="","",IFERROR(INDEX(Lists!$B:$B,MATCH(B47,Lists!$A:$A,0)),""))</f>
        <v/>
      </c>
      <c r="B47" s="35"/>
      <c r="C47" s="35"/>
      <c r="D47" s="39"/>
      <c r="E47" s="39"/>
      <c r="F47" s="39"/>
      <c r="G47" s="39"/>
      <c r="H47" s="6" t="str">
        <f aca="false">IF(B47="","",IF(A47="","NO","yes"))</f>
        <v/>
      </c>
    </row>
    <row r="48" customFormat="false" ht="15" hidden="false" customHeight="false" outlineLevel="0" collapsed="false">
      <c r="A48" s="6" t="str">
        <f aca="false">IF(B48="","",IFERROR(INDEX(Lists!$B:$B,MATCH(B48,Lists!$A:$A,0)),""))</f>
        <v/>
      </c>
      <c r="B48" s="35"/>
      <c r="C48" s="35"/>
      <c r="D48" s="39"/>
      <c r="E48" s="39"/>
      <c r="F48" s="39"/>
      <c r="G48" s="39"/>
      <c r="H48" s="6" t="str">
        <f aca="false">IF(B48="","",IF(A48="","NO","yes"))</f>
        <v/>
      </c>
    </row>
    <row r="49" customFormat="false" ht="15" hidden="false" customHeight="false" outlineLevel="0" collapsed="false">
      <c r="A49" s="6" t="str">
        <f aca="false">IF(B49="","",IFERROR(INDEX(Lists!$B:$B,MATCH(B49,Lists!$A:$A,0)),""))</f>
        <v/>
      </c>
      <c r="B49" s="35"/>
      <c r="C49" s="35"/>
      <c r="D49" s="39"/>
      <c r="E49" s="39"/>
      <c r="F49" s="39"/>
      <c r="G49" s="39"/>
      <c r="H49" s="6" t="str">
        <f aca="false">IF(B49="","",IF(A49="","NO","yes"))</f>
        <v/>
      </c>
    </row>
    <row r="50" customFormat="false" ht="15" hidden="false" customHeight="false" outlineLevel="0" collapsed="false">
      <c r="A50" s="6" t="str">
        <f aca="false">IF(B50="","",IFERROR(INDEX(Lists!$B:$B,MATCH(B50,Lists!$A:$A,0)),""))</f>
        <v/>
      </c>
      <c r="B50" s="35"/>
      <c r="C50" s="35"/>
      <c r="D50" s="39"/>
      <c r="E50" s="39"/>
      <c r="F50" s="39"/>
      <c r="G50" s="39"/>
      <c r="H50" s="6" t="str">
        <f aca="false">IF(B50="","",IF(A50="","NO","yes"))</f>
        <v/>
      </c>
    </row>
    <row r="51" customFormat="false" ht="15" hidden="false" customHeight="false" outlineLevel="0" collapsed="false">
      <c r="A51" s="6" t="str">
        <f aca="false">IF(B51="","",IFERROR(INDEX(Lists!$B:$B,MATCH(B51,Lists!$A:$A,0)),""))</f>
        <v/>
      </c>
      <c r="B51" s="35"/>
      <c r="C51" s="35"/>
      <c r="D51" s="39"/>
      <c r="E51" s="39"/>
      <c r="F51" s="39"/>
      <c r="G51" s="39"/>
      <c r="H51" s="6" t="str">
        <f aca="false">IF(B51="","",IF(A51="","NO","yes"))</f>
        <v/>
      </c>
    </row>
    <row r="52" customFormat="false" ht="15" hidden="false" customHeight="false" outlineLevel="0" collapsed="false">
      <c r="A52" s="6" t="str">
        <f aca="false">IF(B52="","",IFERROR(INDEX(Lists!$B:$B,MATCH(B52,Lists!$A:$A,0)),""))</f>
        <v/>
      </c>
      <c r="B52" s="35"/>
      <c r="C52" s="35"/>
      <c r="D52" s="39"/>
      <c r="E52" s="39"/>
      <c r="F52" s="39"/>
      <c r="G52" s="39"/>
      <c r="H52" s="6" t="str">
        <f aca="false">IF(B52="","",IF(A52="","NO","yes"))</f>
        <v/>
      </c>
    </row>
    <row r="53" customFormat="false" ht="15" hidden="false" customHeight="false" outlineLevel="0" collapsed="false">
      <c r="A53" s="6" t="str">
        <f aca="false">IF(B53="","",IFERROR(INDEX(Lists!$B:$B,MATCH(B53,Lists!$A:$A,0)),""))</f>
        <v/>
      </c>
      <c r="B53" s="35"/>
      <c r="C53" s="35"/>
      <c r="D53" s="39"/>
      <c r="E53" s="39"/>
      <c r="F53" s="39"/>
      <c r="G53" s="39"/>
      <c r="H53" s="6" t="str">
        <f aca="false">IF(B53="","",IF(A53="","NO","yes"))</f>
        <v/>
      </c>
    </row>
    <row r="54" customFormat="false" ht="15" hidden="false" customHeight="false" outlineLevel="0" collapsed="false">
      <c r="A54" s="6" t="str">
        <f aca="false">IF(B54="","",IFERROR(INDEX(Lists!$B:$B,MATCH(B54,Lists!$A:$A,0)),""))</f>
        <v/>
      </c>
      <c r="B54" s="35"/>
      <c r="C54" s="35"/>
      <c r="D54" s="39"/>
      <c r="E54" s="39"/>
      <c r="F54" s="39"/>
      <c r="G54" s="39"/>
      <c r="H54" s="6" t="str">
        <f aca="false">IF(B54="","",IF(A54="","NO","yes"))</f>
        <v/>
      </c>
    </row>
    <row r="55" customFormat="false" ht="15" hidden="false" customHeight="false" outlineLevel="0" collapsed="false">
      <c r="A55" s="6" t="str">
        <f aca="false">IF(B55="","",IFERROR(INDEX(Lists!$B:$B,MATCH(B55,Lists!$A:$A,0)),""))</f>
        <v/>
      </c>
      <c r="B55" s="35"/>
      <c r="C55" s="35"/>
      <c r="D55" s="39"/>
      <c r="E55" s="39"/>
      <c r="F55" s="39"/>
      <c r="G55" s="39"/>
      <c r="H55" s="6" t="str">
        <f aca="false">IF(B55="","",IF(A55="","NO","yes"))</f>
        <v/>
      </c>
    </row>
    <row r="56" customFormat="false" ht="15" hidden="false" customHeight="false" outlineLevel="0" collapsed="false">
      <c r="A56" s="6" t="str">
        <f aca="false">IF(B56="","",IFERROR(INDEX(Lists!$B:$B,MATCH(B56,Lists!$A:$A,0)),""))</f>
        <v/>
      </c>
      <c r="B56" s="35"/>
      <c r="C56" s="35"/>
      <c r="D56" s="39"/>
      <c r="E56" s="39"/>
      <c r="F56" s="39"/>
      <c r="G56" s="39"/>
      <c r="H56" s="6" t="str">
        <f aca="false">IF(B56="","",IF(A56="","NO","yes"))</f>
        <v/>
      </c>
    </row>
    <row r="57" customFormat="false" ht="15" hidden="false" customHeight="false" outlineLevel="0" collapsed="false">
      <c r="A57" s="6" t="str">
        <f aca="false">IF(B57="","",IFERROR(INDEX(Lists!$B:$B,MATCH(B57,Lists!$A:$A,0)),""))</f>
        <v/>
      </c>
      <c r="B57" s="35"/>
      <c r="C57" s="35"/>
      <c r="D57" s="39"/>
      <c r="E57" s="39"/>
      <c r="F57" s="39"/>
      <c r="G57" s="39"/>
      <c r="H57" s="6" t="str">
        <f aca="false">IF(B57="","",IF(A57="","NO","yes"))</f>
        <v/>
      </c>
    </row>
    <row r="58" customFormat="false" ht="15" hidden="false" customHeight="false" outlineLevel="0" collapsed="false">
      <c r="A58" s="6" t="str">
        <f aca="false">IF(B58="","",IFERROR(INDEX(Lists!$B:$B,MATCH(B58,Lists!$A:$A,0)),""))</f>
        <v/>
      </c>
      <c r="B58" s="35"/>
      <c r="C58" s="35"/>
      <c r="D58" s="39"/>
      <c r="E58" s="39"/>
      <c r="F58" s="39"/>
      <c r="G58" s="39"/>
      <c r="H58" s="6" t="str">
        <f aca="false">IF(B58="","",IF(A58="","NO","yes"))</f>
        <v/>
      </c>
    </row>
    <row r="59" customFormat="false" ht="15" hidden="false" customHeight="false" outlineLevel="0" collapsed="false">
      <c r="A59" s="6" t="str">
        <f aca="false">IF(B59="","",IFERROR(INDEX(Lists!$B:$B,MATCH(B59,Lists!$A:$A,0)),""))</f>
        <v/>
      </c>
      <c r="B59" s="35"/>
      <c r="C59" s="35"/>
      <c r="D59" s="39"/>
      <c r="E59" s="39"/>
      <c r="F59" s="39"/>
      <c r="G59" s="39"/>
      <c r="H59" s="6" t="str">
        <f aca="false">IF(B59="","",IF(A59="","NO","yes"))</f>
        <v/>
      </c>
    </row>
    <row r="60" customFormat="false" ht="15" hidden="false" customHeight="false" outlineLevel="0" collapsed="false">
      <c r="A60" s="6" t="str">
        <f aca="false">IF(B60="","",IFERROR(INDEX(Lists!$B:$B,MATCH(B60,Lists!$A:$A,0)),""))</f>
        <v/>
      </c>
      <c r="B60" s="35"/>
      <c r="C60" s="35"/>
      <c r="D60" s="39"/>
      <c r="E60" s="39"/>
      <c r="F60" s="39"/>
      <c r="G60" s="39"/>
      <c r="H60" s="6" t="str">
        <f aca="false">IF(B60="","",IF(A60="","NO","yes"))</f>
        <v/>
      </c>
    </row>
    <row r="61" customFormat="false" ht="15" hidden="false" customHeight="false" outlineLevel="0" collapsed="false">
      <c r="A61" s="6" t="str">
        <f aca="false">IF(B61="","",IFERROR(INDEX(Lists!$B:$B,MATCH(B61,Lists!$A:$A,0)),""))</f>
        <v/>
      </c>
      <c r="B61" s="35"/>
      <c r="C61" s="35"/>
      <c r="D61" s="39"/>
      <c r="E61" s="39"/>
      <c r="F61" s="39"/>
      <c r="G61" s="39"/>
      <c r="H61" s="6" t="str">
        <f aca="false">IF(B61="","",IF(A61="","NO","yes"))</f>
        <v/>
      </c>
    </row>
    <row r="62" customFormat="false" ht="15" hidden="false" customHeight="false" outlineLevel="0" collapsed="false">
      <c r="A62" s="6" t="str">
        <f aca="false">IF(B62="","",IFERROR(INDEX(Lists!$B:$B,MATCH(B62,Lists!$A:$A,0)),""))</f>
        <v/>
      </c>
      <c r="B62" s="35"/>
      <c r="C62" s="35"/>
      <c r="D62" s="39"/>
      <c r="E62" s="39"/>
      <c r="F62" s="39"/>
      <c r="G62" s="39"/>
      <c r="H62" s="6" t="str">
        <f aca="false">IF(B62="","",IF(A62="","NO","yes"))</f>
        <v/>
      </c>
    </row>
    <row r="63" customFormat="false" ht="15" hidden="false" customHeight="false" outlineLevel="0" collapsed="false">
      <c r="A63" s="6" t="str">
        <f aca="false">IF(B63="","",IFERROR(INDEX(Lists!$B:$B,MATCH(B63,Lists!$A:$A,0)),""))</f>
        <v/>
      </c>
      <c r="B63" s="35"/>
      <c r="C63" s="35"/>
      <c r="D63" s="39"/>
      <c r="E63" s="39"/>
      <c r="F63" s="39"/>
      <c r="G63" s="39"/>
      <c r="H63" s="6" t="str">
        <f aca="false">IF(B63="","",IF(A63="","NO","yes"))</f>
        <v/>
      </c>
    </row>
    <row r="64" customFormat="false" ht="15" hidden="false" customHeight="false" outlineLevel="0" collapsed="false">
      <c r="A64" s="6" t="str">
        <f aca="false">IF(B64="","",IFERROR(INDEX(Lists!$B:$B,MATCH(B64,Lists!$A:$A,0)),""))</f>
        <v/>
      </c>
      <c r="B64" s="35"/>
      <c r="C64" s="35"/>
      <c r="D64" s="39"/>
      <c r="E64" s="39"/>
      <c r="F64" s="39"/>
      <c r="G64" s="39"/>
      <c r="H64" s="6" t="str">
        <f aca="false">IF(B64="","",IF(A64="","NO","yes"))</f>
        <v/>
      </c>
    </row>
    <row r="65" customFormat="false" ht="15" hidden="false" customHeight="false" outlineLevel="0" collapsed="false">
      <c r="A65" s="6" t="str">
        <f aca="false">IF(B65="","",IFERROR(INDEX(Lists!$B:$B,MATCH(B65,Lists!$A:$A,0)),""))</f>
        <v/>
      </c>
      <c r="B65" s="35"/>
      <c r="C65" s="35"/>
      <c r="D65" s="39"/>
      <c r="E65" s="39"/>
      <c r="F65" s="39"/>
      <c r="G65" s="39"/>
      <c r="H65" s="6" t="str">
        <f aca="false">IF(B65="","",IF(A65="","NO","yes"))</f>
        <v/>
      </c>
    </row>
    <row r="66" customFormat="false" ht="15" hidden="false" customHeight="false" outlineLevel="0" collapsed="false">
      <c r="A66" s="6" t="str">
        <f aca="false">IF(B66="","",IFERROR(INDEX(Lists!$B:$B,MATCH(B66,Lists!$A:$A,0)),""))</f>
        <v/>
      </c>
      <c r="B66" s="35"/>
      <c r="C66" s="35"/>
      <c r="D66" s="39"/>
      <c r="E66" s="39"/>
      <c r="F66" s="39"/>
      <c r="G66" s="39"/>
      <c r="H66" s="6" t="str">
        <f aca="false">IF(B66="","",IF(A66="","NO","yes"))</f>
        <v/>
      </c>
    </row>
    <row r="67" customFormat="false" ht="15" hidden="false" customHeight="false" outlineLevel="0" collapsed="false">
      <c r="A67" s="6" t="str">
        <f aca="false">IF(B67="","",IFERROR(INDEX(Lists!$B:$B,MATCH(B67,Lists!$A:$A,0)),""))</f>
        <v/>
      </c>
      <c r="B67" s="35"/>
      <c r="C67" s="35"/>
      <c r="D67" s="39"/>
      <c r="E67" s="39"/>
      <c r="F67" s="39"/>
      <c r="G67" s="39"/>
      <c r="H67" s="6" t="str">
        <f aca="false">IF(B67="","",IF(A67="","NO","yes"))</f>
        <v/>
      </c>
    </row>
    <row r="68" customFormat="false" ht="15" hidden="false" customHeight="false" outlineLevel="0" collapsed="false">
      <c r="A68" s="6" t="str">
        <f aca="false">IF(B68="","",IFERROR(INDEX(Lists!$B:$B,MATCH(B68,Lists!$A:$A,0)),""))</f>
        <v/>
      </c>
      <c r="B68" s="35"/>
      <c r="C68" s="35"/>
      <c r="D68" s="39"/>
      <c r="E68" s="39"/>
      <c r="F68" s="39"/>
      <c r="G68" s="39"/>
      <c r="H68" s="6" t="str">
        <f aca="false">IF(B68="","",IF(A68="","NO","yes"))</f>
        <v/>
      </c>
    </row>
    <row r="69" customFormat="false" ht="15" hidden="false" customHeight="false" outlineLevel="0" collapsed="false">
      <c r="A69" s="6" t="str">
        <f aca="false">IF(B69="","",IFERROR(INDEX(Lists!$B:$B,MATCH(B69,Lists!$A:$A,0)),""))</f>
        <v/>
      </c>
      <c r="B69" s="35"/>
      <c r="C69" s="35"/>
      <c r="D69" s="39"/>
      <c r="E69" s="39"/>
      <c r="F69" s="39"/>
      <c r="G69" s="39"/>
      <c r="H69" s="6" t="str">
        <f aca="false">IF(B69="","",IF(A69="","NO","yes"))</f>
        <v/>
      </c>
    </row>
    <row r="70" customFormat="false" ht="15" hidden="false" customHeight="false" outlineLevel="0" collapsed="false">
      <c r="A70" s="6" t="str">
        <f aca="false">IF(B70="","",IFERROR(INDEX(Lists!$B:$B,MATCH(B70,Lists!$A:$A,0)),""))</f>
        <v/>
      </c>
      <c r="B70" s="35"/>
      <c r="C70" s="35"/>
      <c r="D70" s="39"/>
      <c r="E70" s="39"/>
      <c r="F70" s="39"/>
      <c r="G70" s="39"/>
      <c r="H70" s="6" t="str">
        <f aca="false">IF(B70="","",IF(A70="","NO","yes"))</f>
        <v/>
      </c>
    </row>
    <row r="71" customFormat="false" ht="15" hidden="false" customHeight="false" outlineLevel="0" collapsed="false">
      <c r="A71" s="6" t="str">
        <f aca="false">IF(B71="","",IFERROR(INDEX(Lists!$B:$B,MATCH(B71,Lists!$A:$A,0)),""))</f>
        <v/>
      </c>
      <c r="B71" s="35"/>
      <c r="C71" s="35"/>
      <c r="D71" s="39"/>
      <c r="E71" s="39"/>
      <c r="F71" s="39"/>
      <c r="G71" s="39"/>
      <c r="H71" s="6" t="str">
        <f aca="false">IF(B71="","",IF(A71="","NO","yes"))</f>
        <v/>
      </c>
    </row>
    <row r="72" customFormat="false" ht="15" hidden="false" customHeight="false" outlineLevel="0" collapsed="false">
      <c r="A72" s="6" t="str">
        <f aca="false">IF(B72="","",IFERROR(INDEX(Lists!$B:$B,MATCH(B72,Lists!$A:$A,0)),""))</f>
        <v/>
      </c>
      <c r="B72" s="35"/>
      <c r="C72" s="35"/>
      <c r="D72" s="39"/>
      <c r="E72" s="39"/>
      <c r="F72" s="39"/>
      <c r="G72" s="39"/>
      <c r="H72" s="6" t="str">
        <f aca="false">IF(B72="","",IF(A72="","NO","yes"))</f>
        <v/>
      </c>
    </row>
    <row r="73" customFormat="false" ht="15" hidden="false" customHeight="false" outlineLevel="0" collapsed="false">
      <c r="A73" s="6" t="str">
        <f aca="false">IF(B73="","",IFERROR(INDEX(Lists!$B:$B,MATCH(B73,Lists!$A:$A,0)),""))</f>
        <v/>
      </c>
      <c r="B73" s="35"/>
      <c r="C73" s="35"/>
      <c r="D73" s="39"/>
      <c r="E73" s="39"/>
      <c r="F73" s="39"/>
      <c r="G73" s="39"/>
      <c r="H73" s="6" t="str">
        <f aca="false">IF(B73="","",IF(A73="","NO","yes"))</f>
        <v/>
      </c>
    </row>
    <row r="74" customFormat="false" ht="15" hidden="false" customHeight="false" outlineLevel="0" collapsed="false">
      <c r="A74" s="6" t="str">
        <f aca="false">IF(B74="","",IFERROR(INDEX(Lists!$B:$B,MATCH(B74,Lists!$A:$A,0)),""))</f>
        <v/>
      </c>
      <c r="B74" s="35"/>
      <c r="C74" s="35"/>
      <c r="D74" s="39"/>
      <c r="E74" s="39"/>
      <c r="F74" s="39"/>
      <c r="G74" s="39"/>
      <c r="H74" s="6" t="str">
        <f aca="false">IF(B74="","",IF(A74="","NO","yes"))</f>
        <v/>
      </c>
    </row>
    <row r="75" customFormat="false" ht="15" hidden="false" customHeight="false" outlineLevel="0" collapsed="false">
      <c r="A75" s="6" t="str">
        <f aca="false">IF(B75="","",IFERROR(INDEX(Lists!$B:$B,MATCH(B75,Lists!$A:$A,0)),""))</f>
        <v/>
      </c>
      <c r="B75" s="35"/>
      <c r="C75" s="35"/>
      <c r="D75" s="39"/>
      <c r="E75" s="39"/>
      <c r="F75" s="39"/>
      <c r="G75" s="39"/>
      <c r="H75" s="6" t="str">
        <f aca="false">IF(B75="","",IF(A75="","NO","yes"))</f>
        <v/>
      </c>
    </row>
    <row r="76" customFormat="false" ht="15" hidden="false" customHeight="false" outlineLevel="0" collapsed="false">
      <c r="A76" s="6" t="str">
        <f aca="false">IF(B76="","",IFERROR(INDEX(Lists!$B:$B,MATCH(B76,Lists!$A:$A,0)),""))</f>
        <v/>
      </c>
      <c r="B76" s="35"/>
      <c r="C76" s="35"/>
      <c r="D76" s="39"/>
      <c r="E76" s="39"/>
      <c r="F76" s="39"/>
      <c r="G76" s="39"/>
      <c r="H76" s="6" t="str">
        <f aca="false">IF(B76="","",IF(A76="","NO","yes"))</f>
        <v/>
      </c>
    </row>
    <row r="77" customFormat="false" ht="15" hidden="false" customHeight="false" outlineLevel="0" collapsed="false">
      <c r="A77" s="6" t="str">
        <f aca="false">IF(B77="","",IFERROR(INDEX(Lists!$B:$B,MATCH(B77,Lists!$A:$A,0)),""))</f>
        <v/>
      </c>
      <c r="B77" s="35"/>
      <c r="C77" s="35"/>
      <c r="D77" s="39"/>
      <c r="E77" s="39"/>
      <c r="F77" s="39"/>
      <c r="G77" s="39"/>
      <c r="H77" s="6" t="str">
        <f aca="false">IF(B77="","",IF(A77="","NO","yes"))</f>
        <v/>
      </c>
    </row>
    <row r="78" customFormat="false" ht="15" hidden="false" customHeight="false" outlineLevel="0" collapsed="false">
      <c r="A78" s="6" t="str">
        <f aca="false">IF(B78="","",IFERROR(INDEX(Lists!$B:$B,MATCH(B78,Lists!$A:$A,0)),""))</f>
        <v/>
      </c>
      <c r="B78" s="35"/>
      <c r="C78" s="35"/>
      <c r="D78" s="39"/>
      <c r="E78" s="39"/>
      <c r="F78" s="39"/>
      <c r="G78" s="39"/>
      <c r="H78" s="6" t="str">
        <f aca="false">IF(B78="","",IF(A78="","NO","yes"))</f>
        <v/>
      </c>
    </row>
    <row r="79" customFormat="false" ht="15" hidden="false" customHeight="false" outlineLevel="0" collapsed="false">
      <c r="A79" s="6" t="str">
        <f aca="false">IF(B79="","",IFERROR(INDEX(Lists!$B:$B,MATCH(B79,Lists!$A:$A,0)),""))</f>
        <v/>
      </c>
      <c r="B79" s="35"/>
      <c r="C79" s="35"/>
      <c r="D79" s="39"/>
      <c r="E79" s="39"/>
      <c r="F79" s="39"/>
      <c r="G79" s="39"/>
      <c r="H79" s="6" t="str">
        <f aca="false">IF(B79="","",IF(A79="","NO","yes"))</f>
        <v/>
      </c>
    </row>
    <row r="80" customFormat="false" ht="15" hidden="false" customHeight="false" outlineLevel="0" collapsed="false">
      <c r="A80" s="6" t="str">
        <f aca="false">IF(B80="","",IFERROR(INDEX(Lists!$B:$B,MATCH(B80,Lists!$A:$A,0)),""))</f>
        <v/>
      </c>
      <c r="B80" s="35"/>
      <c r="C80" s="35"/>
      <c r="D80" s="39"/>
      <c r="E80" s="39"/>
      <c r="F80" s="39"/>
      <c r="G80" s="39"/>
      <c r="H80" s="6" t="str">
        <f aca="false">IF(B80="","",IF(A80="","NO","yes"))</f>
        <v/>
      </c>
    </row>
    <row r="81" customFormat="false" ht="15" hidden="false" customHeight="false" outlineLevel="0" collapsed="false">
      <c r="A81" s="6" t="str">
        <f aca="false">IF(B81="","",IFERROR(INDEX(Lists!$B:$B,MATCH(B81,Lists!$A:$A,0)),""))</f>
        <v/>
      </c>
      <c r="B81" s="35"/>
      <c r="C81" s="35"/>
      <c r="D81" s="39"/>
      <c r="E81" s="39"/>
      <c r="F81" s="39"/>
      <c r="G81" s="39"/>
      <c r="H81" s="6" t="str">
        <f aca="false">IF(B81="","",IF(A81="","NO","yes"))</f>
        <v/>
      </c>
    </row>
    <row r="82" customFormat="false" ht="15" hidden="false" customHeight="false" outlineLevel="0" collapsed="false">
      <c r="A82" s="6" t="str">
        <f aca="false">IF(B82="","",IFERROR(INDEX(Lists!$B:$B,MATCH(B82,Lists!$A:$A,0)),""))</f>
        <v/>
      </c>
      <c r="B82" s="35"/>
      <c r="C82" s="35"/>
      <c r="D82" s="39"/>
      <c r="E82" s="39"/>
      <c r="F82" s="39"/>
      <c r="G82" s="39"/>
      <c r="H82" s="6" t="str">
        <f aca="false">IF(B82="","",IF(A82="","NO","yes"))</f>
        <v/>
      </c>
    </row>
    <row r="83" customFormat="false" ht="15" hidden="false" customHeight="false" outlineLevel="0" collapsed="false">
      <c r="A83" s="6" t="str">
        <f aca="false">IF(B83="","",IFERROR(INDEX(Lists!$B:$B,MATCH(B83,Lists!$A:$A,0)),""))</f>
        <v/>
      </c>
      <c r="B83" s="35"/>
      <c r="C83" s="35"/>
      <c r="D83" s="39"/>
      <c r="E83" s="39"/>
      <c r="F83" s="39"/>
      <c r="G83" s="39"/>
      <c r="H83" s="6" t="str">
        <f aca="false">IF(B83="","",IF(A83="","NO","yes"))</f>
        <v/>
      </c>
    </row>
    <row r="84" customFormat="false" ht="15" hidden="false" customHeight="false" outlineLevel="0" collapsed="false">
      <c r="A84" s="6" t="str">
        <f aca="false">IF(B84="","",IFERROR(INDEX(Lists!$B:$B,MATCH(B84,Lists!$A:$A,0)),""))</f>
        <v/>
      </c>
      <c r="B84" s="35"/>
      <c r="C84" s="35"/>
      <c r="D84" s="39"/>
      <c r="E84" s="39"/>
      <c r="F84" s="39"/>
      <c r="G84" s="39"/>
      <c r="H84" s="6" t="str">
        <f aca="false">IF(B84="","",IF(A84="","NO","yes"))</f>
        <v/>
      </c>
    </row>
    <row r="85" customFormat="false" ht="15" hidden="false" customHeight="false" outlineLevel="0" collapsed="false">
      <c r="A85" s="6" t="str">
        <f aca="false">IF(B85="","",IFERROR(INDEX(Lists!$B:$B,MATCH(B85,Lists!$A:$A,0)),""))</f>
        <v/>
      </c>
      <c r="B85" s="35"/>
      <c r="C85" s="35"/>
      <c r="D85" s="39"/>
      <c r="E85" s="39"/>
      <c r="F85" s="39"/>
      <c r="G85" s="39"/>
      <c r="H85" s="6" t="str">
        <f aca="false">IF(B85="","",IF(A85="","NO","yes"))</f>
        <v/>
      </c>
    </row>
    <row r="86" customFormat="false" ht="15" hidden="false" customHeight="false" outlineLevel="0" collapsed="false">
      <c r="A86" s="6" t="str">
        <f aca="false">IF(B86="","",IFERROR(INDEX(Lists!$B:$B,MATCH(B86,Lists!$A:$A,0)),""))</f>
        <v/>
      </c>
      <c r="B86" s="35"/>
      <c r="C86" s="35"/>
      <c r="D86" s="39"/>
      <c r="E86" s="39"/>
      <c r="F86" s="39"/>
      <c r="G86" s="39"/>
      <c r="H86" s="6" t="str">
        <f aca="false">IF(B86="","",IF(A86="","NO","yes"))</f>
        <v/>
      </c>
    </row>
    <row r="87" customFormat="false" ht="15" hidden="false" customHeight="false" outlineLevel="0" collapsed="false">
      <c r="A87" s="6" t="str">
        <f aca="false">IF(B87="","",IFERROR(INDEX(Lists!$B:$B,MATCH(B87,Lists!$A:$A,0)),""))</f>
        <v/>
      </c>
      <c r="B87" s="35"/>
      <c r="C87" s="35"/>
      <c r="D87" s="39"/>
      <c r="E87" s="39"/>
      <c r="F87" s="39"/>
      <c r="G87" s="39"/>
      <c r="H87" s="6" t="str">
        <f aca="false">IF(B87="","",IF(A87="","NO","yes"))</f>
        <v/>
      </c>
    </row>
    <row r="88" customFormat="false" ht="15" hidden="false" customHeight="false" outlineLevel="0" collapsed="false">
      <c r="A88" s="6" t="str">
        <f aca="false">IF(B88="","",IFERROR(INDEX(Lists!$B:$B,MATCH(B88,Lists!$A:$A,0)),""))</f>
        <v/>
      </c>
      <c r="B88" s="35"/>
      <c r="C88" s="35"/>
      <c r="D88" s="39"/>
      <c r="E88" s="39"/>
      <c r="F88" s="39"/>
      <c r="G88" s="39"/>
      <c r="H88" s="6" t="str">
        <f aca="false">IF(B88="","",IF(A88="","NO","yes"))</f>
        <v/>
      </c>
    </row>
    <row r="89" customFormat="false" ht="15" hidden="false" customHeight="false" outlineLevel="0" collapsed="false">
      <c r="A89" s="6" t="str">
        <f aca="false">IF(B89="","",IFERROR(INDEX(Lists!$B:$B,MATCH(B89,Lists!$A:$A,0)),""))</f>
        <v/>
      </c>
      <c r="B89" s="35"/>
      <c r="C89" s="35"/>
      <c r="D89" s="39"/>
      <c r="E89" s="39"/>
      <c r="F89" s="39"/>
      <c r="G89" s="39"/>
      <c r="H89" s="6" t="str">
        <f aca="false">IF(B89="","",IF(A89="","NO","yes"))</f>
        <v/>
      </c>
    </row>
    <row r="90" customFormat="false" ht="15" hidden="false" customHeight="false" outlineLevel="0" collapsed="false">
      <c r="A90" s="6" t="str">
        <f aca="false">IF(B90="","",IFERROR(INDEX(Lists!$B:$B,MATCH(B90,Lists!$A:$A,0)),""))</f>
        <v/>
      </c>
      <c r="B90" s="35"/>
      <c r="C90" s="35"/>
      <c r="D90" s="39"/>
      <c r="E90" s="39"/>
      <c r="F90" s="39"/>
      <c r="G90" s="39"/>
      <c r="H90" s="6" t="str">
        <f aca="false">IF(B90="","",IF(A90="","NO","yes"))</f>
        <v/>
      </c>
    </row>
    <row r="91" customFormat="false" ht="15" hidden="false" customHeight="false" outlineLevel="0" collapsed="false">
      <c r="A91" s="6" t="str">
        <f aca="false">IF(B91="","",IFERROR(INDEX(Lists!$B:$B,MATCH(B91,Lists!$A:$A,0)),""))</f>
        <v/>
      </c>
      <c r="B91" s="35"/>
      <c r="C91" s="35"/>
      <c r="D91" s="39"/>
      <c r="E91" s="39"/>
      <c r="F91" s="39"/>
      <c r="G91" s="39"/>
      <c r="H91" s="6" t="str">
        <f aca="false">IF(B91="","",IF(A91="","NO","yes"))</f>
        <v/>
      </c>
    </row>
    <row r="92" customFormat="false" ht="15" hidden="false" customHeight="false" outlineLevel="0" collapsed="false">
      <c r="A92" s="6" t="str">
        <f aca="false">IF(B92="","",IFERROR(INDEX(Lists!$B:$B,MATCH(B92,Lists!$A:$A,0)),""))</f>
        <v/>
      </c>
      <c r="B92" s="35"/>
      <c r="C92" s="35"/>
      <c r="D92" s="39"/>
      <c r="E92" s="39"/>
      <c r="F92" s="39"/>
      <c r="G92" s="39"/>
      <c r="H92" s="6" t="str">
        <f aca="false">IF(B92="","",IF(A92="","NO","yes"))</f>
        <v/>
      </c>
    </row>
    <row r="93" customFormat="false" ht="15" hidden="false" customHeight="false" outlineLevel="0" collapsed="false">
      <c r="A93" s="6" t="str">
        <f aca="false">IF(B93="","",IFERROR(INDEX(Lists!$B:$B,MATCH(B93,Lists!$A:$A,0)),""))</f>
        <v/>
      </c>
      <c r="B93" s="35"/>
      <c r="C93" s="35"/>
      <c r="D93" s="39"/>
      <c r="E93" s="39"/>
      <c r="F93" s="39"/>
      <c r="G93" s="39"/>
      <c r="H93" s="6" t="str">
        <f aca="false">IF(B93="","",IF(A93="","NO","yes"))</f>
        <v/>
      </c>
    </row>
    <row r="94" customFormat="false" ht="15" hidden="false" customHeight="false" outlineLevel="0" collapsed="false">
      <c r="A94" s="6" t="str">
        <f aca="false">IF(B94="","",IFERROR(INDEX(Lists!$B:$B,MATCH(B94,Lists!$A:$A,0)),""))</f>
        <v/>
      </c>
      <c r="B94" s="35"/>
      <c r="C94" s="35"/>
      <c r="D94" s="39"/>
      <c r="E94" s="39"/>
      <c r="F94" s="39"/>
      <c r="G94" s="39"/>
      <c r="H94" s="6" t="str">
        <f aca="false">IF(B94="","",IF(A94="","NO","yes"))</f>
        <v/>
      </c>
    </row>
    <row r="95" customFormat="false" ht="15" hidden="false" customHeight="false" outlineLevel="0" collapsed="false">
      <c r="A95" s="6" t="str">
        <f aca="false">IF(B95="","",IFERROR(INDEX(Lists!$B:$B,MATCH(B95,Lists!$A:$A,0)),""))</f>
        <v/>
      </c>
      <c r="B95" s="35"/>
      <c r="C95" s="35"/>
      <c r="D95" s="39"/>
      <c r="E95" s="39"/>
      <c r="F95" s="39"/>
      <c r="G95" s="39"/>
      <c r="H95" s="6" t="str">
        <f aca="false">IF(B95="","",IF(A95="","NO","yes"))</f>
        <v/>
      </c>
    </row>
    <row r="96" customFormat="false" ht="15" hidden="false" customHeight="false" outlineLevel="0" collapsed="false">
      <c r="A96" s="6" t="str">
        <f aca="false">IF(B96="","",IFERROR(INDEX(Lists!$B:$B,MATCH(B96,Lists!$A:$A,0)),""))</f>
        <v/>
      </c>
      <c r="B96" s="35"/>
      <c r="C96" s="35"/>
      <c r="D96" s="39"/>
      <c r="E96" s="39"/>
      <c r="F96" s="39"/>
      <c r="G96" s="39"/>
      <c r="H96" s="6" t="str">
        <f aca="false">IF(B96="","",IF(A96="","NO","yes"))</f>
        <v/>
      </c>
    </row>
    <row r="97" customFormat="false" ht="15" hidden="false" customHeight="false" outlineLevel="0" collapsed="false">
      <c r="A97" s="6" t="str">
        <f aca="false">IF(B97="","",IFERROR(INDEX(Lists!$B:$B,MATCH(B97,Lists!$A:$A,0)),""))</f>
        <v/>
      </c>
      <c r="B97" s="35"/>
      <c r="C97" s="35"/>
      <c r="D97" s="39"/>
      <c r="E97" s="39"/>
      <c r="F97" s="39"/>
      <c r="G97" s="39"/>
      <c r="H97" s="6" t="str">
        <f aca="false">IF(B97="","",IF(A97="","NO","yes"))</f>
        <v/>
      </c>
    </row>
    <row r="98" customFormat="false" ht="15" hidden="false" customHeight="false" outlineLevel="0" collapsed="false">
      <c r="A98" s="6" t="str">
        <f aca="false">IF(B98="","",IFERROR(INDEX(Lists!$B:$B,MATCH(B98,Lists!$A:$A,0)),""))</f>
        <v/>
      </c>
      <c r="B98" s="35"/>
      <c r="C98" s="35"/>
      <c r="D98" s="39"/>
      <c r="E98" s="39"/>
      <c r="F98" s="39"/>
      <c r="G98" s="39"/>
      <c r="H98" s="6" t="str">
        <f aca="false">IF(B98="","",IF(A98="","NO","yes"))</f>
        <v/>
      </c>
    </row>
    <row r="99" customFormat="false" ht="15" hidden="false" customHeight="false" outlineLevel="0" collapsed="false">
      <c r="A99" s="6" t="str">
        <f aca="false">IF(B99="","",IFERROR(INDEX(Lists!$B:$B,MATCH(B99,Lists!$A:$A,0)),""))</f>
        <v/>
      </c>
      <c r="B99" s="35"/>
      <c r="C99" s="35"/>
      <c r="D99" s="39"/>
      <c r="E99" s="39"/>
      <c r="F99" s="39"/>
      <c r="G99" s="39"/>
      <c r="H99" s="6" t="str">
        <f aca="false">IF(B99="","",IF(A99="","NO","yes"))</f>
        <v/>
      </c>
    </row>
    <row r="100" customFormat="false" ht="15" hidden="false" customHeight="false" outlineLevel="0" collapsed="false">
      <c r="A100" s="6" t="str">
        <f aca="false">IF(B100="","",IFERROR(INDEX(Lists!$B:$B,MATCH(B100,Lists!$A:$A,0)),""))</f>
        <v/>
      </c>
      <c r="B100" s="35"/>
      <c r="C100" s="35"/>
      <c r="D100" s="39"/>
      <c r="E100" s="39"/>
      <c r="F100" s="39"/>
      <c r="G100" s="39"/>
      <c r="H100" s="6" t="str">
        <f aca="false">IF(B100="","",IF(A100="","NO","yes"))</f>
        <v/>
      </c>
    </row>
    <row r="101" customFormat="false" ht="15" hidden="false" customHeight="false" outlineLevel="0" collapsed="false">
      <c r="A101" s="6" t="str">
        <f aca="false">IF(B101="","",IFERROR(INDEX(Lists!$B:$B,MATCH(B101,Lists!$A:$A,0)),""))</f>
        <v/>
      </c>
      <c r="B101" s="35"/>
      <c r="C101" s="35"/>
      <c r="D101" s="39"/>
      <c r="E101" s="39"/>
      <c r="F101" s="39"/>
      <c r="G101" s="39"/>
      <c r="H101" s="6" t="str">
        <f aca="false">IF(B101="","",IF(A101="","NO","yes"))</f>
        <v/>
      </c>
    </row>
    <row r="102" customFormat="false" ht="15" hidden="false" customHeight="false" outlineLevel="0" collapsed="false">
      <c r="A102" s="6" t="str">
        <f aca="false">IF(B102="","",IFERROR(INDEX(Lists!$B:$B,MATCH(B102,Lists!$A:$A,0)),""))</f>
        <v/>
      </c>
      <c r="B102" s="35"/>
      <c r="C102" s="35"/>
      <c r="D102" s="39"/>
      <c r="E102" s="39"/>
      <c r="F102" s="39"/>
      <c r="G102" s="39"/>
      <c r="H102" s="6" t="str">
        <f aca="false">IF(B102="","",IF(A102="","NO","yes"))</f>
        <v/>
      </c>
    </row>
    <row r="103" customFormat="false" ht="15" hidden="false" customHeight="false" outlineLevel="0" collapsed="false">
      <c r="A103" s="6" t="str">
        <f aca="false">IF(B103="","",IFERROR(INDEX(Lists!$B:$B,MATCH(B103,Lists!$A:$A,0)),""))</f>
        <v/>
      </c>
      <c r="B103" s="35"/>
      <c r="C103" s="35"/>
      <c r="D103" s="39"/>
      <c r="E103" s="39"/>
      <c r="F103" s="39"/>
      <c r="G103" s="39"/>
      <c r="H103" s="6" t="str">
        <f aca="false">IF(B103="","",IF(A103="","NO","yes"))</f>
        <v/>
      </c>
    </row>
    <row r="104" customFormat="false" ht="15" hidden="false" customHeight="false" outlineLevel="0" collapsed="false">
      <c r="A104" s="6" t="str">
        <f aca="false">IF(B104="","",IFERROR(INDEX(Lists!$B:$B,MATCH(B104,Lists!$A:$A,0)),""))</f>
        <v/>
      </c>
      <c r="B104" s="35"/>
      <c r="C104" s="35"/>
      <c r="D104" s="39"/>
      <c r="E104" s="39"/>
      <c r="F104" s="39"/>
      <c r="G104" s="39"/>
      <c r="H104" s="6" t="str">
        <f aca="false">IF(B104="","",IF(A104="","NO","yes"))</f>
        <v/>
      </c>
    </row>
    <row r="105" customFormat="false" ht="15" hidden="false" customHeight="false" outlineLevel="0" collapsed="false">
      <c r="A105" s="6" t="str">
        <f aca="false">IF(B105="","",IFERROR(INDEX(Lists!$B:$B,MATCH(B105,Lists!$A:$A,0)),""))</f>
        <v/>
      </c>
      <c r="B105" s="35"/>
      <c r="C105" s="35"/>
      <c r="D105" s="39"/>
      <c r="E105" s="39"/>
      <c r="F105" s="39"/>
      <c r="G105" s="39"/>
      <c r="H105" s="6" t="str">
        <f aca="false">IF(B105="","",IF(A105="","NO","yes"))</f>
        <v/>
      </c>
    </row>
    <row r="106" customFormat="false" ht="15" hidden="false" customHeight="false" outlineLevel="0" collapsed="false">
      <c r="A106" s="6" t="str">
        <f aca="false">IF(B106="","",IFERROR(INDEX(Lists!$B:$B,MATCH(B106,Lists!$A:$A,0)),""))</f>
        <v/>
      </c>
      <c r="B106" s="35"/>
      <c r="C106" s="35"/>
      <c r="D106" s="39"/>
      <c r="E106" s="39"/>
      <c r="F106" s="39"/>
      <c r="G106" s="39"/>
      <c r="H106" s="6" t="str">
        <f aca="false">IF(B106="","",IF(A106="","NO","yes"))</f>
        <v/>
      </c>
    </row>
    <row r="107" customFormat="false" ht="15" hidden="false" customHeight="false" outlineLevel="0" collapsed="false">
      <c r="A107" s="6" t="str">
        <f aca="false">IF(B107="","",IFERROR(INDEX(Lists!$B:$B,MATCH(B107,Lists!$A:$A,0)),""))</f>
        <v/>
      </c>
      <c r="B107" s="35"/>
      <c r="C107" s="35"/>
      <c r="D107" s="39"/>
      <c r="E107" s="39"/>
      <c r="F107" s="39"/>
      <c r="G107" s="39"/>
      <c r="H107" s="6" t="str">
        <f aca="false">IF(B107="","",IF(A107="","NO","yes"))</f>
        <v/>
      </c>
    </row>
    <row r="108" customFormat="false" ht="15" hidden="false" customHeight="false" outlineLevel="0" collapsed="false">
      <c r="A108" s="6" t="str">
        <f aca="false">IF(B108="","",IFERROR(INDEX(Lists!$B:$B,MATCH(B108,Lists!$A:$A,0)),""))</f>
        <v/>
      </c>
      <c r="B108" s="35"/>
      <c r="C108" s="35"/>
      <c r="D108" s="39"/>
      <c r="E108" s="39"/>
      <c r="F108" s="39"/>
      <c r="G108" s="39"/>
      <c r="H108" s="6" t="str">
        <f aca="false">IF(B108="","",IF(A108="","NO","yes"))</f>
        <v/>
      </c>
    </row>
    <row r="109" customFormat="false" ht="15" hidden="false" customHeight="false" outlineLevel="0" collapsed="false">
      <c r="A109" s="6" t="str">
        <f aca="false">IF(B109="","",IFERROR(INDEX(Lists!$B:$B,MATCH(B109,Lists!$A:$A,0)),""))</f>
        <v/>
      </c>
      <c r="B109" s="35"/>
      <c r="C109" s="35"/>
      <c r="D109" s="39"/>
      <c r="E109" s="39"/>
      <c r="F109" s="39"/>
      <c r="G109" s="39"/>
      <c r="H109" s="6" t="str">
        <f aca="false">IF(B109="","",IF(A109="","NO","yes"))</f>
        <v/>
      </c>
    </row>
    <row r="110" customFormat="false" ht="15" hidden="false" customHeight="false" outlineLevel="0" collapsed="false">
      <c r="A110" s="6" t="str">
        <f aca="false">IF(B110="","",IFERROR(INDEX(Lists!$B:$B,MATCH(B110,Lists!$A:$A,0)),""))</f>
        <v/>
      </c>
      <c r="B110" s="35"/>
      <c r="C110" s="35"/>
      <c r="D110" s="39"/>
      <c r="E110" s="39"/>
      <c r="F110" s="39"/>
      <c r="G110" s="39"/>
      <c r="H110" s="6" t="str">
        <f aca="false">IF(B110="","",IF(A110="","NO","yes"))</f>
        <v/>
      </c>
    </row>
    <row r="111" customFormat="false" ht="15" hidden="false" customHeight="false" outlineLevel="0" collapsed="false">
      <c r="A111" s="6" t="str">
        <f aca="false">IF(B111="","",IFERROR(INDEX(Lists!$B:$B,MATCH(B111,Lists!$A:$A,0)),""))</f>
        <v/>
      </c>
      <c r="B111" s="35"/>
      <c r="C111" s="35"/>
      <c r="D111" s="39"/>
      <c r="E111" s="39"/>
      <c r="F111" s="39"/>
      <c r="G111" s="39"/>
      <c r="H111" s="6" t="str">
        <f aca="false">IF(B111="","",IF(A111="","NO","yes"))</f>
        <v/>
      </c>
    </row>
    <row r="112" customFormat="false" ht="15" hidden="false" customHeight="false" outlineLevel="0" collapsed="false">
      <c r="A112" s="6" t="str">
        <f aca="false">IF(B112="","",IFERROR(INDEX(Lists!$B:$B,MATCH(B112,Lists!$A:$A,0)),""))</f>
        <v/>
      </c>
      <c r="B112" s="35"/>
      <c r="C112" s="35"/>
      <c r="D112" s="39"/>
      <c r="E112" s="39"/>
      <c r="F112" s="39"/>
      <c r="G112" s="39"/>
      <c r="H112" s="6" t="str">
        <f aca="false">IF(B112="","",IF(A112="","NO","yes"))</f>
        <v/>
      </c>
    </row>
    <row r="113" customFormat="false" ht="15" hidden="false" customHeight="false" outlineLevel="0" collapsed="false">
      <c r="A113" s="6" t="str">
        <f aca="false">IF(B113="","",IFERROR(INDEX(Lists!$B:$B,MATCH(B113,Lists!$A:$A,0)),""))</f>
        <v/>
      </c>
      <c r="B113" s="35"/>
      <c r="C113" s="35"/>
      <c r="D113" s="39"/>
      <c r="E113" s="39"/>
      <c r="F113" s="39"/>
      <c r="G113" s="39"/>
      <c r="H113" s="6" t="str">
        <f aca="false">IF(B113="","",IF(A113="","NO","yes"))</f>
        <v/>
      </c>
    </row>
    <row r="114" customFormat="false" ht="15" hidden="false" customHeight="false" outlineLevel="0" collapsed="false">
      <c r="A114" s="6" t="str">
        <f aca="false">IF(B114="","",IFERROR(INDEX(Lists!$B:$B,MATCH(B114,Lists!$A:$A,0)),""))</f>
        <v/>
      </c>
      <c r="B114" s="35"/>
      <c r="C114" s="35"/>
      <c r="D114" s="39"/>
      <c r="E114" s="39"/>
      <c r="F114" s="39"/>
      <c r="G114" s="39"/>
      <c r="H114" s="6" t="str">
        <f aca="false">IF(B114="","",IF(A114="","NO","yes"))</f>
        <v/>
      </c>
    </row>
    <row r="115" customFormat="false" ht="15" hidden="false" customHeight="false" outlineLevel="0" collapsed="false">
      <c r="A115" s="6" t="str">
        <f aca="false">IF(B115="","",IFERROR(INDEX(Lists!$B:$B,MATCH(B115,Lists!$A:$A,0)),""))</f>
        <v/>
      </c>
      <c r="B115" s="35"/>
      <c r="C115" s="35"/>
      <c r="D115" s="39"/>
      <c r="E115" s="39"/>
      <c r="F115" s="39"/>
      <c r="G115" s="39"/>
      <c r="H115" s="6" t="str">
        <f aca="false">IF(B115="","",IF(A115="","NO","yes"))</f>
        <v/>
      </c>
    </row>
    <row r="116" customFormat="false" ht="15" hidden="false" customHeight="false" outlineLevel="0" collapsed="false">
      <c r="A116" s="6" t="str">
        <f aca="false">IF(B116="","",IFERROR(INDEX(Lists!$B:$B,MATCH(B116,Lists!$A:$A,0)),""))</f>
        <v/>
      </c>
      <c r="B116" s="35"/>
      <c r="C116" s="35"/>
      <c r="D116" s="39"/>
      <c r="E116" s="39"/>
      <c r="F116" s="39"/>
      <c r="G116" s="39"/>
      <c r="H116" s="6" t="str">
        <f aca="false">IF(B116="","",IF(A116="","NO","yes"))</f>
        <v/>
      </c>
    </row>
    <row r="117" customFormat="false" ht="15" hidden="false" customHeight="false" outlineLevel="0" collapsed="false">
      <c r="A117" s="6" t="str">
        <f aca="false">IF(B117="","",IFERROR(INDEX(Lists!$B:$B,MATCH(B117,Lists!$A:$A,0)),""))</f>
        <v/>
      </c>
      <c r="B117" s="35"/>
      <c r="C117" s="35"/>
      <c r="D117" s="39"/>
      <c r="E117" s="39"/>
      <c r="F117" s="39"/>
      <c r="G117" s="39"/>
      <c r="H117" s="6" t="str">
        <f aca="false">IF(B117="","",IF(A117="","NO","yes"))</f>
        <v/>
      </c>
    </row>
    <row r="118" customFormat="false" ht="15" hidden="false" customHeight="false" outlineLevel="0" collapsed="false">
      <c r="A118" s="6" t="str">
        <f aca="false">IF(B118="","",IFERROR(INDEX(Lists!$B:$B,MATCH(B118,Lists!$A:$A,0)),""))</f>
        <v/>
      </c>
      <c r="B118" s="35"/>
      <c r="C118" s="35"/>
      <c r="D118" s="39"/>
      <c r="E118" s="39"/>
      <c r="F118" s="39"/>
      <c r="G118" s="39"/>
      <c r="H118" s="6" t="str">
        <f aca="false">IF(B118="","",IF(A118="","NO","yes"))</f>
        <v/>
      </c>
    </row>
    <row r="119" customFormat="false" ht="15" hidden="false" customHeight="false" outlineLevel="0" collapsed="false">
      <c r="A119" s="6" t="str">
        <f aca="false">IF(B119="","",IFERROR(INDEX(Lists!$B:$B,MATCH(B119,Lists!$A:$A,0)),""))</f>
        <v/>
      </c>
      <c r="B119" s="35"/>
      <c r="C119" s="35"/>
      <c r="D119" s="39"/>
      <c r="E119" s="39"/>
      <c r="F119" s="39"/>
      <c r="G119" s="39"/>
      <c r="H119" s="6" t="str">
        <f aca="false">IF(B119="","",IF(A119="","NO","yes"))</f>
        <v/>
      </c>
    </row>
    <row r="120" customFormat="false" ht="15" hidden="false" customHeight="false" outlineLevel="0" collapsed="false">
      <c r="A120" s="6" t="str">
        <f aca="false">IF(B120="","",IFERROR(INDEX(Lists!$B:$B,MATCH(B120,Lists!$A:$A,0)),""))</f>
        <v/>
      </c>
      <c r="B120" s="35"/>
      <c r="C120" s="35"/>
      <c r="D120" s="39"/>
      <c r="E120" s="39"/>
      <c r="F120" s="39"/>
      <c r="G120" s="39"/>
      <c r="H120" s="6" t="str">
        <f aca="false">IF(B120="","",IF(A120="","NO","yes"))</f>
        <v/>
      </c>
    </row>
    <row r="121" customFormat="false" ht="15" hidden="false" customHeight="false" outlineLevel="0" collapsed="false">
      <c r="A121" s="6" t="str">
        <f aca="false">IF(B121="","",IFERROR(INDEX(Lists!$B:$B,MATCH(B121,Lists!$A:$A,0)),""))</f>
        <v/>
      </c>
      <c r="B121" s="35"/>
      <c r="C121" s="35"/>
      <c r="D121" s="39"/>
      <c r="E121" s="39"/>
      <c r="F121" s="39"/>
      <c r="G121" s="39"/>
      <c r="H121" s="6" t="str">
        <f aca="false">IF(B121="","",IF(A121="","NO","yes"))</f>
        <v/>
      </c>
    </row>
    <row r="122" customFormat="false" ht="15" hidden="false" customHeight="false" outlineLevel="0" collapsed="false">
      <c r="A122" s="6" t="str">
        <f aca="false">IF(B122="","",IFERROR(INDEX(Lists!$B:$B,MATCH(B122,Lists!$A:$A,0)),""))</f>
        <v/>
      </c>
      <c r="B122" s="35"/>
      <c r="C122" s="35"/>
      <c r="D122" s="39"/>
      <c r="E122" s="39"/>
      <c r="F122" s="39"/>
      <c r="G122" s="39"/>
      <c r="H122" s="6" t="str">
        <f aca="false">IF(B122="","",IF(A122="","NO","yes"))</f>
        <v/>
      </c>
    </row>
    <row r="123" customFormat="false" ht="15" hidden="false" customHeight="false" outlineLevel="0" collapsed="false">
      <c r="A123" s="6" t="str">
        <f aca="false">IF(B123="","",IFERROR(INDEX(Lists!$B:$B,MATCH(B123,Lists!$A:$A,0)),""))</f>
        <v/>
      </c>
      <c r="B123" s="35"/>
      <c r="C123" s="35"/>
      <c r="D123" s="39"/>
      <c r="E123" s="39"/>
      <c r="F123" s="39"/>
      <c r="G123" s="39"/>
      <c r="H123" s="6" t="str">
        <f aca="false">IF(B123="","",IF(A123="","NO","yes"))</f>
        <v/>
      </c>
    </row>
    <row r="124" customFormat="false" ht="15" hidden="false" customHeight="false" outlineLevel="0" collapsed="false">
      <c r="A124" s="6" t="str">
        <f aca="false">IF(B124="","",IFERROR(INDEX(Lists!$B:$B,MATCH(B124,Lists!$A:$A,0)),""))</f>
        <v/>
      </c>
      <c r="B124" s="35"/>
      <c r="C124" s="35"/>
      <c r="D124" s="39"/>
      <c r="E124" s="39"/>
      <c r="F124" s="39"/>
      <c r="G124" s="39"/>
      <c r="H124" s="6" t="str">
        <f aca="false">IF(B124="","",IF(A124="","NO","yes"))</f>
        <v/>
      </c>
    </row>
    <row r="125" customFormat="false" ht="15" hidden="false" customHeight="false" outlineLevel="0" collapsed="false">
      <c r="A125" s="6" t="str">
        <f aca="false">IF(B125="","",IFERROR(INDEX(Lists!$B:$B,MATCH(B125,Lists!$A:$A,0)),""))</f>
        <v/>
      </c>
      <c r="B125" s="35"/>
      <c r="C125" s="35"/>
      <c r="D125" s="39"/>
      <c r="E125" s="39"/>
      <c r="F125" s="39"/>
      <c r="G125" s="39"/>
      <c r="H125" s="6" t="str">
        <f aca="false">IF(B125="","",IF(A125="","NO","yes"))</f>
        <v/>
      </c>
    </row>
    <row r="126" customFormat="false" ht="15" hidden="false" customHeight="false" outlineLevel="0" collapsed="false">
      <c r="A126" s="6" t="str">
        <f aca="false">IF(B126="","",IFERROR(INDEX(Lists!$B:$B,MATCH(B126,Lists!$A:$A,0)),""))</f>
        <v/>
      </c>
      <c r="B126" s="35"/>
      <c r="C126" s="35"/>
      <c r="D126" s="39"/>
      <c r="E126" s="39"/>
      <c r="F126" s="39"/>
      <c r="G126" s="39"/>
      <c r="H126" s="6" t="str">
        <f aca="false">IF(B126="","",IF(A126="","NO","yes"))</f>
        <v/>
      </c>
    </row>
    <row r="127" customFormat="false" ht="15" hidden="false" customHeight="false" outlineLevel="0" collapsed="false">
      <c r="A127" s="6" t="str">
        <f aca="false">IF(B127="","",IFERROR(INDEX(Lists!$B:$B,MATCH(B127,Lists!$A:$A,0)),""))</f>
        <v/>
      </c>
      <c r="B127" s="35"/>
      <c r="C127" s="35"/>
      <c r="D127" s="39"/>
      <c r="E127" s="39"/>
      <c r="F127" s="39"/>
      <c r="G127" s="39"/>
      <c r="H127" s="6" t="str">
        <f aca="false">IF(B127="","",IF(A127="","NO","yes"))</f>
        <v/>
      </c>
    </row>
    <row r="128" customFormat="false" ht="15" hidden="false" customHeight="false" outlineLevel="0" collapsed="false">
      <c r="A128" s="6" t="str">
        <f aca="false">IF(B128="","",IFERROR(INDEX(Lists!$B:$B,MATCH(B128,Lists!$A:$A,0)),""))</f>
        <v/>
      </c>
      <c r="B128" s="35"/>
      <c r="C128" s="35"/>
      <c r="D128" s="39"/>
      <c r="E128" s="39"/>
      <c r="F128" s="39"/>
      <c r="G128" s="39"/>
      <c r="H128" s="6" t="str">
        <f aca="false">IF(B128="","",IF(A128="","NO","yes"))</f>
        <v/>
      </c>
    </row>
    <row r="129" customFormat="false" ht="15" hidden="false" customHeight="false" outlineLevel="0" collapsed="false">
      <c r="A129" s="6" t="str">
        <f aca="false">IF(B129="","",IFERROR(INDEX(Lists!$B:$B,MATCH(B129,Lists!$A:$A,0)),""))</f>
        <v/>
      </c>
      <c r="B129" s="35"/>
      <c r="C129" s="35"/>
      <c r="D129" s="39"/>
      <c r="E129" s="39"/>
      <c r="F129" s="39"/>
      <c r="G129" s="39"/>
      <c r="H129" s="6" t="str">
        <f aca="false">IF(B129="","",IF(A129="","NO","yes"))</f>
        <v/>
      </c>
    </row>
    <row r="130" customFormat="false" ht="15" hidden="false" customHeight="false" outlineLevel="0" collapsed="false">
      <c r="A130" s="6" t="str">
        <f aca="false">IF(B130="","",IFERROR(INDEX(Lists!$B:$B,MATCH(B130,Lists!$A:$A,0)),""))</f>
        <v/>
      </c>
      <c r="B130" s="35"/>
      <c r="C130" s="35"/>
      <c r="D130" s="39"/>
      <c r="E130" s="39"/>
      <c r="F130" s="39"/>
      <c r="G130" s="39"/>
      <c r="H130" s="6" t="str">
        <f aca="false">IF(B130="","",IF(A130="","NO","yes"))</f>
        <v/>
      </c>
    </row>
    <row r="131" customFormat="false" ht="15" hidden="false" customHeight="false" outlineLevel="0" collapsed="false">
      <c r="A131" s="6" t="str">
        <f aca="false">IF(B131="","",IFERROR(INDEX(Lists!$B:$B,MATCH(B131,Lists!$A:$A,0)),""))</f>
        <v/>
      </c>
      <c r="B131" s="35"/>
      <c r="C131" s="35"/>
      <c r="D131" s="39"/>
      <c r="E131" s="39"/>
      <c r="F131" s="39"/>
      <c r="G131" s="39"/>
      <c r="H131" s="6" t="str">
        <f aca="false">IF(B131="","",IF(A131="","NO","yes"))</f>
        <v/>
      </c>
    </row>
    <row r="132" customFormat="false" ht="15" hidden="false" customHeight="false" outlineLevel="0" collapsed="false">
      <c r="A132" s="6" t="str">
        <f aca="false">IF(B132="","",IFERROR(INDEX(Lists!$B:$B,MATCH(B132,Lists!$A:$A,0)),""))</f>
        <v/>
      </c>
      <c r="B132" s="35"/>
      <c r="C132" s="35"/>
      <c r="D132" s="39"/>
      <c r="E132" s="39"/>
      <c r="F132" s="39"/>
      <c r="G132" s="39"/>
      <c r="H132" s="6" t="str">
        <f aca="false">IF(B132="","",IF(A132="","NO","yes"))</f>
        <v/>
      </c>
    </row>
    <row r="133" customFormat="false" ht="15" hidden="false" customHeight="false" outlineLevel="0" collapsed="false">
      <c r="A133" s="6" t="str">
        <f aca="false">IF(B133="","",IFERROR(INDEX(Lists!$B:$B,MATCH(B133,Lists!$A:$A,0)),""))</f>
        <v/>
      </c>
      <c r="B133" s="35"/>
      <c r="C133" s="35"/>
      <c r="D133" s="39"/>
      <c r="E133" s="39"/>
      <c r="F133" s="39"/>
      <c r="G133" s="39"/>
      <c r="H133" s="6" t="str">
        <f aca="false">IF(B133="","",IF(A133="","NO","yes"))</f>
        <v/>
      </c>
    </row>
    <row r="134" customFormat="false" ht="15" hidden="false" customHeight="false" outlineLevel="0" collapsed="false">
      <c r="A134" s="6" t="str">
        <f aca="false">IF(B134="","",IFERROR(INDEX(Lists!$B:$B,MATCH(B134,Lists!$A:$A,0)),""))</f>
        <v/>
      </c>
      <c r="B134" s="35"/>
      <c r="C134" s="35"/>
      <c r="D134" s="39"/>
      <c r="E134" s="39"/>
      <c r="F134" s="39"/>
      <c r="G134" s="39"/>
      <c r="H134" s="6" t="str">
        <f aca="false">IF(B134="","",IF(A134="","NO","yes"))</f>
        <v/>
      </c>
    </row>
    <row r="135" customFormat="false" ht="15" hidden="false" customHeight="false" outlineLevel="0" collapsed="false">
      <c r="A135" s="6" t="str">
        <f aca="false">IF(B135="","",IFERROR(INDEX(Lists!$B:$B,MATCH(B135,Lists!$A:$A,0)),""))</f>
        <v/>
      </c>
      <c r="B135" s="35"/>
      <c r="C135" s="35"/>
      <c r="D135" s="39"/>
      <c r="E135" s="39"/>
      <c r="F135" s="39"/>
      <c r="G135" s="39"/>
      <c r="H135" s="6" t="str">
        <f aca="false">IF(B135="","",IF(A135="","NO","yes"))</f>
        <v/>
      </c>
    </row>
    <row r="136" customFormat="false" ht="15" hidden="false" customHeight="false" outlineLevel="0" collapsed="false">
      <c r="A136" s="6" t="str">
        <f aca="false">IF(B136="","",IFERROR(INDEX(Lists!$B:$B,MATCH(B136,Lists!$A:$A,0)),""))</f>
        <v/>
      </c>
      <c r="B136" s="35"/>
      <c r="C136" s="35"/>
      <c r="D136" s="39"/>
      <c r="E136" s="39"/>
      <c r="F136" s="39"/>
      <c r="G136" s="39"/>
      <c r="H136" s="6" t="str">
        <f aca="false">IF(B136="","",IF(A136="","NO","yes"))</f>
        <v/>
      </c>
    </row>
    <row r="137" customFormat="false" ht="15" hidden="false" customHeight="false" outlineLevel="0" collapsed="false">
      <c r="A137" s="6" t="str">
        <f aca="false">IF(B137="","",IFERROR(INDEX(Lists!$B:$B,MATCH(B137,Lists!$A:$A,0)),""))</f>
        <v/>
      </c>
      <c r="B137" s="35"/>
      <c r="C137" s="35"/>
      <c r="D137" s="39"/>
      <c r="E137" s="39"/>
      <c r="F137" s="39"/>
      <c r="G137" s="39"/>
      <c r="H137" s="6" t="str">
        <f aca="false">IF(B137="","",IF(A137="","NO","yes"))</f>
        <v/>
      </c>
    </row>
    <row r="138" customFormat="false" ht="15" hidden="false" customHeight="false" outlineLevel="0" collapsed="false">
      <c r="A138" s="6" t="str">
        <f aca="false">IF(B138="","",IFERROR(INDEX(Lists!$B:$B,MATCH(B138,Lists!$A:$A,0)),""))</f>
        <v/>
      </c>
      <c r="B138" s="35"/>
      <c r="C138" s="35"/>
      <c r="D138" s="39"/>
      <c r="E138" s="39"/>
      <c r="F138" s="39"/>
      <c r="G138" s="39"/>
      <c r="H138" s="6" t="str">
        <f aca="false">IF(B138="","",IF(A138="","NO","yes"))</f>
        <v/>
      </c>
    </row>
    <row r="139" customFormat="false" ht="15" hidden="false" customHeight="false" outlineLevel="0" collapsed="false">
      <c r="A139" s="6" t="str">
        <f aca="false">IF(B139="","",IFERROR(INDEX(Lists!$B:$B,MATCH(B139,Lists!$A:$A,0)),""))</f>
        <v/>
      </c>
      <c r="B139" s="35"/>
      <c r="C139" s="35"/>
      <c r="D139" s="39"/>
      <c r="E139" s="39"/>
      <c r="F139" s="39"/>
      <c r="G139" s="39"/>
      <c r="H139" s="6" t="str">
        <f aca="false">IF(B139="","",IF(A139="","NO","yes"))</f>
        <v/>
      </c>
    </row>
    <row r="140" customFormat="false" ht="15" hidden="false" customHeight="false" outlineLevel="0" collapsed="false">
      <c r="A140" s="6" t="str">
        <f aca="false">IF(B140="","",IFERROR(INDEX(Lists!$B:$B,MATCH(B140,Lists!$A:$A,0)),""))</f>
        <v/>
      </c>
      <c r="B140" s="35"/>
      <c r="C140" s="35"/>
      <c r="D140" s="39"/>
      <c r="E140" s="39"/>
      <c r="F140" s="39"/>
      <c r="G140" s="39"/>
      <c r="H140" s="6" t="str">
        <f aca="false">IF(B140="","",IF(A140="","NO","yes"))</f>
        <v/>
      </c>
    </row>
    <row r="141" customFormat="false" ht="15" hidden="false" customHeight="false" outlineLevel="0" collapsed="false">
      <c r="A141" s="6" t="str">
        <f aca="false">IF(B141="","",IFERROR(INDEX(Lists!$B:$B,MATCH(B141,Lists!$A:$A,0)),""))</f>
        <v/>
      </c>
      <c r="B141" s="35"/>
      <c r="C141" s="35"/>
      <c r="D141" s="39"/>
      <c r="E141" s="39"/>
      <c r="F141" s="39"/>
      <c r="G141" s="39"/>
      <c r="H141" s="6" t="str">
        <f aca="false">IF(B141="","",IF(A141="","NO","yes"))</f>
        <v/>
      </c>
    </row>
    <row r="142" customFormat="false" ht="15" hidden="false" customHeight="false" outlineLevel="0" collapsed="false">
      <c r="A142" s="6" t="str">
        <f aca="false">IF(B142="","",IFERROR(INDEX(Lists!$B:$B,MATCH(B142,Lists!$A:$A,0)),""))</f>
        <v/>
      </c>
      <c r="B142" s="35"/>
      <c r="C142" s="35"/>
      <c r="D142" s="39"/>
      <c r="E142" s="39"/>
      <c r="F142" s="39"/>
      <c r="G142" s="39"/>
      <c r="H142" s="6" t="str">
        <f aca="false">IF(B142="","",IF(A142="","NO","yes"))</f>
        <v/>
      </c>
    </row>
    <row r="143" customFormat="false" ht="15" hidden="false" customHeight="false" outlineLevel="0" collapsed="false">
      <c r="A143" s="6" t="str">
        <f aca="false">IF(B143="","",IFERROR(INDEX(Lists!$B:$B,MATCH(B143,Lists!$A:$A,0)),""))</f>
        <v/>
      </c>
      <c r="B143" s="35"/>
      <c r="C143" s="35"/>
      <c r="D143" s="39"/>
      <c r="E143" s="39"/>
      <c r="F143" s="39"/>
      <c r="G143" s="39"/>
      <c r="H143" s="6" t="str">
        <f aca="false">IF(B143="","",IF(A143="","NO","yes"))</f>
        <v/>
      </c>
    </row>
    <row r="144" customFormat="false" ht="15" hidden="false" customHeight="false" outlineLevel="0" collapsed="false">
      <c r="A144" s="6" t="str">
        <f aca="false">IF(B144="","",IFERROR(INDEX(Lists!$B:$B,MATCH(B144,Lists!$A:$A,0)),""))</f>
        <v/>
      </c>
      <c r="B144" s="35"/>
      <c r="C144" s="35"/>
      <c r="D144" s="39"/>
      <c r="E144" s="39"/>
      <c r="F144" s="39"/>
      <c r="G144" s="39"/>
      <c r="H144" s="6" t="str">
        <f aca="false">IF(B144="","",IF(A144="","NO","yes"))</f>
        <v/>
      </c>
    </row>
    <row r="145" customFormat="false" ht="15" hidden="false" customHeight="false" outlineLevel="0" collapsed="false">
      <c r="A145" s="6" t="str">
        <f aca="false">IF(B145="","",IFERROR(INDEX(Lists!$B:$B,MATCH(B145,Lists!$A:$A,0)),""))</f>
        <v/>
      </c>
      <c r="B145" s="35"/>
      <c r="C145" s="35"/>
      <c r="D145" s="39"/>
      <c r="E145" s="39"/>
      <c r="F145" s="39"/>
      <c r="G145" s="39"/>
      <c r="H145" s="6" t="str">
        <f aca="false">IF(B145="","",IF(A145="","NO","yes"))</f>
        <v/>
      </c>
    </row>
    <row r="146" customFormat="false" ht="15" hidden="false" customHeight="false" outlineLevel="0" collapsed="false">
      <c r="A146" s="6" t="str">
        <f aca="false">IF(B146="","",IFERROR(INDEX(Lists!$B:$B,MATCH(B146,Lists!$A:$A,0)),""))</f>
        <v/>
      </c>
      <c r="B146" s="35"/>
      <c r="C146" s="35"/>
      <c r="D146" s="39"/>
      <c r="E146" s="39"/>
      <c r="F146" s="39"/>
      <c r="G146" s="39"/>
      <c r="H146" s="6" t="str">
        <f aca="false">IF(B146="","",IF(A146="","NO","yes"))</f>
        <v/>
      </c>
    </row>
    <row r="147" customFormat="false" ht="15" hidden="false" customHeight="false" outlineLevel="0" collapsed="false">
      <c r="A147" s="6" t="str">
        <f aca="false">IF(B147="","",IFERROR(INDEX(Lists!$B:$B,MATCH(B147,Lists!$A:$A,0)),""))</f>
        <v/>
      </c>
      <c r="B147" s="35"/>
      <c r="C147" s="35"/>
      <c r="D147" s="39"/>
      <c r="E147" s="39"/>
      <c r="F147" s="39"/>
      <c r="G147" s="39"/>
      <c r="H147" s="6" t="str">
        <f aca="false">IF(B147="","",IF(A147="","NO","yes"))</f>
        <v/>
      </c>
    </row>
    <row r="148" customFormat="false" ht="15" hidden="false" customHeight="false" outlineLevel="0" collapsed="false">
      <c r="A148" s="6" t="str">
        <f aca="false">IF(B148="","",IFERROR(INDEX(Lists!$B:$B,MATCH(B148,Lists!$A:$A,0)),""))</f>
        <v/>
      </c>
      <c r="B148" s="35"/>
      <c r="C148" s="35"/>
      <c r="D148" s="39"/>
      <c r="E148" s="39"/>
      <c r="F148" s="39"/>
      <c r="G148" s="39"/>
      <c r="H148" s="6" t="str">
        <f aca="false">IF(B148="","",IF(A148="","NO","yes"))</f>
        <v/>
      </c>
    </row>
    <row r="149" customFormat="false" ht="15" hidden="false" customHeight="false" outlineLevel="0" collapsed="false">
      <c r="A149" s="6" t="str">
        <f aca="false">IF(B149="","",IFERROR(INDEX(Lists!$B:$B,MATCH(B149,Lists!$A:$A,0)),""))</f>
        <v/>
      </c>
      <c r="B149" s="35"/>
      <c r="C149" s="35"/>
      <c r="D149" s="39"/>
      <c r="E149" s="39"/>
      <c r="F149" s="39"/>
      <c r="G149" s="39"/>
      <c r="H149" s="6" t="str">
        <f aca="false">IF(B149="","",IF(A149="","NO","yes"))</f>
        <v/>
      </c>
    </row>
    <row r="150" customFormat="false" ht="15" hidden="false" customHeight="false" outlineLevel="0" collapsed="false">
      <c r="A150" s="6" t="str">
        <f aca="false">IF(B150="","",IFERROR(INDEX(Lists!$B:$B,MATCH(B150,Lists!$A:$A,0)),""))</f>
        <v/>
      </c>
      <c r="B150" s="35"/>
      <c r="C150" s="35"/>
      <c r="D150" s="39"/>
      <c r="E150" s="39"/>
      <c r="F150" s="39"/>
      <c r="G150" s="39"/>
      <c r="H150" s="6" t="str">
        <f aca="false">IF(B150="","",IF(A150="","NO","yes"))</f>
        <v/>
      </c>
    </row>
    <row r="151" customFormat="false" ht="15" hidden="false" customHeight="false" outlineLevel="0" collapsed="false">
      <c r="A151" s="6" t="str">
        <f aca="false">IF(B151="","",IFERROR(INDEX(Lists!$B:$B,MATCH(B151,Lists!$A:$A,0)),""))</f>
        <v/>
      </c>
      <c r="B151" s="35"/>
      <c r="C151" s="35"/>
      <c r="D151" s="39"/>
      <c r="E151" s="39"/>
      <c r="F151" s="39"/>
      <c r="G151" s="39"/>
      <c r="H151" s="6" t="str">
        <f aca="false">IF(B151="","",IF(A151="","NO","yes"))</f>
        <v/>
      </c>
    </row>
    <row r="152" customFormat="false" ht="15" hidden="false" customHeight="false" outlineLevel="0" collapsed="false">
      <c r="A152" s="6" t="str">
        <f aca="false">IF(B152="","",IFERROR(INDEX(Lists!$B:$B,MATCH(B152,Lists!$A:$A,0)),""))</f>
        <v/>
      </c>
      <c r="B152" s="35"/>
      <c r="C152" s="35"/>
      <c r="D152" s="39"/>
      <c r="E152" s="39"/>
      <c r="F152" s="39"/>
      <c r="G152" s="39"/>
      <c r="H152" s="6" t="str">
        <f aca="false">IF(B152="","",IF(A152="","NO","yes"))</f>
        <v/>
      </c>
    </row>
    <row r="153" customFormat="false" ht="15" hidden="false" customHeight="false" outlineLevel="0" collapsed="false">
      <c r="A153" s="6" t="str">
        <f aca="false">IF(B153="","",IFERROR(INDEX(Lists!$B:$B,MATCH(B153,Lists!$A:$A,0)),""))</f>
        <v/>
      </c>
      <c r="B153" s="35"/>
      <c r="C153" s="35"/>
      <c r="D153" s="39"/>
      <c r="E153" s="39"/>
      <c r="F153" s="39"/>
      <c r="G153" s="39"/>
      <c r="H153" s="6" t="str">
        <f aca="false">IF(B153="","",IF(A153="","NO","yes"))</f>
        <v/>
      </c>
    </row>
    <row r="154" customFormat="false" ht="15" hidden="false" customHeight="false" outlineLevel="0" collapsed="false">
      <c r="A154" s="6" t="str">
        <f aca="false">IF(B154="","",IFERROR(INDEX(Lists!$B:$B,MATCH(B154,Lists!$A:$A,0)),""))</f>
        <v/>
      </c>
      <c r="B154" s="35"/>
      <c r="C154" s="35"/>
      <c r="D154" s="39"/>
      <c r="E154" s="39"/>
      <c r="F154" s="39"/>
      <c r="G154" s="39"/>
      <c r="H154" s="6" t="str">
        <f aca="false">IF(B154="","",IF(A154="","NO","yes"))</f>
        <v/>
      </c>
    </row>
    <row r="155" customFormat="false" ht="15" hidden="false" customHeight="false" outlineLevel="0" collapsed="false">
      <c r="A155" s="6" t="str">
        <f aca="false">IF(B155="","",IFERROR(INDEX(Lists!$B:$B,MATCH(B155,Lists!$A:$A,0)),""))</f>
        <v/>
      </c>
      <c r="B155" s="35"/>
      <c r="C155" s="35"/>
      <c r="D155" s="39"/>
      <c r="E155" s="39"/>
      <c r="F155" s="39"/>
      <c r="G155" s="39"/>
      <c r="H155" s="6" t="str">
        <f aca="false">IF(B155="","",IF(A155="","NO","yes"))</f>
        <v/>
      </c>
    </row>
    <row r="156" customFormat="false" ht="15" hidden="false" customHeight="false" outlineLevel="0" collapsed="false">
      <c r="A156" s="6" t="str">
        <f aca="false">IF(B156="","",IFERROR(INDEX(Lists!$B:$B,MATCH(B156,Lists!$A:$A,0)),""))</f>
        <v/>
      </c>
      <c r="B156" s="35"/>
      <c r="C156" s="35"/>
      <c r="D156" s="39"/>
      <c r="E156" s="39"/>
      <c r="F156" s="39"/>
      <c r="G156" s="39"/>
      <c r="H156" s="6" t="str">
        <f aca="false">IF(B156="","",IF(A156="","NO","yes"))</f>
        <v/>
      </c>
    </row>
    <row r="157" customFormat="false" ht="15" hidden="false" customHeight="false" outlineLevel="0" collapsed="false">
      <c r="A157" s="6" t="str">
        <f aca="false">IF(B157="","",IFERROR(INDEX(Lists!$B:$B,MATCH(B157,Lists!$A:$A,0)),""))</f>
        <v/>
      </c>
      <c r="B157" s="35"/>
      <c r="C157" s="35"/>
      <c r="D157" s="39"/>
      <c r="E157" s="39"/>
      <c r="F157" s="39"/>
      <c r="G157" s="39"/>
      <c r="H157" s="6" t="str">
        <f aca="false">IF(B157="","",IF(A157="","NO","yes"))</f>
        <v/>
      </c>
    </row>
    <row r="158" customFormat="false" ht="15" hidden="false" customHeight="false" outlineLevel="0" collapsed="false">
      <c r="A158" s="6" t="str">
        <f aca="false">IF(B158="","",IFERROR(INDEX(Lists!$B:$B,MATCH(B158,Lists!$A:$A,0)),""))</f>
        <v/>
      </c>
      <c r="B158" s="35"/>
      <c r="C158" s="35"/>
      <c r="D158" s="39"/>
      <c r="E158" s="39"/>
      <c r="F158" s="39"/>
      <c r="G158" s="39"/>
      <c r="H158" s="6" t="str">
        <f aca="false">IF(B158="","",IF(A158="","NO","yes"))</f>
        <v/>
      </c>
    </row>
    <row r="159" customFormat="false" ht="15" hidden="false" customHeight="false" outlineLevel="0" collapsed="false">
      <c r="A159" s="6" t="str">
        <f aca="false">IF(B159="","",IFERROR(INDEX(Lists!$B:$B,MATCH(B159,Lists!$A:$A,0)),""))</f>
        <v/>
      </c>
      <c r="B159" s="35"/>
      <c r="C159" s="35"/>
      <c r="D159" s="39"/>
      <c r="E159" s="39"/>
      <c r="F159" s="39"/>
      <c r="G159" s="39"/>
      <c r="H159" s="6" t="str">
        <f aca="false">IF(B159="","",IF(A159="","NO","yes"))</f>
        <v/>
      </c>
    </row>
    <row r="160" customFormat="false" ht="15" hidden="false" customHeight="false" outlineLevel="0" collapsed="false">
      <c r="A160" s="6" t="str">
        <f aca="false">IF(B160="","",IFERROR(INDEX(Lists!$B:$B,MATCH(B160,Lists!$A:$A,0)),""))</f>
        <v/>
      </c>
      <c r="B160" s="35"/>
      <c r="C160" s="35"/>
      <c r="D160" s="39"/>
      <c r="E160" s="39"/>
      <c r="F160" s="39"/>
      <c r="G160" s="39"/>
      <c r="H160" s="6" t="str">
        <f aca="false">IF(B160="","",IF(A160="","NO","yes"))</f>
        <v/>
      </c>
    </row>
    <row r="161" customFormat="false" ht="15" hidden="false" customHeight="false" outlineLevel="0" collapsed="false">
      <c r="A161" s="6" t="str">
        <f aca="false">IF(B161="","",IFERROR(INDEX(Lists!$B:$B,MATCH(B161,Lists!$A:$A,0)),""))</f>
        <v/>
      </c>
      <c r="B161" s="35"/>
      <c r="C161" s="35"/>
      <c r="D161" s="39"/>
      <c r="E161" s="39"/>
      <c r="F161" s="39"/>
      <c r="G161" s="39"/>
      <c r="H161" s="6" t="str">
        <f aca="false">IF(B161="","",IF(A161="","NO","yes"))</f>
        <v/>
      </c>
    </row>
    <row r="162" customFormat="false" ht="15" hidden="false" customHeight="false" outlineLevel="0" collapsed="false">
      <c r="A162" s="6" t="str">
        <f aca="false">IF(B162="","",IFERROR(INDEX(Lists!$B:$B,MATCH(B162,Lists!$A:$A,0)),""))</f>
        <v/>
      </c>
      <c r="B162" s="35"/>
      <c r="C162" s="35"/>
      <c r="D162" s="39"/>
      <c r="E162" s="39"/>
      <c r="F162" s="39"/>
      <c r="G162" s="39"/>
      <c r="H162" s="6" t="str">
        <f aca="false">IF(B162="","",IF(A162="","NO","yes"))</f>
        <v/>
      </c>
    </row>
    <row r="163" customFormat="false" ht="15" hidden="false" customHeight="false" outlineLevel="0" collapsed="false">
      <c r="A163" s="6" t="str">
        <f aca="false">IF(B163="","",IFERROR(INDEX(Lists!$B:$B,MATCH(B163,Lists!$A:$A,0)),""))</f>
        <v/>
      </c>
      <c r="B163" s="35"/>
      <c r="C163" s="35"/>
      <c r="D163" s="39"/>
      <c r="E163" s="39"/>
      <c r="F163" s="39"/>
      <c r="G163" s="39"/>
      <c r="H163" s="6" t="str">
        <f aca="false">IF(B163="","",IF(A163="","NO","yes"))</f>
        <v/>
      </c>
    </row>
    <row r="164" customFormat="false" ht="15" hidden="false" customHeight="false" outlineLevel="0" collapsed="false">
      <c r="A164" s="6" t="str">
        <f aca="false">IF(B164="","",IFERROR(INDEX(Lists!$B:$B,MATCH(B164,Lists!$A:$A,0)),""))</f>
        <v/>
      </c>
      <c r="B164" s="35"/>
      <c r="C164" s="35"/>
      <c r="D164" s="39"/>
      <c r="E164" s="39"/>
      <c r="F164" s="39"/>
      <c r="G164" s="39"/>
      <c r="H164" s="6" t="str">
        <f aca="false">IF(B164="","",IF(A164="","NO","yes"))</f>
        <v/>
      </c>
    </row>
    <row r="165" customFormat="false" ht="15" hidden="false" customHeight="false" outlineLevel="0" collapsed="false">
      <c r="A165" s="6" t="str">
        <f aca="false">IF(B165="","",IFERROR(INDEX(Lists!$B:$B,MATCH(B165,Lists!$A:$A,0)),""))</f>
        <v/>
      </c>
      <c r="B165" s="35"/>
      <c r="C165" s="35"/>
      <c r="D165" s="39"/>
      <c r="E165" s="39"/>
      <c r="F165" s="39"/>
      <c r="G165" s="39"/>
      <c r="H165" s="6" t="str">
        <f aca="false">IF(B165="","",IF(A165="","NO","yes"))</f>
        <v/>
      </c>
    </row>
    <row r="166" customFormat="false" ht="15" hidden="false" customHeight="false" outlineLevel="0" collapsed="false">
      <c r="A166" s="6" t="str">
        <f aca="false">IF(B166="","",IFERROR(INDEX(Lists!$B:$B,MATCH(B166,Lists!$A:$A,0)),""))</f>
        <v/>
      </c>
      <c r="B166" s="35"/>
      <c r="C166" s="35"/>
      <c r="D166" s="39"/>
      <c r="E166" s="39"/>
      <c r="F166" s="39"/>
      <c r="G166" s="39"/>
      <c r="H166" s="6" t="str">
        <f aca="false">IF(B166="","",IF(A166="","NO","yes"))</f>
        <v/>
      </c>
    </row>
    <row r="167" customFormat="false" ht="15" hidden="false" customHeight="false" outlineLevel="0" collapsed="false">
      <c r="A167" s="6" t="str">
        <f aca="false">IF(B167="","",IFERROR(INDEX(Lists!$B:$B,MATCH(B167,Lists!$A:$A,0)),""))</f>
        <v/>
      </c>
      <c r="B167" s="35"/>
      <c r="C167" s="35"/>
      <c r="D167" s="39"/>
      <c r="E167" s="39"/>
      <c r="F167" s="39"/>
      <c r="G167" s="39"/>
      <c r="H167" s="6" t="str">
        <f aca="false">IF(B167="","",IF(A167="","NO","yes"))</f>
        <v/>
      </c>
    </row>
    <row r="168" customFormat="false" ht="15" hidden="false" customHeight="false" outlineLevel="0" collapsed="false">
      <c r="A168" s="6" t="str">
        <f aca="false">IF(B168="","",IFERROR(INDEX(Lists!$B:$B,MATCH(B168,Lists!$A:$A,0)),""))</f>
        <v/>
      </c>
      <c r="B168" s="35"/>
      <c r="C168" s="35"/>
      <c r="D168" s="39"/>
      <c r="E168" s="39"/>
      <c r="F168" s="39"/>
      <c r="G168" s="39"/>
      <c r="H168" s="6" t="str">
        <f aca="false">IF(B168="","",IF(A168="","NO","yes"))</f>
        <v/>
      </c>
    </row>
    <row r="169" customFormat="false" ht="15" hidden="false" customHeight="false" outlineLevel="0" collapsed="false">
      <c r="A169" s="6" t="str">
        <f aca="false">IF(B169="","",IFERROR(INDEX(Lists!$B:$B,MATCH(B169,Lists!$A:$A,0)),""))</f>
        <v/>
      </c>
      <c r="B169" s="35"/>
      <c r="C169" s="35"/>
      <c r="D169" s="39"/>
      <c r="E169" s="39"/>
      <c r="F169" s="39"/>
      <c r="G169" s="39"/>
      <c r="H169" s="6" t="str">
        <f aca="false">IF(B169="","",IF(A169="","NO","yes"))</f>
        <v/>
      </c>
    </row>
    <row r="170" customFormat="false" ht="15" hidden="false" customHeight="false" outlineLevel="0" collapsed="false">
      <c r="A170" s="6" t="str">
        <f aca="false">IF(B170="","",IFERROR(INDEX(Lists!$B:$B,MATCH(B170,Lists!$A:$A,0)),""))</f>
        <v/>
      </c>
      <c r="B170" s="35"/>
      <c r="C170" s="35"/>
      <c r="D170" s="39"/>
      <c r="E170" s="39"/>
      <c r="F170" s="39"/>
      <c r="G170" s="39"/>
      <c r="H170" s="6" t="str">
        <f aca="false">IF(B170="","",IF(A170="","NO","yes"))</f>
        <v/>
      </c>
    </row>
    <row r="171" customFormat="false" ht="15" hidden="false" customHeight="false" outlineLevel="0" collapsed="false">
      <c r="A171" s="6" t="str">
        <f aca="false">IF(B171="","",IFERROR(INDEX(Lists!$B:$B,MATCH(B171,Lists!$A:$A,0)),""))</f>
        <v/>
      </c>
      <c r="B171" s="35"/>
      <c r="C171" s="35"/>
      <c r="D171" s="39"/>
      <c r="E171" s="39"/>
      <c r="F171" s="39"/>
      <c r="G171" s="39"/>
      <c r="H171" s="6" t="str">
        <f aca="false">IF(B171="","",IF(A171="","NO","yes"))</f>
        <v/>
      </c>
    </row>
    <row r="172" customFormat="false" ht="15" hidden="false" customHeight="false" outlineLevel="0" collapsed="false">
      <c r="A172" s="6" t="str">
        <f aca="false">IF(B172="","",IFERROR(INDEX(Lists!$B:$B,MATCH(B172,Lists!$A:$A,0)),""))</f>
        <v/>
      </c>
      <c r="B172" s="35"/>
      <c r="C172" s="35"/>
      <c r="D172" s="39"/>
      <c r="E172" s="39"/>
      <c r="F172" s="39"/>
      <c r="G172" s="39"/>
      <c r="H172" s="6" t="str">
        <f aca="false">IF(B172="","",IF(A172="","NO","yes"))</f>
        <v/>
      </c>
    </row>
    <row r="173" customFormat="false" ht="15" hidden="false" customHeight="false" outlineLevel="0" collapsed="false">
      <c r="A173" s="6" t="str">
        <f aca="false">IF(B173="","",IFERROR(INDEX(Lists!$B:$B,MATCH(B173,Lists!$A:$A,0)),""))</f>
        <v/>
      </c>
      <c r="B173" s="35"/>
      <c r="C173" s="35"/>
      <c r="D173" s="39"/>
      <c r="E173" s="39"/>
      <c r="F173" s="39"/>
      <c r="G173" s="39"/>
      <c r="H173" s="6" t="str">
        <f aca="false">IF(B173="","",IF(A173="","NO","yes"))</f>
        <v/>
      </c>
    </row>
    <row r="174" customFormat="false" ht="15" hidden="false" customHeight="false" outlineLevel="0" collapsed="false">
      <c r="A174" s="6" t="str">
        <f aca="false">IF(B174="","",IFERROR(INDEX(Lists!$B:$B,MATCH(B174,Lists!$A:$A,0)),""))</f>
        <v/>
      </c>
      <c r="B174" s="35"/>
      <c r="C174" s="35"/>
      <c r="D174" s="39"/>
      <c r="E174" s="39"/>
      <c r="F174" s="39"/>
      <c r="G174" s="39"/>
      <c r="H174" s="6" t="str">
        <f aca="false">IF(B174="","",IF(A174="","NO","yes"))</f>
        <v/>
      </c>
    </row>
    <row r="175" customFormat="false" ht="15" hidden="false" customHeight="false" outlineLevel="0" collapsed="false">
      <c r="A175" s="6" t="str">
        <f aca="false">IF(B175="","",IFERROR(INDEX(Lists!$B:$B,MATCH(B175,Lists!$A:$A,0)),""))</f>
        <v/>
      </c>
      <c r="B175" s="35"/>
      <c r="C175" s="35"/>
      <c r="D175" s="39"/>
      <c r="E175" s="39"/>
      <c r="F175" s="39"/>
      <c r="G175" s="39"/>
      <c r="H175" s="6" t="str">
        <f aca="false">IF(B175="","",IF(A175="","NO","yes"))</f>
        <v/>
      </c>
    </row>
    <row r="176" customFormat="false" ht="15" hidden="false" customHeight="false" outlineLevel="0" collapsed="false">
      <c r="A176" s="6" t="str">
        <f aca="false">IF(B176="","",IFERROR(INDEX(Lists!$B:$B,MATCH(B176,Lists!$A:$A,0)),""))</f>
        <v/>
      </c>
      <c r="B176" s="35"/>
      <c r="C176" s="35"/>
      <c r="D176" s="39"/>
      <c r="E176" s="39"/>
      <c r="F176" s="39"/>
      <c r="G176" s="39"/>
      <c r="H176" s="6" t="str">
        <f aca="false">IF(B176="","",IF(A176="","NO","yes"))</f>
        <v/>
      </c>
    </row>
    <row r="177" customFormat="false" ht="15" hidden="false" customHeight="false" outlineLevel="0" collapsed="false">
      <c r="A177" s="6" t="str">
        <f aca="false">IF(B177="","",IFERROR(INDEX(Lists!$B:$B,MATCH(B177,Lists!$A:$A,0)),""))</f>
        <v/>
      </c>
      <c r="B177" s="35"/>
      <c r="C177" s="35"/>
      <c r="D177" s="39"/>
      <c r="E177" s="39"/>
      <c r="F177" s="39"/>
      <c r="G177" s="39"/>
      <c r="H177" s="6" t="str">
        <f aca="false">IF(B177="","",IF(A177="","NO","yes"))</f>
        <v/>
      </c>
    </row>
    <row r="178" customFormat="false" ht="15" hidden="false" customHeight="false" outlineLevel="0" collapsed="false">
      <c r="A178" s="6" t="str">
        <f aca="false">IF(B178="","",IFERROR(INDEX(Lists!$B:$B,MATCH(B178,Lists!$A:$A,0)),""))</f>
        <v/>
      </c>
      <c r="B178" s="35"/>
      <c r="C178" s="35"/>
      <c r="D178" s="39"/>
      <c r="E178" s="39"/>
      <c r="F178" s="39"/>
      <c r="G178" s="39"/>
      <c r="H178" s="6" t="str">
        <f aca="false">IF(B178="","",IF(A178="","NO","yes"))</f>
        <v/>
      </c>
    </row>
    <row r="179" customFormat="false" ht="15" hidden="false" customHeight="false" outlineLevel="0" collapsed="false">
      <c r="A179" s="6" t="str">
        <f aca="false">IF(B179="","",IFERROR(INDEX(Lists!$B:$B,MATCH(B179,Lists!$A:$A,0)),""))</f>
        <v/>
      </c>
      <c r="B179" s="35"/>
      <c r="C179" s="35"/>
      <c r="D179" s="39"/>
      <c r="E179" s="39"/>
      <c r="F179" s="39"/>
      <c r="G179" s="39"/>
      <c r="H179" s="6" t="str">
        <f aca="false">IF(B179="","",IF(A179="","NO","yes"))</f>
        <v/>
      </c>
    </row>
    <row r="180" customFormat="false" ht="15" hidden="false" customHeight="false" outlineLevel="0" collapsed="false">
      <c r="A180" s="6" t="str">
        <f aca="false">IF(B180="","",IFERROR(INDEX(Lists!$B:$B,MATCH(B180,Lists!$A:$A,0)),""))</f>
        <v/>
      </c>
      <c r="B180" s="35"/>
      <c r="C180" s="35"/>
      <c r="D180" s="39"/>
      <c r="E180" s="39"/>
      <c r="F180" s="39"/>
      <c r="G180" s="39"/>
      <c r="H180" s="6" t="str">
        <f aca="false">IF(B180="","",IF(A180="","NO","yes"))</f>
        <v/>
      </c>
    </row>
    <row r="181" customFormat="false" ht="15" hidden="false" customHeight="false" outlineLevel="0" collapsed="false">
      <c r="A181" s="6" t="str">
        <f aca="false">IF(B181="","",IFERROR(INDEX(Lists!$B:$B,MATCH(B181,Lists!$A:$A,0)),""))</f>
        <v/>
      </c>
      <c r="B181" s="35"/>
      <c r="C181" s="35"/>
      <c r="D181" s="39"/>
      <c r="E181" s="39"/>
      <c r="F181" s="39"/>
      <c r="G181" s="39"/>
      <c r="H181" s="6" t="str">
        <f aca="false">IF(B181="","",IF(A181="","NO","yes"))</f>
        <v/>
      </c>
    </row>
    <row r="182" customFormat="false" ht="15" hidden="false" customHeight="false" outlineLevel="0" collapsed="false">
      <c r="A182" s="6" t="str">
        <f aca="false">IF(B182="","",IFERROR(INDEX(Lists!$B:$B,MATCH(B182,Lists!$A:$A,0)),""))</f>
        <v/>
      </c>
      <c r="B182" s="35"/>
      <c r="C182" s="35"/>
      <c r="D182" s="39"/>
      <c r="E182" s="39"/>
      <c r="F182" s="39"/>
      <c r="G182" s="39"/>
      <c r="H182" s="6" t="str">
        <f aca="false">IF(B182="","",IF(A182="","NO","yes"))</f>
        <v/>
      </c>
    </row>
    <row r="183" customFormat="false" ht="15" hidden="false" customHeight="false" outlineLevel="0" collapsed="false">
      <c r="A183" s="6" t="str">
        <f aca="false">IF(B183="","",IFERROR(INDEX(Lists!$B:$B,MATCH(B183,Lists!$A:$A,0)),""))</f>
        <v/>
      </c>
      <c r="B183" s="35"/>
      <c r="C183" s="35"/>
      <c r="D183" s="39"/>
      <c r="E183" s="39"/>
      <c r="F183" s="39"/>
      <c r="G183" s="39"/>
      <c r="H183" s="6" t="str">
        <f aca="false">IF(B183="","",IF(A183="","NO","yes"))</f>
        <v/>
      </c>
    </row>
    <row r="184" customFormat="false" ht="15" hidden="false" customHeight="false" outlineLevel="0" collapsed="false">
      <c r="A184" s="6" t="str">
        <f aca="false">IF(B184="","",IFERROR(INDEX(Lists!$B:$B,MATCH(B184,Lists!$A:$A,0)),""))</f>
        <v/>
      </c>
      <c r="B184" s="35"/>
      <c r="C184" s="35"/>
      <c r="D184" s="39"/>
      <c r="E184" s="39"/>
      <c r="F184" s="39"/>
      <c r="G184" s="39"/>
      <c r="H184" s="6" t="str">
        <f aca="false">IF(B184="","",IF(A184="","NO","yes"))</f>
        <v/>
      </c>
    </row>
    <row r="185" customFormat="false" ht="15" hidden="false" customHeight="false" outlineLevel="0" collapsed="false">
      <c r="A185" s="6" t="str">
        <f aca="false">IF(B185="","",IFERROR(INDEX(Lists!$B:$B,MATCH(B185,Lists!$A:$A,0)),""))</f>
        <v/>
      </c>
      <c r="B185" s="35"/>
      <c r="C185" s="35"/>
      <c r="D185" s="39"/>
      <c r="E185" s="39"/>
      <c r="F185" s="39"/>
      <c r="G185" s="39"/>
      <c r="H185" s="6" t="str">
        <f aca="false">IF(B185="","",IF(A185="","NO","yes"))</f>
        <v/>
      </c>
    </row>
    <row r="186" customFormat="false" ht="15" hidden="false" customHeight="false" outlineLevel="0" collapsed="false">
      <c r="A186" s="6" t="str">
        <f aca="false">IF(B186="","",IFERROR(INDEX(Lists!$B:$B,MATCH(B186,Lists!$A:$A,0)),""))</f>
        <v/>
      </c>
      <c r="B186" s="35"/>
      <c r="C186" s="35"/>
      <c r="D186" s="39"/>
      <c r="E186" s="39"/>
      <c r="F186" s="39"/>
      <c r="G186" s="39"/>
      <c r="H186" s="6" t="str">
        <f aca="false">IF(B186="","",IF(A186="","NO","yes"))</f>
        <v/>
      </c>
    </row>
    <row r="187" customFormat="false" ht="15" hidden="false" customHeight="false" outlineLevel="0" collapsed="false">
      <c r="A187" s="6" t="str">
        <f aca="false">IF(B187="","",IFERROR(INDEX(Lists!$B:$B,MATCH(B187,Lists!$A:$A,0)),""))</f>
        <v/>
      </c>
      <c r="B187" s="35"/>
      <c r="C187" s="35"/>
      <c r="D187" s="39"/>
      <c r="E187" s="39"/>
      <c r="F187" s="39"/>
      <c r="G187" s="39"/>
      <c r="H187" s="6" t="str">
        <f aca="false">IF(B187="","",IF(A187="","NO","yes"))</f>
        <v/>
      </c>
    </row>
    <row r="188" customFormat="false" ht="15" hidden="false" customHeight="false" outlineLevel="0" collapsed="false">
      <c r="A188" s="6" t="str">
        <f aca="false">IF(B188="","",IFERROR(INDEX(Lists!$B:$B,MATCH(B188,Lists!$A:$A,0)),""))</f>
        <v/>
      </c>
      <c r="B188" s="35"/>
      <c r="C188" s="35"/>
      <c r="D188" s="39"/>
      <c r="E188" s="39"/>
      <c r="F188" s="39"/>
      <c r="G188" s="39"/>
      <c r="H188" s="6" t="str">
        <f aca="false">IF(B188="","",IF(A188="","NO","yes"))</f>
        <v/>
      </c>
    </row>
    <row r="189" customFormat="false" ht="15" hidden="false" customHeight="false" outlineLevel="0" collapsed="false">
      <c r="A189" s="6" t="str">
        <f aca="false">IF(B189="","",IFERROR(INDEX(Lists!$B:$B,MATCH(B189,Lists!$A:$A,0)),""))</f>
        <v/>
      </c>
      <c r="B189" s="35"/>
      <c r="C189" s="35"/>
      <c r="D189" s="39"/>
      <c r="E189" s="39"/>
      <c r="F189" s="39"/>
      <c r="G189" s="39"/>
      <c r="H189" s="6" t="str">
        <f aca="false">IF(B189="","",IF(A189="","NO","yes"))</f>
        <v/>
      </c>
    </row>
    <row r="190" customFormat="false" ht="15" hidden="false" customHeight="false" outlineLevel="0" collapsed="false">
      <c r="A190" s="6" t="str">
        <f aca="false">IF(B190="","",IFERROR(INDEX(Lists!$B:$B,MATCH(B190,Lists!$A:$A,0)),""))</f>
        <v/>
      </c>
      <c r="B190" s="35"/>
      <c r="C190" s="35"/>
      <c r="D190" s="39"/>
      <c r="E190" s="39"/>
      <c r="F190" s="39"/>
      <c r="G190" s="39"/>
      <c r="H190" s="6" t="str">
        <f aca="false">IF(B190="","",IF(A190="","NO","yes"))</f>
        <v/>
      </c>
    </row>
    <row r="191" customFormat="false" ht="15" hidden="false" customHeight="false" outlineLevel="0" collapsed="false">
      <c r="A191" s="6" t="str">
        <f aca="false">IF(B191="","",IFERROR(INDEX(Lists!$B:$B,MATCH(B191,Lists!$A:$A,0)),""))</f>
        <v/>
      </c>
      <c r="B191" s="35"/>
      <c r="C191" s="35"/>
      <c r="D191" s="39"/>
      <c r="E191" s="39"/>
      <c r="F191" s="39"/>
      <c r="G191" s="39"/>
      <c r="H191" s="6" t="str">
        <f aca="false">IF(B191="","",IF(A191="","NO","yes"))</f>
        <v/>
      </c>
    </row>
    <row r="192" customFormat="false" ht="15" hidden="false" customHeight="false" outlineLevel="0" collapsed="false">
      <c r="A192" s="6" t="str">
        <f aca="false">IF(B192="","",IFERROR(INDEX(Lists!$B:$B,MATCH(B192,Lists!$A:$A,0)),""))</f>
        <v/>
      </c>
      <c r="B192" s="35"/>
      <c r="C192" s="35"/>
      <c r="D192" s="39"/>
      <c r="E192" s="39"/>
      <c r="F192" s="39"/>
      <c r="G192" s="39"/>
      <c r="H192" s="6" t="str">
        <f aca="false">IF(B192="","",IF(A192="","NO","yes"))</f>
        <v/>
      </c>
    </row>
    <row r="193" customFormat="false" ht="15" hidden="false" customHeight="false" outlineLevel="0" collapsed="false">
      <c r="A193" s="6" t="str">
        <f aca="false">IF(B193="","",IFERROR(INDEX(Lists!$B:$B,MATCH(B193,Lists!$A:$A,0)),""))</f>
        <v/>
      </c>
      <c r="B193" s="35"/>
      <c r="C193" s="35"/>
      <c r="D193" s="39"/>
      <c r="E193" s="39"/>
      <c r="F193" s="39"/>
      <c r="G193" s="39"/>
      <c r="H193" s="6" t="str">
        <f aca="false">IF(B193="","",IF(A193="","NO","yes"))</f>
        <v/>
      </c>
    </row>
    <row r="194" customFormat="false" ht="15" hidden="false" customHeight="false" outlineLevel="0" collapsed="false">
      <c r="A194" s="6" t="str">
        <f aca="false">IF(B194="","",IFERROR(INDEX(Lists!$B:$B,MATCH(B194,Lists!$A:$A,0)),""))</f>
        <v/>
      </c>
      <c r="B194" s="35"/>
      <c r="C194" s="35"/>
      <c r="D194" s="39"/>
      <c r="E194" s="39"/>
      <c r="F194" s="39"/>
      <c r="G194" s="39"/>
      <c r="H194" s="6" t="str">
        <f aca="false">IF(B194="","",IF(A194="","NO","yes"))</f>
        <v/>
      </c>
    </row>
    <row r="195" customFormat="false" ht="15" hidden="false" customHeight="false" outlineLevel="0" collapsed="false">
      <c r="A195" s="6" t="str">
        <f aca="false">IF(B195="","",IFERROR(INDEX(Lists!$B:$B,MATCH(B195,Lists!$A:$A,0)),""))</f>
        <v/>
      </c>
      <c r="B195" s="35"/>
      <c r="C195" s="35"/>
      <c r="D195" s="39"/>
      <c r="E195" s="39"/>
      <c r="F195" s="39"/>
      <c r="G195" s="39"/>
      <c r="H195" s="6" t="str">
        <f aca="false">IF(B195="","",IF(A195="","NO","yes"))</f>
        <v/>
      </c>
    </row>
    <row r="196" customFormat="false" ht="15" hidden="false" customHeight="false" outlineLevel="0" collapsed="false">
      <c r="A196" s="6" t="str">
        <f aca="false">IF(B196="","",IFERROR(INDEX(Lists!$B:$B,MATCH(B196,Lists!$A:$A,0)),""))</f>
        <v/>
      </c>
      <c r="B196" s="35"/>
      <c r="C196" s="35"/>
      <c r="D196" s="39"/>
      <c r="E196" s="39"/>
      <c r="F196" s="39"/>
      <c r="G196" s="39"/>
      <c r="H196" s="6" t="str">
        <f aca="false">IF(B196="","",IF(A196="","NO","yes"))</f>
        <v/>
      </c>
    </row>
    <row r="197" customFormat="false" ht="15" hidden="false" customHeight="false" outlineLevel="0" collapsed="false">
      <c r="A197" s="6" t="str">
        <f aca="false">IF(B197="","",IFERROR(INDEX(Lists!$B:$B,MATCH(B197,Lists!$A:$A,0)),""))</f>
        <v/>
      </c>
      <c r="B197" s="35"/>
      <c r="C197" s="35"/>
      <c r="D197" s="39"/>
      <c r="E197" s="39"/>
      <c r="F197" s="39"/>
      <c r="G197" s="39"/>
      <c r="H197" s="6" t="str">
        <f aca="false">IF(B197="","",IF(A197="","NO","yes"))</f>
        <v/>
      </c>
    </row>
    <row r="198" customFormat="false" ht="15" hidden="false" customHeight="false" outlineLevel="0" collapsed="false">
      <c r="A198" s="6" t="str">
        <f aca="false">IF(B198="","",IFERROR(INDEX(Lists!$B:$B,MATCH(B198,Lists!$A:$A,0)),""))</f>
        <v/>
      </c>
      <c r="B198" s="35"/>
      <c r="C198" s="35"/>
      <c r="D198" s="39"/>
      <c r="E198" s="39"/>
      <c r="F198" s="39"/>
      <c r="G198" s="39"/>
      <c r="H198" s="6" t="str">
        <f aca="false">IF(B198="","",IF(A198="","NO","yes"))</f>
        <v/>
      </c>
    </row>
    <row r="199" customFormat="false" ht="15" hidden="false" customHeight="false" outlineLevel="0" collapsed="false">
      <c r="A199" s="6" t="str">
        <f aca="false">IF(B199="","",IFERROR(INDEX(Lists!$B:$B,MATCH(B199,Lists!$A:$A,0)),""))</f>
        <v/>
      </c>
      <c r="B199" s="35"/>
      <c r="C199" s="35"/>
      <c r="D199" s="39"/>
      <c r="E199" s="39"/>
      <c r="F199" s="39"/>
      <c r="G199" s="39"/>
      <c r="H199" s="6" t="str">
        <f aca="false">IF(B199="","",IF(A199="","NO","yes"))</f>
        <v/>
      </c>
    </row>
    <row r="200" customFormat="false" ht="15" hidden="false" customHeight="false" outlineLevel="0" collapsed="false">
      <c r="A200" s="6" t="str">
        <f aca="false">IF(B200="","",IFERROR(INDEX(Lists!$B:$B,MATCH(B200,Lists!$A:$A,0)),""))</f>
        <v/>
      </c>
      <c r="B200" s="35"/>
      <c r="C200" s="35"/>
      <c r="D200" s="39"/>
      <c r="E200" s="39"/>
      <c r="F200" s="39"/>
      <c r="G200" s="39"/>
      <c r="H200" s="6" t="str">
        <f aca="false">IF(B200="","",IF(A200="","NO","yes"))</f>
        <v/>
      </c>
    </row>
    <row r="201" customFormat="false" ht="15" hidden="false" customHeight="false" outlineLevel="0" collapsed="false">
      <c r="A201" s="6" t="str">
        <f aca="false">IF(B201="","",IFERROR(INDEX(Lists!$B:$B,MATCH(B201,Lists!$A:$A,0)),""))</f>
        <v/>
      </c>
      <c r="B201" s="35"/>
      <c r="C201" s="35"/>
      <c r="D201" s="39"/>
      <c r="E201" s="39"/>
      <c r="F201" s="39"/>
      <c r="G201" s="39"/>
      <c r="H201" s="6" t="str">
        <f aca="false">IF(B201="","",IF(A201="","NO","yes"))</f>
        <v/>
      </c>
    </row>
    <row r="202" customFormat="false" ht="15" hidden="false" customHeight="false" outlineLevel="0" collapsed="false">
      <c r="A202" s="6" t="str">
        <f aca="false">IF(B202="","",IFERROR(INDEX(Lists!$B:$B,MATCH(B202,Lists!$A:$A,0)),""))</f>
        <v/>
      </c>
      <c r="B202" s="35"/>
      <c r="C202" s="35"/>
      <c r="D202" s="39"/>
      <c r="E202" s="39"/>
      <c r="F202" s="39"/>
      <c r="G202" s="39"/>
      <c r="H202" s="6" t="str">
        <f aca="false">IF(B202="","",IF(A202="","NO","yes"))</f>
        <v/>
      </c>
    </row>
    <row r="203" customFormat="false" ht="15" hidden="false" customHeight="false" outlineLevel="0" collapsed="false">
      <c r="A203" s="6" t="str">
        <f aca="false">IF(B203="","",IFERROR(INDEX(Lists!$B:$B,MATCH(B203,Lists!$A:$A,0)),""))</f>
        <v/>
      </c>
      <c r="B203" s="35"/>
      <c r="C203" s="35"/>
      <c r="D203" s="39"/>
      <c r="E203" s="39"/>
      <c r="F203" s="39"/>
      <c r="G203" s="39"/>
      <c r="H203" s="6" t="str">
        <f aca="false">IF(B203="","",IF(A203="","NO","yes"))</f>
        <v/>
      </c>
    </row>
    <row r="204" customFormat="false" ht="15" hidden="false" customHeight="false" outlineLevel="0" collapsed="false">
      <c r="A204" s="6" t="str">
        <f aca="false">IF(B204="","",IFERROR(INDEX(Lists!$B:$B,MATCH(B204,Lists!$A:$A,0)),""))</f>
        <v/>
      </c>
      <c r="B204" s="35"/>
      <c r="C204" s="35"/>
      <c r="D204" s="39"/>
      <c r="E204" s="39"/>
      <c r="F204" s="39"/>
      <c r="G204" s="39"/>
      <c r="H204" s="6" t="str">
        <f aca="false">IF(B204="","",IF(A204="","NO","yes"))</f>
        <v/>
      </c>
    </row>
    <row r="205" customFormat="false" ht="15" hidden="false" customHeight="false" outlineLevel="0" collapsed="false">
      <c r="A205" s="6" t="str">
        <f aca="false">IF(B205="","",IFERROR(INDEX(Lists!$B:$B,MATCH(B205,Lists!$A:$A,0)),""))</f>
        <v/>
      </c>
      <c r="B205" s="35"/>
      <c r="C205" s="35"/>
      <c r="D205" s="39"/>
      <c r="E205" s="39"/>
      <c r="F205" s="39"/>
      <c r="G205" s="39"/>
      <c r="H205" s="6" t="str">
        <f aca="false">IF(B205="","",IF(A205="","NO","yes"))</f>
        <v/>
      </c>
    </row>
    <row r="206" customFormat="false" ht="15" hidden="false" customHeight="false" outlineLevel="0" collapsed="false">
      <c r="A206" s="6" t="str">
        <f aca="false">IF(B206="","",IFERROR(INDEX(Lists!$B:$B,MATCH(B206,Lists!$A:$A,0)),""))</f>
        <v/>
      </c>
      <c r="B206" s="35"/>
      <c r="C206" s="35"/>
      <c r="D206" s="39"/>
      <c r="E206" s="39"/>
      <c r="F206" s="39"/>
      <c r="G206" s="39"/>
      <c r="H206" s="6" t="str">
        <f aca="false">IF(B206="","",IF(A206="","NO","yes"))</f>
        <v/>
      </c>
    </row>
    <row r="207" customFormat="false" ht="15" hidden="false" customHeight="false" outlineLevel="0" collapsed="false">
      <c r="A207" s="6" t="str">
        <f aca="false">IF(B207="","",IFERROR(INDEX(Lists!$B:$B,MATCH(B207,Lists!$A:$A,0)),""))</f>
        <v/>
      </c>
      <c r="B207" s="35"/>
      <c r="C207" s="35"/>
      <c r="D207" s="39"/>
      <c r="E207" s="39"/>
      <c r="F207" s="39"/>
      <c r="G207" s="39"/>
      <c r="H207" s="6" t="str">
        <f aca="false">IF(B207="","",IF(A207="","NO","yes"))</f>
        <v/>
      </c>
    </row>
    <row r="208" customFormat="false" ht="15" hidden="false" customHeight="false" outlineLevel="0" collapsed="false">
      <c r="A208" s="6" t="str">
        <f aca="false">IF(B208="","",IFERROR(INDEX(Lists!$B:$B,MATCH(B208,Lists!$A:$A,0)),""))</f>
        <v/>
      </c>
      <c r="B208" s="35"/>
      <c r="C208" s="35"/>
      <c r="D208" s="39"/>
      <c r="E208" s="39"/>
      <c r="F208" s="39"/>
      <c r="G208" s="39"/>
      <c r="H208" s="6" t="str">
        <f aca="false">IF(B208="","",IF(A208="","NO","yes"))</f>
        <v/>
      </c>
    </row>
    <row r="209" customFormat="false" ht="15" hidden="false" customHeight="false" outlineLevel="0" collapsed="false">
      <c r="A209" s="6" t="str">
        <f aca="false">IF(B209="","",IFERROR(INDEX(Lists!$B:$B,MATCH(B209,Lists!$A:$A,0)),""))</f>
        <v/>
      </c>
      <c r="B209" s="35"/>
      <c r="C209" s="35"/>
      <c r="D209" s="39"/>
      <c r="E209" s="39"/>
      <c r="F209" s="39"/>
      <c r="G209" s="39"/>
      <c r="H209" s="6" t="str">
        <f aca="false">IF(B209="","",IF(A209="","NO","yes"))</f>
        <v/>
      </c>
    </row>
    <row r="210" customFormat="false" ht="15" hidden="false" customHeight="false" outlineLevel="0" collapsed="false">
      <c r="A210" s="6" t="str">
        <f aca="false">IF(B210="","",IFERROR(INDEX(Lists!$B:$B,MATCH(B210,Lists!$A:$A,0)),""))</f>
        <v/>
      </c>
      <c r="B210" s="35"/>
      <c r="C210" s="35"/>
      <c r="D210" s="39"/>
      <c r="E210" s="39"/>
      <c r="F210" s="39"/>
      <c r="G210" s="39"/>
      <c r="H210" s="6" t="str">
        <f aca="false">IF(B210="","",IF(A210="","NO","yes"))</f>
        <v/>
      </c>
    </row>
    <row r="211" customFormat="false" ht="15" hidden="false" customHeight="false" outlineLevel="0" collapsed="false">
      <c r="A211" s="6" t="str">
        <f aca="false">IF(B211="","",IFERROR(INDEX(Lists!$B:$B,MATCH(B211,Lists!$A:$A,0)),""))</f>
        <v/>
      </c>
      <c r="B211" s="35"/>
      <c r="C211" s="35"/>
      <c r="D211" s="39"/>
      <c r="E211" s="39"/>
      <c r="F211" s="39"/>
      <c r="G211" s="39"/>
      <c r="H211" s="6" t="str">
        <f aca="false">IF(B211="","",IF(A211="","NO","yes"))</f>
        <v/>
      </c>
    </row>
    <row r="212" customFormat="false" ht="15" hidden="false" customHeight="false" outlineLevel="0" collapsed="false">
      <c r="A212" s="6" t="str">
        <f aca="false">IF(B212="","",IFERROR(INDEX(Lists!$B:$B,MATCH(B212,Lists!$A:$A,0)),""))</f>
        <v/>
      </c>
      <c r="B212" s="35"/>
      <c r="C212" s="35"/>
      <c r="D212" s="39"/>
      <c r="E212" s="39"/>
      <c r="F212" s="39"/>
      <c r="G212" s="39"/>
      <c r="H212" s="6" t="str">
        <f aca="false">IF(B212="","",IF(A212="","NO","yes"))</f>
        <v/>
      </c>
    </row>
    <row r="213" customFormat="false" ht="15" hidden="false" customHeight="false" outlineLevel="0" collapsed="false">
      <c r="A213" s="6" t="str">
        <f aca="false">IF(B213="","",IFERROR(INDEX(Lists!$B:$B,MATCH(B213,Lists!$A:$A,0)),""))</f>
        <v/>
      </c>
      <c r="B213" s="35"/>
      <c r="C213" s="35"/>
      <c r="D213" s="39"/>
      <c r="E213" s="39"/>
      <c r="F213" s="39"/>
      <c r="G213" s="39"/>
      <c r="H213" s="6" t="str">
        <f aca="false">IF(B213="","",IF(A213="","NO","yes"))</f>
        <v/>
      </c>
    </row>
    <row r="214" customFormat="false" ht="15" hidden="false" customHeight="false" outlineLevel="0" collapsed="false">
      <c r="A214" s="6" t="str">
        <f aca="false">IF(B214="","",IFERROR(INDEX(Lists!$B:$B,MATCH(B214,Lists!$A:$A,0)),""))</f>
        <v/>
      </c>
      <c r="B214" s="35"/>
      <c r="C214" s="35"/>
      <c r="D214" s="39"/>
      <c r="E214" s="39"/>
      <c r="F214" s="39"/>
      <c r="G214" s="39"/>
      <c r="H214" s="6" t="str">
        <f aca="false">IF(B214="","",IF(A214="","NO","yes"))</f>
        <v/>
      </c>
    </row>
    <row r="215" customFormat="false" ht="15" hidden="false" customHeight="false" outlineLevel="0" collapsed="false">
      <c r="A215" s="6" t="str">
        <f aca="false">IF(B215="","",IFERROR(INDEX(Lists!$B:$B,MATCH(B215,Lists!$A:$A,0)),""))</f>
        <v/>
      </c>
      <c r="B215" s="35"/>
      <c r="C215" s="35"/>
      <c r="D215" s="39"/>
      <c r="E215" s="39"/>
      <c r="F215" s="39"/>
      <c r="G215" s="39"/>
      <c r="H215" s="6" t="str">
        <f aca="false">IF(B215="","",IF(A215="","NO","yes"))</f>
        <v/>
      </c>
    </row>
    <row r="216" customFormat="false" ht="15" hidden="false" customHeight="false" outlineLevel="0" collapsed="false">
      <c r="A216" s="6" t="str">
        <f aca="false">IF(B216="","",IFERROR(INDEX(Lists!$B:$B,MATCH(B216,Lists!$A:$A,0)),""))</f>
        <v/>
      </c>
      <c r="B216" s="35"/>
      <c r="C216" s="35"/>
      <c r="D216" s="39"/>
      <c r="E216" s="39"/>
      <c r="F216" s="39"/>
      <c r="G216" s="39"/>
      <c r="H216" s="6" t="str">
        <f aca="false">IF(B216="","",IF(A216="","NO","yes"))</f>
        <v/>
      </c>
    </row>
    <row r="217" customFormat="false" ht="15" hidden="false" customHeight="false" outlineLevel="0" collapsed="false">
      <c r="A217" s="6" t="str">
        <f aca="false">IF(B217="","",IFERROR(INDEX(Lists!$B:$B,MATCH(B217,Lists!$A:$A,0)),""))</f>
        <v/>
      </c>
      <c r="B217" s="35"/>
      <c r="C217" s="35"/>
      <c r="D217" s="39"/>
      <c r="E217" s="39"/>
      <c r="F217" s="39"/>
      <c r="G217" s="39"/>
      <c r="H217" s="6" t="str">
        <f aca="false">IF(B217="","",IF(A217="","NO","yes"))</f>
        <v/>
      </c>
    </row>
    <row r="218" customFormat="false" ht="15" hidden="false" customHeight="false" outlineLevel="0" collapsed="false">
      <c r="A218" s="6" t="str">
        <f aca="false">IF(B218="","",IFERROR(INDEX(Lists!$B:$B,MATCH(B218,Lists!$A:$A,0)),""))</f>
        <v/>
      </c>
      <c r="B218" s="35"/>
      <c r="C218" s="35"/>
      <c r="D218" s="39"/>
      <c r="E218" s="39"/>
      <c r="F218" s="39"/>
      <c r="G218" s="39"/>
      <c r="H218" s="6" t="str">
        <f aca="false">IF(B218="","",IF(A218="","NO","yes"))</f>
        <v/>
      </c>
    </row>
    <row r="219" customFormat="false" ht="15" hidden="false" customHeight="false" outlineLevel="0" collapsed="false">
      <c r="A219" s="6" t="str">
        <f aca="false">IF(B219="","",IFERROR(INDEX(Lists!$B:$B,MATCH(B219,Lists!$A:$A,0)),""))</f>
        <v/>
      </c>
      <c r="B219" s="35"/>
      <c r="C219" s="35"/>
      <c r="D219" s="39"/>
      <c r="E219" s="39"/>
      <c r="F219" s="39"/>
      <c r="G219" s="39"/>
      <c r="H219" s="6" t="str">
        <f aca="false">IF(B219="","",IF(A219="","NO","yes"))</f>
        <v/>
      </c>
    </row>
    <row r="220" customFormat="false" ht="15" hidden="false" customHeight="false" outlineLevel="0" collapsed="false">
      <c r="A220" s="6" t="str">
        <f aca="false">IF(B220="","",IFERROR(INDEX(Lists!$B:$B,MATCH(B220,Lists!$A:$A,0)),""))</f>
        <v/>
      </c>
      <c r="B220" s="35"/>
      <c r="C220" s="35"/>
      <c r="D220" s="39"/>
      <c r="E220" s="39"/>
      <c r="F220" s="39"/>
      <c r="G220" s="39"/>
      <c r="H220" s="6" t="str">
        <f aca="false">IF(B220="","",IF(A220="","NO","yes"))</f>
        <v/>
      </c>
    </row>
    <row r="221" customFormat="false" ht="15" hidden="false" customHeight="false" outlineLevel="0" collapsed="false">
      <c r="A221" s="6" t="str">
        <f aca="false">IF(B221="","",IFERROR(INDEX(Lists!$B:$B,MATCH(B221,Lists!$A:$A,0)),""))</f>
        <v/>
      </c>
      <c r="B221" s="35"/>
      <c r="C221" s="35"/>
      <c r="D221" s="39"/>
      <c r="E221" s="39"/>
      <c r="F221" s="39"/>
      <c r="G221" s="39"/>
      <c r="H221" s="6" t="str">
        <f aca="false">IF(B221="","",IF(A221="","NO","yes"))</f>
        <v/>
      </c>
    </row>
    <row r="222" customFormat="false" ht="15" hidden="false" customHeight="false" outlineLevel="0" collapsed="false">
      <c r="A222" s="6" t="str">
        <f aca="false">IF(B222="","",IFERROR(INDEX(Lists!$B:$B,MATCH(B222,Lists!$A:$A,0)),""))</f>
        <v/>
      </c>
      <c r="B222" s="35"/>
      <c r="C222" s="35"/>
      <c r="D222" s="39"/>
      <c r="E222" s="39"/>
      <c r="F222" s="39"/>
      <c r="G222" s="39"/>
      <c r="H222" s="6" t="str">
        <f aca="false">IF(B222="","",IF(A222="","NO","yes"))</f>
        <v/>
      </c>
    </row>
    <row r="223" customFormat="false" ht="15" hidden="false" customHeight="false" outlineLevel="0" collapsed="false">
      <c r="A223" s="6" t="str">
        <f aca="false">IF(B223="","",IFERROR(INDEX(Lists!$B:$B,MATCH(B223,Lists!$A:$A,0)),""))</f>
        <v/>
      </c>
      <c r="B223" s="35"/>
      <c r="C223" s="35"/>
      <c r="D223" s="39"/>
      <c r="E223" s="39"/>
      <c r="F223" s="39"/>
      <c r="G223" s="39"/>
      <c r="H223" s="6" t="str">
        <f aca="false">IF(B223="","",IF(A223="","NO","yes"))</f>
        <v/>
      </c>
    </row>
    <row r="224" customFormat="false" ht="15" hidden="false" customHeight="false" outlineLevel="0" collapsed="false">
      <c r="A224" s="6" t="str">
        <f aca="false">IF(B224="","",IFERROR(INDEX(Lists!$B:$B,MATCH(B224,Lists!$A:$A,0)),""))</f>
        <v/>
      </c>
      <c r="B224" s="35"/>
      <c r="C224" s="35"/>
      <c r="D224" s="39"/>
      <c r="E224" s="39"/>
      <c r="F224" s="39"/>
      <c r="G224" s="39"/>
      <c r="H224" s="6" t="str">
        <f aca="false">IF(B224="","",IF(A224="","NO","yes"))</f>
        <v/>
      </c>
    </row>
    <row r="225" customFormat="false" ht="15" hidden="false" customHeight="false" outlineLevel="0" collapsed="false">
      <c r="A225" s="6" t="str">
        <f aca="false">IF(B225="","",IFERROR(INDEX(Lists!$B:$B,MATCH(B225,Lists!$A:$A,0)),""))</f>
        <v/>
      </c>
      <c r="B225" s="35"/>
      <c r="C225" s="35"/>
      <c r="D225" s="39"/>
      <c r="E225" s="39"/>
      <c r="F225" s="39"/>
      <c r="G225" s="39"/>
      <c r="H225" s="6" t="str">
        <f aca="false">IF(B225="","",IF(A225="","NO","yes"))</f>
        <v/>
      </c>
    </row>
    <row r="226" customFormat="false" ht="15" hidden="false" customHeight="false" outlineLevel="0" collapsed="false">
      <c r="A226" s="6" t="str">
        <f aca="false">IF(B226="","",IFERROR(INDEX(Lists!$B:$B,MATCH(B226,Lists!$A:$A,0)),""))</f>
        <v/>
      </c>
      <c r="B226" s="35"/>
      <c r="C226" s="35"/>
      <c r="D226" s="39"/>
      <c r="E226" s="39"/>
      <c r="F226" s="39"/>
      <c r="G226" s="39"/>
      <c r="H226" s="6" t="str">
        <f aca="false">IF(B226="","",IF(A226="","NO","yes"))</f>
        <v/>
      </c>
    </row>
    <row r="227" customFormat="false" ht="15" hidden="false" customHeight="false" outlineLevel="0" collapsed="false">
      <c r="A227" s="6" t="str">
        <f aca="false">IF(B227="","",IFERROR(INDEX(Lists!$B:$B,MATCH(B227,Lists!$A:$A,0)),""))</f>
        <v/>
      </c>
      <c r="B227" s="35"/>
      <c r="C227" s="35"/>
      <c r="D227" s="39"/>
      <c r="E227" s="39"/>
      <c r="F227" s="39"/>
      <c r="G227" s="39"/>
      <c r="H227" s="6" t="str">
        <f aca="false">IF(B227="","",IF(A227="","NO","yes"))</f>
        <v/>
      </c>
    </row>
    <row r="228" customFormat="false" ht="15" hidden="false" customHeight="false" outlineLevel="0" collapsed="false">
      <c r="A228" s="6" t="str">
        <f aca="false">IF(B228="","",IFERROR(INDEX(Lists!$B:$B,MATCH(B228,Lists!$A:$A,0)),""))</f>
        <v/>
      </c>
      <c r="B228" s="35"/>
      <c r="C228" s="35"/>
      <c r="D228" s="39"/>
      <c r="E228" s="39"/>
      <c r="F228" s="39"/>
      <c r="G228" s="39"/>
      <c r="H228" s="6" t="str">
        <f aca="false">IF(B228="","",IF(A228="","NO","yes"))</f>
        <v/>
      </c>
    </row>
    <row r="229" customFormat="false" ht="15" hidden="false" customHeight="false" outlineLevel="0" collapsed="false">
      <c r="A229" s="6" t="str">
        <f aca="false">IF(B229="","",IFERROR(INDEX(Lists!$B:$B,MATCH(B229,Lists!$A:$A,0)),""))</f>
        <v/>
      </c>
      <c r="B229" s="35"/>
      <c r="C229" s="35"/>
      <c r="D229" s="39"/>
      <c r="E229" s="39"/>
      <c r="F229" s="39"/>
      <c r="G229" s="39"/>
      <c r="H229" s="6" t="str">
        <f aca="false">IF(B229="","",IF(A229="","NO","yes"))</f>
        <v/>
      </c>
    </row>
    <row r="230" customFormat="false" ht="15" hidden="false" customHeight="false" outlineLevel="0" collapsed="false">
      <c r="A230" s="6" t="str">
        <f aca="false">IF(B230="","",IFERROR(INDEX(Lists!$B:$B,MATCH(B230,Lists!$A:$A,0)),""))</f>
        <v/>
      </c>
      <c r="B230" s="35"/>
      <c r="C230" s="35"/>
      <c r="D230" s="39"/>
      <c r="E230" s="39"/>
      <c r="F230" s="39"/>
      <c r="G230" s="39"/>
      <c r="H230" s="6" t="str">
        <f aca="false">IF(B230="","",IF(A230="","NO","yes"))</f>
        <v/>
      </c>
    </row>
    <row r="231" customFormat="false" ht="15" hidden="false" customHeight="false" outlineLevel="0" collapsed="false">
      <c r="A231" s="6" t="str">
        <f aca="false">IF(B231="","",IFERROR(INDEX(Lists!$B:$B,MATCH(B231,Lists!$A:$A,0)),""))</f>
        <v/>
      </c>
      <c r="B231" s="35"/>
      <c r="C231" s="35"/>
      <c r="D231" s="39"/>
      <c r="E231" s="39"/>
      <c r="F231" s="39"/>
      <c r="G231" s="39"/>
      <c r="H231" s="6" t="str">
        <f aca="false">IF(B231="","",IF(A231="","NO","yes"))</f>
        <v/>
      </c>
    </row>
    <row r="232" customFormat="false" ht="15" hidden="false" customHeight="false" outlineLevel="0" collapsed="false">
      <c r="A232" s="6" t="str">
        <f aca="false">IF(B232="","",IFERROR(INDEX(Lists!$B:$B,MATCH(B232,Lists!$A:$A,0)),""))</f>
        <v/>
      </c>
      <c r="B232" s="35"/>
      <c r="C232" s="35"/>
      <c r="D232" s="39"/>
      <c r="E232" s="39"/>
      <c r="F232" s="39"/>
      <c r="G232" s="39"/>
      <c r="H232" s="6" t="str">
        <f aca="false">IF(B232="","",IF(A232="","NO","yes"))</f>
        <v/>
      </c>
    </row>
    <row r="233" customFormat="false" ht="15" hidden="false" customHeight="false" outlineLevel="0" collapsed="false">
      <c r="A233" s="6" t="str">
        <f aca="false">IF(B233="","",IFERROR(INDEX(Lists!$B:$B,MATCH(B233,Lists!$A:$A,0)),""))</f>
        <v/>
      </c>
      <c r="B233" s="35"/>
      <c r="C233" s="35"/>
      <c r="D233" s="39"/>
      <c r="E233" s="39"/>
      <c r="F233" s="39"/>
      <c r="G233" s="39"/>
      <c r="H233" s="6" t="str">
        <f aca="false">IF(B233="","",IF(A233="","NO","yes"))</f>
        <v/>
      </c>
    </row>
    <row r="234" customFormat="false" ht="15" hidden="false" customHeight="false" outlineLevel="0" collapsed="false">
      <c r="A234" s="6" t="str">
        <f aca="false">IF(B234="","",IFERROR(INDEX(Lists!$B:$B,MATCH(B234,Lists!$A:$A,0)),""))</f>
        <v/>
      </c>
      <c r="B234" s="35"/>
      <c r="C234" s="35"/>
      <c r="D234" s="39"/>
      <c r="E234" s="39"/>
      <c r="F234" s="39"/>
      <c r="G234" s="39"/>
      <c r="H234" s="6" t="str">
        <f aca="false">IF(B234="","",IF(A234="","NO","yes"))</f>
        <v/>
      </c>
    </row>
    <row r="235" customFormat="false" ht="15" hidden="false" customHeight="false" outlineLevel="0" collapsed="false">
      <c r="A235" s="6" t="str">
        <f aca="false">IF(B235="","",IFERROR(INDEX(Lists!$B:$B,MATCH(B235,Lists!$A:$A,0)),""))</f>
        <v/>
      </c>
      <c r="B235" s="35"/>
      <c r="C235" s="35"/>
      <c r="D235" s="39"/>
      <c r="E235" s="39"/>
      <c r="F235" s="39"/>
      <c r="G235" s="39"/>
      <c r="H235" s="6" t="str">
        <f aca="false">IF(B235="","",IF(A235="","NO","yes"))</f>
        <v/>
      </c>
    </row>
    <row r="236" customFormat="false" ht="15" hidden="false" customHeight="false" outlineLevel="0" collapsed="false">
      <c r="A236" s="6" t="str">
        <f aca="false">IF(B236="","",IFERROR(INDEX(Lists!$B:$B,MATCH(B236,Lists!$A:$A,0)),""))</f>
        <v/>
      </c>
      <c r="B236" s="35"/>
      <c r="C236" s="35"/>
      <c r="D236" s="39"/>
      <c r="E236" s="39"/>
      <c r="F236" s="39"/>
      <c r="G236" s="39"/>
      <c r="H236" s="6" t="str">
        <f aca="false">IF(B236="","",IF(A236="","NO","yes"))</f>
        <v/>
      </c>
    </row>
    <row r="237" customFormat="false" ht="15" hidden="false" customHeight="false" outlineLevel="0" collapsed="false">
      <c r="A237" s="6" t="str">
        <f aca="false">IF(B237="","",IFERROR(INDEX(Lists!$B:$B,MATCH(B237,Lists!$A:$A,0)),""))</f>
        <v/>
      </c>
      <c r="B237" s="35"/>
      <c r="C237" s="35"/>
      <c r="D237" s="39"/>
      <c r="E237" s="39"/>
      <c r="F237" s="39"/>
      <c r="G237" s="39"/>
      <c r="H237" s="6" t="str">
        <f aca="false">IF(B237="","",IF(A237="","NO","yes"))</f>
        <v/>
      </c>
    </row>
    <row r="238" customFormat="false" ht="15" hidden="false" customHeight="false" outlineLevel="0" collapsed="false">
      <c r="A238" s="6" t="str">
        <f aca="false">IF(B238="","",IFERROR(INDEX(Lists!$B:$B,MATCH(B238,Lists!$A:$A,0)),""))</f>
        <v/>
      </c>
      <c r="B238" s="35"/>
      <c r="C238" s="35"/>
      <c r="D238" s="39"/>
      <c r="E238" s="39"/>
      <c r="F238" s="39"/>
      <c r="G238" s="39"/>
      <c r="H238" s="6" t="str">
        <f aca="false">IF(B238="","",IF(A238="","NO","yes"))</f>
        <v/>
      </c>
    </row>
    <row r="239" customFormat="false" ht="15" hidden="false" customHeight="false" outlineLevel="0" collapsed="false">
      <c r="A239" s="6" t="str">
        <f aca="false">IF(B239="","",IFERROR(INDEX(Lists!$B:$B,MATCH(B239,Lists!$A:$A,0)),""))</f>
        <v/>
      </c>
      <c r="B239" s="35"/>
      <c r="C239" s="35"/>
      <c r="D239" s="39"/>
      <c r="E239" s="39"/>
      <c r="F239" s="39"/>
      <c r="G239" s="39"/>
      <c r="H239" s="6" t="str">
        <f aca="false">IF(B239="","",IF(A239="","NO","yes"))</f>
        <v/>
      </c>
    </row>
    <row r="240" customFormat="false" ht="15" hidden="false" customHeight="false" outlineLevel="0" collapsed="false">
      <c r="A240" s="6" t="str">
        <f aca="false">IF(B240="","",IFERROR(INDEX(Lists!$B:$B,MATCH(B240,Lists!$A:$A,0)),""))</f>
        <v/>
      </c>
      <c r="B240" s="35"/>
      <c r="C240" s="35"/>
      <c r="D240" s="39"/>
      <c r="E240" s="39"/>
      <c r="F240" s="39"/>
      <c r="G240" s="39"/>
      <c r="H240" s="6" t="str">
        <f aca="false">IF(B240="","",IF(A240="","NO","yes"))</f>
        <v/>
      </c>
    </row>
    <row r="241" customFormat="false" ht="15" hidden="false" customHeight="false" outlineLevel="0" collapsed="false">
      <c r="A241" s="6" t="str">
        <f aca="false">IF(B241="","",IFERROR(INDEX(Lists!$B:$B,MATCH(B241,Lists!$A:$A,0)),""))</f>
        <v/>
      </c>
      <c r="B241" s="35"/>
      <c r="C241" s="35"/>
      <c r="D241" s="39"/>
      <c r="E241" s="39"/>
      <c r="F241" s="39"/>
      <c r="G241" s="39"/>
      <c r="H241" s="6" t="str">
        <f aca="false">IF(B241="","",IF(A241="","NO","yes"))</f>
        <v/>
      </c>
    </row>
    <row r="242" customFormat="false" ht="15" hidden="false" customHeight="false" outlineLevel="0" collapsed="false">
      <c r="A242" s="6" t="str">
        <f aca="false">IF(B242="","",IFERROR(INDEX(Lists!$B:$B,MATCH(B242,Lists!$A:$A,0)),""))</f>
        <v/>
      </c>
      <c r="B242" s="35"/>
      <c r="C242" s="35"/>
      <c r="D242" s="39"/>
      <c r="E242" s="39"/>
      <c r="F242" s="39"/>
      <c r="G242" s="39"/>
      <c r="H242" s="6" t="str">
        <f aca="false">IF(B242="","",IF(A242="","NO","yes"))</f>
        <v/>
      </c>
    </row>
    <row r="243" customFormat="false" ht="15" hidden="false" customHeight="false" outlineLevel="0" collapsed="false">
      <c r="A243" s="6" t="str">
        <f aca="false">IF(B243="","",IFERROR(INDEX(Lists!$B:$B,MATCH(B243,Lists!$A:$A,0)),""))</f>
        <v/>
      </c>
      <c r="B243" s="35"/>
      <c r="C243" s="35"/>
      <c r="D243" s="39"/>
      <c r="E243" s="39"/>
      <c r="F243" s="39"/>
      <c r="G243" s="39"/>
      <c r="H243" s="6" t="str">
        <f aca="false">IF(B243="","",IF(A243="","NO","yes"))</f>
        <v/>
      </c>
    </row>
    <row r="244" customFormat="false" ht="15" hidden="false" customHeight="false" outlineLevel="0" collapsed="false">
      <c r="A244" s="6" t="str">
        <f aca="false">IF(B244="","",IFERROR(INDEX(Lists!$B:$B,MATCH(B244,Lists!$A:$A,0)),""))</f>
        <v/>
      </c>
      <c r="B244" s="35"/>
      <c r="C244" s="35"/>
      <c r="D244" s="39"/>
      <c r="E244" s="39"/>
      <c r="F244" s="39"/>
      <c r="G244" s="39"/>
      <c r="H244" s="6" t="str">
        <f aca="false">IF(B244="","",IF(A244="","NO","yes"))</f>
        <v/>
      </c>
    </row>
    <row r="245" customFormat="false" ht="15" hidden="false" customHeight="false" outlineLevel="0" collapsed="false">
      <c r="A245" s="6" t="str">
        <f aca="false">IF(B245="","",IFERROR(INDEX(Lists!$B:$B,MATCH(B245,Lists!$A:$A,0)),""))</f>
        <v/>
      </c>
      <c r="B245" s="35"/>
      <c r="C245" s="35"/>
      <c r="D245" s="39"/>
      <c r="E245" s="39"/>
      <c r="F245" s="39"/>
      <c r="G245" s="39"/>
      <c r="H245" s="6" t="str">
        <f aca="false">IF(B245="","",IF(A245="","NO","yes"))</f>
        <v/>
      </c>
    </row>
    <row r="246" customFormat="false" ht="15" hidden="false" customHeight="false" outlineLevel="0" collapsed="false">
      <c r="A246" s="6" t="str">
        <f aca="false">IF(B246="","",IFERROR(INDEX(Lists!$B:$B,MATCH(B246,Lists!$A:$A,0)),""))</f>
        <v/>
      </c>
      <c r="B246" s="35"/>
      <c r="C246" s="35"/>
      <c r="D246" s="39"/>
      <c r="E246" s="39"/>
      <c r="F246" s="39"/>
      <c r="G246" s="39"/>
      <c r="H246" s="6" t="str">
        <f aca="false">IF(B246="","",IF(A246="","NO","yes"))</f>
        <v/>
      </c>
    </row>
    <row r="247" customFormat="false" ht="15" hidden="false" customHeight="false" outlineLevel="0" collapsed="false">
      <c r="A247" s="6" t="str">
        <f aca="false">IF(B247="","",IFERROR(INDEX(Lists!$B:$B,MATCH(B247,Lists!$A:$A,0)),""))</f>
        <v/>
      </c>
      <c r="B247" s="35"/>
      <c r="C247" s="35"/>
      <c r="D247" s="39"/>
      <c r="E247" s="39"/>
      <c r="F247" s="39"/>
      <c r="G247" s="39"/>
      <c r="H247" s="6" t="str">
        <f aca="false">IF(B247="","",IF(A247="","NO","yes"))</f>
        <v/>
      </c>
    </row>
    <row r="248" customFormat="false" ht="15" hidden="false" customHeight="false" outlineLevel="0" collapsed="false">
      <c r="A248" s="6" t="str">
        <f aca="false">IF(B248="","",IFERROR(INDEX(Lists!$B:$B,MATCH(B248,Lists!$A:$A,0)),""))</f>
        <v/>
      </c>
      <c r="B248" s="35"/>
      <c r="C248" s="35"/>
      <c r="D248" s="39"/>
      <c r="E248" s="39"/>
      <c r="F248" s="39"/>
      <c r="G248" s="39"/>
      <c r="H248" s="6" t="str">
        <f aca="false">IF(B248="","",IF(A248="","NO","yes"))</f>
        <v/>
      </c>
    </row>
    <row r="249" customFormat="false" ht="15" hidden="false" customHeight="false" outlineLevel="0" collapsed="false">
      <c r="A249" s="6" t="str">
        <f aca="false">IF(B249="","",IFERROR(INDEX(Lists!$B:$B,MATCH(B249,Lists!$A:$A,0)),""))</f>
        <v/>
      </c>
      <c r="B249" s="35"/>
      <c r="C249" s="35"/>
      <c r="D249" s="39"/>
      <c r="E249" s="39"/>
      <c r="F249" s="39"/>
      <c r="G249" s="39"/>
      <c r="H249" s="6" t="str">
        <f aca="false">IF(B249="","",IF(A249="","NO","yes"))</f>
        <v/>
      </c>
    </row>
    <row r="250" customFormat="false" ht="15" hidden="false" customHeight="false" outlineLevel="0" collapsed="false">
      <c r="A250" s="6" t="str">
        <f aca="false">IF(B250="","",IFERROR(INDEX(Lists!$B:$B,MATCH(B250,Lists!$A:$A,0)),""))</f>
        <v/>
      </c>
      <c r="B250" s="35"/>
      <c r="C250" s="35"/>
      <c r="D250" s="39"/>
      <c r="E250" s="39"/>
      <c r="F250" s="39"/>
      <c r="G250" s="39"/>
      <c r="H250" s="6" t="str">
        <f aca="false">IF(B250="","",IF(A250="","NO","yes"))</f>
        <v/>
      </c>
    </row>
    <row r="251" customFormat="false" ht="15" hidden="false" customHeight="false" outlineLevel="0" collapsed="false">
      <c r="A251" s="6" t="str">
        <f aca="false">IF(B251="","",IFERROR(INDEX(Lists!$B:$B,MATCH(B251,Lists!$A:$A,0)),""))</f>
        <v/>
      </c>
      <c r="B251" s="35"/>
      <c r="C251" s="35"/>
      <c r="D251" s="39"/>
      <c r="E251" s="39"/>
      <c r="F251" s="39"/>
      <c r="G251" s="39"/>
      <c r="H251" s="6" t="str">
        <f aca="false">IF(B251="","",IF(A251="","NO","yes"))</f>
        <v/>
      </c>
    </row>
    <row r="252" customFormat="false" ht="15" hidden="false" customHeight="false" outlineLevel="0" collapsed="false">
      <c r="A252" s="6" t="str">
        <f aca="false">IF(B252="","",IFERROR(INDEX(Lists!$B:$B,MATCH(B252,Lists!$A:$A,0)),""))</f>
        <v/>
      </c>
      <c r="B252" s="35"/>
      <c r="C252" s="35"/>
      <c r="D252" s="39"/>
      <c r="E252" s="39"/>
      <c r="F252" s="39"/>
      <c r="G252" s="39"/>
      <c r="H252" s="6" t="str">
        <f aca="false">IF(B252="","",IF(A252="","NO","yes"))</f>
        <v/>
      </c>
    </row>
    <row r="253" customFormat="false" ht="15" hidden="false" customHeight="false" outlineLevel="0" collapsed="false">
      <c r="A253" s="6" t="str">
        <f aca="false">IF(B253="","",IFERROR(INDEX(Lists!$B:$B,MATCH(B253,Lists!$A:$A,0)),""))</f>
        <v/>
      </c>
      <c r="B253" s="35"/>
      <c r="C253" s="35"/>
      <c r="D253" s="39"/>
      <c r="E253" s="39"/>
      <c r="F253" s="39"/>
      <c r="G253" s="39"/>
      <c r="H253" s="6" t="str">
        <f aca="false">IF(B253="","",IF(A253="","NO","yes"))</f>
        <v/>
      </c>
    </row>
    <row r="254" customFormat="false" ht="15" hidden="false" customHeight="false" outlineLevel="0" collapsed="false">
      <c r="A254" s="6" t="str">
        <f aca="false">IF(B254="","",IFERROR(INDEX(Lists!$B:$B,MATCH(B254,Lists!$A:$A,0)),""))</f>
        <v/>
      </c>
      <c r="B254" s="35"/>
      <c r="C254" s="35"/>
      <c r="D254" s="39"/>
      <c r="E254" s="39"/>
      <c r="F254" s="39"/>
      <c r="G254" s="39"/>
      <c r="H254" s="6" t="str">
        <f aca="false">IF(B254="","",IF(A254="","NO","yes"))</f>
        <v/>
      </c>
    </row>
    <row r="255" customFormat="false" ht="15" hidden="false" customHeight="false" outlineLevel="0" collapsed="false">
      <c r="A255" s="6" t="str">
        <f aca="false">IF(B255="","",IFERROR(INDEX(Lists!$B:$B,MATCH(B255,Lists!$A:$A,0)),""))</f>
        <v/>
      </c>
      <c r="B255" s="35"/>
      <c r="C255" s="35"/>
      <c r="D255" s="39"/>
      <c r="E255" s="39"/>
      <c r="F255" s="39"/>
      <c r="G255" s="39"/>
      <c r="H255" s="6" t="str">
        <f aca="false">IF(B255="","",IF(A255="","NO","yes"))</f>
        <v/>
      </c>
    </row>
    <row r="256" customFormat="false" ht="15" hidden="false" customHeight="false" outlineLevel="0" collapsed="false">
      <c r="A256" s="6" t="str">
        <f aca="false">IF(B256="","",IFERROR(INDEX(Lists!$B:$B,MATCH(B256,Lists!$A:$A,0)),""))</f>
        <v/>
      </c>
      <c r="B256" s="35"/>
      <c r="C256" s="35"/>
      <c r="D256" s="39"/>
      <c r="E256" s="39"/>
      <c r="F256" s="39"/>
      <c r="G256" s="39"/>
      <c r="H256" s="6" t="str">
        <f aca="false">IF(B256="","",IF(A256="","NO","yes"))</f>
        <v/>
      </c>
    </row>
    <row r="257" customFormat="false" ht="15" hidden="false" customHeight="false" outlineLevel="0" collapsed="false">
      <c r="A257" s="6" t="str">
        <f aca="false">IF(B257="","",IFERROR(INDEX(Lists!$B:$B,MATCH(B257,Lists!$A:$A,0)),""))</f>
        <v/>
      </c>
      <c r="B257" s="35"/>
      <c r="C257" s="35"/>
      <c r="D257" s="39"/>
      <c r="E257" s="39"/>
      <c r="F257" s="39"/>
      <c r="G257" s="39"/>
      <c r="H257" s="6" t="str">
        <f aca="false">IF(B257="","",IF(A257="","NO","yes"))</f>
        <v/>
      </c>
    </row>
    <row r="258" customFormat="false" ht="15" hidden="false" customHeight="false" outlineLevel="0" collapsed="false">
      <c r="A258" s="6" t="str">
        <f aca="false">IF(B258="","",IFERROR(INDEX(Lists!$B:$B,MATCH(B258,Lists!$A:$A,0)),""))</f>
        <v/>
      </c>
      <c r="B258" s="35"/>
      <c r="C258" s="35"/>
      <c r="D258" s="39"/>
      <c r="E258" s="39"/>
      <c r="F258" s="39"/>
      <c r="G258" s="39"/>
      <c r="H258" s="6" t="str">
        <f aca="false">IF(B258="","",IF(A258="","NO","yes"))</f>
        <v/>
      </c>
    </row>
    <row r="259" customFormat="false" ht="15" hidden="false" customHeight="false" outlineLevel="0" collapsed="false">
      <c r="A259" s="6" t="str">
        <f aca="false">IF(B259="","",IFERROR(INDEX(Lists!$B:$B,MATCH(B259,Lists!$A:$A,0)),""))</f>
        <v/>
      </c>
      <c r="B259" s="35"/>
      <c r="C259" s="35"/>
      <c r="D259" s="39"/>
      <c r="E259" s="39"/>
      <c r="F259" s="39"/>
      <c r="G259" s="39"/>
      <c r="H259" s="6" t="str">
        <f aca="false">IF(B259="","",IF(A259="","NO","yes"))</f>
        <v/>
      </c>
    </row>
    <row r="260" customFormat="false" ht="15" hidden="false" customHeight="false" outlineLevel="0" collapsed="false">
      <c r="A260" s="6" t="str">
        <f aca="false">IF(B260="","",IFERROR(INDEX(Lists!$B:$B,MATCH(B260,Lists!$A:$A,0)),""))</f>
        <v/>
      </c>
      <c r="B260" s="35"/>
      <c r="C260" s="35"/>
      <c r="D260" s="39"/>
      <c r="E260" s="39"/>
      <c r="F260" s="39"/>
      <c r="G260" s="39"/>
      <c r="H260" s="6" t="str">
        <f aca="false">IF(B260="","",IF(A260="","NO","yes"))</f>
        <v/>
      </c>
    </row>
    <row r="261" customFormat="false" ht="15" hidden="false" customHeight="false" outlineLevel="0" collapsed="false">
      <c r="A261" s="6" t="str">
        <f aca="false">IF(B261="","",IFERROR(INDEX(Lists!$B:$B,MATCH(B261,Lists!$A:$A,0)),""))</f>
        <v/>
      </c>
      <c r="B261" s="35"/>
      <c r="C261" s="35"/>
      <c r="D261" s="39"/>
      <c r="E261" s="39"/>
      <c r="F261" s="39"/>
      <c r="G261" s="39"/>
      <c r="H261" s="6" t="str">
        <f aca="false">IF(B261="","",IF(A261="","NO","yes"))</f>
        <v/>
      </c>
    </row>
    <row r="262" customFormat="false" ht="15" hidden="false" customHeight="false" outlineLevel="0" collapsed="false">
      <c r="A262" s="6" t="str">
        <f aca="false">IF(B262="","",IFERROR(INDEX(Lists!$B:$B,MATCH(B262,Lists!$A:$A,0)),""))</f>
        <v/>
      </c>
      <c r="B262" s="35"/>
      <c r="C262" s="35"/>
      <c r="D262" s="39"/>
      <c r="E262" s="39"/>
      <c r="F262" s="39"/>
      <c r="G262" s="39"/>
      <c r="H262" s="6" t="str">
        <f aca="false">IF(B262="","",IF(A262="","NO","yes"))</f>
        <v/>
      </c>
    </row>
    <row r="263" customFormat="false" ht="15" hidden="false" customHeight="false" outlineLevel="0" collapsed="false">
      <c r="A263" s="6" t="str">
        <f aca="false">IF(B263="","",IFERROR(INDEX(Lists!$B:$B,MATCH(B263,Lists!$A:$A,0)),""))</f>
        <v/>
      </c>
      <c r="B263" s="35"/>
      <c r="C263" s="35"/>
      <c r="D263" s="39"/>
      <c r="E263" s="39"/>
      <c r="F263" s="39"/>
      <c r="G263" s="39"/>
      <c r="H263" s="6" t="str">
        <f aca="false">IF(B263="","",IF(A263="","NO","yes"))</f>
        <v/>
      </c>
    </row>
    <row r="264" customFormat="false" ht="15" hidden="false" customHeight="false" outlineLevel="0" collapsed="false">
      <c r="A264" s="6" t="str">
        <f aca="false">IF(B264="","",IFERROR(INDEX(Lists!$B:$B,MATCH(B264,Lists!$A:$A,0)),""))</f>
        <v/>
      </c>
      <c r="B264" s="35"/>
      <c r="C264" s="35"/>
      <c r="D264" s="39"/>
      <c r="E264" s="39"/>
      <c r="F264" s="39"/>
      <c r="G264" s="39"/>
      <c r="H264" s="6" t="str">
        <f aca="false">IF(B264="","",IF(A264="","NO","yes"))</f>
        <v/>
      </c>
    </row>
    <row r="265" customFormat="false" ht="15" hidden="false" customHeight="false" outlineLevel="0" collapsed="false">
      <c r="A265" s="6" t="str">
        <f aca="false">IF(B265="","",IFERROR(INDEX(Lists!$B:$B,MATCH(B265,Lists!$A:$A,0)),""))</f>
        <v/>
      </c>
      <c r="B265" s="35"/>
      <c r="C265" s="35"/>
      <c r="D265" s="39"/>
      <c r="E265" s="39"/>
      <c r="F265" s="39"/>
      <c r="G265" s="39"/>
      <c r="H265" s="6" t="str">
        <f aca="false">IF(B265="","",IF(A265="","NO","yes"))</f>
        <v/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7"/>
    <col collapsed="false" customWidth="true" hidden="false" outlineLevel="0" max="41" min="4" style="0" width="11"/>
  </cols>
  <sheetData>
    <row r="1" customFormat="false" ht="16.15" hidden="false" customHeight="false" outlineLevel="0" collapsed="false">
      <c r="A1" s="1" t="s">
        <v>1168</v>
      </c>
    </row>
    <row r="2" customFormat="false" ht="15" hidden="false" customHeight="false" outlineLevel="0" collapsed="false">
      <c r="A2" s="4" t="s">
        <v>1169</v>
      </c>
    </row>
    <row r="4" customFormat="false" ht="48" hidden="false" customHeight="true" outlineLevel="0" collapsed="false">
      <c r="A4" s="5" t="s">
        <v>87</v>
      </c>
      <c r="B4" s="5" t="s">
        <v>89</v>
      </c>
      <c r="C4" s="5" t="s">
        <v>68</v>
      </c>
      <c r="D4" s="5" t="s">
        <v>1170</v>
      </c>
      <c r="E4" s="5" t="s">
        <v>1171</v>
      </c>
      <c r="F4" s="5" t="s">
        <v>1172</v>
      </c>
      <c r="G4" s="5" t="s">
        <v>1173</v>
      </c>
      <c r="H4" s="5" t="s">
        <v>1174</v>
      </c>
      <c r="I4" s="5" t="s">
        <v>1175</v>
      </c>
      <c r="J4" s="5" t="s">
        <v>1176</v>
      </c>
      <c r="K4" s="5" t="s">
        <v>1177</v>
      </c>
      <c r="L4" s="5" t="s">
        <v>1178</v>
      </c>
      <c r="M4" s="5" t="s">
        <v>1179</v>
      </c>
      <c r="N4" s="5" t="s">
        <v>1180</v>
      </c>
      <c r="O4" s="5" t="s">
        <v>1181</v>
      </c>
      <c r="P4" s="5" t="s">
        <v>1182</v>
      </c>
      <c r="Q4" s="5" t="s">
        <v>1183</v>
      </c>
      <c r="R4" s="5" t="s">
        <v>1184</v>
      </c>
      <c r="S4" s="5" t="s">
        <v>1185</v>
      </c>
      <c r="T4" s="5" t="s">
        <v>1186</v>
      </c>
      <c r="U4" s="5" t="s">
        <v>1187</v>
      </c>
      <c r="V4" s="5" t="s">
        <v>1188</v>
      </c>
      <c r="W4" s="5" t="s">
        <v>98</v>
      </c>
      <c r="X4" s="5" t="s">
        <v>36</v>
      </c>
      <c r="Y4" s="5" t="s">
        <v>45</v>
      </c>
      <c r="Z4" s="5" t="s">
        <v>1189</v>
      </c>
      <c r="AA4" s="5" t="s">
        <v>1190</v>
      </c>
      <c r="AB4" s="5" t="s">
        <v>1191</v>
      </c>
      <c r="AC4" s="5" t="s">
        <v>1192</v>
      </c>
      <c r="AD4" s="5" t="s">
        <v>1193</v>
      </c>
      <c r="AE4" s="5" t="s">
        <v>1194</v>
      </c>
      <c r="AF4" s="5" t="s">
        <v>1195</v>
      </c>
      <c r="AG4" s="5" t="s">
        <v>1196</v>
      </c>
      <c r="AH4" s="5" t="s">
        <v>1197</v>
      </c>
      <c r="AI4" s="5" t="s">
        <v>1198</v>
      </c>
      <c r="AJ4" s="5" t="s">
        <v>1199</v>
      </c>
      <c r="AK4" s="5" t="s">
        <v>1200</v>
      </c>
      <c r="AL4" s="5" t="s">
        <v>1201</v>
      </c>
      <c r="AM4" s="5" t="s">
        <v>1202</v>
      </c>
      <c r="AN4" s="5" t="s">
        <v>47</v>
      </c>
      <c r="AO4" s="5" t="s">
        <v>48</v>
      </c>
    </row>
    <row r="5" customFormat="false" ht="15" hidden="false" customHeight="false" outlineLevel="0" collapsed="false">
      <c r="A5" s="14" t="str">
        <f aca="false">Country_Data!$A$5</f>
        <v>USA</v>
      </c>
      <c r="B5" s="14" t="str">
        <f aca="false">Country_Data!$E$5</f>
        <v>AE</v>
      </c>
      <c r="C5" s="35" t="s">
        <v>466</v>
      </c>
      <c r="D5" s="37" t="n">
        <f aca="false">IF(Country_Data!$BZ$5="","",Country_Data!$BZ$5)</f>
        <v>4225.14748243332</v>
      </c>
      <c r="E5" s="40" t="n">
        <f aca="false">Country_Data!$BW$5</f>
        <v>29298.025</v>
      </c>
      <c r="F5" s="41" t="n">
        <f aca="false">Country_Data!$BX$5</f>
        <v>1</v>
      </c>
      <c r="G5" s="42" t="n">
        <f aca="false">IF(D5="","",D5/SUMIFS($D$5:$D$1369,$B$5:$B$1369,B5,$C$5:$C$1369,C5))</f>
        <v>0.431780697362997</v>
      </c>
      <c r="H5" s="42" t="n">
        <f aca="false">E5/SUMIFS($E$5:$E$1369,$B$5:$B$1369,B5,$C$5:$C$1369,C5)</f>
        <v>0.371402425543024</v>
      </c>
      <c r="I5" s="43" t="n">
        <f aca="false">IF(G5="",H5,p_beta_alloc*G5+(1-p_beta_alloc)*H5)*F5^p_phi</f>
        <v>0.40159156145301</v>
      </c>
      <c r="J5" s="16" t="n">
        <f aca="false">INDEX(Sector_Params!$C$16:$E$16,MATCH(B5,Sector_Params!$C$15:$E$15,0))*I5/SUMIFS($I$5:$I$1369,$B$5:$B$1369,B5,$C$5:$C$1369,C5)</f>
        <v>360.209687770302</v>
      </c>
      <c r="K5" s="28" t="n">
        <f aca="false">INDEX(Sector_Params!$F$5:$H$5,MATCH(B5,Sector_Params!$C$15:$E$15,0))</f>
        <v>0.38</v>
      </c>
      <c r="L5" s="16" t="n">
        <f aca="false">J5*K5</f>
        <v>136.879681352715</v>
      </c>
      <c r="M5" s="44" t="n">
        <f aca="false">Country_Data!$DW$5+Sector_Params!$E$5</f>
        <v>0.05705</v>
      </c>
      <c r="N5" s="44" t="n">
        <f aca="false">Country_Data!$DX$5+Sector_Params!$E$5</f>
        <v>0.07205</v>
      </c>
      <c r="O5" s="11" t="n">
        <f aca="false">IF(p_use_ibrd=1,p_r_ibrd,p_r_wb)</f>
        <v>0.06</v>
      </c>
      <c r="P5" s="45" t="n">
        <f aca="false">Sector_Params!$D$5</f>
        <v>25</v>
      </c>
      <c r="Q5" s="46" t="n">
        <f aca="false">M5/(1-(1+M5)^-P5)</f>
        <v>0.0760475130927785</v>
      </c>
      <c r="R5" s="46" t="n">
        <f aca="false">N5/(1-(1+N5)^-P5)</f>
        <v>0.0874011586941401</v>
      </c>
      <c r="S5" s="46" t="n">
        <f aca="false">O5/(1-(1+O5)^-P5)</f>
        <v>0.078226718212274</v>
      </c>
      <c r="T5" s="37" t="n">
        <f aca="false">IF(AND(p_eng=1,ISNUMBER(Country_Data!$CZ$5)),Country_Data!$CZ$5,Country_Data!$CM$5)*Sector_Params!$I$5</f>
        <v>0.0105939288835036</v>
      </c>
      <c r="U5" s="37" t="n">
        <f aca="false">IF(AND(p_eng=1,ISNUMBER(Country_Data!$DA$5)),Country_Data!$DA$5,Country_Data!$CN$5)*Sector_Params!$J$5</f>
        <v>0.0144744117280416</v>
      </c>
      <c r="V5" s="37" t="n">
        <f aca="false">IF(AND(p_eng=1,ISNUMBER(Country_Data!$DB$5)),Country_Data!$DB$5,p_a)</f>
        <v>0.755367412952252</v>
      </c>
      <c r="W5" s="16" t="n">
        <f aca="false">T5*L5</f>
        <v>1.4500936098473</v>
      </c>
      <c r="X5" s="16" t="n">
        <f aca="false">U5*L5</f>
        <v>1.98125286510233</v>
      </c>
      <c r="Y5" s="16" t="n">
        <f aca="false">V5*L5</f>
        <v>103.394450789129</v>
      </c>
      <c r="Z5" s="16" t="n">
        <f aca="false">Q5*L5</f>
        <v>10.4093593598059</v>
      </c>
      <c r="AA5" s="16" t="n">
        <f aca="false">R5*L5</f>
        <v>11.963442751912</v>
      </c>
      <c r="AB5" s="16" t="n">
        <f aca="false">S5*L5</f>
        <v>10.7076482621647</v>
      </c>
      <c r="AC5" s="16" t="n">
        <f aca="false">Z5-W5</f>
        <v>8.95926574995864</v>
      </c>
      <c r="AD5" s="16" t="n">
        <f aca="false">AA5-W5</f>
        <v>10.5133491420647</v>
      </c>
      <c r="AE5" s="16" t="n">
        <f aca="false">AB5-W5</f>
        <v>9.25755465231739</v>
      </c>
      <c r="AF5" s="16" t="n">
        <f aca="false">AE5-X5</f>
        <v>7.27630178721505</v>
      </c>
      <c r="AG5" s="16" t="n">
        <f aca="false">AF5-p_spc_lo*Y5/1000</f>
        <v>2.10657924775861</v>
      </c>
      <c r="AH5" s="16" t="n">
        <f aca="false">AF5-p_spc_hi*Y5/1000</f>
        <v>-3.06314329169783</v>
      </c>
      <c r="AI5" s="16" t="n">
        <f aca="false">Q5*J5</f>
        <v>27.3930509468577</v>
      </c>
      <c r="AJ5" s="16" t="n">
        <f aca="false">S5*J5</f>
        <v>28.1780217425386</v>
      </c>
      <c r="AK5" s="16" t="n">
        <f aca="false">T5*J5</f>
        <v>3.81603581538762</v>
      </c>
      <c r="AL5" s="16" t="n">
        <f aca="false">U5*J5</f>
        <v>5.21382332921666</v>
      </c>
      <c r="AM5" s="16" t="n">
        <f aca="false">AI5-AJ5</f>
        <v>-0.784970795680909</v>
      </c>
      <c r="AN5" s="16" t="n">
        <f aca="false">J5*Country_Data!$EB$5</f>
        <v>376.357018601385</v>
      </c>
      <c r="AO5" s="16" t="n">
        <f aca="false">L5*Country_Data!$EB$5</f>
        <v>143.015667068526</v>
      </c>
    </row>
    <row r="6" customFormat="false" ht="15" hidden="false" customHeight="false" outlineLevel="0" collapsed="false">
      <c r="A6" s="14" t="str">
        <f aca="false">Country_Data!$A$5</f>
        <v>USA</v>
      </c>
      <c r="B6" s="14" t="str">
        <f aca="false">Country_Data!$E$5</f>
        <v>AE</v>
      </c>
      <c r="C6" s="35" t="s">
        <v>470</v>
      </c>
      <c r="D6" s="37" t="n">
        <f aca="false">IF(Country_Data!$BZ$5="","",Country_Data!$BZ$5)</f>
        <v>4225.14748243332</v>
      </c>
      <c r="E6" s="40" t="n">
        <f aca="false">Country_Data!$BW$5</f>
        <v>29298.025</v>
      </c>
      <c r="F6" s="41" t="n">
        <f aca="false">Country_Data!$BX$5</f>
        <v>1</v>
      </c>
      <c r="G6" s="42" t="n">
        <f aca="false">IF(D6="","",D6/SUMIFS($D$5:$D$1369,$B$5:$B$1369,B6,$C$5:$C$1369,C6))</f>
        <v>0.431780697362997</v>
      </c>
      <c r="H6" s="42" t="n">
        <f aca="false">E6/SUMIFS($E$5:$E$1369,$B$5:$B$1369,B6,$C$5:$C$1369,C6)</f>
        <v>0.371402425543024</v>
      </c>
      <c r="I6" s="43" t="n">
        <f aca="false">IF(G6="",H6,p_beta_alloc*G6+(1-p_beta_alloc)*H6)*F6^p_phi</f>
        <v>0.40159156145301</v>
      </c>
      <c r="J6" s="16" t="n">
        <f aca="false">INDEX(Sector_Params!$C$17:$E$17,MATCH(B6,Sector_Params!$C$15:$E$15,0))*I6/SUMIFS($I$5:$I$1369,$B$5:$B$1369,B6,$C$5:$C$1369,C6)</f>
        <v>247.000928756779</v>
      </c>
      <c r="K6" s="28" t="n">
        <f aca="false">INDEX(Sector_Params!$F$6:$H$6,MATCH(B6,Sector_Params!$C$15:$E$15,0))</f>
        <v>0.38</v>
      </c>
      <c r="L6" s="16" t="n">
        <f aca="false">J6*K6</f>
        <v>93.860352927576</v>
      </c>
      <c r="M6" s="44" t="n">
        <f aca="false">Country_Data!$DW$5+Sector_Params!$E$6</f>
        <v>0.05705</v>
      </c>
      <c r="N6" s="44" t="n">
        <f aca="false">Country_Data!$DX$5+Sector_Params!$E$6</f>
        <v>0.07205</v>
      </c>
      <c r="O6" s="11" t="n">
        <f aca="false">IF(p_use_ibrd=1,p_r_ibrd,p_r_wb)</f>
        <v>0.06</v>
      </c>
      <c r="P6" s="45" t="n">
        <f aca="false">Sector_Params!$D$6</f>
        <v>40</v>
      </c>
      <c r="Q6" s="46" t="n">
        <f aca="false">M6/(1-(1+M6)^-P6)</f>
        <v>0.0640067168825856</v>
      </c>
      <c r="R6" s="46" t="n">
        <f aca="false">N6/(1-(1+N6)^-P6)</f>
        <v>0.0768007690980701</v>
      </c>
      <c r="S6" s="46" t="n">
        <f aca="false">O6/(1-(1+O6)^-P6)</f>
        <v>0.0664615359206755</v>
      </c>
      <c r="T6" s="37" t="n">
        <f aca="false">p_grid_credit*IF(AND(p_eng=1,ISNUMBER(Country_Data!$CZ$5)),Country_Data!$CZ$5,Country_Data!$CM$5)*Sector_Params!$I$6</f>
        <v>0</v>
      </c>
      <c r="U6" s="37" t="n">
        <f aca="false">p_grid_credit*IF(AND(p_eng=1,ISNUMBER(Country_Data!$DA$5)),Country_Data!$DA$5,Country_Data!$CN$5)*Sector_Params!$J$6</f>
        <v>0</v>
      </c>
      <c r="V6" s="37" t="n">
        <f aca="false">p_grid_credit*IF(AND(p_eng=1,ISNUMBER(Country_Data!$DB$5)),Country_Data!$DB$5,p_a)</f>
        <v>0</v>
      </c>
      <c r="W6" s="16" t="n">
        <f aca="false">T6*L6</f>
        <v>0</v>
      </c>
      <c r="X6" s="16" t="n">
        <f aca="false">U6*L6</f>
        <v>0</v>
      </c>
      <c r="Y6" s="16" t="n">
        <f aca="false">V6*L6</f>
        <v>0</v>
      </c>
      <c r="Z6" s="16" t="n">
        <f aca="false">Q6*L6</f>
        <v>6.00769303633491</v>
      </c>
      <c r="AA6" s="16" t="n">
        <f aca="false">R6*L6</f>
        <v>7.20854729265413</v>
      </c>
      <c r="AB6" s="16" t="n">
        <f aca="false">S6*L6</f>
        <v>6.23810321762337</v>
      </c>
      <c r="AC6" s="16" t="n">
        <f aca="false">Z6-W6</f>
        <v>6.00769303633491</v>
      </c>
      <c r="AD6" s="16" t="n">
        <f aca="false">AA6-W6</f>
        <v>7.20854729265413</v>
      </c>
      <c r="AE6" s="16" t="n">
        <f aca="false">AB6-W6</f>
        <v>6.23810321762337</v>
      </c>
      <c r="AF6" s="16" t="n">
        <f aca="false">AE6-X6</f>
        <v>6.23810321762337</v>
      </c>
      <c r="AG6" s="16" t="n">
        <f aca="false">AF6-p_spc_lo*Y6/1000</f>
        <v>6.23810321762337</v>
      </c>
      <c r="AH6" s="16" t="n">
        <f aca="false">AF6-p_spc_hi*Y6/1000</f>
        <v>6.23810321762337</v>
      </c>
      <c r="AI6" s="16" t="n">
        <f aca="false">Q6*J6</f>
        <v>15.8097185166708</v>
      </c>
      <c r="AJ6" s="16" t="n">
        <f aca="false">S6*J6</f>
        <v>16.4160610990089</v>
      </c>
      <c r="AK6" s="16" t="n">
        <f aca="false">T6*J6</f>
        <v>0</v>
      </c>
      <c r="AL6" s="16" t="n">
        <f aca="false">U6*J6</f>
        <v>0</v>
      </c>
      <c r="AM6" s="16" t="n">
        <f aca="false">AI6-AJ6</f>
        <v>-0.606342582338039</v>
      </c>
      <c r="AN6" s="16" t="n">
        <f aca="false">J6*Country_Data!$EB$5</f>
        <v>258.073384183807</v>
      </c>
      <c r="AO6" s="16" t="n">
        <f aca="false">L6*Country_Data!$EB$5</f>
        <v>98.0678859898466</v>
      </c>
    </row>
    <row r="7" customFormat="false" ht="15" hidden="false" customHeight="false" outlineLevel="0" collapsed="false">
      <c r="A7" s="14" t="str">
        <f aca="false">Country_Data!$A$5</f>
        <v>USA</v>
      </c>
      <c r="B7" s="14" t="str">
        <f aca="false">Country_Data!$E$5</f>
        <v>AE</v>
      </c>
      <c r="C7" s="35" t="s">
        <v>473</v>
      </c>
      <c r="D7" s="37" t="n">
        <f aca="false">IF(Country_Data!$CA$5="","",Country_Data!$CA$5)</f>
        <v>25.9683371509964</v>
      </c>
      <c r="E7" s="40" t="n">
        <f aca="false">Country_Data!$BW$5</f>
        <v>29298.025</v>
      </c>
      <c r="F7" s="41" t="n">
        <f aca="false">Country_Data!$BX$5</f>
        <v>1</v>
      </c>
      <c r="G7" s="42" t="n">
        <f aca="false">IF(D7="","",D7/SUMIFS($D$5:$D$1369,$B$5:$B$1369,B7,$C$5:$C$1369,C7))</f>
        <v>0.508355387663657</v>
      </c>
      <c r="H7" s="42" t="n">
        <f aca="false">E7/SUMIFS($E$5:$E$1369,$B$5:$B$1369,B7,$C$5:$C$1369,C7)</f>
        <v>0.371402425543024</v>
      </c>
      <c r="I7" s="43" t="n">
        <f aca="false">IF(G7="",H7,p_beta_alloc*G7+(1-p_beta_alloc)*H7)*F7^p_phi</f>
        <v>0.43987890660334</v>
      </c>
      <c r="J7" s="16" t="n">
        <f aca="false">INDEX(Sector_Params!$C$18:$E$18,MATCH(B7,Sector_Params!$C$15:$E$15,0))*I7/SUMIFS($I$5:$I$1369,$B$5:$B$1369,B7,$C$5:$C$1369,C7)</f>
        <v>165.769756318195</v>
      </c>
      <c r="K7" s="28" t="n">
        <f aca="false">INDEX(Sector_Params!$F$7:$H$7,MATCH(B7,Sector_Params!$C$15:$E$15,0))</f>
        <v>0.38</v>
      </c>
      <c r="L7" s="16" t="n">
        <f aca="false">J7*K7</f>
        <v>62.992507400914</v>
      </c>
      <c r="M7" s="44" t="n">
        <f aca="false">Country_Data!$DW$5+Sector_Params!$E$7</f>
        <v>0.05705</v>
      </c>
      <c r="N7" s="44" t="n">
        <f aca="false">Country_Data!$DX$5+Sector_Params!$E$7</f>
        <v>0.07205</v>
      </c>
      <c r="O7" s="11" t="n">
        <f aca="false">IF(p_use_ibrd=1,p_r_ibrd,p_r_wb)</f>
        <v>0.06</v>
      </c>
      <c r="P7" s="45" t="n">
        <f aca="false">Sector_Params!$D$7</f>
        <v>12</v>
      </c>
      <c r="Q7" s="46" t="n">
        <f aca="false">M7/(1-(1+M7)^-P7)</f>
        <v>0.117355545384048</v>
      </c>
      <c r="R7" s="46" t="n">
        <f aca="false">N7/(1-(1+N7)^-P7)</f>
        <v>0.127281040063679</v>
      </c>
      <c r="S7" s="46" t="n">
        <f aca="false">O7/(1-(1+O7)^-P7)</f>
        <v>0.119277029380664</v>
      </c>
      <c r="T7" s="37" t="n">
        <f aca="false">IF(AND(p_eng=1,ISNUMBER(Country_Data!$DE$5)),Country_Data!$DE$5,Country_Data!$CM$5)*Sector_Params!$I$7</f>
        <v>0.113453865</v>
      </c>
      <c r="U7" s="37" t="n">
        <f aca="false">IF(AND(p_eng=1,ISNUMBER(Country_Data!$DF$5)),Country_Data!$DF$5,Country_Data!$CN$5)*Sector_Params!$J$7</f>
        <v>0.00856665</v>
      </c>
      <c r="V7" s="37" t="n">
        <f aca="false">IF(AND(p_eng=1,ISNUMBER(Country_Data!$DG$5)),Country_Data!$DG$5,p_a)</f>
        <v>0.356015670684921</v>
      </c>
      <c r="W7" s="16" t="n">
        <f aca="false">T7*L7</f>
        <v>7.1467434306748</v>
      </c>
      <c r="X7" s="16" t="n">
        <f aca="false">U7*L7</f>
        <v>0.53963476352604</v>
      </c>
      <c r="Y7" s="16" t="n">
        <f aca="false">V7*L7</f>
        <v>22.4263197704613</v>
      </c>
      <c r="Z7" s="16" t="n">
        <f aca="false">Q7*L7</f>
        <v>7.39252006114294</v>
      </c>
      <c r="AA7" s="16" t="n">
        <f aca="false">R7*L7</f>
        <v>8.0177518582073</v>
      </c>
      <c r="AB7" s="16" t="n">
        <f aca="false">S7*L7</f>
        <v>7.51355915602048</v>
      </c>
      <c r="AC7" s="16" t="n">
        <f aca="false">Z7-W7</f>
        <v>0.245776630468147</v>
      </c>
      <c r="AD7" s="16" t="n">
        <f aca="false">AA7-W7</f>
        <v>0.871008427532501</v>
      </c>
      <c r="AE7" s="16" t="n">
        <f aca="false">AB7-W7</f>
        <v>0.366815725345687</v>
      </c>
      <c r="AF7" s="16" t="n">
        <f aca="false">AE7-X7</f>
        <v>-0.172819038180353</v>
      </c>
      <c r="AG7" s="16" t="n">
        <f aca="false">AF7-p_spc_lo*Y7/1000</f>
        <v>-1.29413502670342</v>
      </c>
      <c r="AH7" s="16" t="n">
        <f aca="false">AF7-p_spc_hi*Y7/1000</f>
        <v>-2.41545101522648</v>
      </c>
      <c r="AI7" s="16" t="n">
        <f aca="false">Q7*J7</f>
        <v>19.4540001609025</v>
      </c>
      <c r="AJ7" s="16" t="n">
        <f aca="false">S7*J7</f>
        <v>19.7725240947907</v>
      </c>
      <c r="AK7" s="16" t="n">
        <f aca="false">T7*J7</f>
        <v>18.8072195544074</v>
      </c>
      <c r="AL7" s="16" t="n">
        <f aca="false">U7*J7</f>
        <v>1.42009148296326</v>
      </c>
      <c r="AM7" s="16" t="n">
        <f aca="false">AI7-AJ7</f>
        <v>-0.318523933888265</v>
      </c>
      <c r="AN7" s="16" t="n">
        <f aca="false">J7*Country_Data!$EB$5</f>
        <v>173.200814360045</v>
      </c>
      <c r="AO7" s="16" t="n">
        <f aca="false">L7*Country_Data!$EB$5</f>
        <v>65.816309456817</v>
      </c>
    </row>
    <row r="8" customFormat="false" ht="15" hidden="false" customHeight="false" outlineLevel="0" collapsed="false">
      <c r="A8" s="14" t="str">
        <f aca="false">Country_Data!$A$5</f>
        <v>USA</v>
      </c>
      <c r="B8" s="14" t="str">
        <f aca="false">Country_Data!$E$5</f>
        <v>AE</v>
      </c>
      <c r="C8" s="35" t="s">
        <v>477</v>
      </c>
      <c r="D8" s="37" t="n">
        <f aca="false">IF(Country_Data!$CB$5="","",Country_Data!$CB$5)</f>
        <v>19.0033630457377</v>
      </c>
      <c r="E8" s="40" t="n">
        <f aca="false">Country_Data!$BW$5</f>
        <v>29298.025</v>
      </c>
      <c r="F8" s="41" t="n">
        <f aca="false">Country_Data!$BX$5</f>
        <v>1</v>
      </c>
      <c r="G8" s="42" t="n">
        <f aca="false">IF(D8="","",D8/SUMIFS($D$5:$D$1369,$B$5:$B$1369,B8,$C$5:$C$1369,C8))</f>
        <v>0.488673516056324</v>
      </c>
      <c r="H8" s="42" t="n">
        <f aca="false">E8/SUMIFS($E$5:$E$1369,$B$5:$B$1369,B8,$C$5:$C$1369,C8)</f>
        <v>0.371402425543024</v>
      </c>
      <c r="I8" s="43" t="n">
        <f aca="false">IF(G8="",H8,p_beta_alloc*G8+(1-p_beta_alloc)*H8)*F8^p_phi</f>
        <v>0.430037970799674</v>
      </c>
      <c r="J8" s="16" t="n">
        <f aca="false">INDEX(Sector_Params!$C$19:$E$19,MATCH(B8,Sector_Params!$C$15:$E$15,0))*I8/SUMIFS($I$5:$I$1369,$B$5:$B$1369,B8,$C$5:$C$1369,C8)</f>
        <v>126.412636303636</v>
      </c>
      <c r="K8" s="28" t="n">
        <f aca="false">INDEX(Sector_Params!$F$8:$H$8,MATCH(B8,Sector_Params!$C$15:$E$15,0))</f>
        <v>0.38</v>
      </c>
      <c r="L8" s="16" t="n">
        <f aca="false">J8*K8</f>
        <v>48.0368017953818</v>
      </c>
      <c r="M8" s="44" t="n">
        <f aca="false">Country_Data!$DW$5+Sector_Params!$E$8</f>
        <v>0.05705</v>
      </c>
      <c r="N8" s="44" t="n">
        <f aca="false">Country_Data!$DX$5+Sector_Params!$E$8</f>
        <v>0.07205</v>
      </c>
      <c r="O8" s="11" t="n">
        <f aca="false">IF(p_use_ibrd=1,p_r_ibrd,p_r_wb)</f>
        <v>0.06</v>
      </c>
      <c r="P8" s="45" t="n">
        <f aca="false">Sector_Params!$D$8</f>
        <v>25</v>
      </c>
      <c r="Q8" s="46" t="n">
        <f aca="false">M8/(1-(1+M8)^-P8)</f>
        <v>0.0760475130927785</v>
      </c>
      <c r="R8" s="46" t="n">
        <f aca="false">N8/(1-(1+N8)^-P8)</f>
        <v>0.0874011586941401</v>
      </c>
      <c r="S8" s="46" t="n">
        <f aca="false">O8/(1-(1+O8)^-P8)</f>
        <v>0.078226718212274</v>
      </c>
      <c r="T8" s="37" t="n">
        <f aca="false">Country_Data!$CM$5*Sector_Params!$I$8</f>
        <v>0.13412263429624</v>
      </c>
      <c r="U8" s="37" t="n">
        <f aca="false">Country_Data!$CN$5*Sector_Params!$J$8</f>
        <v>0.0527129823805942</v>
      </c>
      <c r="V8" s="37" t="n">
        <f aca="false">p_a</f>
        <v>0.35</v>
      </c>
      <c r="W8" s="16" t="n">
        <f aca="false">T8*L8</f>
        <v>6.44282239996297</v>
      </c>
      <c r="X8" s="16" t="n">
        <f aca="false">U8*L8</f>
        <v>2.53216308666006</v>
      </c>
      <c r="Y8" s="16" t="n">
        <f aca="false">V8*L8</f>
        <v>16.8128806283836</v>
      </c>
      <c r="Z8" s="16" t="n">
        <f aca="false">Q8*L8</f>
        <v>3.6530793134695</v>
      </c>
      <c r="AA8" s="16" t="n">
        <f aca="false">R8*L8</f>
        <v>4.19847213687712</v>
      </c>
      <c r="AB8" s="16" t="n">
        <f aca="false">S8*L8</f>
        <v>3.75776135786619</v>
      </c>
      <c r="AC8" s="16" t="n">
        <f aca="false">Z8-W8</f>
        <v>-2.78974308649347</v>
      </c>
      <c r="AD8" s="16" t="n">
        <f aca="false">AA8-W8</f>
        <v>-2.24435026308585</v>
      </c>
      <c r="AE8" s="16" t="n">
        <f aca="false">AB8-W8</f>
        <v>-2.68506104209678</v>
      </c>
      <c r="AF8" s="16" t="n">
        <f aca="false">AE8-X8</f>
        <v>-5.21722412875684</v>
      </c>
      <c r="AG8" s="16" t="n">
        <f aca="false">AF8-p_spc_lo*Y8/1000</f>
        <v>-6.05786816017602</v>
      </c>
      <c r="AH8" s="16" t="n">
        <f aca="false">AF8-p_spc_hi*Y8/1000</f>
        <v>-6.8985121915952</v>
      </c>
      <c r="AI8" s="16" t="n">
        <f aca="false">Q8*J8</f>
        <v>9.61336661439343</v>
      </c>
      <c r="AJ8" s="16" t="n">
        <f aca="false">S8*J8</f>
        <v>9.88884567859523</v>
      </c>
      <c r="AK8" s="16" t="n">
        <f aca="false">T8*J8</f>
        <v>16.9547957893762</v>
      </c>
      <c r="AL8" s="16" t="n">
        <f aca="false">U8*J8</f>
        <v>6.66358707015804</v>
      </c>
      <c r="AM8" s="16" t="n">
        <f aca="false">AI8-AJ8</f>
        <v>-0.275479064201804</v>
      </c>
      <c r="AN8" s="16" t="n">
        <f aca="false">J8*Country_Data!$EB$5</f>
        <v>132.079409655179</v>
      </c>
      <c r="AO8" s="16" t="n">
        <f aca="false">L8*Country_Data!$EB$5</f>
        <v>50.1901756689679</v>
      </c>
    </row>
    <row r="9" customFormat="false" ht="15" hidden="false" customHeight="false" outlineLevel="0" collapsed="false">
      <c r="A9" s="14" t="str">
        <f aca="false">Country_Data!$A$5</f>
        <v>USA</v>
      </c>
      <c r="B9" s="14" t="str">
        <f aca="false">Country_Data!$E$5</f>
        <v>AE</v>
      </c>
      <c r="C9" s="35" t="s">
        <v>481</v>
      </c>
      <c r="D9" s="37" t="n">
        <f aca="false">IF(Country_Data!$CC$5="","",Country_Data!$CC$5)</f>
        <v>21.0762218242503</v>
      </c>
      <c r="E9" s="40" t="n">
        <f aca="false">Country_Data!$BW$5</f>
        <v>29298.025</v>
      </c>
      <c r="F9" s="41" t="n">
        <f aca="false">Country_Data!$BX$5</f>
        <v>1</v>
      </c>
      <c r="G9" s="42" t="n">
        <f aca="false">IF(D9="","",D9/SUMIFS($D$5:$D$1369,$B$5:$B$1369,B9,$C$5:$C$1369,C9))</f>
        <v>0.383752959824777</v>
      </c>
      <c r="H9" s="42" t="n">
        <f aca="false">E9/SUMIFS($E$5:$E$1369,$B$5:$B$1369,B9,$C$5:$C$1369,C9)</f>
        <v>0.371402425543024</v>
      </c>
      <c r="I9" s="43" t="n">
        <f aca="false">IF(G9="",H9,p_beta_alloc*G9+(1-p_beta_alloc)*H9)*F9^p_phi</f>
        <v>0.3775776926839</v>
      </c>
      <c r="J9" s="16" t="n">
        <f aca="false">INDEX(Sector_Params!$C$20:$E$20,MATCH(B9,Sector_Params!$C$15:$E$15,0))*I9/SUMIFS($I$5:$I$1369,$B$5:$B$1369,B9,$C$5:$C$1369,C9)</f>
        <v>64.1192438541774</v>
      </c>
      <c r="K9" s="28" t="n">
        <f aca="false">INDEX(Sector_Params!$F$9:$H$9,MATCH(B9,Sector_Params!$C$15:$E$15,0))</f>
        <v>0.38</v>
      </c>
      <c r="L9" s="16" t="n">
        <f aca="false">J9*K9</f>
        <v>24.3653126645874</v>
      </c>
      <c r="M9" s="44" t="n">
        <f aca="false">Country_Data!$DW$5+Sector_Params!$E$9</f>
        <v>0.05705</v>
      </c>
      <c r="N9" s="44" t="n">
        <f aca="false">Country_Data!$DX$5+Sector_Params!$E$9</f>
        <v>0.07205</v>
      </c>
      <c r="O9" s="11" t="n">
        <f aca="false">IF(p_use_ibrd=1,p_r_ibrd,p_r_wb)</f>
        <v>0.06</v>
      </c>
      <c r="P9" s="45" t="n">
        <f aca="false">Sector_Params!$D$9</f>
        <v>25</v>
      </c>
      <c r="Q9" s="46" t="n">
        <f aca="false">M9/(1-(1+M9)^-P9)</f>
        <v>0.0760475130927785</v>
      </c>
      <c r="R9" s="46" t="n">
        <f aca="false">N9/(1-(1+N9)^-P9)</f>
        <v>0.0874011586941401</v>
      </c>
      <c r="S9" s="46" t="n">
        <f aca="false">O9/(1-(1+O9)^-P9)</f>
        <v>0.078226718212274</v>
      </c>
      <c r="T9" s="37" t="n">
        <f aca="false">Country_Data!$CM$5*Sector_Params!$I$9</f>
        <v>0.13412263429624</v>
      </c>
      <c r="U9" s="37" t="n">
        <f aca="false">Country_Data!$CN$5*Sector_Params!$J$9</f>
        <v>0.0527129823805942</v>
      </c>
      <c r="V9" s="37" t="n">
        <f aca="false">p_a</f>
        <v>0.35</v>
      </c>
      <c r="W9" s="16" t="n">
        <f aca="false">T9*L9</f>
        <v>3.26793992002601</v>
      </c>
      <c r="X9" s="16" t="n">
        <f aca="false">U9*L9</f>
        <v>1.28436829718607</v>
      </c>
      <c r="Y9" s="16" t="n">
        <f aca="false">V9*L9</f>
        <v>8.5278594326056</v>
      </c>
      <c r="Z9" s="16" t="n">
        <f aca="false">Q9*L9</f>
        <v>1.85292143386985</v>
      </c>
      <c r="AA9" s="16" t="n">
        <f aca="false">R9*L9</f>
        <v>2.12955655882995</v>
      </c>
      <c r="AB9" s="16" t="n">
        <f aca="false">S9*L9</f>
        <v>1.90601844796663</v>
      </c>
      <c r="AC9" s="16" t="n">
        <f aca="false">Z9-W9</f>
        <v>-1.41501848615616</v>
      </c>
      <c r="AD9" s="16" t="n">
        <f aca="false">AA9-W9</f>
        <v>-1.13838336119606</v>
      </c>
      <c r="AE9" s="16" t="n">
        <f aca="false">AB9-W9</f>
        <v>-1.36192147205938</v>
      </c>
      <c r="AF9" s="16" t="n">
        <f aca="false">AE9-X9</f>
        <v>-2.64628976924544</v>
      </c>
      <c r="AG9" s="16" t="n">
        <f aca="false">AF9-p_spc_lo*Y9/1000</f>
        <v>-3.07268274087572</v>
      </c>
      <c r="AH9" s="16" t="n">
        <f aca="false">AF9-p_spc_hi*Y9/1000</f>
        <v>-3.499075712506</v>
      </c>
      <c r="AI9" s="16" t="n">
        <f aca="false">Q9*J9</f>
        <v>4.87610903649961</v>
      </c>
      <c r="AJ9" s="16" t="n">
        <f aca="false">S9*J9</f>
        <v>5.01583802096482</v>
      </c>
      <c r="AK9" s="16" t="n">
        <f aca="false">T9*J9</f>
        <v>8.59984189480529</v>
      </c>
      <c r="AL9" s="16" t="n">
        <f aca="false">U9*J9</f>
        <v>3.37991657154228</v>
      </c>
      <c r="AM9" s="16" t="n">
        <f aca="false">AI9-AJ9</f>
        <v>-0.139728984465203</v>
      </c>
      <c r="AN9" s="16" t="n">
        <f aca="false">J9*Country_Data!$EB$5</f>
        <v>66.9935547855716</v>
      </c>
      <c r="AO9" s="16" t="n">
        <f aca="false">L9*Country_Data!$EB$5</f>
        <v>25.4575508185172</v>
      </c>
    </row>
    <row r="10" customFormat="false" ht="15" hidden="false" customHeight="false" outlineLevel="0" collapsed="false">
      <c r="A10" s="14" t="str">
        <f aca="false">Country_Data!$A$5</f>
        <v>USA</v>
      </c>
      <c r="B10" s="14" t="str">
        <f aca="false">Country_Data!$E$5</f>
        <v>AE</v>
      </c>
      <c r="C10" s="35" t="s">
        <v>484</v>
      </c>
      <c r="D10" s="37" t="n">
        <f aca="false">IF(Country_Data!$CD$5="","",Country_Data!$CD$5)</f>
        <v>73.1250971502065</v>
      </c>
      <c r="E10" s="40" t="n">
        <f aca="false">Country_Data!$BW$5</f>
        <v>29298.025</v>
      </c>
      <c r="F10" s="41" t="n">
        <f aca="false">Country_Data!$BX$5</f>
        <v>1</v>
      </c>
      <c r="G10" s="42" t="n">
        <f aca="false">IF(D10="","",D10/SUMIFS($D$5:$D$1369,$B$5:$B$1369,B10,$C$5:$C$1369,C10))</f>
        <v>0.4947565545553</v>
      </c>
      <c r="H10" s="42" t="n">
        <f aca="false">E10/SUMIFS($E$5:$E$1369,$B$5:$B$1369,B10,$C$5:$C$1369,C10)</f>
        <v>0.371402425543024</v>
      </c>
      <c r="I10" s="43" t="n">
        <f aca="false">IF(G10="",H10,p_beta_alloc*G10+(1-p_beta_alloc)*H10)*F10^p_phi</f>
        <v>0.433079490049162</v>
      </c>
      <c r="J10" s="16" t="n">
        <f aca="false">INDEX(Sector_Params!$C$21:$E$21,MATCH(B10,Sector_Params!$C$15:$E$15,0))*I10/SUMIFS($I$5:$I$1369,$B$5:$B$1369,B10,$C$5:$C$1369,C10)</f>
        <v>88.2398316496018</v>
      </c>
      <c r="K10" s="28" t="n">
        <f aca="false">INDEX(Sector_Params!$F$10:$H$10,MATCH(B10,Sector_Params!$C$15:$E$15,0))</f>
        <v>0.38</v>
      </c>
      <c r="L10" s="16" t="n">
        <f aca="false">J10*K10</f>
        <v>33.5311360268487</v>
      </c>
      <c r="M10" s="44" t="n">
        <f aca="false">Country_Data!$DW$5+Sector_Params!$E$10</f>
        <v>0.05705</v>
      </c>
      <c r="N10" s="44" t="n">
        <f aca="false">Country_Data!$DX$5+Sector_Params!$E$10</f>
        <v>0.07205</v>
      </c>
      <c r="O10" s="11" t="n">
        <f aca="false">IF(p_use_ibrd=1,p_r_ibrd,p_r_wb)</f>
        <v>0.06</v>
      </c>
      <c r="P10" s="45" t="n">
        <f aca="false">Sector_Params!$D$10</f>
        <v>20</v>
      </c>
      <c r="Q10" s="46" t="n">
        <f aca="false">M10/(1-(1+M10)^-P10)</f>
        <v>0.0851082952106622</v>
      </c>
      <c r="R10" s="46" t="n">
        <f aca="false">N10/(1-(1+N10)^-P10)</f>
        <v>0.0959021491670372</v>
      </c>
      <c r="S10" s="46" t="n">
        <f aca="false">O10/(1-(1+O10)^-P10)</f>
        <v>0.0871845569768514</v>
      </c>
      <c r="T10" s="37" t="n">
        <f aca="false">0*Sector_Params!$I$10</f>
        <v>0</v>
      </c>
      <c r="U10" s="37" t="n">
        <f aca="false">0*Sector_Params!$J$10</f>
        <v>0</v>
      </c>
      <c r="V10" s="37" t="n">
        <f aca="false">1000*p_r_wb/(1-(1+p_r_wb)^-Sector_Params!$D$10)/p_cpt_fuel</f>
        <v>0.871845569768514</v>
      </c>
      <c r="W10" s="16" t="n">
        <f aca="false">T10*L10</f>
        <v>0</v>
      </c>
      <c r="X10" s="16" t="n">
        <f aca="false">U10*L10</f>
        <v>0</v>
      </c>
      <c r="Y10" s="16" t="n">
        <f aca="false">V10*L10</f>
        <v>29.2339723943134</v>
      </c>
      <c r="Z10" s="16" t="n">
        <f aca="false">Q10*L10</f>
        <v>2.85377782372191</v>
      </c>
      <c r="AA10" s="16" t="n">
        <f aca="false">R10*L10</f>
        <v>3.21570800898706</v>
      </c>
      <c r="AB10" s="16" t="n">
        <f aca="false">S10*L10</f>
        <v>2.92339723943134</v>
      </c>
      <c r="AC10" s="16" t="n">
        <f aca="false">Z10-W10</f>
        <v>2.85377782372191</v>
      </c>
      <c r="AD10" s="16" t="n">
        <f aca="false">AA10-W10</f>
        <v>3.21570800898706</v>
      </c>
      <c r="AE10" s="16" t="n">
        <f aca="false">AB10-W10</f>
        <v>2.92339723943134</v>
      </c>
      <c r="AF10" s="16" t="n">
        <f aca="false">AE10-X10</f>
        <v>2.92339723943134</v>
      </c>
      <c r="AG10" s="16" t="n">
        <f aca="false">AF10-p_spc_lo*Y10/1000</f>
        <v>1.46169861971567</v>
      </c>
      <c r="AH10" s="16" t="n">
        <f aca="false">AF10-p_spc_hi*Y10/1000</f>
        <v>0</v>
      </c>
      <c r="AI10" s="16" t="n">
        <f aca="false">Q10*J10</f>
        <v>7.50994164137345</v>
      </c>
      <c r="AJ10" s="16" t="n">
        <f aca="false">S10*J10</f>
        <v>7.69315063008249</v>
      </c>
      <c r="AK10" s="16" t="n">
        <f aca="false">T10*J10</f>
        <v>0</v>
      </c>
      <c r="AL10" s="16" t="n">
        <f aca="false">U10*J10</f>
        <v>0</v>
      </c>
      <c r="AM10" s="16" t="n">
        <f aca="false">AI10-AJ10</f>
        <v>-0.183208988709037</v>
      </c>
      <c r="AN10" s="16" t="n">
        <f aca="false">J10*Country_Data!$EB$5</f>
        <v>92.1954103097564</v>
      </c>
      <c r="AO10" s="16" t="n">
        <f aca="false">L10*Country_Data!$EB$5</f>
        <v>35.0342559177074</v>
      </c>
    </row>
    <row r="11" customFormat="false" ht="15" hidden="false" customHeight="false" outlineLevel="0" collapsed="false">
      <c r="A11" s="14" t="str">
        <f aca="false">Country_Data!$A$5</f>
        <v>USA</v>
      </c>
      <c r="B11" s="14" t="str">
        <f aca="false">Country_Data!$E$5</f>
        <v>AE</v>
      </c>
      <c r="C11" s="35" t="s">
        <v>488</v>
      </c>
      <c r="D11" s="37" t="n">
        <f aca="false">IF(Country_Data!$CE$5="","",Country_Data!$CE$5)</f>
        <v>1372.238</v>
      </c>
      <c r="E11" s="40" t="n">
        <f aca="false">Country_Data!$BW$5</f>
        <v>29298.025</v>
      </c>
      <c r="F11" s="41" t="n">
        <f aca="false">Country_Data!$BX$5</f>
        <v>1</v>
      </c>
      <c r="G11" s="42" t="n">
        <f aca="false">IF(D11="","",D11/SUMIFS($D$5:$D$1369,$B$5:$B$1369,B11,$C$5:$C$1369,C11))</f>
        <v>0.523700193185904</v>
      </c>
      <c r="H11" s="42" t="n">
        <f aca="false">E11/SUMIFS($E$5:$E$1369,$B$5:$B$1369,B11,$C$5:$C$1369,C11)</f>
        <v>0.371402425543024</v>
      </c>
      <c r="I11" s="43" t="n">
        <f aca="false">IF(G11="",H11,p_beta_alloc*G11+(1-p_beta_alloc)*H11)*F11^p_phi</f>
        <v>0.447551309364464</v>
      </c>
      <c r="J11" s="16" t="n">
        <f aca="false">INDEX(Sector_Params!$C$22:$E$22,MATCH(B11,Sector_Params!$C$15:$E$15,0))*I11/SUMIFS($I$5:$I$1369,$B$5:$B$1369,B11,$C$5:$C$1369,C11)</f>
        <v>17.3415492635865</v>
      </c>
      <c r="K11" s="28" t="n">
        <f aca="false">INDEX(Sector_Params!$F$11:$H$11,MATCH(B11,Sector_Params!$C$15:$E$15,0))</f>
        <v>0.38</v>
      </c>
      <c r="L11" s="16" t="n">
        <f aca="false">J11*K11</f>
        <v>6.58978872016286</v>
      </c>
      <c r="M11" s="44" t="n">
        <f aca="false">Country_Data!$DW$5+Sector_Params!$E$11</f>
        <v>0.05705</v>
      </c>
      <c r="N11" s="44" t="n">
        <f aca="false">Country_Data!$DX$5+Sector_Params!$E$11</f>
        <v>0.07205</v>
      </c>
      <c r="O11" s="11" t="n">
        <f aca="false">IF(p_use_ibrd=1,p_r_ibrd,p_r_wb)</f>
        <v>0.06</v>
      </c>
      <c r="P11" s="45" t="n">
        <f aca="false">Sector_Params!$D$11</f>
        <v>30</v>
      </c>
      <c r="Q11" s="46" t="n">
        <f aca="false">M11/(1-(1+M11)^-P11)</f>
        <v>0.0703706586481767</v>
      </c>
      <c r="R11" s="46" t="n">
        <f aca="false">N11/(1-(1+N11)^-P11)</f>
        <v>0.0822522658413617</v>
      </c>
      <c r="S11" s="46" t="n">
        <f aca="false">O11/(1-(1+O11)^-P11)</f>
        <v>0.0726489114900472</v>
      </c>
      <c r="T11" s="37" t="n">
        <f aca="false">0*Sector_Params!$I$11</f>
        <v>0</v>
      </c>
      <c r="U11" s="37" t="n">
        <f aca="false">p_c*Sector_Params!$J$11</f>
        <v>0.129</v>
      </c>
      <c r="V11" s="37" t="n">
        <f aca="false">1000*p_r_wb/(1-(1+p_r_wb)^-Sector_Params!$D$11)/p_cpt_afolu</f>
        <v>1.45297822980094</v>
      </c>
      <c r="W11" s="16" t="n">
        <f aca="false">T11*L11</f>
        <v>0</v>
      </c>
      <c r="X11" s="16" t="n">
        <f aca="false">U11*L11</f>
        <v>0.850082744901009</v>
      </c>
      <c r="Y11" s="16" t="n">
        <f aca="false">V11*L11</f>
        <v>9.57481954938446</v>
      </c>
      <c r="Z11" s="16" t="n">
        <f aca="false">Q11*L11</f>
        <v>0.463727772590186</v>
      </c>
      <c r="AA11" s="16" t="n">
        <f aca="false">R11*L11</f>
        <v>0.542025053649242</v>
      </c>
      <c r="AB11" s="16" t="n">
        <f aca="false">S11*L11</f>
        <v>0.478740977469223</v>
      </c>
      <c r="AC11" s="16" t="n">
        <f aca="false">Z11-W11</f>
        <v>0.463727772590186</v>
      </c>
      <c r="AD11" s="16" t="n">
        <f aca="false">AA11-W11</f>
        <v>0.542025053649242</v>
      </c>
      <c r="AE11" s="16" t="n">
        <f aca="false">AB11-W11</f>
        <v>0.478740977469223</v>
      </c>
      <c r="AF11" s="16" t="n">
        <f aca="false">AE11-X11</f>
        <v>-0.371341767431786</v>
      </c>
      <c r="AG11" s="16" t="n">
        <f aca="false">AF11-p_spc_lo*Y11/1000</f>
        <v>-0.850082744901009</v>
      </c>
      <c r="AH11" s="16" t="n">
        <f aca="false">AF11-p_spc_hi*Y11/1000</f>
        <v>-1.32882372237023</v>
      </c>
      <c r="AI11" s="16" t="n">
        <f aca="false">Q11*J11</f>
        <v>1.22033624365838</v>
      </c>
      <c r="AJ11" s="16" t="n">
        <f aca="false">S11*J11</f>
        <v>1.25984467755059</v>
      </c>
      <c r="AK11" s="16" t="n">
        <f aca="false">T11*J11</f>
        <v>0</v>
      </c>
      <c r="AL11" s="16" t="n">
        <f aca="false">U11*J11</f>
        <v>2.23705985500266</v>
      </c>
      <c r="AM11" s="16" t="n">
        <f aca="false">AI11-AJ11</f>
        <v>-0.0395084338922038</v>
      </c>
      <c r="AN11" s="16" t="n">
        <f aca="false">J11*Country_Data!$EB$5</f>
        <v>18.118929058161</v>
      </c>
      <c r="AO11" s="16" t="n">
        <f aca="false">L11*Country_Data!$EB$5</f>
        <v>6.8851930421012</v>
      </c>
    </row>
    <row r="12" customFormat="false" ht="15" hidden="false" customHeight="false" outlineLevel="0" collapsed="false">
      <c r="A12" s="14" t="str">
        <f aca="false">Country_Data!$A$6</f>
        <v>CHN</v>
      </c>
      <c r="B12" s="14" t="str">
        <f aca="false">Country_Data!$E$6</f>
        <v>China</v>
      </c>
      <c r="C12" s="35" t="s">
        <v>466</v>
      </c>
      <c r="D12" s="37" t="n">
        <f aca="false">IF(Country_Data!$BZ$6="","",Country_Data!$BZ$6)</f>
        <v>9048.6382483141</v>
      </c>
      <c r="E12" s="40" t="n">
        <f aca="false">Country_Data!$BW$6</f>
        <v>38209.549</v>
      </c>
      <c r="F12" s="41" t="n">
        <f aca="false">Country_Data!$BX$6</f>
        <v>0.495821397944268</v>
      </c>
      <c r="G12" s="42" t="n">
        <f aca="false">IF(D12="","",D12/SUMIFS($D$5:$D$1369,$B$5:$B$1369,B12,$C$5:$C$1369,C12))</f>
        <v>1</v>
      </c>
      <c r="H12" s="42" t="n">
        <f aca="false">E12/SUMIFS($E$5:$E$1369,$B$5:$B$1369,B12,$C$5:$C$1369,C12)</f>
        <v>1</v>
      </c>
      <c r="I12" s="43" t="n">
        <f aca="false">IF(G12="",H12,p_beta_alloc*G12+(1-p_beta_alloc)*H12)*F12^p_phi</f>
        <v>0.704145864110745</v>
      </c>
      <c r="J12" s="16" t="n">
        <f aca="false">INDEX(Sector_Params!$C$16:$E$16,MATCH(B12,Sector_Params!$C$15:$E$15,0))*I12/SUMIFS($I$5:$I$1369,$B$5:$B$1369,B12,$C$5:$C$1369,C12)</f>
        <v>297.5</v>
      </c>
      <c r="K12" s="28" t="n">
        <f aca="false">INDEX(Sector_Params!$F$5:$H$5,MATCH(B12,Sector_Params!$C$15:$E$15,0))</f>
        <v>0.38</v>
      </c>
      <c r="L12" s="16" t="n">
        <f aca="false">J12*K12</f>
        <v>113.05</v>
      </c>
      <c r="M12" s="44" t="n">
        <f aca="false">Country_Data!$DW$6+Sector_Params!$E$5</f>
        <v>0.0388999999999999</v>
      </c>
      <c r="N12" s="44" t="n">
        <f aca="false">Country_Data!$DX$6+Sector_Params!$E$5</f>
        <v>0.0588999999999999</v>
      </c>
      <c r="O12" s="11" t="n">
        <f aca="false">IF(p_use_ibrd=1,p_r_ibrd,p_r_wb)</f>
        <v>0.06</v>
      </c>
      <c r="P12" s="45" t="n">
        <f aca="false">Sector_Params!$D$5</f>
        <v>25</v>
      </c>
      <c r="Q12" s="46" t="n">
        <f aca="false">M12/(1-(1+M12)^-P12)</f>
        <v>0.0632698766556994</v>
      </c>
      <c r="R12" s="46" t="n">
        <f aca="false">N12/(1-(1+N12)^-P12)</f>
        <v>0.0774109489836395</v>
      </c>
      <c r="S12" s="46" t="n">
        <f aca="false">O12/(1-(1+O12)^-P12)</f>
        <v>0.078226718212274</v>
      </c>
      <c r="T12" s="37" t="n">
        <f aca="false">IF(AND(p_eng=1,ISNUMBER(Country_Data!$CZ$6)),Country_Data!$CZ$6,Country_Data!$CM$6)*Sector_Params!$I$5</f>
        <v>0.0463428482376869</v>
      </c>
      <c r="U12" s="37" t="n">
        <f aca="false">IF(AND(p_eng=1,ISNUMBER(Country_Data!$DA$6)),Country_Data!$DA$6,Country_Data!$CN$6)*Sector_Params!$J$5</f>
        <v>0.121512125002797</v>
      </c>
      <c r="V12" s="37" t="n">
        <f aca="false">IF(AND(p_eng=1,ISNUMBER(Country_Data!$DB$6)),Country_Data!$DB$6,p_a)</f>
        <v>1.23276710143899</v>
      </c>
      <c r="W12" s="16" t="n">
        <f aca="false">T12*L12</f>
        <v>5.2390589932705</v>
      </c>
      <c r="X12" s="16" t="n">
        <f aca="false">U12*L12</f>
        <v>13.7369457315662</v>
      </c>
      <c r="Y12" s="16" t="n">
        <f aca="false">V12*L12</f>
        <v>139.364320817677</v>
      </c>
      <c r="Z12" s="16" t="n">
        <f aca="false">Q12*L12</f>
        <v>7.15265955592682</v>
      </c>
      <c r="AA12" s="16" t="n">
        <f aca="false">R12*L12</f>
        <v>8.75130778260044</v>
      </c>
      <c r="AB12" s="16" t="n">
        <f aca="false">S12*L12</f>
        <v>8.84353049389757</v>
      </c>
      <c r="AC12" s="16" t="n">
        <f aca="false">Z12-W12</f>
        <v>1.91360056265632</v>
      </c>
      <c r="AD12" s="16" t="n">
        <f aca="false">AA12-W12</f>
        <v>3.51224878932994</v>
      </c>
      <c r="AE12" s="16" t="n">
        <f aca="false">AB12-W12</f>
        <v>3.60447150062707</v>
      </c>
      <c r="AF12" s="16" t="n">
        <f aca="false">AE12-X12</f>
        <v>-10.1324742309391</v>
      </c>
      <c r="AG12" s="16" t="n">
        <f aca="false">AF12-p_spc_lo*Y12/1000</f>
        <v>-17.100690271823</v>
      </c>
      <c r="AH12" s="16" t="n">
        <f aca="false">AF12-p_spc_hi*Y12/1000</f>
        <v>-24.0689063127069</v>
      </c>
      <c r="AI12" s="16" t="n">
        <f aca="false">Q12*J12</f>
        <v>18.8227883050706</v>
      </c>
      <c r="AJ12" s="16" t="n">
        <f aca="false">S12*J12</f>
        <v>23.2724486681515</v>
      </c>
      <c r="AK12" s="16" t="n">
        <f aca="false">T12*J12</f>
        <v>13.7869973507119</v>
      </c>
      <c r="AL12" s="16" t="n">
        <f aca="false">U12*J12</f>
        <v>36.1498571883321</v>
      </c>
      <c r="AM12" s="16" t="n">
        <f aca="false">AI12-AJ12</f>
        <v>-4.44966036308092</v>
      </c>
      <c r="AN12" s="16" t="n">
        <f aca="false">J12*Country_Data!$EB$6</f>
        <v>352.517123287671</v>
      </c>
      <c r="AO12" s="16" t="n">
        <f aca="false">L12*Country_Data!$EB$6</f>
        <v>133.956506849315</v>
      </c>
    </row>
    <row r="13" customFormat="false" ht="15" hidden="false" customHeight="false" outlineLevel="0" collapsed="false">
      <c r="A13" s="14" t="str">
        <f aca="false">Country_Data!$A$6</f>
        <v>CHN</v>
      </c>
      <c r="B13" s="14" t="str">
        <f aca="false">Country_Data!$E$6</f>
        <v>China</v>
      </c>
      <c r="C13" s="35" t="s">
        <v>470</v>
      </c>
      <c r="D13" s="37" t="n">
        <f aca="false">IF(Country_Data!$BZ$6="","",Country_Data!$BZ$6)</f>
        <v>9048.6382483141</v>
      </c>
      <c r="E13" s="40" t="n">
        <f aca="false">Country_Data!$BW$6</f>
        <v>38209.549</v>
      </c>
      <c r="F13" s="41" t="n">
        <f aca="false">Country_Data!$BX$6</f>
        <v>0.495821397944268</v>
      </c>
      <c r="G13" s="42" t="n">
        <f aca="false">IF(D13="","",D13/SUMIFS($D$5:$D$1369,$B$5:$B$1369,B13,$C$5:$C$1369,C13))</f>
        <v>1</v>
      </c>
      <c r="H13" s="42" t="n">
        <f aca="false">E13/SUMIFS($E$5:$E$1369,$B$5:$B$1369,B13,$C$5:$C$1369,C13)</f>
        <v>1</v>
      </c>
      <c r="I13" s="43" t="n">
        <f aca="false">IF(G13="",H13,p_beta_alloc*G13+(1-p_beta_alloc)*H13)*F13^p_phi</f>
        <v>0.704145864110745</v>
      </c>
      <c r="J13" s="16" t="n">
        <f aca="false">INDEX(Sector_Params!$C$17:$E$17,MATCH(B13,Sector_Params!$C$15:$E$15,0))*I13/SUMIFS($I$5:$I$1369,$B$5:$B$1369,B13,$C$5:$C$1369,C13)</f>
        <v>204</v>
      </c>
      <c r="K13" s="28" t="n">
        <f aca="false">INDEX(Sector_Params!$F$6:$H$6,MATCH(B13,Sector_Params!$C$15:$E$15,0))</f>
        <v>0.38</v>
      </c>
      <c r="L13" s="16" t="n">
        <f aca="false">J13*K13</f>
        <v>77.52</v>
      </c>
      <c r="M13" s="44" t="n">
        <f aca="false">Country_Data!$DW$6+Sector_Params!$E$6</f>
        <v>0.0388999999999999</v>
      </c>
      <c r="N13" s="44" t="n">
        <f aca="false">Country_Data!$DX$6+Sector_Params!$E$6</f>
        <v>0.0588999999999999</v>
      </c>
      <c r="O13" s="11" t="n">
        <f aca="false">IF(p_use_ibrd=1,p_r_ibrd,p_r_wb)</f>
        <v>0.06</v>
      </c>
      <c r="P13" s="45" t="n">
        <f aca="false">Sector_Params!$D$6</f>
        <v>40</v>
      </c>
      <c r="Q13" s="46" t="n">
        <f aca="false">M13/(1-(1+M13)^-P13)</f>
        <v>0.0496994529797516</v>
      </c>
      <c r="R13" s="46" t="n">
        <f aca="false">N13/(1-(1+N13)^-P13)</f>
        <v>0.0655423894990828</v>
      </c>
      <c r="S13" s="46" t="n">
        <f aca="false">O13/(1-(1+O13)^-P13)</f>
        <v>0.0664615359206755</v>
      </c>
      <c r="T13" s="37" t="n">
        <f aca="false">p_grid_credit*IF(AND(p_eng=1,ISNUMBER(Country_Data!$CZ$6)),Country_Data!$CZ$6,Country_Data!$CM$6)*Sector_Params!$I$6</f>
        <v>0</v>
      </c>
      <c r="U13" s="37" t="n">
        <f aca="false">p_grid_credit*IF(AND(p_eng=1,ISNUMBER(Country_Data!$DA$6)),Country_Data!$DA$6,Country_Data!$CN$6)*Sector_Params!$J$6</f>
        <v>0</v>
      </c>
      <c r="V13" s="37" t="n">
        <f aca="false">p_grid_credit*IF(AND(p_eng=1,ISNUMBER(Country_Data!$DB$6)),Country_Data!$DB$6,p_a)</f>
        <v>0</v>
      </c>
      <c r="W13" s="16" t="n">
        <f aca="false">T13*L13</f>
        <v>0</v>
      </c>
      <c r="X13" s="16" t="n">
        <f aca="false">U13*L13</f>
        <v>0</v>
      </c>
      <c r="Y13" s="16" t="n">
        <f aca="false">V13*L13</f>
        <v>0</v>
      </c>
      <c r="Z13" s="16" t="n">
        <f aca="false">Q13*L13</f>
        <v>3.85270159499035</v>
      </c>
      <c r="AA13" s="16" t="n">
        <f aca="false">R13*L13</f>
        <v>5.0808460339689</v>
      </c>
      <c r="AB13" s="16" t="n">
        <f aca="false">S13*L13</f>
        <v>5.15209826457076</v>
      </c>
      <c r="AC13" s="16" t="n">
        <f aca="false">Z13-W13</f>
        <v>3.85270159499035</v>
      </c>
      <c r="AD13" s="16" t="n">
        <f aca="false">AA13-W13</f>
        <v>5.0808460339689</v>
      </c>
      <c r="AE13" s="16" t="n">
        <f aca="false">AB13-W13</f>
        <v>5.15209826457076</v>
      </c>
      <c r="AF13" s="16" t="n">
        <f aca="false">AE13-X13</f>
        <v>5.15209826457076</v>
      </c>
      <c r="AG13" s="16" t="n">
        <f aca="false">AF13-p_spc_lo*Y13/1000</f>
        <v>5.15209826457076</v>
      </c>
      <c r="AH13" s="16" t="n">
        <f aca="false">AF13-p_spc_hi*Y13/1000</f>
        <v>5.15209826457076</v>
      </c>
      <c r="AI13" s="16" t="n">
        <f aca="false">Q13*J13</f>
        <v>10.1386884078693</v>
      </c>
      <c r="AJ13" s="16" t="n">
        <f aca="false">S13*J13</f>
        <v>13.5581533278178</v>
      </c>
      <c r="AK13" s="16" t="n">
        <f aca="false">T13*J13</f>
        <v>0</v>
      </c>
      <c r="AL13" s="16" t="n">
        <f aca="false">U13*J13</f>
        <v>0</v>
      </c>
      <c r="AM13" s="16" t="n">
        <f aca="false">AI13-AJ13</f>
        <v>-3.41946491994847</v>
      </c>
      <c r="AN13" s="16" t="n">
        <f aca="false">J13*Country_Data!$EB$6</f>
        <v>241.72602739726</v>
      </c>
      <c r="AO13" s="16" t="n">
        <f aca="false">L13*Country_Data!$EB$6</f>
        <v>91.8558904109589</v>
      </c>
    </row>
    <row r="14" customFormat="false" ht="15" hidden="false" customHeight="false" outlineLevel="0" collapsed="false">
      <c r="A14" s="14" t="str">
        <f aca="false">Country_Data!$A$6</f>
        <v>CHN</v>
      </c>
      <c r="B14" s="14" t="str">
        <f aca="false">Country_Data!$E$6</f>
        <v>China</v>
      </c>
      <c r="C14" s="35" t="s">
        <v>473</v>
      </c>
      <c r="D14" s="37" t="n">
        <f aca="false">IF(Country_Data!$CA$6="","",Country_Data!$CA$6)</f>
        <v>14.9630907249926</v>
      </c>
      <c r="E14" s="40" t="n">
        <f aca="false">Country_Data!$BW$6</f>
        <v>38209.549</v>
      </c>
      <c r="F14" s="41" t="n">
        <f aca="false">Country_Data!$BX$6</f>
        <v>0.495821397944268</v>
      </c>
      <c r="G14" s="42" t="n">
        <f aca="false">IF(D14="","",D14/SUMIFS($D$5:$D$1369,$B$5:$B$1369,B14,$C$5:$C$1369,C14))</f>
        <v>1</v>
      </c>
      <c r="H14" s="42" t="n">
        <f aca="false">E14/SUMIFS($E$5:$E$1369,$B$5:$B$1369,B14,$C$5:$C$1369,C14)</f>
        <v>1</v>
      </c>
      <c r="I14" s="43" t="n">
        <f aca="false">IF(G14="",H14,p_beta_alloc*G14+(1-p_beta_alloc)*H14)*F14^p_phi</f>
        <v>0.704145864110745</v>
      </c>
      <c r="J14" s="16" t="n">
        <f aca="false">INDEX(Sector_Params!$C$18:$E$18,MATCH(B14,Sector_Params!$C$15:$E$15,0))*I14/SUMIFS($I$5:$I$1369,$B$5:$B$1369,B14,$C$5:$C$1369,C14)</f>
        <v>126.225</v>
      </c>
      <c r="K14" s="28" t="n">
        <f aca="false">INDEX(Sector_Params!$F$7:$H$7,MATCH(B14,Sector_Params!$C$15:$E$15,0))</f>
        <v>0.38</v>
      </c>
      <c r="L14" s="16" t="n">
        <f aca="false">J14*K14</f>
        <v>47.9655</v>
      </c>
      <c r="M14" s="44" t="n">
        <f aca="false">Country_Data!$DW$6+Sector_Params!$E$7</f>
        <v>0.0388999999999999</v>
      </c>
      <c r="N14" s="44" t="n">
        <f aca="false">Country_Data!$DX$6+Sector_Params!$E$7</f>
        <v>0.0588999999999999</v>
      </c>
      <c r="O14" s="11" t="n">
        <f aca="false">IF(p_use_ibrd=1,p_r_ibrd,p_r_wb)</f>
        <v>0.06</v>
      </c>
      <c r="P14" s="45" t="n">
        <f aca="false">Sector_Params!$D$7</f>
        <v>12</v>
      </c>
      <c r="Q14" s="46" t="n">
        <f aca="false">M14/(1-(1+M14)^-P14)</f>
        <v>0.105873214426547</v>
      </c>
      <c r="R14" s="46" t="n">
        <f aca="false">N14/(1-(1+N14)^-P14)</f>
        <v>0.118558772822431</v>
      </c>
      <c r="S14" s="46" t="n">
        <f aca="false">O14/(1-(1+O14)^-P14)</f>
        <v>0.119277029380664</v>
      </c>
      <c r="T14" s="37" t="n">
        <f aca="false">IF(AND(p_eng=1,ISNUMBER(Country_Data!$DE$6)),Country_Data!$DE$6,Country_Data!$CM$6)*Sector_Params!$I$7</f>
        <v>0.17480043</v>
      </c>
      <c r="U14" s="37" t="n">
        <f aca="false">IF(AND(p_eng=1,ISNUMBER(Country_Data!$DF$6)),Country_Data!$DF$6,Country_Data!$CN$6)*Sector_Params!$J$7</f>
        <v>0.0540189</v>
      </c>
      <c r="V14" s="37" t="n">
        <f aca="false">IF(AND(p_eng=1,ISNUMBER(Country_Data!$DG$6)),Country_Data!$DG$6,p_a)</f>
        <v>0.243993286545724</v>
      </c>
      <c r="W14" s="16" t="n">
        <f aca="false">T14*L14</f>
        <v>8.384390025165</v>
      </c>
      <c r="X14" s="16" t="n">
        <f aca="false">U14*L14</f>
        <v>2.59104354795</v>
      </c>
      <c r="Y14" s="16" t="n">
        <f aca="false">V14*L14</f>
        <v>11.7032599858089</v>
      </c>
      <c r="Z14" s="16" t="n">
        <f aca="false">Q14*L14</f>
        <v>5.07826166657654</v>
      </c>
      <c r="AA14" s="16" t="n">
        <f aca="false">R14*L14</f>
        <v>5.68673081781431</v>
      </c>
      <c r="AB14" s="16" t="n">
        <f aca="false">S14*L14</f>
        <v>5.72118235275822</v>
      </c>
      <c r="AC14" s="16" t="n">
        <f aca="false">Z14-W14</f>
        <v>-3.30612835858846</v>
      </c>
      <c r="AD14" s="16" t="n">
        <f aca="false">AA14-W14</f>
        <v>-2.69765920735069</v>
      </c>
      <c r="AE14" s="16" t="n">
        <f aca="false">AB14-W14</f>
        <v>-2.66320767240678</v>
      </c>
      <c r="AF14" s="16" t="n">
        <f aca="false">AE14-X14</f>
        <v>-5.25425122035678</v>
      </c>
      <c r="AG14" s="16" t="n">
        <f aca="false">AF14-p_spc_lo*Y14/1000</f>
        <v>-5.83941421964723</v>
      </c>
      <c r="AH14" s="16" t="n">
        <f aca="false">AF14-p_spc_hi*Y14/1000</f>
        <v>-6.42457721893768</v>
      </c>
      <c r="AI14" s="16" t="n">
        <f aca="false">Q14*J14</f>
        <v>13.3638464909909</v>
      </c>
      <c r="AJ14" s="16" t="n">
        <f aca="false">S14*J14</f>
        <v>15.0557430335743</v>
      </c>
      <c r="AK14" s="16" t="n">
        <f aca="false">T14*J14</f>
        <v>22.06418427675</v>
      </c>
      <c r="AL14" s="16" t="n">
        <f aca="false">U14*J14</f>
        <v>6.8185356525</v>
      </c>
      <c r="AM14" s="16" t="n">
        <f aca="false">AI14-AJ14</f>
        <v>-1.69189654258336</v>
      </c>
      <c r="AN14" s="16" t="n">
        <f aca="false">J14*Country_Data!$EB$6</f>
        <v>149.567979452055</v>
      </c>
      <c r="AO14" s="16" t="n">
        <f aca="false">L14*Country_Data!$EB$6</f>
        <v>56.8358321917808</v>
      </c>
    </row>
    <row r="15" customFormat="false" ht="15" hidden="false" customHeight="false" outlineLevel="0" collapsed="false">
      <c r="A15" s="14" t="str">
        <f aca="false">Country_Data!$A$6</f>
        <v>CHN</v>
      </c>
      <c r="B15" s="14" t="str">
        <f aca="false">Country_Data!$E$6</f>
        <v>China</v>
      </c>
      <c r="C15" s="35" t="s">
        <v>477</v>
      </c>
      <c r="D15" s="37" t="n">
        <f aca="false">IF(Country_Data!$CB$6="","",Country_Data!$CB$6)</f>
        <v>15.9916942852829</v>
      </c>
      <c r="E15" s="40" t="n">
        <f aca="false">Country_Data!$BW$6</f>
        <v>38209.549</v>
      </c>
      <c r="F15" s="41" t="n">
        <f aca="false">Country_Data!$BX$6</f>
        <v>0.495821397944268</v>
      </c>
      <c r="G15" s="42" t="n">
        <f aca="false">IF(D15="","",D15/SUMIFS($D$5:$D$1369,$B$5:$B$1369,B15,$C$5:$C$1369,C15))</f>
        <v>1</v>
      </c>
      <c r="H15" s="42" t="n">
        <f aca="false">E15/SUMIFS($E$5:$E$1369,$B$5:$B$1369,B15,$C$5:$C$1369,C15)</f>
        <v>1</v>
      </c>
      <c r="I15" s="43" t="n">
        <f aca="false">IF(G15="",H15,p_beta_alloc*G15+(1-p_beta_alloc)*H15)*F15^p_phi</f>
        <v>0.704145864110745</v>
      </c>
      <c r="J15" s="16" t="n">
        <f aca="false">INDEX(Sector_Params!$C$19:$E$19,MATCH(B15,Sector_Params!$C$15:$E$15,0))*I15/SUMIFS($I$5:$I$1369,$B$5:$B$1369,B15,$C$5:$C$1369,C15)</f>
        <v>98.175</v>
      </c>
      <c r="K15" s="28" t="n">
        <f aca="false">INDEX(Sector_Params!$F$8:$H$8,MATCH(B15,Sector_Params!$C$15:$E$15,0))</f>
        <v>0.38</v>
      </c>
      <c r="L15" s="16" t="n">
        <f aca="false">J15*K15</f>
        <v>37.3065</v>
      </c>
      <c r="M15" s="44" t="n">
        <f aca="false">Country_Data!$DW$6+Sector_Params!$E$8</f>
        <v>0.0388999999999999</v>
      </c>
      <c r="N15" s="44" t="n">
        <f aca="false">Country_Data!$DX$6+Sector_Params!$E$8</f>
        <v>0.0588999999999999</v>
      </c>
      <c r="O15" s="11" t="n">
        <f aca="false">IF(p_use_ibrd=1,p_r_ibrd,p_r_wb)</f>
        <v>0.06</v>
      </c>
      <c r="P15" s="45" t="n">
        <f aca="false">Sector_Params!$D$8</f>
        <v>25</v>
      </c>
      <c r="Q15" s="46" t="n">
        <f aca="false">M15/(1-(1+M15)^-P15)</f>
        <v>0.0632698766556994</v>
      </c>
      <c r="R15" s="46" t="n">
        <f aca="false">N15/(1-(1+N15)^-P15)</f>
        <v>0.0774109489836395</v>
      </c>
      <c r="S15" s="46" t="n">
        <f aca="false">O15/(1-(1+O15)^-P15)</f>
        <v>0.078226718212274</v>
      </c>
      <c r="T15" s="37" t="n">
        <f aca="false">Country_Data!$CM$6*Sector_Params!$I$8</f>
        <v>0.0676597895487808</v>
      </c>
      <c r="U15" s="37" t="n">
        <f aca="false">Country_Data!$CN$6*Sector_Params!$J$8</f>
        <v>0.332507166335079</v>
      </c>
      <c r="V15" s="37" t="n">
        <f aca="false">p_a</f>
        <v>0.35</v>
      </c>
      <c r="W15" s="16" t="n">
        <f aca="false">T15*L15</f>
        <v>2.52414993880159</v>
      </c>
      <c r="X15" s="16" t="n">
        <f aca="false">U15*L15</f>
        <v>12.4046786008796</v>
      </c>
      <c r="Y15" s="16" t="n">
        <f aca="false">V15*L15</f>
        <v>13.057275</v>
      </c>
      <c r="Z15" s="16" t="n">
        <f aca="false">Q15*L15</f>
        <v>2.36037765345585</v>
      </c>
      <c r="AA15" s="16" t="n">
        <f aca="false">R15*L15</f>
        <v>2.88793156825815</v>
      </c>
      <c r="AB15" s="16" t="n">
        <f aca="false">S15*L15</f>
        <v>2.9183650629862</v>
      </c>
      <c r="AC15" s="16" t="n">
        <f aca="false">Z15-W15</f>
        <v>-0.163772285345742</v>
      </c>
      <c r="AD15" s="16" t="n">
        <f aca="false">AA15-W15</f>
        <v>0.363781629456554</v>
      </c>
      <c r="AE15" s="16" t="n">
        <f aca="false">AB15-W15</f>
        <v>0.394215124184606</v>
      </c>
      <c r="AF15" s="16" t="n">
        <f aca="false">AE15-X15</f>
        <v>-12.010463476695</v>
      </c>
      <c r="AG15" s="16" t="n">
        <f aca="false">AF15-p_spc_lo*Y15/1000</f>
        <v>-12.663327226695</v>
      </c>
      <c r="AH15" s="16" t="n">
        <f aca="false">AF15-p_spc_hi*Y15/1000</f>
        <v>-13.316190976695</v>
      </c>
      <c r="AI15" s="16" t="n">
        <f aca="false">Q15*J15</f>
        <v>6.21152014067329</v>
      </c>
      <c r="AJ15" s="16" t="n">
        <f aca="false">S15*J15</f>
        <v>7.67990806048999</v>
      </c>
      <c r="AK15" s="16" t="n">
        <f aca="false">T15*J15</f>
        <v>6.64249983895156</v>
      </c>
      <c r="AL15" s="16" t="n">
        <f aca="false">U15*J15</f>
        <v>32.6438910549463</v>
      </c>
      <c r="AM15" s="16" t="n">
        <f aca="false">AI15-AJ15</f>
        <v>-1.4683879198167</v>
      </c>
      <c r="AN15" s="16" t="n">
        <f aca="false">J15*Country_Data!$EB$6</f>
        <v>116.330650684932</v>
      </c>
      <c r="AO15" s="16" t="n">
        <f aca="false">L15*Country_Data!$EB$6</f>
        <v>44.205647260274</v>
      </c>
    </row>
    <row r="16" customFormat="false" ht="15" hidden="false" customHeight="false" outlineLevel="0" collapsed="false">
      <c r="A16" s="14" t="str">
        <f aca="false">Country_Data!$A$6</f>
        <v>CHN</v>
      </c>
      <c r="B16" s="14" t="str">
        <f aca="false">Country_Data!$E$6</f>
        <v>China</v>
      </c>
      <c r="C16" s="35" t="s">
        <v>481</v>
      </c>
      <c r="D16" s="37" t="n">
        <f aca="false">IF(Country_Data!$CC$6="","",Country_Data!$CC$6)</f>
        <v>58.2173488020721</v>
      </c>
      <c r="E16" s="40" t="n">
        <f aca="false">Country_Data!$BW$6</f>
        <v>38209.549</v>
      </c>
      <c r="F16" s="41" t="n">
        <f aca="false">Country_Data!$BX$6</f>
        <v>0.495821397944268</v>
      </c>
      <c r="G16" s="42" t="n">
        <f aca="false">IF(D16="","",D16/SUMIFS($D$5:$D$1369,$B$5:$B$1369,B16,$C$5:$C$1369,C16))</f>
        <v>1</v>
      </c>
      <c r="H16" s="42" t="n">
        <f aca="false">E16/SUMIFS($E$5:$E$1369,$B$5:$B$1369,B16,$C$5:$C$1369,C16)</f>
        <v>1</v>
      </c>
      <c r="I16" s="43" t="n">
        <f aca="false">IF(G16="",H16,p_beta_alloc*G16+(1-p_beta_alloc)*H16)*F16^p_phi</f>
        <v>0.704145864110745</v>
      </c>
      <c r="J16" s="16" t="n">
        <f aca="false">INDEX(Sector_Params!$C$20:$E$20,MATCH(B16,Sector_Params!$C$15:$E$15,0))*I16/SUMIFS($I$5:$I$1369,$B$5:$B$1369,B16,$C$5:$C$1369,C16)</f>
        <v>56.1</v>
      </c>
      <c r="K16" s="28" t="n">
        <f aca="false">INDEX(Sector_Params!$F$9:$H$9,MATCH(B16,Sector_Params!$C$15:$E$15,0))</f>
        <v>0.38</v>
      </c>
      <c r="L16" s="16" t="n">
        <f aca="false">J16*K16</f>
        <v>21.318</v>
      </c>
      <c r="M16" s="44" t="n">
        <f aca="false">Country_Data!$DW$6+Sector_Params!$E$9</f>
        <v>0.0388999999999999</v>
      </c>
      <c r="N16" s="44" t="n">
        <f aca="false">Country_Data!$DX$6+Sector_Params!$E$9</f>
        <v>0.0588999999999999</v>
      </c>
      <c r="O16" s="11" t="n">
        <f aca="false">IF(p_use_ibrd=1,p_r_ibrd,p_r_wb)</f>
        <v>0.06</v>
      </c>
      <c r="P16" s="45" t="n">
        <f aca="false">Sector_Params!$D$9</f>
        <v>25</v>
      </c>
      <c r="Q16" s="46" t="n">
        <f aca="false">M16/(1-(1+M16)^-P16)</f>
        <v>0.0632698766556994</v>
      </c>
      <c r="R16" s="46" t="n">
        <f aca="false">N16/(1-(1+N16)^-P16)</f>
        <v>0.0774109489836395</v>
      </c>
      <c r="S16" s="46" t="n">
        <f aca="false">O16/(1-(1+O16)^-P16)</f>
        <v>0.078226718212274</v>
      </c>
      <c r="T16" s="37" t="n">
        <f aca="false">Country_Data!$CM$6*Sector_Params!$I$9</f>
        <v>0.0676597895487808</v>
      </c>
      <c r="U16" s="37" t="n">
        <f aca="false">Country_Data!$CN$6*Sector_Params!$J$9</f>
        <v>0.332507166335079</v>
      </c>
      <c r="V16" s="37" t="n">
        <f aca="false">p_a</f>
        <v>0.35</v>
      </c>
      <c r="W16" s="16" t="n">
        <f aca="false">T16*L16</f>
        <v>1.44237139360091</v>
      </c>
      <c r="X16" s="16" t="n">
        <f aca="false">U16*L16</f>
        <v>7.08838777193121</v>
      </c>
      <c r="Y16" s="16" t="n">
        <f aca="false">V16*L16</f>
        <v>7.4613</v>
      </c>
      <c r="Z16" s="16" t="n">
        <f aca="false">Q16*L16</f>
        <v>1.3487872305462</v>
      </c>
      <c r="AA16" s="16" t="n">
        <f aca="false">R16*L16</f>
        <v>1.65024661043323</v>
      </c>
      <c r="AB16" s="16" t="n">
        <f aca="false">S16*L16</f>
        <v>1.66763717884926</v>
      </c>
      <c r="AC16" s="16" t="n">
        <f aca="false">Z16-W16</f>
        <v>-0.0935841630547092</v>
      </c>
      <c r="AD16" s="16" t="n">
        <f aca="false">AA16-W16</f>
        <v>0.207875216832317</v>
      </c>
      <c r="AE16" s="16" t="n">
        <f aca="false">AB16-W16</f>
        <v>0.225265785248347</v>
      </c>
      <c r="AF16" s="16" t="n">
        <f aca="false">AE16-X16</f>
        <v>-6.86312198668286</v>
      </c>
      <c r="AG16" s="16" t="n">
        <f aca="false">AF16-p_spc_lo*Y16/1000</f>
        <v>-7.23618698668286</v>
      </c>
      <c r="AH16" s="16" t="n">
        <f aca="false">AF16-p_spc_hi*Y16/1000</f>
        <v>-7.60925198668286</v>
      </c>
      <c r="AI16" s="16" t="n">
        <f aca="false">Q16*J16</f>
        <v>3.54944008038474</v>
      </c>
      <c r="AJ16" s="16" t="n">
        <f aca="false">S16*J16</f>
        <v>4.38851889170857</v>
      </c>
      <c r="AK16" s="16" t="n">
        <f aca="false">T16*J16</f>
        <v>3.79571419368661</v>
      </c>
      <c r="AL16" s="16" t="n">
        <f aca="false">U16*J16</f>
        <v>18.6536520313979</v>
      </c>
      <c r="AM16" s="16" t="n">
        <f aca="false">AI16-AJ16</f>
        <v>-0.839078811323831</v>
      </c>
      <c r="AN16" s="16" t="n">
        <f aca="false">J16*Country_Data!$EB$6</f>
        <v>66.4746575342466</v>
      </c>
      <c r="AO16" s="16" t="n">
        <f aca="false">L16*Country_Data!$EB$6</f>
        <v>25.2603698630137</v>
      </c>
    </row>
    <row r="17" customFormat="false" ht="15" hidden="false" customHeight="false" outlineLevel="0" collapsed="false">
      <c r="A17" s="14" t="str">
        <f aca="false">Country_Data!$A$6</f>
        <v>CHN</v>
      </c>
      <c r="B17" s="14" t="str">
        <f aca="false">Country_Data!$E$6</f>
        <v>China</v>
      </c>
      <c r="C17" s="35" t="s">
        <v>484</v>
      </c>
      <c r="D17" s="37" t="n">
        <f aca="false">IF(Country_Data!$CD$6="","",Country_Data!$CD$6)</f>
        <v>119.604815397944</v>
      </c>
      <c r="E17" s="40" t="n">
        <f aca="false">Country_Data!$BW$6</f>
        <v>38209.549</v>
      </c>
      <c r="F17" s="41" t="n">
        <f aca="false">Country_Data!$BX$6</f>
        <v>0.495821397944268</v>
      </c>
      <c r="G17" s="42" t="n">
        <f aca="false">IF(D17="","",D17/SUMIFS($D$5:$D$1369,$B$5:$B$1369,B17,$C$5:$C$1369,C17))</f>
        <v>1</v>
      </c>
      <c r="H17" s="42" t="n">
        <f aca="false">E17/SUMIFS($E$5:$E$1369,$B$5:$B$1369,B17,$C$5:$C$1369,C17)</f>
        <v>1</v>
      </c>
      <c r="I17" s="43" t="n">
        <f aca="false">IF(G17="",H17,p_beta_alloc*G17+(1-p_beta_alloc)*H17)*F17^p_phi</f>
        <v>0.704145864110745</v>
      </c>
      <c r="J17" s="16" t="n">
        <f aca="false">INDEX(Sector_Params!$C$21:$E$21,MATCH(B17,Sector_Params!$C$15:$E$15,0))*I17/SUMIFS($I$5:$I$1369,$B$5:$B$1369,B17,$C$5:$C$1369,C17)</f>
        <v>68</v>
      </c>
      <c r="K17" s="28" t="n">
        <f aca="false">INDEX(Sector_Params!$F$10:$H$10,MATCH(B17,Sector_Params!$C$15:$E$15,0))</f>
        <v>0.38</v>
      </c>
      <c r="L17" s="16" t="n">
        <f aca="false">J17*K17</f>
        <v>25.84</v>
      </c>
      <c r="M17" s="44" t="n">
        <f aca="false">Country_Data!$DW$6+Sector_Params!$E$10</f>
        <v>0.0388999999999999</v>
      </c>
      <c r="N17" s="44" t="n">
        <f aca="false">Country_Data!$DX$6+Sector_Params!$E$10</f>
        <v>0.0588999999999999</v>
      </c>
      <c r="O17" s="11" t="n">
        <f aca="false">IF(p_use_ibrd=1,p_r_ibrd,p_r_wb)</f>
        <v>0.06</v>
      </c>
      <c r="P17" s="45" t="n">
        <f aca="false">Sector_Params!$D$10</f>
        <v>20</v>
      </c>
      <c r="Q17" s="46" t="n">
        <f aca="false">M17/(1-(1+M17)^-P17)</f>
        <v>0.0728668202357479</v>
      </c>
      <c r="R17" s="46" t="n">
        <f aca="false">N17/(1-(1+N17)^-P17)</f>
        <v>0.0864076256528747</v>
      </c>
      <c r="S17" s="46" t="n">
        <f aca="false">O17/(1-(1+O17)^-P17)</f>
        <v>0.0871845569768514</v>
      </c>
      <c r="T17" s="37" t="n">
        <f aca="false">0*Sector_Params!$I$10</f>
        <v>0</v>
      </c>
      <c r="U17" s="37" t="n">
        <f aca="false">0*Sector_Params!$J$10</f>
        <v>0</v>
      </c>
      <c r="V17" s="37" t="n">
        <f aca="false">1000*p_r_wb/(1-(1+p_r_wb)^-Sector_Params!$D$10)/p_cpt_fuel</f>
        <v>0.871845569768514</v>
      </c>
      <c r="W17" s="16" t="n">
        <f aca="false">T17*L17</f>
        <v>0</v>
      </c>
      <c r="X17" s="16" t="n">
        <f aca="false">U17*L17</f>
        <v>0</v>
      </c>
      <c r="Y17" s="16" t="n">
        <f aca="false">V17*L17</f>
        <v>22.5284895228184</v>
      </c>
      <c r="Z17" s="16" t="n">
        <f aca="false">Q17*L17</f>
        <v>1.88287863489173</v>
      </c>
      <c r="AA17" s="16" t="n">
        <f aca="false">R17*L17</f>
        <v>2.23277304687028</v>
      </c>
      <c r="AB17" s="16" t="n">
        <f aca="false">S17*L17</f>
        <v>2.25284895228184</v>
      </c>
      <c r="AC17" s="16" t="n">
        <f aca="false">Z17-W17</f>
        <v>1.88287863489173</v>
      </c>
      <c r="AD17" s="16" t="n">
        <f aca="false">AA17-W17</f>
        <v>2.23277304687028</v>
      </c>
      <c r="AE17" s="16" t="n">
        <f aca="false">AB17-W17</f>
        <v>2.25284895228184</v>
      </c>
      <c r="AF17" s="16" t="n">
        <f aca="false">AE17-X17</f>
        <v>2.25284895228184</v>
      </c>
      <c r="AG17" s="16" t="n">
        <f aca="false">AF17-p_spc_lo*Y17/1000</f>
        <v>1.12642447614092</v>
      </c>
      <c r="AH17" s="16" t="n">
        <f aca="false">AF17-p_spc_hi*Y17/1000</f>
        <v>0</v>
      </c>
      <c r="AI17" s="16" t="n">
        <f aca="false">Q17*J17</f>
        <v>4.95494377603086</v>
      </c>
      <c r="AJ17" s="16" t="n">
        <f aca="false">S17*J17</f>
        <v>5.9285498744259</v>
      </c>
      <c r="AK17" s="16" t="n">
        <f aca="false">T17*J17</f>
        <v>0</v>
      </c>
      <c r="AL17" s="16" t="n">
        <f aca="false">U17*J17</f>
        <v>0</v>
      </c>
      <c r="AM17" s="16" t="n">
        <f aca="false">AI17-AJ17</f>
        <v>-0.973606098395037</v>
      </c>
      <c r="AN17" s="16" t="n">
        <f aca="false">J17*Country_Data!$EB$6</f>
        <v>80.5753424657534</v>
      </c>
      <c r="AO17" s="16" t="n">
        <f aca="false">L17*Country_Data!$EB$6</f>
        <v>30.6186301369863</v>
      </c>
    </row>
    <row r="18" customFormat="false" ht="15" hidden="false" customHeight="false" outlineLevel="0" collapsed="false">
      <c r="A18" s="14" t="str">
        <f aca="false">Country_Data!$A$6</f>
        <v>CHN</v>
      </c>
      <c r="B18" s="14" t="str">
        <f aca="false">Country_Data!$E$6</f>
        <v>China</v>
      </c>
      <c r="C18" s="35" t="s">
        <v>488</v>
      </c>
      <c r="D18" s="37" t="n">
        <f aca="false">IF(Country_Data!$CE$6="","",Country_Data!$CE$6)</f>
        <v>3050.336</v>
      </c>
      <c r="E18" s="40" t="n">
        <f aca="false">Country_Data!$BW$6</f>
        <v>38209.549</v>
      </c>
      <c r="F18" s="41" t="n">
        <f aca="false">Country_Data!$BX$6</f>
        <v>0.495821397944268</v>
      </c>
      <c r="G18" s="42" t="n">
        <f aca="false">IF(D18="","",D18/SUMIFS($D$5:$D$1369,$B$5:$B$1369,B18,$C$5:$C$1369,C18))</f>
        <v>1</v>
      </c>
      <c r="H18" s="42" t="n">
        <f aca="false">E18/SUMIFS($E$5:$E$1369,$B$5:$B$1369,B18,$C$5:$C$1369,C18)</f>
        <v>1</v>
      </c>
      <c r="I18" s="43" t="n">
        <f aca="false">IF(G18="",H18,p_beta_alloc*G18+(1-p_beta_alloc)*H18)*F18^p_phi</f>
        <v>0.704145864110745</v>
      </c>
      <c r="J18" s="16" t="n">
        <f aca="false">INDEX(Sector_Params!$C$22:$E$22,MATCH(B18,Sector_Params!$C$15:$E$15,0))*I18/SUMIFS($I$5:$I$1369,$B$5:$B$1369,B18,$C$5:$C$1369,C18)</f>
        <v>13.015625</v>
      </c>
      <c r="K18" s="28" t="n">
        <f aca="false">INDEX(Sector_Params!$F$11:$H$11,MATCH(B18,Sector_Params!$C$15:$E$15,0))</f>
        <v>0.38</v>
      </c>
      <c r="L18" s="16" t="n">
        <f aca="false">J18*K18</f>
        <v>4.9459375</v>
      </c>
      <c r="M18" s="44" t="n">
        <f aca="false">Country_Data!$DW$6+Sector_Params!$E$11</f>
        <v>0.0388999999999999</v>
      </c>
      <c r="N18" s="44" t="n">
        <f aca="false">Country_Data!$DX$6+Sector_Params!$E$11</f>
        <v>0.0588999999999999</v>
      </c>
      <c r="O18" s="11" t="n">
        <f aca="false">IF(p_use_ibrd=1,p_r_ibrd,p_r_wb)</f>
        <v>0.06</v>
      </c>
      <c r="P18" s="45" t="n">
        <f aca="false">Sector_Params!$D$11</f>
        <v>30</v>
      </c>
      <c r="Q18" s="46" t="n">
        <f aca="false">M18/(1-(1+M18)^-P18)</f>
        <v>0.0570602168274128</v>
      </c>
      <c r="R18" s="46" t="n">
        <f aca="false">N18/(1-(1+N18)^-P18)</f>
        <v>0.0717958832799101</v>
      </c>
      <c r="S18" s="46" t="n">
        <f aca="false">O18/(1-(1+O18)^-P18)</f>
        <v>0.0726489114900472</v>
      </c>
      <c r="T18" s="37" t="n">
        <f aca="false">0*Sector_Params!$I$11</f>
        <v>0</v>
      </c>
      <c r="U18" s="37" t="n">
        <f aca="false">p_c*Sector_Params!$J$11</f>
        <v>0.129</v>
      </c>
      <c r="V18" s="37" t="n">
        <f aca="false">1000*p_r_wb/(1-(1+p_r_wb)^-Sector_Params!$D$11)/p_cpt_afolu</f>
        <v>1.45297822980094</v>
      </c>
      <c r="W18" s="16" t="n">
        <f aca="false">T18*L18</f>
        <v>0</v>
      </c>
      <c r="X18" s="16" t="n">
        <f aca="false">U18*L18</f>
        <v>0.6380259375</v>
      </c>
      <c r="Y18" s="16" t="n">
        <f aca="false">V18*L18</f>
        <v>7.18633951345611</v>
      </c>
      <c r="Z18" s="16" t="n">
        <f aca="false">Q18*L18</f>
        <v>0.282216266164832</v>
      </c>
      <c r="AA18" s="16" t="n">
        <f aca="false">R18*L18</f>
        <v>0.35509795145973</v>
      </c>
      <c r="AB18" s="16" t="n">
        <f aca="false">S18*L18</f>
        <v>0.359316975672805</v>
      </c>
      <c r="AC18" s="16" t="n">
        <f aca="false">Z18-W18</f>
        <v>0.282216266164832</v>
      </c>
      <c r="AD18" s="16" t="n">
        <f aca="false">AA18-W18</f>
        <v>0.35509795145973</v>
      </c>
      <c r="AE18" s="16" t="n">
        <f aca="false">AB18-W18</f>
        <v>0.359316975672805</v>
      </c>
      <c r="AF18" s="16" t="n">
        <f aca="false">AE18-X18</f>
        <v>-0.278708961827195</v>
      </c>
      <c r="AG18" s="16" t="n">
        <f aca="false">AF18-p_spc_lo*Y18/1000</f>
        <v>-0.6380259375</v>
      </c>
      <c r="AH18" s="16" t="n">
        <f aca="false">AF18-p_spc_hi*Y18/1000</f>
        <v>-0.997342913172805</v>
      </c>
      <c r="AI18" s="16" t="n">
        <f aca="false">Q18*J18</f>
        <v>0.742674384644295</v>
      </c>
      <c r="AJ18" s="16" t="n">
        <f aca="false">S18*J18</f>
        <v>0.945570988612646</v>
      </c>
      <c r="AK18" s="16" t="n">
        <f aca="false">T18*J18</f>
        <v>0</v>
      </c>
      <c r="AL18" s="16" t="n">
        <f aca="false">U18*J18</f>
        <v>1.679015625</v>
      </c>
      <c r="AM18" s="16" t="n">
        <f aca="false">AI18-AJ18</f>
        <v>-0.202896603968351</v>
      </c>
      <c r="AN18" s="16" t="n">
        <f aca="false">J18*Country_Data!$EB$6</f>
        <v>15.4226241438356</v>
      </c>
      <c r="AO18" s="16" t="n">
        <f aca="false">L18*Country_Data!$EB$6</f>
        <v>5.86059717465754</v>
      </c>
    </row>
    <row r="19" customFormat="false" ht="15" hidden="false" customHeight="false" outlineLevel="0" collapsed="false">
      <c r="A19" s="14" t="str">
        <f aca="false">Country_Data!$A$7</f>
        <v>DEU</v>
      </c>
      <c r="B19" s="14" t="str">
        <f aca="false">Country_Data!$E$7</f>
        <v>AE</v>
      </c>
      <c r="C19" s="35" t="s">
        <v>466</v>
      </c>
      <c r="D19" s="37" t="n">
        <f aca="false">IF(Country_Data!$BZ$7="","",Country_Data!$BZ$7)</f>
        <v>533.286468465338</v>
      </c>
      <c r="E19" s="40" t="n">
        <f aca="false">Country_Data!$BW$7</f>
        <v>5996.196</v>
      </c>
      <c r="F19" s="41" t="n">
        <f aca="false">Country_Data!$BX$7</f>
        <v>0.781192275902922</v>
      </c>
      <c r="G19" s="42" t="n">
        <f aca="false">IF(D19="","",D19/SUMIFS($D$5:$D$1369,$B$5:$B$1369,B19,$C$5:$C$1369,C19))</f>
        <v>0.0544981694025038</v>
      </c>
      <c r="H19" s="42" t="n">
        <f aca="false">E19/SUMIFS($E$5:$E$1369,$B$5:$B$1369,B19,$C$5:$C$1369,C19)</f>
        <v>0.0760120089470664</v>
      </c>
      <c r="I19" s="43" t="n">
        <f aca="false">IF(G19="",H19,p_beta_alloc*G19+(1-p_beta_alloc)*H19)*F19^p_phi</f>
        <v>0.0576757642198425</v>
      </c>
      <c r="J19" s="16" t="n">
        <f aca="false">INDEX(Sector_Params!$C$16:$E$16,MATCH(B19,Sector_Params!$C$15:$E$15,0))*I19/SUMIFS($I$5:$I$1369,$B$5:$B$1369,B19,$C$5:$C$1369,C19)</f>
        <v>51.7325835890951</v>
      </c>
      <c r="K19" s="28" t="n">
        <f aca="false">INDEX(Sector_Params!$F$5:$H$5,MATCH(B19,Sector_Params!$C$15:$E$15,0))</f>
        <v>0.38</v>
      </c>
      <c r="L19" s="16" t="n">
        <f aca="false">J19*K19</f>
        <v>19.6583817638561</v>
      </c>
      <c r="M19" s="44" t="n">
        <f aca="false">Country_Data!$DW$7+Sector_Params!$E$5</f>
        <v>0.0232</v>
      </c>
      <c r="N19" s="44" t="n">
        <f aca="false">Country_Data!$DX$7+Sector_Params!$E$5</f>
        <v>0.0382</v>
      </c>
      <c r="O19" s="11" t="n">
        <f aca="false">IF(p_use_ibrd=1,p_r_ibrd,p_r_wb)</f>
        <v>0.06</v>
      </c>
      <c r="P19" s="45" t="n">
        <f aca="false">Sector_Params!$D$5</f>
        <v>25</v>
      </c>
      <c r="Q19" s="46" t="n">
        <f aca="false">M19/(1-(1+M19)^-P19)</f>
        <v>0.0531647232117072</v>
      </c>
      <c r="R19" s="46" t="n">
        <f aca="false">N19/(1-(1+N19)^-P19)</f>
        <v>0.0627998997149673</v>
      </c>
      <c r="S19" s="46" t="n">
        <f aca="false">O19/(1-(1+O19)^-P19)</f>
        <v>0.078226718212274</v>
      </c>
      <c r="T19" s="37" t="n">
        <f aca="false">IF(AND(p_eng=1,ISNUMBER(Country_Data!$CZ$7)),Country_Data!$CZ$7,Country_Data!$CM$7)*Sector_Params!$I$5</f>
        <v>0.0794872160373255</v>
      </c>
      <c r="U19" s="37" t="n">
        <f aca="false">IF(AND(p_eng=1,ISNUMBER(Country_Data!$DA$7)),Country_Data!$DA$7,Country_Data!$CN$7)*Sector_Params!$J$5</f>
        <v>0.0125076467186205</v>
      </c>
      <c r="V19" s="37" t="n">
        <f aca="false">IF(AND(p_eng=1,ISNUMBER(Country_Data!$DB$7)),Country_Data!$DB$7,p_a)</f>
        <v>0.680095058156333</v>
      </c>
      <c r="W19" s="16" t="n">
        <f aca="false">T19*L19</f>
        <v>1.56259003820785</v>
      </c>
      <c r="X19" s="16" t="n">
        <f aca="false">U19*L19</f>
        <v>0.245880094162084</v>
      </c>
      <c r="Y19" s="16" t="n">
        <f aca="false">V19*L19</f>
        <v>13.3695682889491</v>
      </c>
      <c r="Z19" s="16" t="n">
        <f aca="false">Q19*L19</f>
        <v>1.04513242526548</v>
      </c>
      <c r="AA19" s="16" t="n">
        <f aca="false">R19*L19</f>
        <v>1.23454440332871</v>
      </c>
      <c r="AB19" s="16" t="n">
        <f aca="false">S19*L19</f>
        <v>1.53781069075048</v>
      </c>
      <c r="AC19" s="16" t="n">
        <f aca="false">Z19-W19</f>
        <v>-0.517457612942368</v>
      </c>
      <c r="AD19" s="16" t="n">
        <f aca="false">AA19-W19</f>
        <v>-0.328045634879145</v>
      </c>
      <c r="AE19" s="16" t="n">
        <f aca="false">AB19-W19</f>
        <v>-0.0247793474573743</v>
      </c>
      <c r="AF19" s="16" t="n">
        <f aca="false">AE19-X19</f>
        <v>-0.270659441619458</v>
      </c>
      <c r="AG19" s="16" t="n">
        <f aca="false">AF19-p_spc_lo*Y19/1000</f>
        <v>-0.939137856066915</v>
      </c>
      <c r="AH19" s="16" t="n">
        <f aca="false">AF19-p_spc_hi*Y19/1000</f>
        <v>-1.60761627051437</v>
      </c>
      <c r="AI19" s="16" t="n">
        <f aca="false">Q19*J19</f>
        <v>2.75034848754075</v>
      </c>
      <c r="AJ19" s="16" t="n">
        <f aca="false">S19*J19</f>
        <v>4.04687023881705</v>
      </c>
      <c r="AK19" s="16" t="n">
        <f aca="false">T19*J19</f>
        <v>4.1120790479154</v>
      </c>
      <c r="AL19" s="16" t="n">
        <f aca="false">U19*J19</f>
        <v>0.647052879373905</v>
      </c>
      <c r="AM19" s="16" t="n">
        <f aca="false">AI19-AJ19</f>
        <v>-1.2965217512763</v>
      </c>
      <c r="AN19" s="16" t="n">
        <f aca="false">J19*Country_Data!$EB$7</f>
        <v>54.0516304396407</v>
      </c>
      <c r="AO19" s="16" t="n">
        <f aca="false">L19*Country_Data!$EB$7</f>
        <v>20.5396195670635</v>
      </c>
    </row>
    <row r="20" customFormat="false" ht="15" hidden="false" customHeight="false" outlineLevel="0" collapsed="false">
      <c r="A20" s="14" t="str">
        <f aca="false">Country_Data!$A$7</f>
        <v>DEU</v>
      </c>
      <c r="B20" s="14" t="str">
        <f aca="false">Country_Data!$E$7</f>
        <v>AE</v>
      </c>
      <c r="C20" s="35" t="s">
        <v>470</v>
      </c>
      <c r="D20" s="37" t="n">
        <f aca="false">IF(Country_Data!$BZ$7="","",Country_Data!$BZ$7)</f>
        <v>533.286468465338</v>
      </c>
      <c r="E20" s="40" t="n">
        <f aca="false">Country_Data!$BW$7</f>
        <v>5996.196</v>
      </c>
      <c r="F20" s="41" t="n">
        <f aca="false">Country_Data!$BX$7</f>
        <v>0.781192275902922</v>
      </c>
      <c r="G20" s="42" t="n">
        <f aca="false">IF(D20="","",D20/SUMIFS($D$5:$D$1369,$B$5:$B$1369,B20,$C$5:$C$1369,C20))</f>
        <v>0.0544981694025038</v>
      </c>
      <c r="H20" s="42" t="n">
        <f aca="false">E20/SUMIFS($E$5:$E$1369,$B$5:$B$1369,B20,$C$5:$C$1369,C20)</f>
        <v>0.0760120089470664</v>
      </c>
      <c r="I20" s="43" t="n">
        <f aca="false">IF(G20="",H20,p_beta_alloc*G20+(1-p_beta_alloc)*H20)*F20^p_phi</f>
        <v>0.0576757642198425</v>
      </c>
      <c r="J20" s="16" t="n">
        <f aca="false">INDEX(Sector_Params!$C$17:$E$17,MATCH(B20,Sector_Params!$C$15:$E$15,0))*I20/SUMIFS($I$5:$I$1369,$B$5:$B$1369,B20,$C$5:$C$1369,C20)</f>
        <v>35.4737716039509</v>
      </c>
      <c r="K20" s="28" t="n">
        <f aca="false">INDEX(Sector_Params!$F$6:$H$6,MATCH(B20,Sector_Params!$C$15:$E$15,0))</f>
        <v>0.38</v>
      </c>
      <c r="L20" s="16" t="n">
        <f aca="false">J20*K20</f>
        <v>13.4800332095013</v>
      </c>
      <c r="M20" s="44" t="n">
        <f aca="false">Country_Data!$DW$7+Sector_Params!$E$6</f>
        <v>0.0232</v>
      </c>
      <c r="N20" s="44" t="n">
        <f aca="false">Country_Data!$DX$7+Sector_Params!$E$6</f>
        <v>0.0382</v>
      </c>
      <c r="O20" s="11" t="n">
        <f aca="false">IF(p_use_ibrd=1,p_r_ibrd,p_r_wb)</f>
        <v>0.06</v>
      </c>
      <c r="P20" s="45" t="n">
        <f aca="false">Sector_Params!$D$6</f>
        <v>40</v>
      </c>
      <c r="Q20" s="46" t="n">
        <f aca="false">M20/(1-(1+M20)^-P20)</f>
        <v>0.0386381386944129</v>
      </c>
      <c r="R20" s="46" t="n">
        <f aca="false">N20/(1-(1+N20)^-P20)</f>
        <v>0.0491782165530716</v>
      </c>
      <c r="S20" s="46" t="n">
        <f aca="false">O20/(1-(1+O20)^-P20)</f>
        <v>0.0664615359206755</v>
      </c>
      <c r="T20" s="37" t="n">
        <f aca="false">p_grid_credit*IF(AND(p_eng=1,ISNUMBER(Country_Data!$CZ$7)),Country_Data!$CZ$7,Country_Data!$CM$7)*Sector_Params!$I$6</f>
        <v>0</v>
      </c>
      <c r="U20" s="37" t="n">
        <f aca="false">p_grid_credit*IF(AND(p_eng=1,ISNUMBER(Country_Data!$DA$7)),Country_Data!$DA$7,Country_Data!$CN$7)*Sector_Params!$J$6</f>
        <v>0</v>
      </c>
      <c r="V20" s="37" t="n">
        <f aca="false">p_grid_credit*IF(AND(p_eng=1,ISNUMBER(Country_Data!$DB$7)),Country_Data!$DB$7,p_a)</f>
        <v>0</v>
      </c>
      <c r="W20" s="16" t="n">
        <f aca="false">T20*L20</f>
        <v>0</v>
      </c>
      <c r="X20" s="16" t="n">
        <f aca="false">U20*L20</f>
        <v>0</v>
      </c>
      <c r="Y20" s="16" t="n">
        <f aca="false">V20*L20</f>
        <v>0</v>
      </c>
      <c r="Z20" s="16" t="n">
        <f aca="false">Q20*L20</f>
        <v>0.520843392754005</v>
      </c>
      <c r="AA20" s="16" t="n">
        <f aca="false">R20*L20</f>
        <v>0.662923992319454</v>
      </c>
      <c r="AB20" s="16" t="n">
        <f aca="false">S20*L20</f>
        <v>0.895903711365172</v>
      </c>
      <c r="AC20" s="16" t="n">
        <f aca="false">Z20-W20</f>
        <v>0.520843392754005</v>
      </c>
      <c r="AD20" s="16" t="n">
        <f aca="false">AA20-W20</f>
        <v>0.662923992319454</v>
      </c>
      <c r="AE20" s="16" t="n">
        <f aca="false">AB20-W20</f>
        <v>0.895903711365172</v>
      </c>
      <c r="AF20" s="16" t="n">
        <f aca="false">AE20-X20</f>
        <v>0.895903711365172</v>
      </c>
      <c r="AG20" s="16" t="n">
        <f aca="false">AF20-p_spc_lo*Y20/1000</f>
        <v>0.895903711365172</v>
      </c>
      <c r="AH20" s="16" t="n">
        <f aca="false">AF20-p_spc_hi*Y20/1000</f>
        <v>0.895903711365172</v>
      </c>
      <c r="AI20" s="16" t="n">
        <f aca="false">Q20*J20</f>
        <v>1.37064050724738</v>
      </c>
      <c r="AJ20" s="16" t="n">
        <f aca="false">S20*J20</f>
        <v>2.35764134569782</v>
      </c>
      <c r="AK20" s="16" t="n">
        <f aca="false">T20*J20</f>
        <v>0</v>
      </c>
      <c r="AL20" s="16" t="n">
        <f aca="false">U20*J20</f>
        <v>0</v>
      </c>
      <c r="AM20" s="16" t="n">
        <f aca="false">AI20-AJ20</f>
        <v>-0.987000838450439</v>
      </c>
      <c r="AN20" s="16" t="n">
        <f aca="false">J20*Country_Data!$EB$7</f>
        <v>37.0639751586108</v>
      </c>
      <c r="AO20" s="16" t="n">
        <f aca="false">L20*Country_Data!$EB$7</f>
        <v>14.0843105602721</v>
      </c>
    </row>
    <row r="21" customFormat="false" ht="15" hidden="false" customHeight="false" outlineLevel="0" collapsed="false">
      <c r="A21" s="14" t="str">
        <f aca="false">Country_Data!$A$7</f>
        <v>DEU</v>
      </c>
      <c r="B21" s="14" t="str">
        <f aca="false">Country_Data!$E$7</f>
        <v>AE</v>
      </c>
      <c r="C21" s="35" t="s">
        <v>473</v>
      </c>
      <c r="D21" s="37" t="n">
        <f aca="false">IF(Country_Data!$CA$7="","",Country_Data!$CA$7)</f>
        <v>3.02820593377961</v>
      </c>
      <c r="E21" s="40" t="n">
        <f aca="false">Country_Data!$BW$7</f>
        <v>5996.196</v>
      </c>
      <c r="F21" s="41" t="n">
        <f aca="false">Country_Data!$BX$7</f>
        <v>0.781192275902922</v>
      </c>
      <c r="G21" s="42" t="n">
        <f aca="false">IF(D21="","",D21/SUMIFS($D$5:$D$1369,$B$5:$B$1369,B21,$C$5:$C$1369,C21))</f>
        <v>0.059280068355584</v>
      </c>
      <c r="H21" s="42" t="n">
        <f aca="false">E21/SUMIFS($E$5:$E$1369,$B$5:$B$1369,B21,$C$5:$C$1369,C21)</f>
        <v>0.0760120089470664</v>
      </c>
      <c r="I21" s="43" t="n">
        <f aca="false">IF(G21="",H21,p_beta_alloc*G21+(1-p_beta_alloc)*H21)*F21^p_phi</f>
        <v>0.0597890068805202</v>
      </c>
      <c r="J21" s="16" t="n">
        <f aca="false">INDEX(Sector_Params!$C$18:$E$18,MATCH(B21,Sector_Params!$C$15:$E$15,0))*I21/SUMIFS($I$5:$I$1369,$B$5:$B$1369,B21,$C$5:$C$1369,C21)</f>
        <v>22.5316762234024</v>
      </c>
      <c r="K21" s="28" t="n">
        <f aca="false">INDEX(Sector_Params!$F$7:$H$7,MATCH(B21,Sector_Params!$C$15:$E$15,0))</f>
        <v>0.38</v>
      </c>
      <c r="L21" s="16" t="n">
        <f aca="false">J21*K21</f>
        <v>8.5620369648929</v>
      </c>
      <c r="M21" s="44" t="n">
        <f aca="false">Country_Data!$DW$7+Sector_Params!$E$7</f>
        <v>0.0232</v>
      </c>
      <c r="N21" s="44" t="n">
        <f aca="false">Country_Data!$DX$7+Sector_Params!$E$7</f>
        <v>0.0382</v>
      </c>
      <c r="O21" s="11" t="n">
        <f aca="false">IF(p_use_ibrd=1,p_r_ibrd,p_r_wb)</f>
        <v>0.06</v>
      </c>
      <c r="P21" s="45" t="n">
        <f aca="false">Sector_Params!$D$7</f>
        <v>12</v>
      </c>
      <c r="Q21" s="46" t="n">
        <f aca="false">M21/(1-(1+M21)^-P21)</f>
        <v>0.0964277257680122</v>
      </c>
      <c r="R21" s="46" t="n">
        <f aca="false">N21/(1-(1+N21)^-P21)</f>
        <v>0.105442306895794</v>
      </c>
      <c r="S21" s="46" t="n">
        <f aca="false">O21/(1-(1+O21)^-P21)</f>
        <v>0.119277029380664</v>
      </c>
      <c r="T21" s="37" t="n">
        <f aca="false">IF(AND(p_eng=1,ISNUMBER(Country_Data!$DE$7)),Country_Data!$DE$7,Country_Data!$CM$7)*Sector_Params!$I$7</f>
        <v>0.0423495</v>
      </c>
      <c r="U21" s="37" t="n">
        <f aca="false">IF(AND(p_eng=1,ISNUMBER(Country_Data!$DF$7)),Country_Data!$DF$7,Country_Data!$CN$7)*Sector_Params!$J$7</f>
        <v>0.025898625</v>
      </c>
      <c r="V21" s="37" t="n">
        <f aca="false">IF(AND(p_eng=1,ISNUMBER(Country_Data!$DG$7)),Country_Data!$DG$7,p_a)</f>
        <v>0.373678415021305</v>
      </c>
      <c r="W21" s="16" t="n">
        <f aca="false">T21*L21</f>
        <v>0.362597984444732</v>
      </c>
      <c r="X21" s="16" t="n">
        <f aca="false">U21*L21</f>
        <v>0.221744984589899</v>
      </c>
      <c r="Y21" s="16" t="n">
        <f aca="false">V21*L21</f>
        <v>3.199448402395</v>
      </c>
      <c r="Z21" s="16" t="n">
        <f aca="false">Q21*L21</f>
        <v>0.825617752466276</v>
      </c>
      <c r="AA21" s="16" t="n">
        <f aca="false">R21*L21</f>
        <v>0.902800929305372</v>
      </c>
      <c r="AB21" s="16" t="n">
        <f aca="false">S21*L21</f>
        <v>1.02125433461986</v>
      </c>
      <c r="AC21" s="16" t="n">
        <f aca="false">Z21-W21</f>
        <v>0.463019768021544</v>
      </c>
      <c r="AD21" s="16" t="n">
        <f aca="false">AA21-W21</f>
        <v>0.540202944860641</v>
      </c>
      <c r="AE21" s="16" t="n">
        <f aca="false">AB21-W21</f>
        <v>0.658656350175126</v>
      </c>
      <c r="AF21" s="16" t="n">
        <f aca="false">AE21-X21</f>
        <v>0.436911365585227</v>
      </c>
      <c r="AG21" s="16" t="n">
        <f aca="false">AF21-p_spc_lo*Y21/1000</f>
        <v>0.276938945465477</v>
      </c>
      <c r="AH21" s="16" t="n">
        <f aca="false">AF21-p_spc_hi*Y21/1000</f>
        <v>0.116966525345726</v>
      </c>
      <c r="AI21" s="16" t="n">
        <f aca="false">Q21*J21</f>
        <v>2.17267829596388</v>
      </c>
      <c r="AJ21" s="16" t="n">
        <f aca="false">S21*J21</f>
        <v>2.68751140689436</v>
      </c>
      <c r="AK21" s="16" t="n">
        <f aca="false">T21*J21</f>
        <v>0.954205222222978</v>
      </c>
      <c r="AL21" s="16" t="n">
        <f aca="false">U21*J21</f>
        <v>0.583539433131314</v>
      </c>
      <c r="AM21" s="16" t="n">
        <f aca="false">AI21-AJ21</f>
        <v>-0.514833110930477</v>
      </c>
      <c r="AN21" s="16" t="n">
        <f aca="false">J21*Country_Data!$EB$7</f>
        <v>23.5417168816928</v>
      </c>
      <c r="AO21" s="16" t="n">
        <f aca="false">L21*Country_Data!$EB$7</f>
        <v>8.94585241504327</v>
      </c>
    </row>
    <row r="22" customFormat="false" ht="15" hidden="false" customHeight="false" outlineLevel="0" collapsed="false">
      <c r="A22" s="14" t="str">
        <f aca="false">Country_Data!$A$7</f>
        <v>DEU</v>
      </c>
      <c r="B22" s="14" t="str">
        <f aca="false">Country_Data!$E$7</f>
        <v>AE</v>
      </c>
      <c r="C22" s="35" t="s">
        <v>477</v>
      </c>
      <c r="D22" s="37" t="n">
        <f aca="false">IF(Country_Data!$CB$7="","",Country_Data!$CB$7)</f>
        <v>2.55203722789339</v>
      </c>
      <c r="E22" s="40" t="n">
        <f aca="false">Country_Data!$BW$7</f>
        <v>5996.196</v>
      </c>
      <c r="F22" s="41" t="n">
        <f aca="false">Country_Data!$BX$7</f>
        <v>0.781192275902922</v>
      </c>
      <c r="G22" s="42" t="n">
        <f aca="false">IF(D22="","",D22/SUMIFS($D$5:$D$1369,$B$5:$B$1369,B22,$C$5:$C$1369,C22))</f>
        <v>0.0656259106485373</v>
      </c>
      <c r="H22" s="42" t="n">
        <f aca="false">E22/SUMIFS($E$5:$E$1369,$B$5:$B$1369,B22,$C$5:$C$1369,C22)</f>
        <v>0.0760120089470664</v>
      </c>
      <c r="I22" s="43" t="n">
        <f aca="false">IF(G22="",H22,p_beta_alloc*G22+(1-p_beta_alloc)*H22)*F22^p_phi</f>
        <v>0.0625933958446081</v>
      </c>
      <c r="J22" s="16" t="n">
        <f aca="false">INDEX(Sector_Params!$C$19:$E$19,MATCH(B22,Sector_Params!$C$15:$E$15,0))*I22/SUMIFS($I$5:$I$1369,$B$5:$B$1369,B22,$C$5:$C$1369,C22)</f>
        <v>18.3997616982523</v>
      </c>
      <c r="K22" s="28" t="n">
        <f aca="false">INDEX(Sector_Params!$F$8:$H$8,MATCH(B22,Sector_Params!$C$15:$E$15,0))</f>
        <v>0.38</v>
      </c>
      <c r="L22" s="16" t="n">
        <f aca="false">J22*K22</f>
        <v>6.99190944533589</v>
      </c>
      <c r="M22" s="44" t="n">
        <f aca="false">Country_Data!$DW$7+Sector_Params!$E$8</f>
        <v>0.0232</v>
      </c>
      <c r="N22" s="44" t="n">
        <f aca="false">Country_Data!$DX$7+Sector_Params!$E$8</f>
        <v>0.0382</v>
      </c>
      <c r="O22" s="11" t="n">
        <f aca="false">IF(p_use_ibrd=1,p_r_ibrd,p_r_wb)</f>
        <v>0.06</v>
      </c>
      <c r="P22" s="45" t="n">
        <f aca="false">Sector_Params!$D$8</f>
        <v>25</v>
      </c>
      <c r="Q22" s="46" t="n">
        <f aca="false">M22/(1-(1+M22)^-P22)</f>
        <v>0.0531647232117072</v>
      </c>
      <c r="R22" s="46" t="n">
        <f aca="false">N22/(1-(1+N22)^-P22)</f>
        <v>0.0627998997149673</v>
      </c>
      <c r="S22" s="46" t="n">
        <f aca="false">O22/(1-(1+O22)^-P22)</f>
        <v>0.078226718212274</v>
      </c>
      <c r="T22" s="37" t="n">
        <f aca="false">Country_Data!$CM$7*Sector_Params!$I$8</f>
        <v>0.217837663938655</v>
      </c>
      <c r="U22" s="37" t="n">
        <f aca="false">Country_Data!$CN$7*Sector_Params!$J$8</f>
        <v>0.0800376906582328</v>
      </c>
      <c r="V22" s="37" t="n">
        <f aca="false">p_a</f>
        <v>0.35</v>
      </c>
      <c r="W22" s="16" t="n">
        <f aca="false">T22*L22</f>
        <v>1.52310122004259</v>
      </c>
      <c r="X22" s="16" t="n">
        <f aca="false">U22*L22</f>
        <v>0.55961628529617</v>
      </c>
      <c r="Y22" s="16" t="n">
        <f aca="false">V22*L22</f>
        <v>2.44716830586756</v>
      </c>
      <c r="Z22" s="16" t="n">
        <f aca="false">Q22*L22</f>
        <v>0.371722930382604</v>
      </c>
      <c r="AA22" s="16" t="n">
        <f aca="false">R22*L22</f>
        <v>0.439091211983227</v>
      </c>
      <c r="AB22" s="16" t="n">
        <f aca="false">S22*L22</f>
        <v>0.546954129946027</v>
      </c>
      <c r="AC22" s="16" t="n">
        <f aca="false">Z22-W22</f>
        <v>-1.15137828965999</v>
      </c>
      <c r="AD22" s="16" t="n">
        <f aca="false">AA22-W22</f>
        <v>-1.08401000805936</v>
      </c>
      <c r="AE22" s="16" t="n">
        <f aca="false">AB22-W22</f>
        <v>-0.976147090096563</v>
      </c>
      <c r="AF22" s="16" t="n">
        <f aca="false">AE22-X22</f>
        <v>-1.53576337539273</v>
      </c>
      <c r="AG22" s="16" t="n">
        <f aca="false">AF22-p_spc_lo*Y22/1000</f>
        <v>-1.65812179068611</v>
      </c>
      <c r="AH22" s="16" t="n">
        <f aca="false">AF22-p_spc_hi*Y22/1000</f>
        <v>-1.78048020597949</v>
      </c>
      <c r="AI22" s="16" t="n">
        <f aca="false">Q22*J22</f>
        <v>0.978218237848958</v>
      </c>
      <c r="AJ22" s="16" t="n">
        <f aca="false">S22*J22</f>
        <v>1.43935297354218</v>
      </c>
      <c r="AK22" s="16" t="n">
        <f aca="false">T22*J22</f>
        <v>4.00816110537524</v>
      </c>
      <c r="AL22" s="16" t="n">
        <f aca="false">U22*J22</f>
        <v>1.47267443498992</v>
      </c>
      <c r="AM22" s="16" t="n">
        <f aca="false">AI22-AJ22</f>
        <v>-0.461134735693219</v>
      </c>
      <c r="AN22" s="16" t="n">
        <f aca="false">J22*Country_Data!$EB$7</f>
        <v>19.2245786019671</v>
      </c>
      <c r="AO22" s="16" t="n">
        <f aca="false">L22*Country_Data!$EB$7</f>
        <v>7.3053398687475</v>
      </c>
    </row>
    <row r="23" customFormat="false" ht="15" hidden="false" customHeight="false" outlineLevel="0" collapsed="false">
      <c r="A23" s="14" t="str">
        <f aca="false">Country_Data!$A$7</f>
        <v>DEU</v>
      </c>
      <c r="B23" s="14" t="str">
        <f aca="false">Country_Data!$E$7</f>
        <v>AE</v>
      </c>
      <c r="C23" s="35" t="s">
        <v>481</v>
      </c>
      <c r="D23" s="37" t="n">
        <f aca="false">IF(Country_Data!$CC$7="","",Country_Data!$CC$7)</f>
        <v>3.40720976198488</v>
      </c>
      <c r="E23" s="40" t="n">
        <f aca="false">Country_Data!$BW$7</f>
        <v>5996.196</v>
      </c>
      <c r="F23" s="41" t="n">
        <f aca="false">Country_Data!$BX$7</f>
        <v>0.781192275902922</v>
      </c>
      <c r="G23" s="42" t="n">
        <f aca="false">IF(D23="","",D23/SUMIFS($D$5:$D$1369,$B$5:$B$1369,B23,$C$5:$C$1369,C23))</f>
        <v>0.062038008605562</v>
      </c>
      <c r="H23" s="42" t="n">
        <f aca="false">E23/SUMIFS($E$5:$E$1369,$B$5:$B$1369,B23,$C$5:$C$1369,C23)</f>
        <v>0.0760120089470664</v>
      </c>
      <c r="I23" s="43" t="n">
        <f aca="false">IF(G23="",H23,p_beta_alloc*G23+(1-p_beta_alloc)*H23)*F23^p_phi</f>
        <v>0.0610078107592805</v>
      </c>
      <c r="J23" s="16" t="n">
        <f aca="false">INDEX(Sector_Params!$C$20:$E$20,MATCH(B23,Sector_Params!$C$15:$E$15,0))*I23/SUMIFS($I$5:$I$1369,$B$5:$B$1369,B23,$C$5:$C$1369,C23)</f>
        <v>10.360184859646</v>
      </c>
      <c r="K23" s="28" t="n">
        <f aca="false">INDEX(Sector_Params!$F$9:$H$9,MATCH(B23,Sector_Params!$C$15:$E$15,0))</f>
        <v>0.38</v>
      </c>
      <c r="L23" s="16" t="n">
        <f aca="false">J23*K23</f>
        <v>3.93687024666548</v>
      </c>
      <c r="M23" s="44" t="n">
        <f aca="false">Country_Data!$DW$7+Sector_Params!$E$9</f>
        <v>0.0232</v>
      </c>
      <c r="N23" s="44" t="n">
        <f aca="false">Country_Data!$DX$7+Sector_Params!$E$9</f>
        <v>0.0382</v>
      </c>
      <c r="O23" s="11" t="n">
        <f aca="false">IF(p_use_ibrd=1,p_r_ibrd,p_r_wb)</f>
        <v>0.06</v>
      </c>
      <c r="P23" s="45" t="n">
        <f aca="false">Sector_Params!$D$9</f>
        <v>25</v>
      </c>
      <c r="Q23" s="46" t="n">
        <f aca="false">M23/(1-(1+M23)^-P23)</f>
        <v>0.0531647232117072</v>
      </c>
      <c r="R23" s="46" t="n">
        <f aca="false">N23/(1-(1+N23)^-P23)</f>
        <v>0.0627998997149673</v>
      </c>
      <c r="S23" s="46" t="n">
        <f aca="false">O23/(1-(1+O23)^-P23)</f>
        <v>0.078226718212274</v>
      </c>
      <c r="T23" s="37" t="n">
        <f aca="false">Country_Data!$CM$7*Sector_Params!$I$9</f>
        <v>0.217837663938655</v>
      </c>
      <c r="U23" s="37" t="n">
        <f aca="false">Country_Data!$CN$7*Sector_Params!$J$9</f>
        <v>0.0800376906582328</v>
      </c>
      <c r="V23" s="37" t="n">
        <f aca="false">p_a</f>
        <v>0.35</v>
      </c>
      <c r="W23" s="16" t="n">
        <f aca="false">T23*L23</f>
        <v>0.857598617763206</v>
      </c>
      <c r="X23" s="16" t="n">
        <f aca="false">U23*L23</f>
        <v>0.315098002964212</v>
      </c>
      <c r="Y23" s="16" t="n">
        <f aca="false">V23*L23</f>
        <v>1.37790458633292</v>
      </c>
      <c r="Z23" s="16" t="n">
        <f aca="false">Q23*L23</f>
        <v>0.209302616984376</v>
      </c>
      <c r="AA23" s="16" t="n">
        <f aca="false">R23*L23</f>
        <v>0.247235056681431</v>
      </c>
      <c r="AB23" s="16" t="n">
        <f aca="false">S23*L23</f>
        <v>0.307968439424186</v>
      </c>
      <c r="AC23" s="16" t="n">
        <f aca="false">Z23-W23</f>
        <v>-0.64829600077883</v>
      </c>
      <c r="AD23" s="16" t="n">
        <f aca="false">AA23-W23</f>
        <v>-0.610363561081775</v>
      </c>
      <c r="AE23" s="16" t="n">
        <f aca="false">AB23-W23</f>
        <v>-0.54963017833902</v>
      </c>
      <c r="AF23" s="16" t="n">
        <f aca="false">AE23-X23</f>
        <v>-0.864728181303233</v>
      </c>
      <c r="AG23" s="16" t="n">
        <f aca="false">AF23-p_spc_lo*Y23/1000</f>
        <v>-0.933623410619878</v>
      </c>
      <c r="AH23" s="16" t="n">
        <f aca="false">AF23-p_spc_hi*Y23/1000</f>
        <v>-1.00251863993652</v>
      </c>
      <c r="AI23" s="16" t="n">
        <f aca="false">Q23*J23</f>
        <v>0.550796360485199</v>
      </c>
      <c r="AJ23" s="16" t="n">
        <f aca="false">S23*J23</f>
        <v>0.810443261642594</v>
      </c>
      <c r="AK23" s="16" t="n">
        <f aca="false">T23*J23</f>
        <v>2.25683846779791</v>
      </c>
      <c r="AL23" s="16" t="n">
        <f aca="false">U23*J23</f>
        <v>0.829205270958453</v>
      </c>
      <c r="AM23" s="16" t="n">
        <f aca="false">AI23-AJ23</f>
        <v>-0.259646901157395</v>
      </c>
      <c r="AN23" s="16" t="n">
        <f aca="false">J23*Country_Data!$EB$7</f>
        <v>10.8246069395612</v>
      </c>
      <c r="AO23" s="16" t="n">
        <f aca="false">L23*Country_Data!$EB$7</f>
        <v>4.11335063703324</v>
      </c>
    </row>
    <row r="24" customFormat="false" ht="15" hidden="false" customHeight="false" outlineLevel="0" collapsed="false">
      <c r="A24" s="14" t="str">
        <f aca="false">Country_Data!$A$7</f>
        <v>DEU</v>
      </c>
      <c r="B24" s="14" t="str">
        <f aca="false">Country_Data!$E$7</f>
        <v>AE</v>
      </c>
      <c r="C24" s="35" t="s">
        <v>484</v>
      </c>
      <c r="D24" s="37" t="n">
        <f aca="false">IF(Country_Data!$CD$7="","",Country_Data!$CD$7)</f>
        <v>8.31714455507582</v>
      </c>
      <c r="E24" s="40" t="n">
        <f aca="false">Country_Data!$BW$7</f>
        <v>5996.196</v>
      </c>
      <c r="F24" s="41" t="n">
        <f aca="false">Country_Data!$BX$7</f>
        <v>0.781192275902922</v>
      </c>
      <c r="G24" s="42" t="n">
        <f aca="false">IF(D24="","",D24/SUMIFS($D$5:$D$1369,$B$5:$B$1369,B24,$C$5:$C$1369,C24))</f>
        <v>0.0562729068975475</v>
      </c>
      <c r="H24" s="42" t="n">
        <f aca="false">E24/SUMIFS($E$5:$E$1369,$B$5:$B$1369,B24,$C$5:$C$1369,C24)</f>
        <v>0.0760120089470664</v>
      </c>
      <c r="I24" s="43" t="n">
        <f aca="false">IF(G24="",H24,p_beta_alloc*G24+(1-p_beta_alloc)*H24)*F24^p_phi</f>
        <v>0.0584600658169339</v>
      </c>
      <c r="J24" s="16" t="n">
        <f aca="false">INDEX(Sector_Params!$C$21:$E$21,MATCH(B24,Sector_Params!$C$15:$E$15,0))*I24/SUMIFS($I$5:$I$1369,$B$5:$B$1369,B24,$C$5:$C$1369,C24)</f>
        <v>11.9112229612289</v>
      </c>
      <c r="K24" s="28" t="n">
        <f aca="false">INDEX(Sector_Params!$F$10:$H$10,MATCH(B24,Sector_Params!$C$15:$E$15,0))</f>
        <v>0.38</v>
      </c>
      <c r="L24" s="16" t="n">
        <f aca="false">J24*K24</f>
        <v>4.526264725267</v>
      </c>
      <c r="M24" s="44" t="n">
        <f aca="false">Country_Data!$DW$7+Sector_Params!$E$10</f>
        <v>0.0232</v>
      </c>
      <c r="N24" s="44" t="n">
        <f aca="false">Country_Data!$DX$7+Sector_Params!$E$10</f>
        <v>0.0382</v>
      </c>
      <c r="O24" s="11" t="n">
        <f aca="false">IF(p_use_ibrd=1,p_r_ibrd,p_r_wb)</f>
        <v>0.06</v>
      </c>
      <c r="P24" s="45" t="n">
        <f aca="false">Sector_Params!$D$10</f>
        <v>20</v>
      </c>
      <c r="Q24" s="46" t="n">
        <f aca="false">M24/(1-(1+M24)^-P24)</f>
        <v>0.0630615075050072</v>
      </c>
      <c r="R24" s="46" t="n">
        <f aca="false">N24/(1-(1+N24)^-P24)</f>
        <v>0.0724137305567142</v>
      </c>
      <c r="S24" s="46" t="n">
        <f aca="false">O24/(1-(1+O24)^-P24)</f>
        <v>0.0871845569768514</v>
      </c>
      <c r="T24" s="37" t="n">
        <f aca="false">0*Sector_Params!$I$10</f>
        <v>0</v>
      </c>
      <c r="U24" s="37" t="n">
        <f aca="false">0*Sector_Params!$J$10</f>
        <v>0</v>
      </c>
      <c r="V24" s="37" t="n">
        <f aca="false">1000*p_r_wb/(1-(1+p_r_wb)^-Sector_Params!$D$10)/p_cpt_fuel</f>
        <v>0.871845569768514</v>
      </c>
      <c r="W24" s="16" t="n">
        <f aca="false">T24*L24</f>
        <v>0</v>
      </c>
      <c r="X24" s="16" t="n">
        <f aca="false">U24*L24</f>
        <v>0</v>
      </c>
      <c r="Y24" s="16" t="n">
        <f aca="false">V24*L24</f>
        <v>3.94620384832353</v>
      </c>
      <c r="Z24" s="16" t="n">
        <f aca="false">Q24*L24</f>
        <v>0.285433076942074</v>
      </c>
      <c r="AA24" s="16" t="n">
        <f aca="false">R24*L24</f>
        <v>0.327763714243845</v>
      </c>
      <c r="AB24" s="16" t="n">
        <f aca="false">S24*L24</f>
        <v>0.394620384832353</v>
      </c>
      <c r="AC24" s="16" t="n">
        <f aca="false">Z24-W24</f>
        <v>0.285433076942074</v>
      </c>
      <c r="AD24" s="16" t="n">
        <f aca="false">AA24-W24</f>
        <v>0.327763714243845</v>
      </c>
      <c r="AE24" s="16" t="n">
        <f aca="false">AB24-W24</f>
        <v>0.394620384832353</v>
      </c>
      <c r="AF24" s="16" t="n">
        <f aca="false">AE24-X24</f>
        <v>0.394620384832353</v>
      </c>
      <c r="AG24" s="16" t="n">
        <f aca="false">AF24-p_spc_lo*Y24/1000</f>
        <v>0.197310192416177</v>
      </c>
      <c r="AH24" s="16" t="n">
        <f aca="false">AF24-p_spc_hi*Y24/1000</f>
        <v>0</v>
      </c>
      <c r="AI24" s="16" t="n">
        <f aca="false">Q24*J24</f>
        <v>0.751139676163353</v>
      </c>
      <c r="AJ24" s="16" t="n">
        <f aca="false">S24*J24</f>
        <v>1.03847469692725</v>
      </c>
      <c r="AK24" s="16" t="n">
        <f aca="false">T24*J24</f>
        <v>0</v>
      </c>
      <c r="AL24" s="16" t="n">
        <f aca="false">U24*J24</f>
        <v>0</v>
      </c>
      <c r="AM24" s="16" t="n">
        <f aca="false">AI24-AJ24</f>
        <v>-0.287335020763892</v>
      </c>
      <c r="AN24" s="16" t="n">
        <f aca="false">J24*Country_Data!$EB$7</f>
        <v>12.445174335353</v>
      </c>
      <c r="AO24" s="16" t="n">
        <f aca="false">L24*Country_Data!$EB$7</f>
        <v>4.72916624743414</v>
      </c>
    </row>
    <row r="25" customFormat="false" ht="15" hidden="false" customHeight="false" outlineLevel="0" collapsed="false">
      <c r="A25" s="14" t="str">
        <f aca="false">Country_Data!$A$7</f>
        <v>DEU</v>
      </c>
      <c r="B25" s="14" t="str">
        <f aca="false">Country_Data!$E$7</f>
        <v>AE</v>
      </c>
      <c r="C25" s="35" t="s">
        <v>488</v>
      </c>
      <c r="D25" s="37" t="n">
        <f aca="false">IF(Country_Data!$CE$7="","",Country_Data!$CE$7)</f>
        <v>86.29</v>
      </c>
      <c r="E25" s="40" t="n">
        <f aca="false">Country_Data!$BW$7</f>
        <v>5996.196</v>
      </c>
      <c r="F25" s="41" t="n">
        <f aca="false">Country_Data!$BX$7</f>
        <v>0.781192275902922</v>
      </c>
      <c r="G25" s="42" t="n">
        <f aca="false">IF(D25="","",D25/SUMIFS($D$5:$D$1369,$B$5:$B$1369,B25,$C$5:$C$1369,C25))</f>
        <v>0.0329316705046877</v>
      </c>
      <c r="H25" s="42" t="n">
        <f aca="false">E25/SUMIFS($E$5:$E$1369,$B$5:$B$1369,B25,$C$5:$C$1369,C25)</f>
        <v>0.0760120089470664</v>
      </c>
      <c r="I25" s="43" t="n">
        <f aca="false">IF(G25="",H25,p_beta_alloc*G25+(1-p_beta_alloc)*H25)*F25^p_phi</f>
        <v>0.0481449803284417</v>
      </c>
      <c r="J25" s="16" t="n">
        <f aca="false">INDEX(Sector_Params!$C$22:$E$22,MATCH(B25,Sector_Params!$C$15:$E$15,0))*I25/SUMIFS($I$5:$I$1369,$B$5:$B$1369,B25,$C$5:$C$1369,C25)</f>
        <v>1.86550353152953</v>
      </c>
      <c r="K25" s="28" t="n">
        <f aca="false">INDEX(Sector_Params!$F$11:$H$11,MATCH(B25,Sector_Params!$C$15:$E$15,0))</f>
        <v>0.38</v>
      </c>
      <c r="L25" s="16" t="n">
        <f aca="false">J25*K25</f>
        <v>0.708891341981222</v>
      </c>
      <c r="M25" s="44" t="n">
        <f aca="false">Country_Data!$DW$7+Sector_Params!$E$11</f>
        <v>0.0232</v>
      </c>
      <c r="N25" s="44" t="n">
        <f aca="false">Country_Data!$DX$7+Sector_Params!$E$11</f>
        <v>0.0382</v>
      </c>
      <c r="O25" s="11" t="n">
        <f aca="false">IF(p_use_ibrd=1,p_r_ibrd,p_r_wb)</f>
        <v>0.06</v>
      </c>
      <c r="P25" s="45" t="n">
        <f aca="false">Sector_Params!$D$11</f>
        <v>30</v>
      </c>
      <c r="Q25" s="46" t="n">
        <f aca="false">M25/(1-(1+M25)^-P25)</f>
        <v>0.0466383714782155</v>
      </c>
      <c r="R25" s="46" t="n">
        <f aca="false">N25/(1-(1+N25)^-P25)</f>
        <v>0.0565728996402523</v>
      </c>
      <c r="S25" s="46" t="n">
        <f aca="false">O25/(1-(1+O25)^-P25)</f>
        <v>0.0726489114900472</v>
      </c>
      <c r="T25" s="37" t="n">
        <f aca="false">0*Sector_Params!$I$11</f>
        <v>0</v>
      </c>
      <c r="U25" s="37" t="n">
        <f aca="false">p_c*Sector_Params!$J$11</f>
        <v>0.129</v>
      </c>
      <c r="V25" s="37" t="n">
        <f aca="false">1000*p_r_wb/(1-(1+p_r_wb)^-Sector_Params!$D$11)/p_cpt_afolu</f>
        <v>1.45297822980094</v>
      </c>
      <c r="W25" s="16" t="n">
        <f aca="false">T25*L25</f>
        <v>0</v>
      </c>
      <c r="X25" s="16" t="n">
        <f aca="false">U25*L25</f>
        <v>0.0914469831155777</v>
      </c>
      <c r="Y25" s="16" t="n">
        <f aca="false">V25*L25</f>
        <v>1.03000368719309</v>
      </c>
      <c r="Z25" s="16" t="n">
        <f aca="false">Q25*L25</f>
        <v>0.0330615377450109</v>
      </c>
      <c r="AA25" s="16" t="n">
        <f aca="false">R25*L25</f>
        <v>0.0401040387457475</v>
      </c>
      <c r="AB25" s="16" t="n">
        <f aca="false">S25*L25</f>
        <v>0.0515001843596546</v>
      </c>
      <c r="AC25" s="16" t="n">
        <f aca="false">Z25-W25</f>
        <v>0.0330615377450109</v>
      </c>
      <c r="AD25" s="16" t="n">
        <f aca="false">AA25-W25</f>
        <v>0.0401040387457475</v>
      </c>
      <c r="AE25" s="16" t="n">
        <f aca="false">AB25-W25</f>
        <v>0.0515001843596546</v>
      </c>
      <c r="AF25" s="16" t="n">
        <f aca="false">AE25-X25</f>
        <v>-0.0399467987559231</v>
      </c>
      <c r="AG25" s="16" t="n">
        <f aca="false">AF25-p_spc_lo*Y25/1000</f>
        <v>-0.0914469831155777</v>
      </c>
      <c r="AH25" s="16" t="n">
        <f aca="false">AF25-p_spc_hi*Y25/1000</f>
        <v>-0.142947167475232</v>
      </c>
      <c r="AI25" s="16" t="n">
        <f aca="false">Q25*J25</f>
        <v>0.0870040466973971</v>
      </c>
      <c r="AJ25" s="16" t="n">
        <f aca="false">S25*J25</f>
        <v>0.13552680094646</v>
      </c>
      <c r="AK25" s="16" t="n">
        <f aca="false">T25*J25</f>
        <v>0</v>
      </c>
      <c r="AL25" s="16" t="n">
        <f aca="false">U25*J25</f>
        <v>0.24064995556731</v>
      </c>
      <c r="AM25" s="16" t="n">
        <f aca="false">AI25-AJ25</f>
        <v>-0.0485227542490624</v>
      </c>
      <c r="AN25" s="16" t="n">
        <f aca="false">J25*Country_Data!$EB$7</f>
        <v>1.94912955190844</v>
      </c>
      <c r="AO25" s="16" t="n">
        <f aca="false">L25*Country_Data!$EB$7</f>
        <v>0.740669229725208</v>
      </c>
    </row>
    <row r="26" customFormat="false" ht="15" hidden="false" customHeight="false" outlineLevel="0" collapsed="false">
      <c r="A26" s="14" t="str">
        <f aca="false">Country_Data!$A$8</f>
        <v>JPN</v>
      </c>
      <c r="B26" s="14" t="str">
        <f aca="false">Country_Data!$E$8</f>
        <v>AE</v>
      </c>
      <c r="C26" s="35" t="s">
        <v>466</v>
      </c>
      <c r="D26" s="37" t="n">
        <f aca="false">IF(Country_Data!$BZ$8="","",Country_Data!$BZ$8)</f>
        <v>1122.088518233</v>
      </c>
      <c r="E26" s="40" t="n">
        <f aca="false">Country_Data!$BW$8</f>
        <v>6735.801</v>
      </c>
      <c r="F26" s="41" t="n">
        <f aca="false">Country_Data!$BX$8</f>
        <v>0.62205044359238</v>
      </c>
      <c r="G26" s="42" t="n">
        <f aca="false">IF(D26="","",D26/SUMIFS($D$5:$D$1369,$B$5:$B$1369,B26,$C$5:$C$1369,C26))</f>
        <v>0.114669645241976</v>
      </c>
      <c r="H26" s="42" t="n">
        <f aca="false">E26/SUMIFS($E$5:$E$1369,$B$5:$B$1369,B26,$C$5:$C$1369,C26)</f>
        <v>0.0853877634883281</v>
      </c>
      <c r="I26" s="43" t="n">
        <f aca="false">IF(G26="",H26,p_beta_alloc*G26+(1-p_beta_alloc)*H26)*F26^p_phi</f>
        <v>0.0788928137479681</v>
      </c>
      <c r="J26" s="16" t="n">
        <f aca="false">INDEX(Sector_Params!$C$16:$E$16,MATCH(B26,Sector_Params!$C$15:$E$15,0))*I26/SUMIFS($I$5:$I$1369,$B$5:$B$1369,B26,$C$5:$C$1369,C26)</f>
        <v>70.7633290516772</v>
      </c>
      <c r="K26" s="28" t="n">
        <f aca="false">INDEX(Sector_Params!$F$5:$H$5,MATCH(B26,Sector_Params!$C$15:$E$15,0))</f>
        <v>0.38</v>
      </c>
      <c r="L26" s="16" t="n">
        <f aca="false">J26*K26</f>
        <v>26.8900650396374</v>
      </c>
      <c r="M26" s="44" t="n">
        <f aca="false">Country_Data!$DW$8+Sector_Params!$E$5</f>
        <v>0.055</v>
      </c>
      <c r="N26" s="44" t="n">
        <f aca="false">Country_Data!$DX$8+Sector_Params!$E$5</f>
        <v>0.07</v>
      </c>
      <c r="O26" s="11" t="n">
        <f aca="false">IF(p_use_ibrd=1,p_r_ibrd,p_r_wb)</f>
        <v>0.06</v>
      </c>
      <c r="P26" s="45" t="n">
        <f aca="false">Sector_Params!$D$5</f>
        <v>25</v>
      </c>
      <c r="Q26" s="46" t="n">
        <f aca="false">M26/(1-(1+M26)^-P26)</f>
        <v>0.0745493529464385</v>
      </c>
      <c r="R26" s="46" t="n">
        <f aca="false">N26/(1-(1+N26)^-P26)</f>
        <v>0.0858105172206656</v>
      </c>
      <c r="S26" s="46" t="n">
        <f aca="false">O26/(1-(1+O26)^-P26)</f>
        <v>0.078226718212274</v>
      </c>
      <c r="T26" s="37" t="n">
        <f aca="false">IF(AND(p_eng=1,ISNUMBER(Country_Data!$CZ$8)),Country_Data!$CZ$8,Country_Data!$CM$8)*Sector_Params!$I$5</f>
        <v>0.163918639340826</v>
      </c>
      <c r="U26" s="37" t="n">
        <f aca="false">IF(AND(p_eng=1,ISNUMBER(Country_Data!$DA$8)),Country_Data!$DA$8,Country_Data!$CN$8)*Sector_Params!$J$5</f>
        <v>0.020172353833652</v>
      </c>
      <c r="V26" s="37" t="n">
        <f aca="false">IF(AND(p_eng=1,ISNUMBER(Country_Data!$DB$8)),Country_Data!$DB$8,p_a)</f>
        <v>1.06128242859862</v>
      </c>
      <c r="W26" s="16" t="n">
        <f aca="false">T26*L26</f>
        <v>4.40778287308366</v>
      </c>
      <c r="X26" s="16" t="n">
        <f aca="false">U26*L26</f>
        <v>0.542435906589481</v>
      </c>
      <c r="Y26" s="16" t="n">
        <f aca="false">V26*L26</f>
        <v>28.5379535304412</v>
      </c>
      <c r="Z26" s="16" t="n">
        <f aca="false">Q26*L26</f>
        <v>2.00463694939261</v>
      </c>
      <c r="AA26" s="16" t="n">
        <f aca="false">R26*L26</f>
        <v>2.30745038914862</v>
      </c>
      <c r="AB26" s="16" t="n">
        <f aca="false">S26*L26</f>
        <v>2.10352154056543</v>
      </c>
      <c r="AC26" s="16" t="n">
        <f aca="false">Z26-W26</f>
        <v>-2.40314592369105</v>
      </c>
      <c r="AD26" s="16" t="n">
        <f aca="false">AA26-W26</f>
        <v>-2.10033248393504</v>
      </c>
      <c r="AE26" s="16" t="n">
        <f aca="false">AB26-W26</f>
        <v>-2.30426133251823</v>
      </c>
      <c r="AF26" s="16" t="n">
        <f aca="false">AE26-X26</f>
        <v>-2.84669723910771</v>
      </c>
      <c r="AG26" s="16" t="n">
        <f aca="false">AF26-p_spc_lo*Y26/1000</f>
        <v>-4.27359491562977</v>
      </c>
      <c r="AH26" s="16" t="n">
        <f aca="false">AF26-p_spc_hi*Y26/1000</f>
        <v>-5.70049259215183</v>
      </c>
      <c r="AI26" s="16" t="n">
        <f aca="false">Q26*J26</f>
        <v>5.27536039313845</v>
      </c>
      <c r="AJ26" s="16" t="n">
        <f aca="false">S26*J26</f>
        <v>5.53558300148797</v>
      </c>
      <c r="AK26" s="16" t="n">
        <f aca="false">T26*J26</f>
        <v>11.5994286133781</v>
      </c>
      <c r="AL26" s="16" t="n">
        <f aca="false">U26*J26</f>
        <v>1.42746291207758</v>
      </c>
      <c r="AM26" s="16" t="n">
        <f aca="false">AI26-AJ26</f>
        <v>-0.260222608349521</v>
      </c>
      <c r="AN26" s="16" t="n">
        <f aca="false">J26*Country_Data!$EB$8</f>
        <v>73.9354782850283</v>
      </c>
      <c r="AO26" s="16" t="n">
        <f aca="false">L26*Country_Data!$EB$8</f>
        <v>28.0954817483107</v>
      </c>
    </row>
    <row r="27" customFormat="false" ht="15" hidden="false" customHeight="false" outlineLevel="0" collapsed="false">
      <c r="A27" s="14" t="str">
        <f aca="false">Country_Data!$A$8</f>
        <v>JPN</v>
      </c>
      <c r="B27" s="14" t="str">
        <f aca="false">Country_Data!$E$8</f>
        <v>AE</v>
      </c>
      <c r="C27" s="35" t="s">
        <v>470</v>
      </c>
      <c r="D27" s="37" t="n">
        <f aca="false">IF(Country_Data!$BZ$8="","",Country_Data!$BZ$8)</f>
        <v>1122.088518233</v>
      </c>
      <c r="E27" s="40" t="n">
        <f aca="false">Country_Data!$BW$8</f>
        <v>6735.801</v>
      </c>
      <c r="F27" s="41" t="n">
        <f aca="false">Country_Data!$BX$8</f>
        <v>0.62205044359238</v>
      </c>
      <c r="G27" s="42" t="n">
        <f aca="false">IF(D27="","",D27/SUMIFS($D$5:$D$1369,$B$5:$B$1369,B27,$C$5:$C$1369,C27))</f>
        <v>0.114669645241976</v>
      </c>
      <c r="H27" s="42" t="n">
        <f aca="false">E27/SUMIFS($E$5:$E$1369,$B$5:$B$1369,B27,$C$5:$C$1369,C27)</f>
        <v>0.0853877634883281</v>
      </c>
      <c r="I27" s="43" t="n">
        <f aca="false">IF(G27="",H27,p_beta_alloc*G27+(1-p_beta_alloc)*H27)*F27^p_phi</f>
        <v>0.0788928137479681</v>
      </c>
      <c r="J27" s="16" t="n">
        <f aca="false">INDEX(Sector_Params!$C$17:$E$17,MATCH(B27,Sector_Params!$C$15:$E$15,0))*I27/SUMIFS($I$5:$I$1369,$B$5:$B$1369,B27,$C$5:$C$1369,C27)</f>
        <v>48.5234256354358</v>
      </c>
      <c r="K27" s="28" t="n">
        <f aca="false">INDEX(Sector_Params!$F$6:$H$6,MATCH(B27,Sector_Params!$C$15:$E$15,0))</f>
        <v>0.38</v>
      </c>
      <c r="L27" s="16" t="n">
        <f aca="false">J27*K27</f>
        <v>18.4389017414656</v>
      </c>
      <c r="M27" s="44" t="n">
        <f aca="false">Country_Data!$DW$8+Sector_Params!$E$6</f>
        <v>0.055</v>
      </c>
      <c r="N27" s="44" t="n">
        <f aca="false">Country_Data!$DX$8+Sector_Params!$E$6</f>
        <v>0.07</v>
      </c>
      <c r="O27" s="11" t="n">
        <f aca="false">IF(p_use_ibrd=1,p_r_ibrd,p_r_wb)</f>
        <v>0.06</v>
      </c>
      <c r="P27" s="45" t="n">
        <f aca="false">Sector_Params!$D$6</f>
        <v>40</v>
      </c>
      <c r="Q27" s="46" t="n">
        <f aca="false">M27/(1-(1+M27)^-P27)</f>
        <v>0.062320343360638</v>
      </c>
      <c r="R27" s="46" t="n">
        <f aca="false">N27/(1-(1+N27)^-P27)</f>
        <v>0.0750091388736103</v>
      </c>
      <c r="S27" s="46" t="n">
        <f aca="false">O27/(1-(1+O27)^-P27)</f>
        <v>0.0664615359206755</v>
      </c>
      <c r="T27" s="37" t="n">
        <f aca="false">p_grid_credit*IF(AND(p_eng=1,ISNUMBER(Country_Data!$CZ$8)),Country_Data!$CZ$8,Country_Data!$CM$8)*Sector_Params!$I$6</f>
        <v>0</v>
      </c>
      <c r="U27" s="37" t="n">
        <f aca="false">p_grid_credit*IF(AND(p_eng=1,ISNUMBER(Country_Data!$DA$8)),Country_Data!$DA$8,Country_Data!$CN$8)*Sector_Params!$J$6</f>
        <v>0</v>
      </c>
      <c r="V27" s="37" t="n">
        <f aca="false">p_grid_credit*IF(AND(p_eng=1,ISNUMBER(Country_Data!$DB$8)),Country_Data!$DB$8,p_a)</f>
        <v>0</v>
      </c>
      <c r="W27" s="16" t="n">
        <f aca="false">T27*L27</f>
        <v>0</v>
      </c>
      <c r="X27" s="16" t="n">
        <f aca="false">U27*L27</f>
        <v>0</v>
      </c>
      <c r="Y27" s="16" t="n">
        <f aca="false">V27*L27</f>
        <v>0</v>
      </c>
      <c r="Z27" s="16" t="n">
        <f aca="false">Q27*L27</f>
        <v>1.1491186877212</v>
      </c>
      <c r="AA27" s="16" t="n">
        <f aca="false">R27*L27</f>
        <v>1.38308614140245</v>
      </c>
      <c r="AB27" s="16" t="n">
        <f aca="false">S27*L27</f>
        <v>1.22547773042822</v>
      </c>
      <c r="AC27" s="16" t="n">
        <f aca="false">Z27-W27</f>
        <v>1.1491186877212</v>
      </c>
      <c r="AD27" s="16" t="n">
        <f aca="false">AA27-W27</f>
        <v>1.38308614140245</v>
      </c>
      <c r="AE27" s="16" t="n">
        <f aca="false">AB27-W27</f>
        <v>1.22547773042822</v>
      </c>
      <c r="AF27" s="16" t="n">
        <f aca="false">AE27-X27</f>
        <v>1.22547773042822</v>
      </c>
      <c r="AG27" s="16" t="n">
        <f aca="false">AF27-p_spc_lo*Y27/1000</f>
        <v>1.22547773042822</v>
      </c>
      <c r="AH27" s="16" t="n">
        <f aca="false">AF27-p_spc_hi*Y27/1000</f>
        <v>1.22547773042822</v>
      </c>
      <c r="AI27" s="16" t="n">
        <f aca="false">Q27*J27</f>
        <v>3.02399654663474</v>
      </c>
      <c r="AJ27" s="16" t="n">
        <f aca="false">S27*J27</f>
        <v>3.22494139586374</v>
      </c>
      <c r="AK27" s="16" t="n">
        <f aca="false">T27*J27</f>
        <v>0</v>
      </c>
      <c r="AL27" s="16" t="n">
        <f aca="false">U27*J27</f>
        <v>0</v>
      </c>
      <c r="AM27" s="16" t="n">
        <f aca="false">AI27-AJ27</f>
        <v>-0.200944849229002</v>
      </c>
      <c r="AN27" s="16" t="n">
        <f aca="false">J27*Country_Data!$EB$8</f>
        <v>50.6986136811623</v>
      </c>
      <c r="AO27" s="16" t="n">
        <f aca="false">L27*Country_Data!$EB$8</f>
        <v>19.2654731988417</v>
      </c>
    </row>
    <row r="28" customFormat="false" ht="15" hidden="false" customHeight="false" outlineLevel="0" collapsed="false">
      <c r="A28" s="14" t="str">
        <f aca="false">Country_Data!$A$8</f>
        <v>JPN</v>
      </c>
      <c r="B28" s="14" t="str">
        <f aca="false">Country_Data!$E$8</f>
        <v>AE</v>
      </c>
      <c r="C28" s="35" t="s">
        <v>473</v>
      </c>
      <c r="D28" s="37" t="n">
        <f aca="false">IF(Country_Data!$CA$8="","",Country_Data!$CA$8)</f>
        <v>3.21093579675196</v>
      </c>
      <c r="E28" s="40" t="n">
        <f aca="false">Country_Data!$BW$8</f>
        <v>6735.801</v>
      </c>
      <c r="F28" s="41" t="n">
        <f aca="false">Country_Data!$BX$8</f>
        <v>0.62205044359238</v>
      </c>
      <c r="G28" s="42" t="n">
        <f aca="false">IF(D28="","",D28/SUMIFS($D$5:$D$1369,$B$5:$B$1369,B28,$C$5:$C$1369,C28))</f>
        <v>0.0628571826617063</v>
      </c>
      <c r="H28" s="42" t="n">
        <f aca="false">E28/SUMIFS($E$5:$E$1369,$B$5:$B$1369,B28,$C$5:$C$1369,C28)</f>
        <v>0.0853877634883281</v>
      </c>
      <c r="I28" s="43" t="n">
        <f aca="false">IF(G28="",H28,p_beta_alloc*G28+(1-p_beta_alloc)*H28)*F28^p_phi</f>
        <v>0.0584605239062093</v>
      </c>
      <c r="J28" s="16" t="n">
        <f aca="false">INDEX(Sector_Params!$C$18:$E$18,MATCH(B28,Sector_Params!$C$15:$E$15,0))*I28/SUMIFS($I$5:$I$1369,$B$5:$B$1369,B28,$C$5:$C$1369,C28)</f>
        <v>22.0310332154779</v>
      </c>
      <c r="K28" s="28" t="n">
        <f aca="false">INDEX(Sector_Params!$F$7:$H$7,MATCH(B28,Sector_Params!$C$15:$E$15,0))</f>
        <v>0.38</v>
      </c>
      <c r="L28" s="16" t="n">
        <f aca="false">J28*K28</f>
        <v>8.37179262188162</v>
      </c>
      <c r="M28" s="44" t="n">
        <f aca="false">Country_Data!$DW$8+Sector_Params!$E$7</f>
        <v>0.055</v>
      </c>
      <c r="N28" s="44" t="n">
        <f aca="false">Country_Data!$DX$8+Sector_Params!$E$7</f>
        <v>0.07</v>
      </c>
      <c r="O28" s="11" t="n">
        <f aca="false">IF(p_use_ibrd=1,p_r_ibrd,p_r_wb)</f>
        <v>0.06</v>
      </c>
      <c r="P28" s="45" t="n">
        <f aca="false">Sector_Params!$D$7</f>
        <v>12</v>
      </c>
      <c r="Q28" s="46" t="n">
        <f aca="false">M28/(1-(1+M28)^-P28)</f>
        <v>0.116029231191614</v>
      </c>
      <c r="R28" s="46" t="n">
        <f aca="false">N28/(1-(1+N28)^-P28)</f>
        <v>0.12590198865502</v>
      </c>
      <c r="S28" s="46" t="n">
        <f aca="false">O28/(1-(1+O28)^-P28)</f>
        <v>0.119277029380664</v>
      </c>
      <c r="T28" s="37" t="n">
        <f aca="false">IF(AND(p_eng=1,ISNUMBER(Country_Data!$DE$8)),Country_Data!$DE$8,Country_Data!$CM$8)*Sector_Params!$I$7</f>
        <v>0.1155366</v>
      </c>
      <c r="U28" s="37" t="n">
        <f aca="false">IF(AND(p_eng=1,ISNUMBER(Country_Data!$DF$8)),Country_Data!$DF$8,Country_Data!$CN$8)*Sector_Params!$J$7</f>
        <v>0.01880055</v>
      </c>
      <c r="V28" s="37" t="n">
        <f aca="false">IF(AND(p_eng=1,ISNUMBER(Country_Data!$DG$8)),Country_Data!$DG$8,p_a)</f>
        <v>0.284232361597911</v>
      </c>
      <c r="W28" s="16" t="n">
        <f aca="false">T28*L28</f>
        <v>0.967248455437288</v>
      </c>
      <c r="X28" s="16" t="n">
        <f aca="false">U28*L28</f>
        <v>0.157394305777316</v>
      </c>
      <c r="Y28" s="16" t="n">
        <f aca="false">V28*L28</f>
        <v>2.37953438772538</v>
      </c>
      <c r="Z28" s="16" t="n">
        <f aca="false">Q28*L28</f>
        <v>0.971372661612554</v>
      </c>
      <c r="AA28" s="16" t="n">
        <f aca="false">R28*L28</f>
        <v>1.05402533970232</v>
      </c>
      <c r="AB28" s="16" t="n">
        <f aca="false">S28*L28</f>
        <v>0.998562554528996</v>
      </c>
      <c r="AC28" s="16" t="n">
        <f aca="false">Z28-W28</f>
        <v>0.00412420617526643</v>
      </c>
      <c r="AD28" s="16" t="n">
        <f aca="false">AA28-W28</f>
        <v>0.0867768842650355</v>
      </c>
      <c r="AE28" s="16" t="n">
        <f aca="false">AB28-W28</f>
        <v>0.0313140990917084</v>
      </c>
      <c r="AF28" s="16" t="n">
        <f aca="false">AE28-X28</f>
        <v>-0.126080206685608</v>
      </c>
      <c r="AG28" s="16" t="n">
        <f aca="false">AF28-p_spc_lo*Y28/1000</f>
        <v>-0.245056926071877</v>
      </c>
      <c r="AH28" s="16" t="n">
        <f aca="false">AF28-p_spc_hi*Y28/1000</f>
        <v>-0.364033645458146</v>
      </c>
      <c r="AI28" s="16" t="n">
        <f aca="false">Q28*J28</f>
        <v>2.55624384634883</v>
      </c>
      <c r="AJ28" s="16" t="n">
        <f aca="false">S28*J28</f>
        <v>2.62779619612894</v>
      </c>
      <c r="AK28" s="16" t="n">
        <f aca="false">T28*J28</f>
        <v>2.54539067220339</v>
      </c>
      <c r="AL28" s="16" t="n">
        <f aca="false">U28*J28</f>
        <v>0.414195541519254</v>
      </c>
      <c r="AM28" s="16" t="n">
        <f aca="false">AI28-AJ28</f>
        <v>-0.0715523497801103</v>
      </c>
      <c r="AN28" s="16" t="n">
        <f aca="false">J28*Country_Data!$EB$8</f>
        <v>23.0186312561718</v>
      </c>
      <c r="AO28" s="16" t="n">
        <f aca="false">L28*Country_Data!$EB$8</f>
        <v>8.74707987734528</v>
      </c>
    </row>
    <row r="29" customFormat="false" ht="15" hidden="false" customHeight="false" outlineLevel="0" collapsed="false">
      <c r="A29" s="14" t="str">
        <f aca="false">Country_Data!$A$8</f>
        <v>JPN</v>
      </c>
      <c r="B29" s="14" t="str">
        <f aca="false">Country_Data!$E$8</f>
        <v>AE</v>
      </c>
      <c r="C29" s="35" t="s">
        <v>477</v>
      </c>
      <c r="D29" s="37" t="n">
        <f aca="false">IF(Country_Data!$CB$8="","",Country_Data!$CB$8)</f>
        <v>2.97862895380844</v>
      </c>
      <c r="E29" s="40" t="n">
        <f aca="false">Country_Data!$BW$8</f>
        <v>6735.801</v>
      </c>
      <c r="F29" s="41" t="n">
        <f aca="false">Country_Data!$BX$8</f>
        <v>0.62205044359238</v>
      </c>
      <c r="G29" s="42" t="n">
        <f aca="false">IF(D29="","",D29/SUMIFS($D$5:$D$1369,$B$5:$B$1369,B29,$C$5:$C$1369,C29))</f>
        <v>0.0765957625701002</v>
      </c>
      <c r="H29" s="42" t="n">
        <f aca="false">E29/SUMIFS($E$5:$E$1369,$B$5:$B$1369,B29,$C$5:$C$1369,C29)</f>
        <v>0.0853877634883281</v>
      </c>
      <c r="I29" s="43" t="n">
        <f aca="false">IF(G29="",H29,p_beta_alloc*G29+(1-p_beta_alloc)*H29)*F29^p_phi</f>
        <v>0.0638783448844649</v>
      </c>
      <c r="J29" s="16" t="n">
        <f aca="false">INDEX(Sector_Params!$C$19:$E$19,MATCH(B29,Sector_Params!$C$15:$E$15,0))*I29/SUMIFS($I$5:$I$1369,$B$5:$B$1369,B29,$C$5:$C$1369,C29)</f>
        <v>18.7774813571514</v>
      </c>
      <c r="K29" s="28" t="n">
        <f aca="false">INDEX(Sector_Params!$F$8:$H$8,MATCH(B29,Sector_Params!$C$15:$E$15,0))</f>
        <v>0.38</v>
      </c>
      <c r="L29" s="16" t="n">
        <f aca="false">J29*K29</f>
        <v>7.13544291571755</v>
      </c>
      <c r="M29" s="44" t="n">
        <f aca="false">Country_Data!$DW$8+Sector_Params!$E$8</f>
        <v>0.055</v>
      </c>
      <c r="N29" s="44" t="n">
        <f aca="false">Country_Data!$DX$8+Sector_Params!$E$8</f>
        <v>0.07</v>
      </c>
      <c r="O29" s="11" t="n">
        <f aca="false">IF(p_use_ibrd=1,p_r_ibrd,p_r_wb)</f>
        <v>0.06</v>
      </c>
      <c r="P29" s="45" t="n">
        <f aca="false">Sector_Params!$D$8</f>
        <v>25</v>
      </c>
      <c r="Q29" s="46" t="n">
        <f aca="false">M29/(1-(1+M29)^-P29)</f>
        <v>0.0745493529464385</v>
      </c>
      <c r="R29" s="46" t="n">
        <f aca="false">N29/(1-(1+N29)^-P29)</f>
        <v>0.0858105172206656</v>
      </c>
      <c r="S29" s="46" t="n">
        <f aca="false">O29/(1-(1+O29)^-P29)</f>
        <v>0.078226718212274</v>
      </c>
      <c r="T29" s="37" t="n">
        <f aca="false">Country_Data!$CM$8*Sector_Params!$I$8</f>
        <v>0.144837752192835</v>
      </c>
      <c r="U29" s="37" t="n">
        <f aca="false">Country_Data!$CN$8*Sector_Params!$J$8</f>
        <v>0.117108126841721</v>
      </c>
      <c r="V29" s="37" t="n">
        <f aca="false">p_a</f>
        <v>0.35</v>
      </c>
      <c r="W29" s="16" t="n">
        <f aca="false">T29*L29</f>
        <v>1.03348151281282</v>
      </c>
      <c r="X29" s="16" t="n">
        <f aca="false">U29*L29</f>
        <v>0.835618354045712</v>
      </c>
      <c r="Y29" s="16" t="n">
        <f aca="false">V29*L29</f>
        <v>2.49740502050114</v>
      </c>
      <c r="Z29" s="16" t="n">
        <f aca="false">Q29*L29</f>
        <v>0.531942652352992</v>
      </c>
      <c r="AA29" s="16" t="n">
        <f aca="false">R29*L29</f>
        <v>0.612296047196257</v>
      </c>
      <c r="AB29" s="16" t="n">
        <f aca="false">S29*L29</f>
        <v>0.558182282287603</v>
      </c>
      <c r="AC29" s="16" t="n">
        <f aca="false">Z29-W29</f>
        <v>-0.501538860459829</v>
      </c>
      <c r="AD29" s="16" t="n">
        <f aca="false">AA29-W29</f>
        <v>-0.421185465616564</v>
      </c>
      <c r="AE29" s="16" t="n">
        <f aca="false">AB29-W29</f>
        <v>-0.475299230525218</v>
      </c>
      <c r="AF29" s="16" t="n">
        <f aca="false">AE29-X29</f>
        <v>-1.31091758457093</v>
      </c>
      <c r="AG29" s="16" t="n">
        <f aca="false">AF29-p_spc_lo*Y29/1000</f>
        <v>-1.43578783559599</v>
      </c>
      <c r="AH29" s="16" t="n">
        <f aca="false">AF29-p_spc_hi*Y29/1000</f>
        <v>-1.56065808662104</v>
      </c>
      <c r="AI29" s="16" t="n">
        <f aca="false">Q29*J29</f>
        <v>1.39984908513945</v>
      </c>
      <c r="AJ29" s="16" t="n">
        <f aca="false">S29*J29</f>
        <v>1.46890074286211</v>
      </c>
      <c r="AK29" s="16" t="n">
        <f aca="false">T29*J29</f>
        <v>2.71968819161269</v>
      </c>
      <c r="AL29" s="16" t="n">
        <f aca="false">U29*J29</f>
        <v>2.19899566854135</v>
      </c>
      <c r="AM29" s="16" t="n">
        <f aca="false">AI29-AJ29</f>
        <v>-0.069051657722661</v>
      </c>
      <c r="AN29" s="16" t="n">
        <f aca="false">J29*Country_Data!$EB$8</f>
        <v>19.6192305214375</v>
      </c>
      <c r="AO29" s="16" t="n">
        <f aca="false">L29*Country_Data!$EB$8</f>
        <v>7.45530759814627</v>
      </c>
    </row>
    <row r="30" customFormat="false" ht="15" hidden="false" customHeight="false" outlineLevel="0" collapsed="false">
      <c r="A30" s="14" t="str">
        <f aca="false">Country_Data!$A$8</f>
        <v>JPN</v>
      </c>
      <c r="B30" s="14" t="str">
        <f aca="false">Country_Data!$E$8</f>
        <v>AE</v>
      </c>
      <c r="C30" s="35" t="s">
        <v>481</v>
      </c>
      <c r="D30" s="37" t="n">
        <f aca="false">IF(Country_Data!$CC$8="","",Country_Data!$CC$8)</f>
        <v>7.03690673731643</v>
      </c>
      <c r="E30" s="40" t="n">
        <f aca="false">Country_Data!$BW$8</f>
        <v>6735.801</v>
      </c>
      <c r="F30" s="41" t="n">
        <f aca="false">Country_Data!$BX$8</f>
        <v>0.62205044359238</v>
      </c>
      <c r="G30" s="42" t="n">
        <f aca="false">IF(D30="","",D30/SUMIFS($D$5:$D$1369,$B$5:$B$1369,B30,$C$5:$C$1369,C30))</f>
        <v>0.128127033914066</v>
      </c>
      <c r="H30" s="42" t="n">
        <f aca="false">E30/SUMIFS($E$5:$E$1369,$B$5:$B$1369,B30,$C$5:$C$1369,C30)</f>
        <v>0.0853877634883281</v>
      </c>
      <c r="I30" s="43" t="n">
        <f aca="false">IF(G30="",H30,p_beta_alloc*G30+(1-p_beta_alloc)*H30)*F30^p_phi</f>
        <v>0.0841997467167564</v>
      </c>
      <c r="J30" s="16" t="n">
        <f aca="false">INDEX(Sector_Params!$C$20:$E$20,MATCH(B30,Sector_Params!$C$15:$E$15,0))*I30/SUMIFS($I$5:$I$1369,$B$5:$B$1369,B30,$C$5:$C$1369,C30)</f>
        <v>14.2985780060674</v>
      </c>
      <c r="K30" s="28" t="n">
        <f aca="false">INDEX(Sector_Params!$F$9:$H$9,MATCH(B30,Sector_Params!$C$15:$E$15,0))</f>
        <v>0.38</v>
      </c>
      <c r="L30" s="16" t="n">
        <f aca="false">J30*K30</f>
        <v>5.4334596423056</v>
      </c>
      <c r="M30" s="44" t="n">
        <f aca="false">Country_Data!$DW$8+Sector_Params!$E$9</f>
        <v>0.055</v>
      </c>
      <c r="N30" s="44" t="n">
        <f aca="false">Country_Data!$DX$8+Sector_Params!$E$9</f>
        <v>0.07</v>
      </c>
      <c r="O30" s="11" t="n">
        <f aca="false">IF(p_use_ibrd=1,p_r_ibrd,p_r_wb)</f>
        <v>0.06</v>
      </c>
      <c r="P30" s="45" t="n">
        <f aca="false">Sector_Params!$D$9</f>
        <v>25</v>
      </c>
      <c r="Q30" s="46" t="n">
        <f aca="false">M30/(1-(1+M30)^-P30)</f>
        <v>0.0745493529464385</v>
      </c>
      <c r="R30" s="46" t="n">
        <f aca="false">N30/(1-(1+N30)^-P30)</f>
        <v>0.0858105172206656</v>
      </c>
      <c r="S30" s="46" t="n">
        <f aca="false">O30/(1-(1+O30)^-P30)</f>
        <v>0.078226718212274</v>
      </c>
      <c r="T30" s="37" t="n">
        <f aca="false">Country_Data!$CM$8*Sector_Params!$I$9</f>
        <v>0.144837752192835</v>
      </c>
      <c r="U30" s="37" t="n">
        <f aca="false">Country_Data!$CN$8*Sector_Params!$J$9</f>
        <v>0.117108126841721</v>
      </c>
      <c r="V30" s="37" t="n">
        <f aca="false">p_a</f>
        <v>0.35</v>
      </c>
      <c r="W30" s="16" t="n">
        <f aca="false">T30*L30</f>
        <v>0.78697008122203</v>
      </c>
      <c r="X30" s="16" t="n">
        <f aca="false">U30*L30</f>
        <v>0.636302280980497</v>
      </c>
      <c r="Y30" s="16" t="n">
        <f aca="false">V30*L30</f>
        <v>1.90171087480696</v>
      </c>
      <c r="Z30" s="16" t="n">
        <f aca="false">Q30*L30</f>
        <v>0.40506090059447</v>
      </c>
      <c r="AA30" s="16" t="n">
        <f aca="false">R30*L30</f>
        <v>0.466247982203856</v>
      </c>
      <c r="AB30" s="16" t="n">
        <f aca="false">S30*L30</f>
        <v>0.425041716356403</v>
      </c>
      <c r="AC30" s="16" t="n">
        <f aca="false">Z30-W30</f>
        <v>-0.38190918062756</v>
      </c>
      <c r="AD30" s="16" t="n">
        <f aca="false">AA30-W30</f>
        <v>-0.320722099018174</v>
      </c>
      <c r="AE30" s="16" t="n">
        <f aca="false">AB30-W30</f>
        <v>-0.361928364865627</v>
      </c>
      <c r="AF30" s="16" t="n">
        <f aca="false">AE30-X30</f>
        <v>-0.998230645846125</v>
      </c>
      <c r="AG30" s="16" t="n">
        <f aca="false">AF30-p_spc_lo*Y30/1000</f>
        <v>-1.09331618958647</v>
      </c>
      <c r="AH30" s="16" t="n">
        <f aca="false">AF30-p_spc_hi*Y30/1000</f>
        <v>-1.18840173332682</v>
      </c>
      <c r="AI30" s="16" t="n">
        <f aca="false">Q30*J30</f>
        <v>1.0659497384065</v>
      </c>
      <c r="AJ30" s="16" t="n">
        <f aca="false">S30*J30</f>
        <v>1.11853083251685</v>
      </c>
      <c r="AK30" s="16" t="n">
        <f aca="false">T30*J30</f>
        <v>2.07097389795271</v>
      </c>
      <c r="AL30" s="16" t="n">
        <f aca="false">U30*J30</f>
        <v>1.67447968679078</v>
      </c>
      <c r="AM30" s="16" t="n">
        <f aca="false">AI30-AJ30</f>
        <v>-0.0525810941103504</v>
      </c>
      <c r="AN30" s="16" t="n">
        <f aca="false">J30*Country_Data!$EB$8</f>
        <v>14.9395487442704</v>
      </c>
      <c r="AO30" s="16" t="n">
        <f aca="false">L30*Country_Data!$EB$8</f>
        <v>5.67702852282275</v>
      </c>
    </row>
    <row r="31" customFormat="false" ht="15" hidden="false" customHeight="false" outlineLevel="0" collapsed="false">
      <c r="A31" s="14" t="str">
        <f aca="false">Country_Data!$A$8</f>
        <v>JPN</v>
      </c>
      <c r="B31" s="14" t="str">
        <f aca="false">Country_Data!$E$8</f>
        <v>AE</v>
      </c>
      <c r="C31" s="35" t="s">
        <v>484</v>
      </c>
      <c r="D31" s="37" t="n">
        <f aca="false">IF(Country_Data!$CD$8="","",Country_Data!$CD$8)</f>
        <v>13.5829963025513</v>
      </c>
      <c r="E31" s="40" t="n">
        <f aca="false">Country_Data!$BW$8</f>
        <v>6735.801</v>
      </c>
      <c r="F31" s="41" t="n">
        <f aca="false">Country_Data!$BX$8</f>
        <v>0.62205044359238</v>
      </c>
      <c r="G31" s="42" t="n">
        <f aca="false">IF(D31="","",D31/SUMIFS($D$5:$D$1369,$B$5:$B$1369,B31,$C$5:$C$1369,C31))</f>
        <v>0.0919010943313145</v>
      </c>
      <c r="H31" s="42" t="n">
        <f aca="false">E31/SUMIFS($E$5:$E$1369,$B$5:$B$1369,B31,$C$5:$C$1369,C31)</f>
        <v>0.0853877634883281</v>
      </c>
      <c r="I31" s="43" t="n">
        <f aca="false">IF(G31="",H31,p_beta_alloc*G31+(1-p_beta_alloc)*H31)*F31^p_phi</f>
        <v>0.0699140158233809</v>
      </c>
      <c r="J31" s="16" t="n">
        <f aca="false">INDEX(Sector_Params!$C$21:$E$21,MATCH(B31,Sector_Params!$C$15:$E$15,0))*I31/SUMIFS($I$5:$I$1369,$B$5:$B$1369,B31,$C$5:$C$1369,C31)</f>
        <v>14.2449622481601</v>
      </c>
      <c r="K31" s="28" t="n">
        <f aca="false">INDEX(Sector_Params!$F$10:$H$10,MATCH(B31,Sector_Params!$C$15:$E$15,0))</f>
        <v>0.38</v>
      </c>
      <c r="L31" s="16" t="n">
        <f aca="false">J31*K31</f>
        <v>5.41308565430083</v>
      </c>
      <c r="M31" s="44" t="n">
        <f aca="false">Country_Data!$DW$8+Sector_Params!$E$10</f>
        <v>0.055</v>
      </c>
      <c r="N31" s="44" t="n">
        <f aca="false">Country_Data!$DX$8+Sector_Params!$E$10</f>
        <v>0.07</v>
      </c>
      <c r="O31" s="11" t="n">
        <f aca="false">IF(p_use_ibrd=1,p_r_ibrd,p_r_wb)</f>
        <v>0.06</v>
      </c>
      <c r="P31" s="45" t="n">
        <f aca="false">Sector_Params!$D$10</f>
        <v>20</v>
      </c>
      <c r="Q31" s="46" t="n">
        <f aca="false">M31/(1-(1+M31)^-P31)</f>
        <v>0.0836793300349332</v>
      </c>
      <c r="R31" s="46" t="n">
        <f aca="false">N31/(1-(1+N31)^-P31)</f>
        <v>0.0943929257432557</v>
      </c>
      <c r="S31" s="46" t="n">
        <f aca="false">O31/(1-(1+O31)^-P31)</f>
        <v>0.0871845569768514</v>
      </c>
      <c r="T31" s="37" t="n">
        <f aca="false">0*Sector_Params!$I$10</f>
        <v>0</v>
      </c>
      <c r="U31" s="37" t="n">
        <f aca="false">0*Sector_Params!$J$10</f>
        <v>0</v>
      </c>
      <c r="V31" s="37" t="n">
        <f aca="false">1000*p_r_wb/(1-(1+p_r_wb)^-Sector_Params!$D$10)/p_cpt_fuel</f>
        <v>0.871845569768514</v>
      </c>
      <c r="W31" s="16" t="n">
        <f aca="false">T31*L31</f>
        <v>0</v>
      </c>
      <c r="X31" s="16" t="n">
        <f aca="false">U31*L31</f>
        <v>0</v>
      </c>
      <c r="Y31" s="16" t="n">
        <f aca="false">V31*L31</f>
        <v>4.71937474647968</v>
      </c>
      <c r="Z31" s="16" t="n">
        <f aca="false">Q31*L31</f>
        <v>0.452963380973602</v>
      </c>
      <c r="AA31" s="16" t="n">
        <f aca="false">R31*L31</f>
        <v>0.510956992208301</v>
      </c>
      <c r="AB31" s="16" t="n">
        <f aca="false">S31*L31</f>
        <v>0.471937474647968</v>
      </c>
      <c r="AC31" s="16" t="n">
        <f aca="false">Z31-W31</f>
        <v>0.452963380973602</v>
      </c>
      <c r="AD31" s="16" t="n">
        <f aca="false">AA31-W31</f>
        <v>0.510956992208301</v>
      </c>
      <c r="AE31" s="16" t="n">
        <f aca="false">AB31-W31</f>
        <v>0.471937474647968</v>
      </c>
      <c r="AF31" s="16" t="n">
        <f aca="false">AE31-X31</f>
        <v>0.471937474647968</v>
      </c>
      <c r="AG31" s="16" t="n">
        <f aca="false">AF31-p_spc_lo*Y31/1000</f>
        <v>0.235968737323984</v>
      </c>
      <c r="AH31" s="16" t="n">
        <f aca="false">AF31-p_spc_hi*Y31/1000</f>
        <v>0</v>
      </c>
      <c r="AI31" s="16" t="n">
        <f aca="false">Q31*J31</f>
        <v>1.19200889729895</v>
      </c>
      <c r="AJ31" s="16" t="n">
        <f aca="false">S31*J31</f>
        <v>1.24194072275781</v>
      </c>
      <c r="AK31" s="16" t="n">
        <f aca="false">T31*J31</f>
        <v>0</v>
      </c>
      <c r="AL31" s="16" t="n">
        <f aca="false">U31*J31</f>
        <v>0</v>
      </c>
      <c r="AM31" s="16" t="n">
        <f aca="false">AI31-AJ31</f>
        <v>-0.0499318254588581</v>
      </c>
      <c r="AN31" s="16" t="n">
        <f aca="false">J31*Country_Data!$EB$8</f>
        <v>14.8835295213535</v>
      </c>
      <c r="AO31" s="16" t="n">
        <f aca="false">L31*Country_Data!$EB$8</f>
        <v>5.65574121811432</v>
      </c>
    </row>
    <row r="32" customFormat="false" ht="15" hidden="false" customHeight="false" outlineLevel="0" collapsed="false">
      <c r="A32" s="14" t="str">
        <f aca="false">Country_Data!$A$8</f>
        <v>JPN</v>
      </c>
      <c r="B32" s="14" t="str">
        <f aca="false">Country_Data!$E$8</f>
        <v>AE</v>
      </c>
      <c r="C32" s="35" t="s">
        <v>488</v>
      </c>
      <c r="D32" s="37" t="n">
        <f aca="false">IF(Country_Data!$CE$8="","",Country_Data!$CE$8)</f>
        <v>110.914</v>
      </c>
      <c r="E32" s="40" t="n">
        <f aca="false">Country_Data!$BW$8</f>
        <v>6735.801</v>
      </c>
      <c r="F32" s="41" t="n">
        <f aca="false">Country_Data!$BX$8</f>
        <v>0.62205044359238</v>
      </c>
      <c r="G32" s="42" t="n">
        <f aca="false">IF(D32="","",D32/SUMIFS($D$5:$D$1369,$B$5:$B$1369,B32,$C$5:$C$1369,C32))</f>
        <v>0.0423291609961401</v>
      </c>
      <c r="H32" s="42" t="n">
        <f aca="false">E32/SUMIFS($E$5:$E$1369,$B$5:$B$1369,B32,$C$5:$C$1369,C32)</f>
        <v>0.0853877634883281</v>
      </c>
      <c r="I32" s="43" t="n">
        <f aca="false">IF(G32="",H32,p_beta_alloc*G32+(1-p_beta_alloc)*H32)*F32^p_phi</f>
        <v>0.0503652806450161</v>
      </c>
      <c r="J32" s="16" t="n">
        <f aca="false">INDEX(Sector_Params!$C$22:$E$22,MATCH(B32,Sector_Params!$C$15:$E$15,0))*I32/SUMIFS($I$5:$I$1369,$B$5:$B$1369,B32,$C$5:$C$1369,C32)</f>
        <v>1.95153489042447</v>
      </c>
      <c r="K32" s="28" t="n">
        <f aca="false">INDEX(Sector_Params!$F$11:$H$11,MATCH(B32,Sector_Params!$C$15:$E$15,0))</f>
        <v>0.38</v>
      </c>
      <c r="L32" s="16" t="n">
        <f aca="false">J32*K32</f>
        <v>0.741583258361297</v>
      </c>
      <c r="M32" s="44" t="n">
        <f aca="false">Country_Data!$DW$8+Sector_Params!$E$11</f>
        <v>0.055</v>
      </c>
      <c r="N32" s="44" t="n">
        <f aca="false">Country_Data!$DX$8+Sector_Params!$E$11</f>
        <v>0.07</v>
      </c>
      <c r="O32" s="11" t="n">
        <f aca="false">IF(p_use_ibrd=1,p_r_ibrd,p_r_wb)</f>
        <v>0.06</v>
      </c>
      <c r="P32" s="45" t="n">
        <f aca="false">Sector_Params!$D$11</f>
        <v>30</v>
      </c>
      <c r="Q32" s="46" t="n">
        <f aca="false">M32/(1-(1+M32)^-P32)</f>
        <v>0.0688053896793896</v>
      </c>
      <c r="R32" s="46" t="n">
        <f aca="false">N32/(1-(1+N32)^-P32)</f>
        <v>0.0805864035111112</v>
      </c>
      <c r="S32" s="46" t="n">
        <f aca="false">O32/(1-(1+O32)^-P32)</f>
        <v>0.0726489114900472</v>
      </c>
      <c r="T32" s="37" t="n">
        <f aca="false">0*Sector_Params!$I$11</f>
        <v>0</v>
      </c>
      <c r="U32" s="37" t="n">
        <f aca="false">p_c*Sector_Params!$J$11</f>
        <v>0.129</v>
      </c>
      <c r="V32" s="37" t="n">
        <f aca="false">1000*p_r_wb/(1-(1+p_r_wb)^-Sector_Params!$D$11)/p_cpt_afolu</f>
        <v>1.45297822980094</v>
      </c>
      <c r="W32" s="16" t="n">
        <f aca="false">T32*L32</f>
        <v>0</v>
      </c>
      <c r="X32" s="16" t="n">
        <f aca="false">U32*L32</f>
        <v>0.0956642403286073</v>
      </c>
      <c r="Y32" s="16" t="n">
        <f aca="false">V32*L32</f>
        <v>1.07750432998381</v>
      </c>
      <c r="Z32" s="16" t="n">
        <f aca="false">Q32*L32</f>
        <v>0.0510249250712605</v>
      </c>
      <c r="AA32" s="16" t="n">
        <f aca="false">R32*L32</f>
        <v>0.0597615276953881</v>
      </c>
      <c r="AB32" s="16" t="n">
        <f aca="false">S32*L32</f>
        <v>0.0538752164991907</v>
      </c>
      <c r="AC32" s="16" t="n">
        <f aca="false">Z32-W32</f>
        <v>0.0510249250712605</v>
      </c>
      <c r="AD32" s="16" t="n">
        <f aca="false">AA32-W32</f>
        <v>0.0597615276953881</v>
      </c>
      <c r="AE32" s="16" t="n">
        <f aca="false">AB32-W32</f>
        <v>0.0538752164991907</v>
      </c>
      <c r="AF32" s="16" t="n">
        <f aca="false">AE32-X32</f>
        <v>-0.0417890238294166</v>
      </c>
      <c r="AG32" s="16" t="n">
        <f aca="false">AF32-p_spc_lo*Y32/1000</f>
        <v>-0.0956642403286073</v>
      </c>
      <c r="AH32" s="16" t="n">
        <f aca="false">AF32-p_spc_hi*Y32/1000</f>
        <v>-0.149539456827798</v>
      </c>
      <c r="AI32" s="16" t="n">
        <f aca="false">Q32*J32</f>
        <v>0.13427611860858</v>
      </c>
      <c r="AJ32" s="16" t="n">
        <f aca="false">S32*J32</f>
        <v>0.141776885524186</v>
      </c>
      <c r="AK32" s="16" t="n">
        <f aca="false">T32*J32</f>
        <v>0</v>
      </c>
      <c r="AL32" s="16" t="n">
        <f aca="false">U32*J32</f>
        <v>0.251748000864756</v>
      </c>
      <c r="AM32" s="16" t="n">
        <f aca="false">AI32-AJ32</f>
        <v>-0.00750076691560575</v>
      </c>
      <c r="AN32" s="16" t="n">
        <f aca="false">J32*Country_Data!$EB$8</f>
        <v>2.03901748896074</v>
      </c>
      <c r="AO32" s="16" t="n">
        <f aca="false">L32*Country_Data!$EB$8</f>
        <v>0.774826645805079</v>
      </c>
    </row>
    <row r="33" customFormat="false" ht="15" hidden="false" customHeight="false" outlineLevel="0" collapsed="false">
      <c r="A33" s="14" t="str">
        <f aca="false">Country_Data!$A$9</f>
        <v>IND</v>
      </c>
      <c r="B33" s="14" t="str">
        <f aca="false">Country_Data!$E$9</f>
        <v>EMDC</v>
      </c>
      <c r="C33" s="35" t="s">
        <v>466</v>
      </c>
      <c r="D33" s="37" t="n">
        <f aca="false">IF(Country_Data!$BZ$9="","",Country_Data!$BZ$9)</f>
        <v>1625.71095771548</v>
      </c>
      <c r="E33" s="40" t="n">
        <f aca="false">Country_Data!$BW$9</f>
        <v>15593.814</v>
      </c>
      <c r="F33" s="41" t="n">
        <f aca="false">Country_Data!$BX$9</f>
        <v>0.241173455063655</v>
      </c>
      <c r="G33" s="42" t="n">
        <f aca="false">IF(D33="","",D33/SUMIFS($D$5:$D$1369,$B$5:$B$1369,B33,$C$5:$C$1369,C33))</f>
        <v>0.185594634523353</v>
      </c>
      <c r="H33" s="42" t="n">
        <f aca="false">E33/SUMIFS($E$5:$E$1369,$B$5:$B$1369,B33,$C$5:$C$1369,C33)</f>
        <v>0.193155567149487</v>
      </c>
      <c r="I33" s="43" t="n">
        <f aca="false">IF(G33="",H33,p_beta_alloc*G33+(1-p_beta_alloc)*H33)*F33^p_phi</f>
        <v>0.0930010024217513</v>
      </c>
      <c r="J33" s="16" t="n">
        <f aca="false">INDEX(Sector_Params!$C$16:$E$16,MATCH(B33,Sector_Params!$C$15:$E$15,0))*I33/SUMIFS($I$5:$I$1369,$B$5:$B$1369,B33,$C$5:$C$1369,C33)</f>
        <v>89.9529273210097</v>
      </c>
      <c r="K33" s="28" t="n">
        <f aca="false">INDEX(Sector_Params!$F$5:$H$5,MATCH(B33,Sector_Params!$C$15:$E$15,0))</f>
        <v>0.24</v>
      </c>
      <c r="L33" s="16" t="n">
        <f aca="false">J33*K33</f>
        <v>21.5887025570423</v>
      </c>
      <c r="M33" s="44" t="n">
        <f aca="false">Country_Data!$DW$9+Sector_Params!$E$5</f>
        <v>0.095</v>
      </c>
      <c r="N33" s="44" t="n">
        <f aca="false">Country_Data!$DX$9+Sector_Params!$E$5</f>
        <v>0.14</v>
      </c>
      <c r="O33" s="11" t="n">
        <f aca="false">IF(p_use_ibrd=1,p_r_ibrd,p_r_wb)</f>
        <v>0.06</v>
      </c>
      <c r="P33" s="45" t="n">
        <f aca="false">Sector_Params!$D$5</f>
        <v>25</v>
      </c>
      <c r="Q33" s="46" t="n">
        <f aca="false">M33/(1-(1+M33)^-P33)</f>
        <v>0.105959392478349</v>
      </c>
      <c r="R33" s="46" t="n">
        <f aca="false">N33/(1-(1+N33)^-P33)</f>
        <v>0.145498407937244</v>
      </c>
      <c r="S33" s="46" t="n">
        <f aca="false">O33/(1-(1+O33)^-P33)</f>
        <v>0.078226718212274</v>
      </c>
      <c r="T33" s="37" t="n">
        <f aca="false">IF(AND(p_eng=1,ISNUMBER(Country_Data!$CZ$9)),Country_Data!$CZ$9,Country_Data!$CM$9)*Sector_Params!$I$5</f>
        <v>0.0318665061821817</v>
      </c>
      <c r="U33" s="37" t="n">
        <f aca="false">IF(AND(p_eng=1,ISNUMBER(Country_Data!$DA$9)),Country_Data!$DA$9,Country_Data!$CN$9)*Sector_Params!$J$5</f>
        <v>0.0455858844361515</v>
      </c>
      <c r="V33" s="37" t="n">
        <f aca="false">IF(AND(p_eng=1,ISNUMBER(Country_Data!$DB$9)),Country_Data!$DB$9,p_a)</f>
        <v>1.56798629780783</v>
      </c>
      <c r="W33" s="16" t="n">
        <f aca="false">T33*L33</f>
        <v>0.687956523499272</v>
      </c>
      <c r="X33" s="16" t="n">
        <f aca="false">U33*L33</f>
        <v>0.984140099891779</v>
      </c>
      <c r="Y33" s="16" t="n">
        <f aca="false">V33*L33</f>
        <v>33.8507897968913</v>
      </c>
      <c r="Z33" s="16" t="n">
        <f aca="false">Q33*L33</f>
        <v>2.28752580733997</v>
      </c>
      <c r="AA33" s="16" t="n">
        <f aca="false">R33*L33</f>
        <v>3.14112185148038</v>
      </c>
      <c r="AB33" s="16" t="n">
        <f aca="false">S33*L33</f>
        <v>1.68881335149835</v>
      </c>
      <c r="AC33" s="16" t="n">
        <f aca="false">Z33-W33</f>
        <v>1.5995692838407</v>
      </c>
      <c r="AD33" s="16" t="n">
        <f aca="false">AA33-W33</f>
        <v>2.4531653279811</v>
      </c>
      <c r="AE33" s="16" t="n">
        <f aca="false">AB33-W33</f>
        <v>1.00085682799908</v>
      </c>
      <c r="AF33" s="16" t="n">
        <f aca="false">AE33-X33</f>
        <v>0.0167167281072966</v>
      </c>
      <c r="AG33" s="16" t="n">
        <f aca="false">AF33-p_spc_lo*Y33/1000</f>
        <v>-1.67582276173727</v>
      </c>
      <c r="AH33" s="16" t="n">
        <f aca="false">AF33-p_spc_hi*Y33/1000</f>
        <v>-3.36836225158183</v>
      </c>
      <c r="AI33" s="16" t="n">
        <f aca="false">Q33*J33</f>
        <v>9.53135753058323</v>
      </c>
      <c r="AJ33" s="16" t="n">
        <f aca="false">S33*J33</f>
        <v>7.03672229790978</v>
      </c>
      <c r="AK33" s="16" t="n">
        <f aca="false">T33*J33</f>
        <v>2.8664855145803</v>
      </c>
      <c r="AL33" s="16" t="n">
        <f aca="false">U33*J33</f>
        <v>4.10058374954908</v>
      </c>
      <c r="AM33" s="16" t="n">
        <f aca="false">AI33-AJ33</f>
        <v>2.49463523267344</v>
      </c>
      <c r="AN33" s="16" t="n">
        <f aca="false">J33*Country_Data!$EB$9</f>
        <v>103.261031636995</v>
      </c>
      <c r="AO33" s="16" t="n">
        <f aca="false">L33*Country_Data!$EB$9</f>
        <v>24.7826475928787</v>
      </c>
    </row>
    <row r="34" customFormat="false" ht="15" hidden="false" customHeight="false" outlineLevel="0" collapsed="false">
      <c r="A34" s="14" t="str">
        <f aca="false">Country_Data!$A$9</f>
        <v>IND</v>
      </c>
      <c r="B34" s="14" t="str">
        <f aca="false">Country_Data!$E$9</f>
        <v>EMDC</v>
      </c>
      <c r="C34" s="35" t="s">
        <v>470</v>
      </c>
      <c r="D34" s="37" t="n">
        <f aca="false">IF(Country_Data!$BZ$9="","",Country_Data!$BZ$9)</f>
        <v>1625.71095771548</v>
      </c>
      <c r="E34" s="40" t="n">
        <f aca="false">Country_Data!$BW$9</f>
        <v>15593.814</v>
      </c>
      <c r="F34" s="41" t="n">
        <f aca="false">Country_Data!$BX$9</f>
        <v>0.241173455063655</v>
      </c>
      <c r="G34" s="42" t="n">
        <f aca="false">IF(D34="","",D34/SUMIFS($D$5:$D$1369,$B$5:$B$1369,B34,$C$5:$C$1369,C34))</f>
        <v>0.185594634523353</v>
      </c>
      <c r="H34" s="42" t="n">
        <f aca="false">E34/SUMIFS($E$5:$E$1369,$B$5:$B$1369,B34,$C$5:$C$1369,C34)</f>
        <v>0.193155567149487</v>
      </c>
      <c r="I34" s="43" t="n">
        <f aca="false">IF(G34="",H34,p_beta_alloc*G34+(1-p_beta_alloc)*H34)*F34^p_phi</f>
        <v>0.0930010024217513</v>
      </c>
      <c r="J34" s="16" t="n">
        <f aca="false">INDEX(Sector_Params!$C$17:$E$17,MATCH(B34,Sector_Params!$C$15:$E$15,0))*I34/SUMIFS($I$5:$I$1369,$B$5:$B$1369,B34,$C$5:$C$1369,C34)</f>
        <v>61.6820073058352</v>
      </c>
      <c r="K34" s="28" t="n">
        <f aca="false">INDEX(Sector_Params!$F$6:$H$6,MATCH(B34,Sector_Params!$C$15:$E$15,0))</f>
        <v>0.24</v>
      </c>
      <c r="L34" s="16" t="n">
        <f aca="false">J34*K34</f>
        <v>14.8036817534004</v>
      </c>
      <c r="M34" s="44" t="n">
        <f aca="false">Country_Data!$DW$9+Sector_Params!$E$6</f>
        <v>0.095</v>
      </c>
      <c r="N34" s="44" t="n">
        <f aca="false">Country_Data!$DX$9+Sector_Params!$E$6</f>
        <v>0.14</v>
      </c>
      <c r="O34" s="11" t="n">
        <f aca="false">IF(p_use_ibrd=1,p_r_ibrd,p_r_wb)</f>
        <v>0.06</v>
      </c>
      <c r="P34" s="45" t="n">
        <f aca="false">Sector_Params!$D$6</f>
        <v>40</v>
      </c>
      <c r="Q34" s="46" t="n">
        <f aca="false">M34/(1-(1+M34)^-P34)</f>
        <v>0.0975871882975526</v>
      </c>
      <c r="R34" s="46" t="n">
        <f aca="false">N34/(1-(1+N34)^-P34)</f>
        <v>0.140745142546706</v>
      </c>
      <c r="S34" s="46" t="n">
        <f aca="false">O34/(1-(1+O34)^-P34)</f>
        <v>0.0664615359206755</v>
      </c>
      <c r="T34" s="37" t="n">
        <f aca="false">p_grid_credit*IF(AND(p_eng=1,ISNUMBER(Country_Data!$CZ$9)),Country_Data!$CZ$9,Country_Data!$CM$9)*Sector_Params!$I$6</f>
        <v>0</v>
      </c>
      <c r="U34" s="37" t="n">
        <f aca="false">p_grid_credit*IF(AND(p_eng=1,ISNUMBER(Country_Data!$DA$9)),Country_Data!$DA$9,Country_Data!$CN$9)*Sector_Params!$J$6</f>
        <v>0</v>
      </c>
      <c r="V34" s="37" t="n">
        <f aca="false">p_grid_credit*IF(AND(p_eng=1,ISNUMBER(Country_Data!$DB$9)),Country_Data!$DB$9,p_a)</f>
        <v>0</v>
      </c>
      <c r="W34" s="16" t="n">
        <f aca="false">T34*L34</f>
        <v>0</v>
      </c>
      <c r="X34" s="16" t="n">
        <f aca="false">U34*L34</f>
        <v>0</v>
      </c>
      <c r="Y34" s="16" t="n">
        <f aca="false">V34*L34</f>
        <v>0</v>
      </c>
      <c r="Z34" s="16" t="n">
        <f aca="false">Q34*L34</f>
        <v>1.44464967876613</v>
      </c>
      <c r="AA34" s="16" t="n">
        <f aca="false">R34*L34</f>
        <v>2.08354629859841</v>
      </c>
      <c r="AB34" s="16" t="n">
        <f aca="false">S34*L34</f>
        <v>0.983875426611872</v>
      </c>
      <c r="AC34" s="16" t="n">
        <f aca="false">Z34-W34</f>
        <v>1.44464967876613</v>
      </c>
      <c r="AD34" s="16" t="n">
        <f aca="false">AA34-W34</f>
        <v>2.08354629859841</v>
      </c>
      <c r="AE34" s="16" t="n">
        <f aca="false">AB34-W34</f>
        <v>0.983875426611872</v>
      </c>
      <c r="AF34" s="16" t="n">
        <f aca="false">AE34-X34</f>
        <v>0.983875426611872</v>
      </c>
      <c r="AG34" s="16" t="n">
        <f aca="false">AF34-p_spc_lo*Y34/1000</f>
        <v>0.983875426611872</v>
      </c>
      <c r="AH34" s="16" t="n">
        <f aca="false">AF34-p_spc_hi*Y34/1000</f>
        <v>0.983875426611872</v>
      </c>
      <c r="AI34" s="16" t="n">
        <f aca="false">Q34*J34</f>
        <v>6.01937366152555</v>
      </c>
      <c r="AJ34" s="16" t="n">
        <f aca="false">S34*J34</f>
        <v>4.09948094421614</v>
      </c>
      <c r="AK34" s="16" t="n">
        <f aca="false">T34*J34</f>
        <v>0</v>
      </c>
      <c r="AL34" s="16" t="n">
        <f aca="false">U34*J34</f>
        <v>0</v>
      </c>
      <c r="AM34" s="16" t="n">
        <f aca="false">AI34-AJ34</f>
        <v>1.91989271730942</v>
      </c>
      <c r="AN34" s="16" t="n">
        <f aca="false">J34*Country_Data!$EB$9</f>
        <v>70.8075645510821</v>
      </c>
      <c r="AO34" s="16" t="n">
        <f aca="false">L34*Country_Data!$EB$9</f>
        <v>16.9938154922597</v>
      </c>
    </row>
    <row r="35" customFormat="false" ht="15" hidden="false" customHeight="false" outlineLevel="0" collapsed="false">
      <c r="A35" s="14" t="str">
        <f aca="false">Country_Data!$A$9</f>
        <v>IND</v>
      </c>
      <c r="B35" s="14" t="str">
        <f aca="false">Country_Data!$E$9</f>
        <v>EMDC</v>
      </c>
      <c r="C35" s="35" t="s">
        <v>473</v>
      </c>
      <c r="D35" s="37" t="n">
        <f aca="false">IF(Country_Data!$CA$9="","",Country_Data!$CA$9)</f>
        <v>6.02263403710696</v>
      </c>
      <c r="E35" s="40" t="n">
        <f aca="false">Country_Data!$BW$9</f>
        <v>15593.814</v>
      </c>
      <c r="F35" s="41" t="n">
        <f aca="false">Country_Data!$BX$9</f>
        <v>0.241173455063655</v>
      </c>
      <c r="G35" s="42" t="n">
        <f aca="false">IF(D35="","",D35/SUMIFS($D$5:$D$1369,$B$5:$B$1369,B35,$C$5:$C$1369,C35))</f>
        <v>0.139136859206573</v>
      </c>
      <c r="H35" s="42" t="n">
        <f aca="false">E35/SUMIFS($E$5:$E$1369,$B$5:$B$1369,B35,$C$5:$C$1369,C35)</f>
        <v>0.193155567149487</v>
      </c>
      <c r="I35" s="43" t="n">
        <f aca="false">IF(G35="",H35,p_beta_alloc*G35+(1-p_beta_alloc)*H35)*F35^p_phi</f>
        <v>0.0815934317969386</v>
      </c>
      <c r="J35" s="16" t="n">
        <f aca="false">INDEX(Sector_Params!$C$18:$E$18,MATCH(B35,Sector_Params!$C$15:$E$15,0))*I35/SUMIFS($I$5:$I$1369,$B$5:$B$1369,B35,$C$5:$C$1369,C35)</f>
        <v>33.4105797211691</v>
      </c>
      <c r="K35" s="28" t="n">
        <f aca="false">INDEX(Sector_Params!$F$7:$H$7,MATCH(B35,Sector_Params!$C$15:$E$15,0))</f>
        <v>0.24</v>
      </c>
      <c r="L35" s="16" t="n">
        <f aca="false">J35*K35</f>
        <v>8.01853913308059</v>
      </c>
      <c r="M35" s="44" t="n">
        <f aca="false">Country_Data!$DW$9+Sector_Params!$E$7</f>
        <v>0.095</v>
      </c>
      <c r="N35" s="44" t="n">
        <f aca="false">Country_Data!$DX$9+Sector_Params!$E$7</f>
        <v>0.14</v>
      </c>
      <c r="O35" s="11" t="n">
        <f aca="false">IF(p_use_ibrd=1,p_r_ibrd,p_r_wb)</f>
        <v>0.06</v>
      </c>
      <c r="P35" s="45" t="n">
        <f aca="false">Sector_Params!$D$7</f>
        <v>12</v>
      </c>
      <c r="Q35" s="46" t="n">
        <f aca="false">M35/(1-(1+M35)^-P35)</f>
        <v>0.143187714234994</v>
      </c>
      <c r="R35" s="46" t="n">
        <f aca="false">N35/(1-(1+N35)^-P35)</f>
        <v>0.176669326923213</v>
      </c>
      <c r="S35" s="46" t="n">
        <f aca="false">O35/(1-(1+O35)^-P35)</f>
        <v>0.119277029380664</v>
      </c>
      <c r="T35" s="37" t="n">
        <f aca="false">IF(AND(p_eng=1,ISNUMBER(Country_Data!$DE$9)),Country_Data!$DE$9,Country_Data!$CM$9)*Sector_Params!$I$7</f>
        <v>0.127863</v>
      </c>
      <c r="U35" s="37" t="n">
        <f aca="false">IF(AND(p_eng=1,ISNUMBER(Country_Data!$DF$9)),Country_Data!$DF$9,Country_Data!$CN$9)*Sector_Params!$J$7</f>
        <v>0.025133625</v>
      </c>
      <c r="V35" s="37" t="n">
        <f aca="false">IF(AND(p_eng=1,ISNUMBER(Country_Data!$DG$9)),Country_Data!$DG$9,p_a)</f>
        <v>0.165333717861261</v>
      </c>
      <c r="W35" s="16" t="n">
        <f aca="false">T35*L35</f>
        <v>1.02527446917308</v>
      </c>
      <c r="X35" s="16" t="n">
        <f aca="false">U35*L35</f>
        <v>0.201534955618673</v>
      </c>
      <c r="Y35" s="16" t="n">
        <f aca="false">V35*L35</f>
        <v>1.32573488668822</v>
      </c>
      <c r="Z35" s="16" t="n">
        <f aca="false">Q35*L35</f>
        <v>1.14815628996966</v>
      </c>
      <c r="AA35" s="16" t="n">
        <f aca="false">R35*L35</f>
        <v>1.41662991154879</v>
      </c>
      <c r="AB35" s="16" t="n">
        <f aca="false">S35*L35</f>
        <v>0.956427527766454</v>
      </c>
      <c r="AC35" s="16" t="n">
        <f aca="false">Z35-W35</f>
        <v>0.122881820796576</v>
      </c>
      <c r="AD35" s="16" t="n">
        <f aca="false">AA35-W35</f>
        <v>0.391355442375705</v>
      </c>
      <c r="AE35" s="16" t="n">
        <f aca="false">AB35-W35</f>
        <v>-0.0688469414066295</v>
      </c>
      <c r="AF35" s="16" t="n">
        <f aca="false">AE35-X35</f>
        <v>-0.270381897025302</v>
      </c>
      <c r="AG35" s="16" t="n">
        <f aca="false">AF35-p_spc_lo*Y35/1000</f>
        <v>-0.336668641359713</v>
      </c>
      <c r="AH35" s="16" t="n">
        <f aca="false">AF35-p_spc_hi*Y35/1000</f>
        <v>-0.402955385694125</v>
      </c>
      <c r="AI35" s="16" t="n">
        <f aca="false">Q35*J35</f>
        <v>4.78398454154025</v>
      </c>
      <c r="AJ35" s="16" t="n">
        <f aca="false">S35*J35</f>
        <v>3.98511469902689</v>
      </c>
      <c r="AK35" s="16" t="n">
        <f aca="false">T35*J35</f>
        <v>4.27197695488785</v>
      </c>
      <c r="AL35" s="16" t="n">
        <f aca="false">U35*J35</f>
        <v>0.839728981744469</v>
      </c>
      <c r="AM35" s="16" t="n">
        <f aca="false">AI35-AJ35</f>
        <v>0.798869842513356</v>
      </c>
      <c r="AN35" s="16" t="n">
        <f aca="false">J35*Country_Data!$EB$9</f>
        <v>38.3535148032051</v>
      </c>
      <c r="AO35" s="16" t="n">
        <f aca="false">L35*Country_Data!$EB$9</f>
        <v>9.20484355276923</v>
      </c>
    </row>
    <row r="36" customFormat="false" ht="15" hidden="false" customHeight="false" outlineLevel="0" collapsed="false">
      <c r="A36" s="14" t="str">
        <f aca="false">Country_Data!$A$9</f>
        <v>IND</v>
      </c>
      <c r="B36" s="14" t="str">
        <f aca="false">Country_Data!$E$9</f>
        <v>EMDC</v>
      </c>
      <c r="C36" s="35" t="s">
        <v>477</v>
      </c>
      <c r="D36" s="37" t="n">
        <f aca="false">IF(Country_Data!$CB$9="","",Country_Data!$CB$9)</f>
        <v>4.245549150699</v>
      </c>
      <c r="E36" s="40" t="n">
        <f aca="false">Country_Data!$BW$9</f>
        <v>15593.814</v>
      </c>
      <c r="F36" s="41" t="n">
        <f aca="false">Country_Data!$BX$9</f>
        <v>0.241173455063655</v>
      </c>
      <c r="G36" s="42" t="n">
        <f aca="false">IF(D36="","",D36/SUMIFS($D$5:$D$1369,$B$5:$B$1369,B36,$C$5:$C$1369,C36))</f>
        <v>0.133875092420047</v>
      </c>
      <c r="H36" s="42" t="n">
        <f aca="false">E36/SUMIFS($E$5:$E$1369,$B$5:$B$1369,B36,$C$5:$C$1369,C36)</f>
        <v>0.193155567149487</v>
      </c>
      <c r="I36" s="43" t="n">
        <f aca="false">IF(G36="",H36,p_beta_alloc*G36+(1-p_beta_alloc)*H36)*F36^p_phi</f>
        <v>0.0803014203775516</v>
      </c>
      <c r="J36" s="16" t="n">
        <f aca="false">INDEX(Sector_Params!$C$19:$E$19,MATCH(B36,Sector_Params!$C$15:$E$15,0))*I36/SUMIFS($I$5:$I$1369,$B$5:$B$1369,B36,$C$5:$C$1369,C36)</f>
        <v>25.8460236674033</v>
      </c>
      <c r="K36" s="28" t="n">
        <f aca="false">INDEX(Sector_Params!$F$8:$H$8,MATCH(B36,Sector_Params!$C$15:$E$15,0))</f>
        <v>0.24</v>
      </c>
      <c r="L36" s="16" t="n">
        <f aca="false">J36*K36</f>
        <v>6.20304568017679</v>
      </c>
      <c r="M36" s="44" t="n">
        <f aca="false">Country_Data!$DW$9+Sector_Params!$E$8</f>
        <v>0.095</v>
      </c>
      <c r="N36" s="44" t="n">
        <f aca="false">Country_Data!$DX$9+Sector_Params!$E$8</f>
        <v>0.14</v>
      </c>
      <c r="O36" s="11" t="n">
        <f aca="false">IF(p_use_ibrd=1,p_r_ibrd,p_r_wb)</f>
        <v>0.06</v>
      </c>
      <c r="P36" s="45" t="n">
        <f aca="false">Sector_Params!$D$8</f>
        <v>25</v>
      </c>
      <c r="Q36" s="46" t="n">
        <f aca="false">M36/(1-(1+M36)^-P36)</f>
        <v>0.105959392478349</v>
      </c>
      <c r="R36" s="46" t="n">
        <f aca="false">N36/(1-(1+N36)^-P36)</f>
        <v>0.145498407937244</v>
      </c>
      <c r="S36" s="46" t="n">
        <f aca="false">O36/(1-(1+O36)^-P36)</f>
        <v>0.078226718212274</v>
      </c>
      <c r="T36" s="37" t="n">
        <f aca="false">Country_Data!$CM$9*Sector_Params!$I$8</f>
        <v>0.073078319541785</v>
      </c>
      <c r="U36" s="37" t="n">
        <f aca="false">Country_Data!$CN$9*Sector_Params!$J$8</f>
        <v>0.130536078511547</v>
      </c>
      <c r="V36" s="37" t="n">
        <f aca="false">p_a</f>
        <v>0.35</v>
      </c>
      <c r="W36" s="16" t="n">
        <f aca="false">T36*L36</f>
        <v>0.453308154348249</v>
      </c>
      <c r="X36" s="16" t="n">
        <f aca="false">U36*L36</f>
        <v>0.809721257918271</v>
      </c>
      <c r="Y36" s="16" t="n">
        <f aca="false">V36*L36</f>
        <v>2.17106598806188</v>
      </c>
      <c r="Z36" s="16" t="n">
        <f aca="false">Q36*L36</f>
        <v>0.657270951786977</v>
      </c>
      <c r="AA36" s="16" t="n">
        <f aca="false">R36*L36</f>
        <v>0.902533270827725</v>
      </c>
      <c r="AB36" s="16" t="n">
        <f aca="false">S36*L36</f>
        <v>0.485243906481053</v>
      </c>
      <c r="AC36" s="16" t="n">
        <f aca="false">Z36-W36</f>
        <v>0.203962797438729</v>
      </c>
      <c r="AD36" s="16" t="n">
        <f aca="false">AA36-W36</f>
        <v>0.449225116479476</v>
      </c>
      <c r="AE36" s="16" t="n">
        <f aca="false">AB36-W36</f>
        <v>0.0319357521328044</v>
      </c>
      <c r="AF36" s="16" t="n">
        <f aca="false">AE36-X36</f>
        <v>-0.777785505785466</v>
      </c>
      <c r="AG36" s="16" t="n">
        <f aca="false">AF36-p_spc_lo*Y36/1000</f>
        <v>-0.88633880518856</v>
      </c>
      <c r="AH36" s="16" t="n">
        <f aca="false">AF36-p_spc_hi*Y36/1000</f>
        <v>-0.994892104591654</v>
      </c>
      <c r="AI36" s="16" t="n">
        <f aca="false">Q36*J36</f>
        <v>2.73862896577907</v>
      </c>
      <c r="AJ36" s="16" t="n">
        <f aca="false">S36*J36</f>
        <v>2.02184961033772</v>
      </c>
      <c r="AK36" s="16" t="n">
        <f aca="false">T36*J36</f>
        <v>1.88878397645104</v>
      </c>
      <c r="AL36" s="16" t="n">
        <f aca="false">U36*J36</f>
        <v>3.37383857465946</v>
      </c>
      <c r="AM36" s="16" t="n">
        <f aca="false">AI36-AJ36</f>
        <v>0.716779355441351</v>
      </c>
      <c r="AN36" s="16" t="n">
        <f aca="false">J36*Country_Data!$EB$9</f>
        <v>29.6698189497041</v>
      </c>
      <c r="AO36" s="16" t="n">
        <f aca="false">L36*Country_Data!$EB$9</f>
        <v>7.12075654792898</v>
      </c>
    </row>
    <row r="37" customFormat="false" ht="15" hidden="false" customHeight="false" outlineLevel="0" collapsed="false">
      <c r="A37" s="14" t="str">
        <f aca="false">Country_Data!$A$9</f>
        <v>IND</v>
      </c>
      <c r="B37" s="14" t="str">
        <f aca="false">Country_Data!$E$9</f>
        <v>EMDC</v>
      </c>
      <c r="C37" s="35" t="s">
        <v>481</v>
      </c>
      <c r="D37" s="37" t="n">
        <f aca="false">IF(Country_Data!$CC$9="","",Country_Data!$CC$9)</f>
        <v>12.8376954142381</v>
      </c>
      <c r="E37" s="40" t="n">
        <f aca="false">Country_Data!$BW$9</f>
        <v>15593.814</v>
      </c>
      <c r="F37" s="41" t="n">
        <f aca="false">Country_Data!$BX$9</f>
        <v>0.241173455063655</v>
      </c>
      <c r="G37" s="42" t="n">
        <f aca="false">IF(D37="","",D37/SUMIFS($D$5:$D$1369,$B$5:$B$1369,B37,$C$5:$C$1369,C37))</f>
        <v>0.183376636477065</v>
      </c>
      <c r="H37" s="42" t="n">
        <f aca="false">E37/SUMIFS($E$5:$E$1369,$B$5:$B$1369,B37,$C$5:$C$1369,C37)</f>
        <v>0.193155567149487</v>
      </c>
      <c r="I37" s="43" t="n">
        <f aca="false">IF(G37="",H37,p_beta_alloc*G37+(1-p_beta_alloc)*H37)*F37^p_phi</f>
        <v>0.0924563794994053</v>
      </c>
      <c r="J37" s="16" t="n">
        <f aca="false">INDEX(Sector_Params!$C$20:$E$20,MATCH(B37,Sector_Params!$C$15:$E$15,0))*I37/SUMIFS($I$5:$I$1369,$B$5:$B$1369,B37,$C$5:$C$1369,C37)</f>
        <v>16.875151116273</v>
      </c>
      <c r="K37" s="28" t="n">
        <f aca="false">INDEX(Sector_Params!$F$9:$H$9,MATCH(B37,Sector_Params!$C$15:$E$15,0))</f>
        <v>0.24</v>
      </c>
      <c r="L37" s="16" t="n">
        <f aca="false">J37*K37</f>
        <v>4.05003626790551</v>
      </c>
      <c r="M37" s="44" t="n">
        <f aca="false">Country_Data!$DW$9+Sector_Params!$E$9</f>
        <v>0.095</v>
      </c>
      <c r="N37" s="44" t="n">
        <f aca="false">Country_Data!$DX$9+Sector_Params!$E$9</f>
        <v>0.14</v>
      </c>
      <c r="O37" s="11" t="n">
        <f aca="false">IF(p_use_ibrd=1,p_r_ibrd,p_r_wb)</f>
        <v>0.06</v>
      </c>
      <c r="P37" s="45" t="n">
        <f aca="false">Sector_Params!$D$9</f>
        <v>25</v>
      </c>
      <c r="Q37" s="46" t="n">
        <f aca="false">M37/(1-(1+M37)^-P37)</f>
        <v>0.105959392478349</v>
      </c>
      <c r="R37" s="46" t="n">
        <f aca="false">N37/(1-(1+N37)^-P37)</f>
        <v>0.145498407937244</v>
      </c>
      <c r="S37" s="46" t="n">
        <f aca="false">O37/(1-(1+O37)^-P37)</f>
        <v>0.078226718212274</v>
      </c>
      <c r="T37" s="37" t="n">
        <f aca="false">Country_Data!$CM$9*Sector_Params!$I$9</f>
        <v>0.073078319541785</v>
      </c>
      <c r="U37" s="37" t="n">
        <f aca="false">Country_Data!$CN$9*Sector_Params!$J$9</f>
        <v>0.130536078511547</v>
      </c>
      <c r="V37" s="37" t="n">
        <f aca="false">p_a</f>
        <v>0.35</v>
      </c>
      <c r="W37" s="16" t="n">
        <f aca="false">T37*L37</f>
        <v>0.295969844541817</v>
      </c>
      <c r="X37" s="16" t="n">
        <f aca="false">U37*L37</f>
        <v>0.528675852241927</v>
      </c>
      <c r="Y37" s="16" t="n">
        <f aca="false">V37*L37</f>
        <v>1.41751269376693</v>
      </c>
      <c r="Z37" s="16" t="n">
        <f aca="false">Q37*L37</f>
        <v>0.429139382462546</v>
      </c>
      <c r="AA37" s="16" t="n">
        <f aca="false">R37*L37</f>
        <v>0.589273829068351</v>
      </c>
      <c r="AB37" s="16" t="n">
        <f aca="false">S37*L37</f>
        <v>0.316821045878934</v>
      </c>
      <c r="AC37" s="16" t="n">
        <f aca="false">Z37-W37</f>
        <v>0.133169537920729</v>
      </c>
      <c r="AD37" s="16" t="n">
        <f aca="false">AA37-W37</f>
        <v>0.293303984526534</v>
      </c>
      <c r="AE37" s="16" t="n">
        <f aca="false">AB37-W37</f>
        <v>0.0208512013371168</v>
      </c>
      <c r="AF37" s="16" t="n">
        <f aca="false">AE37-X37</f>
        <v>-0.50782465090481</v>
      </c>
      <c r="AG37" s="16" t="n">
        <f aca="false">AF37-p_spc_lo*Y37/1000</f>
        <v>-0.578700285593157</v>
      </c>
      <c r="AH37" s="16" t="n">
        <f aca="false">AF37-p_spc_hi*Y37/1000</f>
        <v>-0.649575920281503</v>
      </c>
      <c r="AI37" s="16" t="n">
        <f aca="false">Q37*J37</f>
        <v>1.78808076026061</v>
      </c>
      <c r="AJ37" s="16" t="n">
        <f aca="false">S37*J37</f>
        <v>1.32008769116223</v>
      </c>
      <c r="AK37" s="16" t="n">
        <f aca="false">T37*J37</f>
        <v>1.23320768559091</v>
      </c>
      <c r="AL37" s="16" t="n">
        <f aca="false">U37*J37</f>
        <v>2.20281605100803</v>
      </c>
      <c r="AM37" s="16" t="n">
        <f aca="false">AI37-AJ37</f>
        <v>0.467993069098383</v>
      </c>
      <c r="AN37" s="16" t="n">
        <f aca="false">J37*Country_Data!$EB$9</f>
        <v>19.3717488156668</v>
      </c>
      <c r="AO37" s="16" t="n">
        <f aca="false">L37*Country_Data!$EB$9</f>
        <v>4.64921971576003</v>
      </c>
    </row>
    <row r="38" customFormat="false" ht="15" hidden="false" customHeight="false" outlineLevel="0" collapsed="false">
      <c r="A38" s="14" t="str">
        <f aca="false">Country_Data!$A$9</f>
        <v>IND</v>
      </c>
      <c r="B38" s="14" t="str">
        <f aca="false">Country_Data!$E$9</f>
        <v>EMDC</v>
      </c>
      <c r="C38" s="35" t="s">
        <v>484</v>
      </c>
      <c r="D38" s="37" t="n">
        <f aca="false">IF(Country_Data!$CD$9="","",Country_Data!$CD$9)</f>
        <v>30.6840310747318</v>
      </c>
      <c r="E38" s="40" t="n">
        <f aca="false">Country_Data!$BW$9</f>
        <v>15593.814</v>
      </c>
      <c r="F38" s="41" t="n">
        <f aca="false">Country_Data!$BX$9</f>
        <v>0.241173455063655</v>
      </c>
      <c r="G38" s="42" t="n">
        <f aca="false">IF(D38="","",D38/SUMIFS($D$5:$D$1369,$B$5:$B$1369,B38,$C$5:$C$1369,C38))</f>
        <v>0.171350838990942</v>
      </c>
      <c r="H38" s="42" t="n">
        <f aca="false">E38/SUMIFS($E$5:$E$1369,$B$5:$B$1369,B38,$C$5:$C$1369,C38)</f>
        <v>0.193155567149487</v>
      </c>
      <c r="I38" s="43" t="n">
        <f aca="false">IF(G38="",H38,p_beta_alloc*G38+(1-p_beta_alloc)*H38)*F38^p_phi</f>
        <v>0.0895034801578586</v>
      </c>
      <c r="J38" s="16" t="n">
        <f aca="false">INDEX(Sector_Params!$C$21:$E$21,MATCH(B38,Sector_Params!$C$15:$E$15,0))*I38/SUMIFS($I$5:$I$1369,$B$5:$B$1369,B38,$C$5:$C$1369,C38)</f>
        <v>19.8509613136481</v>
      </c>
      <c r="K38" s="28" t="n">
        <f aca="false">INDEX(Sector_Params!$F$10:$H$10,MATCH(B38,Sector_Params!$C$15:$E$15,0))</f>
        <v>0.24</v>
      </c>
      <c r="L38" s="16" t="n">
        <f aca="false">J38*K38</f>
        <v>4.76423071527554</v>
      </c>
      <c r="M38" s="44" t="n">
        <f aca="false">Country_Data!$DW$9+Sector_Params!$E$10</f>
        <v>0.095</v>
      </c>
      <c r="N38" s="44" t="n">
        <f aca="false">Country_Data!$DX$9+Sector_Params!$E$10</f>
        <v>0.14</v>
      </c>
      <c r="O38" s="11" t="n">
        <f aca="false">IF(p_use_ibrd=1,p_r_ibrd,p_r_wb)</f>
        <v>0.06</v>
      </c>
      <c r="P38" s="45" t="n">
        <f aca="false">Sector_Params!$D$10</f>
        <v>20</v>
      </c>
      <c r="Q38" s="46" t="n">
        <f aca="false">M38/(1-(1+M38)^-P38)</f>
        <v>0.11347669526141</v>
      </c>
      <c r="R38" s="46" t="n">
        <f aca="false">N38/(1-(1+N38)^-P38)</f>
        <v>0.150986001590444</v>
      </c>
      <c r="S38" s="46" t="n">
        <f aca="false">O38/(1-(1+O38)^-P38)</f>
        <v>0.0871845569768514</v>
      </c>
      <c r="T38" s="37" t="n">
        <f aca="false">0*Sector_Params!$I$10</f>
        <v>0</v>
      </c>
      <c r="U38" s="37" t="n">
        <f aca="false">0*Sector_Params!$J$10</f>
        <v>0</v>
      </c>
      <c r="V38" s="37" t="n">
        <f aca="false">1000*p_r_wb/(1-(1+p_r_wb)^-Sector_Params!$D$10)/p_cpt_fuel</f>
        <v>0.871845569768514</v>
      </c>
      <c r="W38" s="16" t="n">
        <f aca="false">T38*L38</f>
        <v>0</v>
      </c>
      <c r="X38" s="16" t="n">
        <f aca="false">U38*L38</f>
        <v>0</v>
      </c>
      <c r="Y38" s="16" t="n">
        <f aca="false">V38*L38</f>
        <v>4.15367344246806</v>
      </c>
      <c r="Z38" s="16" t="n">
        <f aca="false">Q38*L38</f>
        <v>0.540629157032374</v>
      </c>
      <c r="AA38" s="16" t="n">
        <f aca="false">R38*L38</f>
        <v>0.719332146353832</v>
      </c>
      <c r="AB38" s="16" t="n">
        <f aca="false">S38*L38</f>
        <v>0.415367344246806</v>
      </c>
      <c r="AC38" s="16" t="n">
        <f aca="false">Z38-W38</f>
        <v>0.540629157032374</v>
      </c>
      <c r="AD38" s="16" t="n">
        <f aca="false">AA38-W38</f>
        <v>0.719332146353832</v>
      </c>
      <c r="AE38" s="16" t="n">
        <f aca="false">AB38-W38</f>
        <v>0.415367344246806</v>
      </c>
      <c r="AF38" s="16" t="n">
        <f aca="false">AE38-X38</f>
        <v>0.415367344246806</v>
      </c>
      <c r="AG38" s="16" t="n">
        <f aca="false">AF38-p_spc_lo*Y38/1000</f>
        <v>0.207683672123403</v>
      </c>
      <c r="AH38" s="16" t="n">
        <f aca="false">AF38-p_spc_hi*Y38/1000</f>
        <v>0</v>
      </c>
      <c r="AI38" s="16" t="n">
        <f aca="false">Q38*J38</f>
        <v>2.25262148763489</v>
      </c>
      <c r="AJ38" s="16" t="n">
        <f aca="false">S38*J38</f>
        <v>1.73069726769502</v>
      </c>
      <c r="AK38" s="16" t="n">
        <f aca="false">T38*J38</f>
        <v>0</v>
      </c>
      <c r="AL38" s="16" t="n">
        <f aca="false">U38*J38</f>
        <v>0</v>
      </c>
      <c r="AM38" s="16" t="n">
        <f aca="false">AI38-AJ38</f>
        <v>0.521924219939867</v>
      </c>
      <c r="AN38" s="16" t="n">
        <f aca="false">J38*Country_Data!$EB$9</f>
        <v>22.7878158641604</v>
      </c>
      <c r="AO38" s="16" t="n">
        <f aca="false">L38*Country_Data!$EB$9</f>
        <v>5.4690758073985</v>
      </c>
    </row>
    <row r="39" customFormat="false" ht="15" hidden="false" customHeight="false" outlineLevel="0" collapsed="false">
      <c r="A39" s="14" t="str">
        <f aca="false">Country_Data!$A$9</f>
        <v>IND</v>
      </c>
      <c r="B39" s="14" t="str">
        <f aca="false">Country_Data!$E$9</f>
        <v>EMDC</v>
      </c>
      <c r="C39" s="35" t="s">
        <v>488</v>
      </c>
      <c r="D39" s="37" t="n">
        <f aca="false">IF(Country_Data!$CE$9="","",Country_Data!$CE$9)</f>
        <v>1286.837</v>
      </c>
      <c r="E39" s="40" t="n">
        <f aca="false">Country_Data!$BW$9</f>
        <v>15593.814</v>
      </c>
      <c r="F39" s="41" t="n">
        <f aca="false">Country_Data!$BX$9</f>
        <v>0.241173455063655</v>
      </c>
      <c r="G39" s="42" t="n">
        <f aca="false">IF(D39="","",D39/SUMIFS($D$5:$D$1369,$B$5:$B$1369,B39,$C$5:$C$1369,C39))</f>
        <v>0.105442920458764</v>
      </c>
      <c r="H39" s="42" t="n">
        <f aca="false">E39/SUMIFS($E$5:$E$1369,$B$5:$B$1369,B39,$C$5:$C$1369,C39)</f>
        <v>0.193155567149487</v>
      </c>
      <c r="I39" s="43" t="n">
        <f aca="false">IF(G39="",H39,p_beta_alloc*G39+(1-p_beta_alloc)*H39)*F39^p_phi</f>
        <v>0.0733199838482821</v>
      </c>
      <c r="J39" s="16" t="n">
        <f aca="false">INDEX(Sector_Params!$C$22:$E$22,MATCH(B39,Sector_Params!$C$15:$E$15,0))*I39/SUMIFS($I$5:$I$1369,$B$5:$B$1369,B39,$C$5:$C$1369,C39)</f>
        <v>44.1979012878185</v>
      </c>
      <c r="K39" s="28" t="n">
        <f aca="false">INDEX(Sector_Params!$F$11:$H$11,MATCH(B39,Sector_Params!$C$15:$E$15,0))</f>
        <v>0.24</v>
      </c>
      <c r="L39" s="16" t="n">
        <f aca="false">J39*K39</f>
        <v>10.6074963090765</v>
      </c>
      <c r="M39" s="44" t="n">
        <f aca="false">Country_Data!$DW$9+Sector_Params!$E$11</f>
        <v>0.095</v>
      </c>
      <c r="N39" s="44" t="n">
        <f aca="false">Country_Data!$DX$9+Sector_Params!$E$11</f>
        <v>0.14</v>
      </c>
      <c r="O39" s="11" t="n">
        <f aca="false">IF(p_use_ibrd=1,p_r_ibrd,p_r_wb)</f>
        <v>0.06</v>
      </c>
      <c r="P39" s="45" t="n">
        <f aca="false">Sector_Params!$D$11</f>
        <v>30</v>
      </c>
      <c r="Q39" s="46" t="n">
        <f aca="false">M39/(1-(1+M39)^-P39)</f>
        <v>0.101680584453641</v>
      </c>
      <c r="R39" s="46" t="n">
        <f aca="false">N39/(1-(1+N39)^-P39)</f>
        <v>0.142802793904378</v>
      </c>
      <c r="S39" s="46" t="n">
        <f aca="false">O39/(1-(1+O39)^-P39)</f>
        <v>0.0726489114900472</v>
      </c>
      <c r="T39" s="37" t="n">
        <f aca="false">0*Sector_Params!$I$11</f>
        <v>0</v>
      </c>
      <c r="U39" s="37" t="n">
        <f aca="false">p_c*Sector_Params!$J$11</f>
        <v>0.129</v>
      </c>
      <c r="V39" s="37" t="n">
        <f aca="false">1000*p_r_wb/(1-(1+p_r_wb)^-Sector_Params!$D$11)/p_cpt_afolu</f>
        <v>1.45297822980094</v>
      </c>
      <c r="W39" s="16" t="n">
        <f aca="false">T39*L39</f>
        <v>0</v>
      </c>
      <c r="X39" s="16" t="n">
        <f aca="false">U39*L39</f>
        <v>1.36836702387086</v>
      </c>
      <c r="Y39" s="16" t="n">
        <f aca="false">V39*L39</f>
        <v>15.4124612097819</v>
      </c>
      <c r="Z39" s="16" t="n">
        <f aca="false">Q39*L39</f>
        <v>1.07857642429673</v>
      </c>
      <c r="AA39" s="16" t="n">
        <f aca="false">R39*L39</f>
        <v>1.51478010926649</v>
      </c>
      <c r="AB39" s="16" t="n">
        <f aca="false">S39*L39</f>
        <v>0.770623060489098</v>
      </c>
      <c r="AC39" s="16" t="n">
        <f aca="false">Z39-W39</f>
        <v>1.07857642429673</v>
      </c>
      <c r="AD39" s="16" t="n">
        <f aca="false">AA39-W39</f>
        <v>1.51478010926649</v>
      </c>
      <c r="AE39" s="16" t="n">
        <f aca="false">AB39-W39</f>
        <v>0.770623060489098</v>
      </c>
      <c r="AF39" s="16" t="n">
        <f aca="false">AE39-X39</f>
        <v>-0.597743963381765</v>
      </c>
      <c r="AG39" s="16" t="n">
        <f aca="false">AF39-p_spc_lo*Y39/1000</f>
        <v>-1.36836702387086</v>
      </c>
      <c r="AH39" s="16" t="n">
        <f aca="false">AF39-p_spc_hi*Y39/1000</f>
        <v>-2.13899008435996</v>
      </c>
      <c r="AI39" s="16" t="n">
        <f aca="false">Q39*J39</f>
        <v>4.49406843456971</v>
      </c>
      <c r="AJ39" s="16" t="n">
        <f aca="false">S39*J39</f>
        <v>3.21092941870457</v>
      </c>
      <c r="AK39" s="16" t="n">
        <f aca="false">T39*J39</f>
        <v>0</v>
      </c>
      <c r="AL39" s="16" t="n">
        <f aca="false">U39*J39</f>
        <v>5.70152926612859</v>
      </c>
      <c r="AM39" s="16" t="n">
        <f aca="false">AI39-AJ39</f>
        <v>1.28313901586514</v>
      </c>
      <c r="AN39" s="16" t="n">
        <f aca="false">J39*Country_Data!$EB$9</f>
        <v>50.7367688756054</v>
      </c>
      <c r="AO39" s="16" t="n">
        <f aca="false">L39*Country_Data!$EB$9</f>
        <v>12.1768245301453</v>
      </c>
    </row>
    <row r="40" customFormat="false" ht="15" hidden="false" customHeight="false" outlineLevel="0" collapsed="false">
      <c r="A40" s="14" t="str">
        <f aca="false">Country_Data!$A$10</f>
        <v>GBR</v>
      </c>
      <c r="B40" s="14" t="str">
        <f aca="false">Country_Data!$E$10</f>
        <v>AE</v>
      </c>
      <c r="C40" s="35" t="s">
        <v>466</v>
      </c>
      <c r="D40" s="37" t="n">
        <f aca="false">IF(Country_Data!$BZ$10="","",Country_Data!$BZ$10)</f>
        <v>264.333483174097</v>
      </c>
      <c r="E40" s="40" t="n">
        <f aca="false">Country_Data!$BW$10</f>
        <v>4369.68</v>
      </c>
      <c r="F40" s="41" t="n">
        <f aca="false">Country_Data!$BX$10</f>
        <v>0.845680919426594</v>
      </c>
      <c r="G40" s="42" t="n">
        <f aca="false">IF(D40="","",D40/SUMIFS($D$5:$D$1369,$B$5:$B$1369,B40,$C$5:$C$1369,C40))</f>
        <v>0.0270130442016121</v>
      </c>
      <c r="H40" s="42" t="n">
        <f aca="false">E40/SUMIFS($E$5:$E$1369,$B$5:$B$1369,B40,$C$5:$C$1369,C40)</f>
        <v>0.0553931451299819</v>
      </c>
      <c r="I40" s="43" t="n">
        <f aca="false">IF(G40="",H40,p_beta_alloc*G40+(1-p_beta_alloc)*H40)*F40^p_phi</f>
        <v>0.0378907413096578</v>
      </c>
      <c r="J40" s="16" t="n">
        <f aca="false">INDEX(Sector_Params!$C$16:$E$16,MATCH(B40,Sector_Params!$C$15:$E$15,0))*I40/SUMIFS($I$5:$I$1369,$B$5:$B$1369,B40,$C$5:$C$1369,C40)</f>
        <v>33.9863020207763</v>
      </c>
      <c r="K40" s="28" t="n">
        <f aca="false">INDEX(Sector_Params!$F$5:$H$5,MATCH(B40,Sector_Params!$C$15:$E$15,0))</f>
        <v>0.38</v>
      </c>
      <c r="L40" s="16" t="n">
        <f aca="false">J40*K40</f>
        <v>12.914794767895</v>
      </c>
      <c r="M40" s="44" t="n">
        <f aca="false">Country_Data!$DW$10+Sector_Params!$E$5</f>
        <v>0.03587</v>
      </c>
      <c r="N40" s="44" t="n">
        <f aca="false">Country_Data!$DX$10+Sector_Params!$E$5</f>
        <v>0.05087</v>
      </c>
      <c r="O40" s="11" t="n">
        <f aca="false">IF(p_use_ibrd=1,p_r_ibrd,p_r_wb)</f>
        <v>0.06</v>
      </c>
      <c r="P40" s="45" t="n">
        <f aca="false">Sector_Params!$D$5</f>
        <v>25</v>
      </c>
      <c r="Q40" s="46" t="n">
        <f aca="false">M40/(1-(1+M40)^-P40)</f>
        <v>0.0612483122337463</v>
      </c>
      <c r="R40" s="46" t="n">
        <f aca="false">N40/(1-(1+N40)^-P40)</f>
        <v>0.0715724022182805</v>
      </c>
      <c r="S40" s="46" t="n">
        <f aca="false">O40/(1-(1+O40)^-P40)</f>
        <v>0.078226718212274</v>
      </c>
      <c r="T40" s="37" t="n">
        <f aca="false">IF(AND(p_eng=1,ISNUMBER(Country_Data!$CZ$10)),Country_Data!$CZ$10,Country_Data!$CM$10)*Sector_Params!$I$5</f>
        <v>0.172741146164917</v>
      </c>
      <c r="U40" s="37" t="n">
        <f aca="false">IF(AND(p_eng=1,ISNUMBER(Country_Data!$DA$10)),Country_Data!$DA$10,Country_Data!$CN$10)*Sector_Params!$J$5</f>
        <v>0.0119265653392822</v>
      </c>
      <c r="V40" s="37" t="n">
        <f aca="false">IF(AND(p_eng=1,ISNUMBER(Country_Data!$DB$10)),Country_Data!$DB$10,p_a)</f>
        <v>0.385167295364091</v>
      </c>
      <c r="W40" s="16" t="n">
        <f aca="false">T40*L40</f>
        <v>2.23091645069086</v>
      </c>
      <c r="X40" s="16" t="n">
        <f aca="false">U40*L40</f>
        <v>0.154029143642719</v>
      </c>
      <c r="Y40" s="16" t="n">
        <f aca="false">V40*L40</f>
        <v>4.97435657093242</v>
      </c>
      <c r="Z40" s="16" t="n">
        <f aca="false">Q40*L40</f>
        <v>0.791009382378786</v>
      </c>
      <c r="AA40" s="16" t="n">
        <f aca="false">R40*L40</f>
        <v>0.924342885694325</v>
      </c>
      <c r="AB40" s="16" t="n">
        <f aca="false">S40*L40</f>
        <v>1.01028201107747</v>
      </c>
      <c r="AC40" s="16" t="n">
        <f aca="false">Z40-W40</f>
        <v>-1.43990706831207</v>
      </c>
      <c r="AD40" s="16" t="n">
        <f aca="false">AA40-W40</f>
        <v>-1.30657356499653</v>
      </c>
      <c r="AE40" s="16" t="n">
        <f aca="false">AB40-W40</f>
        <v>-1.22063443961338</v>
      </c>
      <c r="AF40" s="16" t="n">
        <f aca="false">AE40-X40</f>
        <v>-1.3746635832561</v>
      </c>
      <c r="AG40" s="16" t="n">
        <f aca="false">AF40-p_spc_lo*Y40/1000</f>
        <v>-1.62338141180272</v>
      </c>
      <c r="AH40" s="16" t="n">
        <f aca="false">AF40-p_spc_hi*Y40/1000</f>
        <v>-1.87209924034935</v>
      </c>
      <c r="AI40" s="16" t="n">
        <f aca="false">Q40*J40</f>
        <v>2.08160363783891</v>
      </c>
      <c r="AJ40" s="16" t="n">
        <f aca="false">S40*J40</f>
        <v>2.6586368712565</v>
      </c>
      <c r="AK40" s="16" t="n">
        <f aca="false">T40*J40</f>
        <v>5.87083276497594</v>
      </c>
      <c r="AL40" s="16" t="n">
        <f aca="false">U40*J40</f>
        <v>0.405339851691366</v>
      </c>
      <c r="AM40" s="16" t="n">
        <f aca="false">AI40-AJ40</f>
        <v>-0.577033233417594</v>
      </c>
      <c r="AN40" s="16" t="n">
        <f aca="false">J40*Country_Data!$EB$10</f>
        <v>35.5098259044663</v>
      </c>
      <c r="AO40" s="16" t="n">
        <f aca="false">L40*Country_Data!$EB$10</f>
        <v>13.4937338436972</v>
      </c>
    </row>
    <row r="41" customFormat="false" ht="15" hidden="false" customHeight="false" outlineLevel="0" collapsed="false">
      <c r="A41" s="14" t="str">
        <f aca="false">Country_Data!$A$10</f>
        <v>GBR</v>
      </c>
      <c r="B41" s="14" t="str">
        <f aca="false">Country_Data!$E$10</f>
        <v>AE</v>
      </c>
      <c r="C41" s="35" t="s">
        <v>470</v>
      </c>
      <c r="D41" s="37" t="n">
        <f aca="false">IF(Country_Data!$BZ$10="","",Country_Data!$BZ$10)</f>
        <v>264.333483174097</v>
      </c>
      <c r="E41" s="40" t="n">
        <f aca="false">Country_Data!$BW$10</f>
        <v>4369.68</v>
      </c>
      <c r="F41" s="41" t="n">
        <f aca="false">Country_Data!$BX$10</f>
        <v>0.845680919426594</v>
      </c>
      <c r="G41" s="42" t="n">
        <f aca="false">IF(D41="","",D41/SUMIFS($D$5:$D$1369,$B$5:$B$1369,B41,$C$5:$C$1369,C41))</f>
        <v>0.0270130442016121</v>
      </c>
      <c r="H41" s="42" t="n">
        <f aca="false">E41/SUMIFS($E$5:$E$1369,$B$5:$B$1369,B41,$C$5:$C$1369,C41)</f>
        <v>0.0553931451299819</v>
      </c>
      <c r="I41" s="43" t="n">
        <f aca="false">IF(G41="",H41,p_beta_alloc*G41+(1-p_beta_alloc)*H41)*F41^p_phi</f>
        <v>0.0378907413096578</v>
      </c>
      <c r="J41" s="16" t="n">
        <f aca="false">INDEX(Sector_Params!$C$17:$E$17,MATCH(B41,Sector_Params!$C$15:$E$15,0))*I41/SUMIFS($I$5:$I$1369,$B$5:$B$1369,B41,$C$5:$C$1369,C41)</f>
        <v>23.3048928142466</v>
      </c>
      <c r="K41" s="28" t="n">
        <f aca="false">INDEX(Sector_Params!$F$6:$H$6,MATCH(B41,Sector_Params!$C$15:$E$15,0))</f>
        <v>0.38</v>
      </c>
      <c r="L41" s="16" t="n">
        <f aca="false">J41*K41</f>
        <v>8.85585926941371</v>
      </c>
      <c r="M41" s="44" t="n">
        <f aca="false">Country_Data!$DW$10+Sector_Params!$E$6</f>
        <v>0.03587</v>
      </c>
      <c r="N41" s="44" t="n">
        <f aca="false">Country_Data!$DX$10+Sector_Params!$E$6</f>
        <v>0.05087</v>
      </c>
      <c r="O41" s="11" t="n">
        <f aca="false">IF(p_use_ibrd=1,p_r_ibrd,p_r_wb)</f>
        <v>0.06</v>
      </c>
      <c r="P41" s="45" t="n">
        <f aca="false">Sector_Params!$D$6</f>
        <v>40</v>
      </c>
      <c r="Q41" s="46" t="n">
        <f aca="false">M41/(1-(1+M41)^-P41)</f>
        <v>0.0474612032527199</v>
      </c>
      <c r="R41" s="46" t="n">
        <f aca="false">N41/(1-(1+N41)^-P41)</f>
        <v>0.0589740300733596</v>
      </c>
      <c r="S41" s="46" t="n">
        <f aca="false">O41/(1-(1+O41)^-P41)</f>
        <v>0.0664615359206755</v>
      </c>
      <c r="T41" s="37" t="n">
        <f aca="false">p_grid_credit*IF(AND(p_eng=1,ISNUMBER(Country_Data!$CZ$10)),Country_Data!$CZ$10,Country_Data!$CM$10)*Sector_Params!$I$6</f>
        <v>0</v>
      </c>
      <c r="U41" s="37" t="n">
        <f aca="false">p_grid_credit*IF(AND(p_eng=1,ISNUMBER(Country_Data!$DA$10)),Country_Data!$DA$10,Country_Data!$CN$10)*Sector_Params!$J$6</f>
        <v>0</v>
      </c>
      <c r="V41" s="37" t="n">
        <f aca="false">p_grid_credit*IF(AND(p_eng=1,ISNUMBER(Country_Data!$DB$10)),Country_Data!$DB$10,p_a)</f>
        <v>0</v>
      </c>
      <c r="W41" s="16" t="n">
        <f aca="false">T41*L41</f>
        <v>0</v>
      </c>
      <c r="X41" s="16" t="n">
        <f aca="false">U41*L41</f>
        <v>0</v>
      </c>
      <c r="Y41" s="16" t="n">
        <f aca="false">V41*L41</f>
        <v>0</v>
      </c>
      <c r="Z41" s="16" t="n">
        <f aca="false">Q41*L41</f>
        <v>0.420309736763128</v>
      </c>
      <c r="AA41" s="16" t="n">
        <f aca="false">R41*L41</f>
        <v>0.522265710879845</v>
      </c>
      <c r="AB41" s="16" t="n">
        <f aca="false">S41*L41</f>
        <v>0.588574008942587</v>
      </c>
      <c r="AC41" s="16" t="n">
        <f aca="false">Z41-W41</f>
        <v>0.420309736763128</v>
      </c>
      <c r="AD41" s="16" t="n">
        <f aca="false">AA41-W41</f>
        <v>0.522265710879845</v>
      </c>
      <c r="AE41" s="16" t="n">
        <f aca="false">AB41-W41</f>
        <v>0.588574008942587</v>
      </c>
      <c r="AF41" s="16" t="n">
        <f aca="false">AE41-X41</f>
        <v>0.588574008942587</v>
      </c>
      <c r="AG41" s="16" t="n">
        <f aca="false">AF41-p_spc_lo*Y41/1000</f>
        <v>0.588574008942587</v>
      </c>
      <c r="AH41" s="16" t="n">
        <f aca="false">AF41-p_spc_hi*Y41/1000</f>
        <v>0.588574008942587</v>
      </c>
      <c r="AI41" s="16" t="n">
        <f aca="false">Q41*J41</f>
        <v>1.10607825463981</v>
      </c>
      <c r="AJ41" s="16" t="n">
        <f aca="false">S41*J41</f>
        <v>1.54887897090154</v>
      </c>
      <c r="AK41" s="16" t="n">
        <f aca="false">T41*J41</f>
        <v>0</v>
      </c>
      <c r="AL41" s="16" t="n">
        <f aca="false">U41*J41</f>
        <v>0</v>
      </c>
      <c r="AM41" s="16" t="n">
        <f aca="false">AI41-AJ41</f>
        <v>-0.442800716261733</v>
      </c>
      <c r="AN41" s="16" t="n">
        <f aca="false">J41*Country_Data!$EB$10</f>
        <v>24.3495949059197</v>
      </c>
      <c r="AO41" s="16" t="n">
        <f aca="false">L41*Country_Data!$EB$10</f>
        <v>9.2528460642495</v>
      </c>
    </row>
    <row r="42" customFormat="false" ht="15" hidden="false" customHeight="false" outlineLevel="0" collapsed="false">
      <c r="A42" s="14" t="str">
        <f aca="false">Country_Data!$A$10</f>
        <v>GBR</v>
      </c>
      <c r="B42" s="14" t="str">
        <f aca="false">Country_Data!$E$10</f>
        <v>AE</v>
      </c>
      <c r="C42" s="35" t="s">
        <v>473</v>
      </c>
      <c r="D42" s="37" t="n">
        <f aca="false">IF(Country_Data!$CA$10="","",Country_Data!$CA$10)</f>
        <v>1.78566731975428</v>
      </c>
      <c r="E42" s="40" t="n">
        <f aca="false">Country_Data!$BW$10</f>
        <v>4369.68</v>
      </c>
      <c r="F42" s="41" t="n">
        <f aca="false">Country_Data!$BX$10</f>
        <v>0.845680919426594</v>
      </c>
      <c r="G42" s="42" t="n">
        <f aca="false">IF(D42="","",D42/SUMIFS($D$5:$D$1369,$B$5:$B$1369,B42,$C$5:$C$1369,C42))</f>
        <v>0.0349561697883754</v>
      </c>
      <c r="H42" s="42" t="n">
        <f aca="false">E42/SUMIFS($E$5:$E$1369,$B$5:$B$1369,B42,$C$5:$C$1369,C42)</f>
        <v>0.0553931451299819</v>
      </c>
      <c r="I42" s="43" t="n">
        <f aca="false">IF(G42="",H42,p_beta_alloc*G42+(1-p_beta_alloc)*H42)*F42^p_phi</f>
        <v>0.0415430266445263</v>
      </c>
      <c r="J42" s="16" t="n">
        <f aca="false">INDEX(Sector_Params!$C$18:$E$18,MATCH(B42,Sector_Params!$C$15:$E$15,0))*I42/SUMIFS($I$5:$I$1369,$B$5:$B$1369,B42,$C$5:$C$1369,C42)</f>
        <v>15.6556208997613</v>
      </c>
      <c r="K42" s="28" t="n">
        <f aca="false">INDEX(Sector_Params!$F$7:$H$7,MATCH(B42,Sector_Params!$C$15:$E$15,0))</f>
        <v>0.38</v>
      </c>
      <c r="L42" s="16" t="n">
        <f aca="false">J42*K42</f>
        <v>5.94913594190929</v>
      </c>
      <c r="M42" s="44" t="n">
        <f aca="false">Country_Data!$DW$10+Sector_Params!$E$7</f>
        <v>0.03587</v>
      </c>
      <c r="N42" s="44" t="n">
        <f aca="false">Country_Data!$DX$10+Sector_Params!$E$7</f>
        <v>0.05087</v>
      </c>
      <c r="O42" s="11" t="n">
        <f aca="false">IF(p_use_ibrd=1,p_r_ibrd,p_r_wb)</f>
        <v>0.06</v>
      </c>
      <c r="P42" s="45" t="n">
        <f aca="false">Sector_Params!$D$7</f>
        <v>12</v>
      </c>
      <c r="Q42" s="46" t="n">
        <f aca="false">M42/(1-(1+M42)^-P42)</f>
        <v>0.104014504324392</v>
      </c>
      <c r="R42" s="46" t="n">
        <f aca="false">N42/(1-(1+N42)^-P42)</f>
        <v>0.113379687176343</v>
      </c>
      <c r="S42" s="46" t="n">
        <f aca="false">O42/(1-(1+O42)^-P42)</f>
        <v>0.119277029380664</v>
      </c>
      <c r="T42" s="37" t="n">
        <f aca="false">IF(AND(p_eng=1,ISNUMBER(Country_Data!$DE$10)),Country_Data!$DE$10,Country_Data!$CM$10)*Sector_Params!$I$7</f>
        <v>0.0294336</v>
      </c>
      <c r="U42" s="37" t="n">
        <f aca="false">IF(AND(p_eng=1,ISNUMBER(Country_Data!$DF$10)),Country_Data!$DF$10,Country_Data!$CN$10)*Sector_Params!$J$7</f>
        <v>0.00850005</v>
      </c>
      <c r="V42" s="37" t="n">
        <f aca="false">IF(AND(p_eng=1,ISNUMBER(Country_Data!$DG$10)),Country_Data!$DG$10,p_a)</f>
        <v>0.442883552631579</v>
      </c>
      <c r="W42" s="16" t="n">
        <f aca="false">T42*L42</f>
        <v>0.175104487659781</v>
      </c>
      <c r="X42" s="16" t="n">
        <f aca="false">U42*L42</f>
        <v>0.050567952963026</v>
      </c>
      <c r="Y42" s="16" t="n">
        <f aca="false">V42*L42</f>
        <v>2.634774461041</v>
      </c>
      <c r="Z42" s="16" t="n">
        <f aca="false">Q42*L42</f>
        <v>0.618796426156118</v>
      </c>
      <c r="AA42" s="16" t="n">
        <f aca="false">R42*L42</f>
        <v>0.674511172063215</v>
      </c>
      <c r="AB42" s="16" t="n">
        <f aca="false">S42*L42</f>
        <v>0.709595262532675</v>
      </c>
      <c r="AC42" s="16" t="n">
        <f aca="false">Z42-W42</f>
        <v>0.443691938496337</v>
      </c>
      <c r="AD42" s="16" t="n">
        <f aca="false">AA42-W42</f>
        <v>0.499406684403434</v>
      </c>
      <c r="AE42" s="16" t="n">
        <f aca="false">AB42-W42</f>
        <v>0.534490774872894</v>
      </c>
      <c r="AF42" s="16" t="n">
        <f aca="false">AE42-X42</f>
        <v>0.483922821909868</v>
      </c>
      <c r="AG42" s="16" t="n">
        <f aca="false">AF42-p_spc_lo*Y42/1000</f>
        <v>0.352184098857818</v>
      </c>
      <c r="AH42" s="16" t="n">
        <f aca="false">AF42-p_spc_hi*Y42/1000</f>
        <v>0.220445375805768</v>
      </c>
      <c r="AI42" s="16" t="n">
        <f aca="false">Q42*J42</f>
        <v>1.62841164777926</v>
      </c>
      <c r="AJ42" s="16" t="n">
        <f aca="false">S42*J42</f>
        <v>1.86735595403336</v>
      </c>
      <c r="AK42" s="16" t="n">
        <f aca="false">T42*J42</f>
        <v>0.460801283315214</v>
      </c>
      <c r="AL42" s="16" t="n">
        <f aca="false">U42*J42</f>
        <v>0.133073560429016</v>
      </c>
      <c r="AM42" s="16" t="n">
        <f aca="false">AI42-AJ42</f>
        <v>-0.238944306254098</v>
      </c>
      <c r="AN42" s="16" t="n">
        <f aca="false">J42*Country_Data!$EB$10</f>
        <v>16.3574245952678</v>
      </c>
      <c r="AO42" s="16" t="n">
        <f aca="false">L42*Country_Data!$EB$10</f>
        <v>6.21582134620177</v>
      </c>
    </row>
    <row r="43" customFormat="false" ht="15" hidden="false" customHeight="false" outlineLevel="0" collapsed="false">
      <c r="A43" s="14" t="str">
        <f aca="false">Country_Data!$A$10</f>
        <v>GBR</v>
      </c>
      <c r="B43" s="14" t="str">
        <f aca="false">Country_Data!$E$10</f>
        <v>AE</v>
      </c>
      <c r="C43" s="35" t="s">
        <v>477</v>
      </c>
      <c r="D43" s="37" t="n">
        <f aca="false">IF(Country_Data!$CB$10="","",Country_Data!$CB$10)</f>
        <v>2.14378591883683</v>
      </c>
      <c r="E43" s="40" t="n">
        <f aca="false">Country_Data!$BW$10</f>
        <v>4369.68</v>
      </c>
      <c r="F43" s="41" t="n">
        <f aca="false">Country_Data!$BX$10</f>
        <v>0.845680919426594</v>
      </c>
      <c r="G43" s="42" t="n">
        <f aca="false">IF(D43="","",D43/SUMIFS($D$5:$D$1369,$B$5:$B$1369,B43,$C$5:$C$1369,C43))</f>
        <v>0.0551276845108214</v>
      </c>
      <c r="H43" s="42" t="n">
        <f aca="false">E43/SUMIFS($E$5:$E$1369,$B$5:$B$1369,B43,$C$5:$C$1369,C43)</f>
        <v>0.0553931451299819</v>
      </c>
      <c r="I43" s="43" t="n">
        <f aca="false">IF(G43="",H43,p_beta_alloc*G43+(1-p_beta_alloc)*H43)*F43^p_phi</f>
        <v>0.0508179810183614</v>
      </c>
      <c r="J43" s="16" t="n">
        <f aca="false">INDEX(Sector_Params!$C$19:$E$19,MATCH(B43,Sector_Params!$C$15:$E$15,0))*I43/SUMIFS($I$5:$I$1369,$B$5:$B$1369,B43,$C$5:$C$1369,C43)</f>
        <v>14.9382970536612</v>
      </c>
      <c r="K43" s="28" t="n">
        <f aca="false">INDEX(Sector_Params!$F$8:$H$8,MATCH(B43,Sector_Params!$C$15:$E$15,0))</f>
        <v>0.38</v>
      </c>
      <c r="L43" s="16" t="n">
        <f aca="false">J43*K43</f>
        <v>5.67655288039127</v>
      </c>
      <c r="M43" s="44" t="n">
        <f aca="false">Country_Data!$DW$10+Sector_Params!$E$8</f>
        <v>0.03587</v>
      </c>
      <c r="N43" s="44" t="n">
        <f aca="false">Country_Data!$DX$10+Sector_Params!$E$8</f>
        <v>0.05087</v>
      </c>
      <c r="O43" s="11" t="n">
        <f aca="false">IF(p_use_ibrd=1,p_r_ibrd,p_r_wb)</f>
        <v>0.06</v>
      </c>
      <c r="P43" s="45" t="n">
        <f aca="false">Sector_Params!$D$8</f>
        <v>25</v>
      </c>
      <c r="Q43" s="46" t="n">
        <f aca="false">M43/(1-(1+M43)^-P43)</f>
        <v>0.0612483122337463</v>
      </c>
      <c r="R43" s="46" t="n">
        <f aca="false">N43/(1-(1+N43)^-P43)</f>
        <v>0.0715724022182805</v>
      </c>
      <c r="S43" s="46" t="n">
        <f aca="false">O43/(1-(1+O43)^-P43)</f>
        <v>0.078226718212274</v>
      </c>
      <c r="T43" s="37" t="n">
        <f aca="false">Country_Data!$CM$10*Sector_Params!$I$8</f>
        <v>0.304402868307565</v>
      </c>
      <c r="U43" s="37" t="n">
        <f aca="false">Country_Data!$CN$10*Sector_Params!$J$8</f>
        <v>0.0425791473299219</v>
      </c>
      <c r="V43" s="37" t="n">
        <f aca="false">p_a</f>
        <v>0.35</v>
      </c>
      <c r="W43" s="16" t="n">
        <f aca="false">T43*L43</f>
        <v>1.72795897889067</v>
      </c>
      <c r="X43" s="16" t="n">
        <f aca="false">U43*L43</f>
        <v>0.241702781420272</v>
      </c>
      <c r="Y43" s="16" t="n">
        <f aca="false">V43*L43</f>
        <v>1.98679350813694</v>
      </c>
      <c r="Z43" s="16" t="n">
        <f aca="false">Q43*L43</f>
        <v>0.347679283229576</v>
      </c>
      <c r="AA43" s="16" t="n">
        <f aca="false">R43*L43</f>
        <v>0.406284525968703</v>
      </c>
      <c r="AB43" s="16" t="n">
        <f aca="false">S43*L43</f>
        <v>0.44405810259144</v>
      </c>
      <c r="AC43" s="16" t="n">
        <f aca="false">Z43-W43</f>
        <v>-1.3802796956611</v>
      </c>
      <c r="AD43" s="16" t="n">
        <f aca="false">AA43-W43</f>
        <v>-1.32167445292197</v>
      </c>
      <c r="AE43" s="16" t="n">
        <f aca="false">AB43-W43</f>
        <v>-1.28390087629923</v>
      </c>
      <c r="AF43" s="16" t="n">
        <f aca="false">AE43-X43</f>
        <v>-1.52560365771951</v>
      </c>
      <c r="AG43" s="16" t="n">
        <f aca="false">AF43-p_spc_lo*Y43/1000</f>
        <v>-1.62494333312635</v>
      </c>
      <c r="AH43" s="16" t="n">
        <f aca="false">AF43-p_spc_hi*Y43/1000</f>
        <v>-1.7242830085332</v>
      </c>
      <c r="AI43" s="16" t="n">
        <f aca="false">Q43*J43</f>
        <v>0.914945482183096</v>
      </c>
      <c r="AJ43" s="16" t="n">
        <f aca="false">S43*J43</f>
        <v>1.168573954188</v>
      </c>
      <c r="AK43" s="16" t="n">
        <f aca="false">T43*J43</f>
        <v>4.54726047076493</v>
      </c>
      <c r="AL43" s="16" t="n">
        <f aca="false">U43*J43</f>
        <v>0.63605995110598</v>
      </c>
      <c r="AM43" s="16" t="n">
        <f aca="false">AI43-AJ43</f>
        <v>-0.253628472004903</v>
      </c>
      <c r="AN43" s="16" t="n">
        <f aca="false">J43*Country_Data!$EB$10</f>
        <v>15.6079448526185</v>
      </c>
      <c r="AO43" s="16" t="n">
        <f aca="false">L43*Country_Data!$EB$10</f>
        <v>5.93101904399501</v>
      </c>
    </row>
    <row r="44" customFormat="false" ht="15" hidden="false" customHeight="false" outlineLevel="0" collapsed="false">
      <c r="A44" s="14" t="str">
        <f aca="false">Country_Data!$A$10</f>
        <v>GBR</v>
      </c>
      <c r="B44" s="14" t="str">
        <f aca="false">Country_Data!$E$10</f>
        <v>AE</v>
      </c>
      <c r="C44" s="35" t="s">
        <v>481</v>
      </c>
      <c r="D44" s="37" t="n">
        <f aca="false">IF(Country_Data!$CC$10="","",Country_Data!$CC$10)</f>
        <v>1.62123301400658</v>
      </c>
      <c r="E44" s="40" t="n">
        <f aca="false">Country_Data!$BW$10</f>
        <v>4369.68</v>
      </c>
      <c r="F44" s="41" t="n">
        <f aca="false">Country_Data!$BX$10</f>
        <v>0.845680919426594</v>
      </c>
      <c r="G44" s="42" t="n">
        <f aca="false">IF(D44="","",D44/SUMIFS($D$5:$D$1369,$B$5:$B$1369,B44,$C$5:$C$1369,C44))</f>
        <v>0.0295191886325102</v>
      </c>
      <c r="H44" s="42" t="n">
        <f aca="false">E44/SUMIFS($E$5:$E$1369,$B$5:$B$1369,B44,$C$5:$C$1369,C44)</f>
        <v>0.0553931451299819</v>
      </c>
      <c r="I44" s="43" t="n">
        <f aca="false">IF(G44="",H44,p_beta_alloc*G44+(1-p_beta_alloc)*H44)*F44^p_phi</f>
        <v>0.0390430779373557</v>
      </c>
      <c r="J44" s="16" t="n">
        <f aca="false">INDEX(Sector_Params!$C$20:$E$20,MATCH(B44,Sector_Params!$C$15:$E$15,0))*I44/SUMIFS($I$5:$I$1369,$B$5:$B$1369,B44,$C$5:$C$1369,C44)</f>
        <v>6.63019209977207</v>
      </c>
      <c r="K44" s="28" t="n">
        <f aca="false">INDEX(Sector_Params!$F$9:$H$9,MATCH(B44,Sector_Params!$C$15:$E$15,0))</f>
        <v>0.38</v>
      </c>
      <c r="L44" s="16" t="n">
        <f aca="false">J44*K44</f>
        <v>2.51947299791339</v>
      </c>
      <c r="M44" s="44" t="n">
        <f aca="false">Country_Data!$DW$10+Sector_Params!$E$9</f>
        <v>0.03587</v>
      </c>
      <c r="N44" s="44" t="n">
        <f aca="false">Country_Data!$DX$10+Sector_Params!$E$9</f>
        <v>0.05087</v>
      </c>
      <c r="O44" s="11" t="n">
        <f aca="false">IF(p_use_ibrd=1,p_r_ibrd,p_r_wb)</f>
        <v>0.06</v>
      </c>
      <c r="P44" s="45" t="n">
        <f aca="false">Sector_Params!$D$9</f>
        <v>25</v>
      </c>
      <c r="Q44" s="46" t="n">
        <f aca="false">M44/(1-(1+M44)^-P44)</f>
        <v>0.0612483122337463</v>
      </c>
      <c r="R44" s="46" t="n">
        <f aca="false">N44/(1-(1+N44)^-P44)</f>
        <v>0.0715724022182805</v>
      </c>
      <c r="S44" s="46" t="n">
        <f aca="false">O44/(1-(1+O44)^-P44)</f>
        <v>0.078226718212274</v>
      </c>
      <c r="T44" s="37" t="n">
        <f aca="false">Country_Data!$CM$10*Sector_Params!$I$9</f>
        <v>0.304402868307565</v>
      </c>
      <c r="U44" s="37" t="n">
        <f aca="false">Country_Data!$CN$10*Sector_Params!$J$9</f>
        <v>0.0425791473299219</v>
      </c>
      <c r="V44" s="37" t="n">
        <f aca="false">p_a</f>
        <v>0.35</v>
      </c>
      <c r="W44" s="16" t="n">
        <f aca="false">T44*L44</f>
        <v>0.766934807188295</v>
      </c>
      <c r="X44" s="16" t="n">
        <f aca="false">U44*L44</f>
        <v>0.107277011971914</v>
      </c>
      <c r="Y44" s="16" t="n">
        <f aca="false">V44*L44</f>
        <v>0.881815549269685</v>
      </c>
      <c r="Z44" s="16" t="n">
        <f aca="false">Q44*L44</f>
        <v>0.154313468840692</v>
      </c>
      <c r="AA44" s="16" t="n">
        <f aca="false">R44*L44</f>
        <v>0.180324734784754</v>
      </c>
      <c r="AB44" s="16" t="n">
        <f aca="false">S44*L44</f>
        <v>0.197090104251204</v>
      </c>
      <c r="AC44" s="16" t="n">
        <f aca="false">Z44-W44</f>
        <v>-0.612621338347603</v>
      </c>
      <c r="AD44" s="16" t="n">
        <f aca="false">AA44-W44</f>
        <v>-0.586610072403541</v>
      </c>
      <c r="AE44" s="16" t="n">
        <f aca="false">AB44-W44</f>
        <v>-0.569844702937091</v>
      </c>
      <c r="AF44" s="16" t="n">
        <f aca="false">AE44-X44</f>
        <v>-0.677121714909005</v>
      </c>
      <c r="AG44" s="16" t="n">
        <f aca="false">AF44-p_spc_lo*Y44/1000</f>
        <v>-0.721212492372489</v>
      </c>
      <c r="AH44" s="16" t="n">
        <f aca="false">AF44-p_spc_hi*Y44/1000</f>
        <v>-0.765303269835974</v>
      </c>
      <c r="AI44" s="16" t="n">
        <f aca="false">Q44*J44</f>
        <v>0.406088075896558</v>
      </c>
      <c r="AJ44" s="16" t="n">
        <f aca="false">S44*J44</f>
        <v>0.518658169082114</v>
      </c>
      <c r="AK44" s="16" t="n">
        <f aca="false">T44*J44</f>
        <v>2.01824949260078</v>
      </c>
      <c r="AL44" s="16" t="n">
        <f aca="false">U44*J44</f>
        <v>0.282307926241879</v>
      </c>
      <c r="AM44" s="16" t="n">
        <f aca="false">AI44-AJ44</f>
        <v>-0.112570093185557</v>
      </c>
      <c r="AN44" s="16" t="n">
        <f aca="false">J44*Country_Data!$EB$10</f>
        <v>6.92740760769288</v>
      </c>
      <c r="AO44" s="16" t="n">
        <f aca="false">L44*Country_Data!$EB$10</f>
        <v>2.6324148909233</v>
      </c>
    </row>
    <row r="45" customFormat="false" ht="15" hidden="false" customHeight="false" outlineLevel="0" collapsed="false">
      <c r="A45" s="14" t="str">
        <f aca="false">Country_Data!$A$10</f>
        <v>GBR</v>
      </c>
      <c r="B45" s="14" t="str">
        <f aca="false">Country_Data!$E$10</f>
        <v>AE</v>
      </c>
      <c r="C45" s="35" t="s">
        <v>484</v>
      </c>
      <c r="D45" s="37" t="n">
        <f aca="false">IF(Country_Data!$CD$10="","",Country_Data!$CD$10)</f>
        <v>5.24721388003554</v>
      </c>
      <c r="E45" s="40" t="n">
        <f aca="false">Country_Data!$BW$10</f>
        <v>4369.68</v>
      </c>
      <c r="F45" s="41" t="n">
        <f aca="false">Country_Data!$BX$10</f>
        <v>0.845680919426594</v>
      </c>
      <c r="G45" s="42" t="n">
        <f aca="false">IF(D45="","",D45/SUMIFS($D$5:$D$1369,$B$5:$B$1369,B45,$C$5:$C$1369,C45))</f>
        <v>0.0355020856241529</v>
      </c>
      <c r="H45" s="42" t="n">
        <f aca="false">E45/SUMIFS($E$5:$E$1369,$B$5:$B$1369,B45,$C$5:$C$1369,C45)</f>
        <v>0.0553931451299819</v>
      </c>
      <c r="I45" s="43" t="n">
        <f aca="false">IF(G45="",H45,p_beta_alloc*G45+(1-p_beta_alloc)*H45)*F45^p_phi</f>
        <v>0.0417940412330914</v>
      </c>
      <c r="J45" s="16" t="n">
        <f aca="false">INDEX(Sector_Params!$C$21:$E$21,MATCH(B45,Sector_Params!$C$15:$E$15,0))*I45/SUMIFS($I$5:$I$1369,$B$5:$B$1369,B45,$C$5:$C$1369,C45)</f>
        <v>8.51552485652429</v>
      </c>
      <c r="K45" s="28" t="n">
        <f aca="false">INDEX(Sector_Params!$F$10:$H$10,MATCH(B45,Sector_Params!$C$15:$E$15,0))</f>
        <v>0.38</v>
      </c>
      <c r="L45" s="16" t="n">
        <f aca="false">J45*K45</f>
        <v>3.23589944547923</v>
      </c>
      <c r="M45" s="44" t="n">
        <f aca="false">Country_Data!$DW$10+Sector_Params!$E$10</f>
        <v>0.03587</v>
      </c>
      <c r="N45" s="44" t="n">
        <f aca="false">Country_Data!$DX$10+Sector_Params!$E$10</f>
        <v>0.05087</v>
      </c>
      <c r="O45" s="11" t="n">
        <f aca="false">IF(p_use_ibrd=1,p_r_ibrd,p_r_wb)</f>
        <v>0.06</v>
      </c>
      <c r="P45" s="45" t="n">
        <f aca="false">Sector_Params!$D$10</f>
        <v>20</v>
      </c>
      <c r="Q45" s="46" t="n">
        <f aca="false">M45/(1-(1+M45)^-P45)</f>
        <v>0.0709161058003949</v>
      </c>
      <c r="R45" s="46" t="n">
        <f aca="false">N45/(1-(1+N45)^-P45)</f>
        <v>0.0808355788122235</v>
      </c>
      <c r="S45" s="46" t="n">
        <f aca="false">O45/(1-(1+O45)^-P45)</f>
        <v>0.0871845569768514</v>
      </c>
      <c r="T45" s="37" t="n">
        <f aca="false">0*Sector_Params!$I$10</f>
        <v>0</v>
      </c>
      <c r="U45" s="37" t="n">
        <f aca="false">0*Sector_Params!$J$10</f>
        <v>0</v>
      </c>
      <c r="V45" s="37" t="n">
        <f aca="false">1000*p_r_wb/(1-(1+p_r_wb)^-Sector_Params!$D$10)/p_cpt_fuel</f>
        <v>0.871845569768514</v>
      </c>
      <c r="W45" s="16" t="n">
        <f aca="false">T45*L45</f>
        <v>0</v>
      </c>
      <c r="X45" s="16" t="n">
        <f aca="false">U45*L45</f>
        <v>0</v>
      </c>
      <c r="Y45" s="16" t="n">
        <f aca="false">V45*L45</f>
        <v>2.82120459575746</v>
      </c>
      <c r="Z45" s="16" t="n">
        <f aca="false">Q45*L45</f>
        <v>0.229477387435044</v>
      </c>
      <c r="AA45" s="16" t="n">
        <f aca="false">R45*L45</f>
        <v>0.261575804653467</v>
      </c>
      <c r="AB45" s="16" t="n">
        <f aca="false">S45*L45</f>
        <v>0.282120459575746</v>
      </c>
      <c r="AC45" s="16" t="n">
        <f aca="false">Z45-W45</f>
        <v>0.229477387435044</v>
      </c>
      <c r="AD45" s="16" t="n">
        <f aca="false">AA45-W45</f>
        <v>0.261575804653467</v>
      </c>
      <c r="AE45" s="16" t="n">
        <f aca="false">AB45-W45</f>
        <v>0.282120459575746</v>
      </c>
      <c r="AF45" s="16" t="n">
        <f aca="false">AE45-X45</f>
        <v>0.282120459575746</v>
      </c>
      <c r="AG45" s="16" t="n">
        <f aca="false">AF45-p_spc_lo*Y45/1000</f>
        <v>0.141060229787873</v>
      </c>
      <c r="AH45" s="16" t="n">
        <f aca="false">AF45-p_spc_hi*Y45/1000</f>
        <v>0</v>
      </c>
      <c r="AI45" s="16" t="n">
        <f aca="false">Q45*J45</f>
        <v>0.603887861671169</v>
      </c>
      <c r="AJ45" s="16" t="n">
        <f aca="false">S45*J45</f>
        <v>0.742422262041437</v>
      </c>
      <c r="AK45" s="16" t="n">
        <f aca="false">T45*J45</f>
        <v>0</v>
      </c>
      <c r="AL45" s="16" t="n">
        <f aca="false">U45*J45</f>
        <v>0</v>
      </c>
      <c r="AM45" s="16" t="n">
        <f aca="false">AI45-AJ45</f>
        <v>-0.138534400370268</v>
      </c>
      <c r="AN45" s="16" t="n">
        <f aca="false">J45*Country_Data!$EB$10</f>
        <v>8.89725528112711</v>
      </c>
      <c r="AO45" s="16" t="n">
        <f aca="false">L45*Country_Data!$EB$10</f>
        <v>3.3809570068283</v>
      </c>
    </row>
    <row r="46" customFormat="false" ht="15" hidden="false" customHeight="false" outlineLevel="0" collapsed="false">
      <c r="A46" s="14" t="str">
        <f aca="false">Country_Data!$A$10</f>
        <v>GBR</v>
      </c>
      <c r="B46" s="14" t="str">
        <f aca="false">Country_Data!$E$10</f>
        <v>AE</v>
      </c>
      <c r="C46" s="35" t="s">
        <v>488</v>
      </c>
      <c r="D46" s="37" t="n">
        <f aca="false">IF(Country_Data!$CE$10="","",Country_Data!$CE$10)</f>
        <v>84.139</v>
      </c>
      <c r="E46" s="40" t="n">
        <f aca="false">Country_Data!$BW$10</f>
        <v>4369.68</v>
      </c>
      <c r="F46" s="41" t="n">
        <f aca="false">Country_Data!$BX$10</f>
        <v>0.845680919426594</v>
      </c>
      <c r="G46" s="42" t="n">
        <f aca="false">IF(D46="","",D46/SUMIFS($D$5:$D$1369,$B$5:$B$1369,B46,$C$5:$C$1369,C46))</f>
        <v>0.0321107639888042</v>
      </c>
      <c r="H46" s="42" t="n">
        <f aca="false">E46/SUMIFS($E$5:$E$1369,$B$5:$B$1369,B46,$C$5:$C$1369,C46)</f>
        <v>0.0553931451299819</v>
      </c>
      <c r="I46" s="43" t="n">
        <f aca="false">IF(G46="",H46,p_beta_alloc*G46+(1-p_beta_alloc)*H46)*F46^p_phi</f>
        <v>0.0402346960937867</v>
      </c>
      <c r="J46" s="16" t="n">
        <f aca="false">INDEX(Sector_Params!$C$22:$E$22,MATCH(B46,Sector_Params!$C$15:$E$15,0))*I46/SUMIFS($I$5:$I$1369,$B$5:$B$1369,B46,$C$5:$C$1369,C46)</f>
        <v>1.55899882274199</v>
      </c>
      <c r="K46" s="28" t="n">
        <f aca="false">INDEX(Sector_Params!$F$11:$H$11,MATCH(B46,Sector_Params!$C$15:$E$15,0))</f>
        <v>0.38</v>
      </c>
      <c r="L46" s="16" t="n">
        <f aca="false">J46*K46</f>
        <v>0.592419552641955</v>
      </c>
      <c r="M46" s="44" t="n">
        <f aca="false">Country_Data!$DW$10+Sector_Params!$E$11</f>
        <v>0.03587</v>
      </c>
      <c r="N46" s="44" t="n">
        <f aca="false">Country_Data!$DX$10+Sector_Params!$E$11</f>
        <v>0.05087</v>
      </c>
      <c r="O46" s="11" t="n">
        <f aca="false">IF(p_use_ibrd=1,p_r_ibrd,p_r_wb)</f>
        <v>0.06</v>
      </c>
      <c r="P46" s="45" t="n">
        <f aca="false">Sector_Params!$D$11</f>
        <v>30</v>
      </c>
      <c r="Q46" s="46" t="n">
        <f aca="false">M46/(1-(1+M46)^-P46)</f>
        <v>0.0549655997905059</v>
      </c>
      <c r="R46" s="46" t="n">
        <f aca="false">N46/(1-(1+N46)^-P46)</f>
        <v>0.065697988944079</v>
      </c>
      <c r="S46" s="46" t="n">
        <f aca="false">O46/(1-(1+O46)^-P46)</f>
        <v>0.0726489114900472</v>
      </c>
      <c r="T46" s="37" t="n">
        <f aca="false">0*Sector_Params!$I$11</f>
        <v>0</v>
      </c>
      <c r="U46" s="37" t="n">
        <f aca="false">p_c*Sector_Params!$J$11</f>
        <v>0.129</v>
      </c>
      <c r="V46" s="37" t="n">
        <f aca="false">1000*p_r_wb/(1-(1+p_r_wb)^-Sector_Params!$D$11)/p_cpt_afolu</f>
        <v>1.45297822980094</v>
      </c>
      <c r="W46" s="16" t="n">
        <f aca="false">T46*L46</f>
        <v>0</v>
      </c>
      <c r="X46" s="16" t="n">
        <f aca="false">U46*L46</f>
        <v>0.0764221222908122</v>
      </c>
      <c r="Y46" s="16" t="n">
        <f aca="false">V46*L46</f>
        <v>0.860772712897174</v>
      </c>
      <c r="Z46" s="16" t="n">
        <f aca="false">Q46*L46</f>
        <v>0.0325626960385882</v>
      </c>
      <c r="AA46" s="16" t="n">
        <f aca="false">R46*L46</f>
        <v>0.0389207732197274</v>
      </c>
      <c r="AB46" s="16" t="n">
        <f aca="false">S46*L46</f>
        <v>0.0430386356448587</v>
      </c>
      <c r="AC46" s="16" t="n">
        <f aca="false">Z46-W46</f>
        <v>0.0325626960385882</v>
      </c>
      <c r="AD46" s="16" t="n">
        <f aca="false">AA46-W46</f>
        <v>0.0389207732197274</v>
      </c>
      <c r="AE46" s="16" t="n">
        <f aca="false">AB46-W46</f>
        <v>0.0430386356448587</v>
      </c>
      <c r="AF46" s="16" t="n">
        <f aca="false">AE46-X46</f>
        <v>-0.0333834866459534</v>
      </c>
      <c r="AG46" s="16" t="n">
        <f aca="false">AF46-p_spc_lo*Y46/1000</f>
        <v>-0.0764221222908121</v>
      </c>
      <c r="AH46" s="16" t="n">
        <f aca="false">AF46-p_spc_hi*Y46/1000</f>
        <v>-0.119460757935671</v>
      </c>
      <c r="AI46" s="16" t="n">
        <f aca="false">Q46*J46</f>
        <v>0.0856913053647058</v>
      </c>
      <c r="AJ46" s="16" t="n">
        <f aca="false">S46*J46</f>
        <v>0.11325956748647</v>
      </c>
      <c r="AK46" s="16" t="n">
        <f aca="false">T46*J46</f>
        <v>0</v>
      </c>
      <c r="AL46" s="16" t="n">
        <f aca="false">U46*J46</f>
        <v>0.201110848133716</v>
      </c>
      <c r="AM46" s="16" t="n">
        <f aca="false">AI46-AJ46</f>
        <v>-0.0275682621217645</v>
      </c>
      <c r="AN46" s="16" t="n">
        <f aca="false">J46*Country_Data!$EB$10</f>
        <v>1.6288849768649</v>
      </c>
      <c r="AO46" s="16" t="n">
        <f aca="false">L46*Country_Data!$EB$10</f>
        <v>0.618976291208663</v>
      </c>
    </row>
    <row r="47" customFormat="false" ht="15" hidden="false" customHeight="false" outlineLevel="0" collapsed="false">
      <c r="A47" s="14" t="str">
        <f aca="false">Country_Data!$A$11</f>
        <v>FRA</v>
      </c>
      <c r="B47" s="14" t="str">
        <f aca="false">Country_Data!$E$11</f>
        <v>AE</v>
      </c>
      <c r="C47" s="35" t="s">
        <v>466</v>
      </c>
      <c r="D47" s="37" t="n">
        <f aca="false">IF(Country_Data!$BZ$11="","",Country_Data!$BZ$11)</f>
        <v>428.301520764088</v>
      </c>
      <c r="E47" s="40" t="n">
        <f aca="false">Country_Data!$BW$11</f>
        <v>4396.548</v>
      </c>
      <c r="F47" s="41" t="n">
        <f aca="false">Country_Data!$BX$11</f>
        <v>0.718982710981434</v>
      </c>
      <c r="G47" s="42" t="n">
        <f aca="false">IF(D47="","",D47/SUMIFS($D$5:$D$1369,$B$5:$B$1369,B47,$C$5:$C$1369,C47))</f>
        <v>0.0437694376553798</v>
      </c>
      <c r="H47" s="42" t="n">
        <f aca="false">E47/SUMIFS($E$5:$E$1369,$B$5:$B$1369,B47,$C$5:$C$1369,C47)</f>
        <v>0.0557337428449982</v>
      </c>
      <c r="I47" s="43" t="n">
        <f aca="false">IF(G47="",H47,p_beta_alloc*G47+(1-p_beta_alloc)*H47)*F47^p_phi</f>
        <v>0.0421857904095055</v>
      </c>
      <c r="J47" s="16" t="n">
        <f aca="false">INDEX(Sector_Params!$C$16:$E$16,MATCH(B47,Sector_Params!$C$15:$E$15,0))*I47/SUMIFS($I$5:$I$1369,$B$5:$B$1369,B47,$C$5:$C$1369,C47)</f>
        <v>37.8387691633043</v>
      </c>
      <c r="K47" s="28" t="n">
        <f aca="false">INDEX(Sector_Params!$F$5:$H$5,MATCH(B47,Sector_Params!$C$15:$E$15,0))</f>
        <v>0.38</v>
      </c>
      <c r="L47" s="16" t="n">
        <f aca="false">J47*K47</f>
        <v>14.3787322820556</v>
      </c>
      <c r="M47" s="44" t="n">
        <f aca="false">Country_Data!$DW$11+Sector_Params!$E$5</f>
        <v>0.03297</v>
      </c>
      <c r="N47" s="44" t="n">
        <f aca="false">Country_Data!$DX$11+Sector_Params!$E$5</f>
        <v>0.04797</v>
      </c>
      <c r="O47" s="11" t="n">
        <f aca="false">IF(p_use_ibrd=1,p_r_ibrd,p_r_wb)</f>
        <v>0.06</v>
      </c>
      <c r="P47" s="45" t="n">
        <f aca="false">Sector_Params!$D$5</f>
        <v>25</v>
      </c>
      <c r="Q47" s="46" t="n">
        <f aca="false">M47/(1-(1+M47)^-P47)</f>
        <v>0.0593448849929677</v>
      </c>
      <c r="R47" s="46" t="n">
        <f aca="false">N47/(1-(1+N47)^-P47)</f>
        <v>0.0695157742261483</v>
      </c>
      <c r="S47" s="46" t="n">
        <f aca="false">O47/(1-(1+O47)^-P47)</f>
        <v>0.078226718212274</v>
      </c>
      <c r="T47" s="37" t="n">
        <f aca="false">IF(AND(p_eng=1,ISNUMBER(Country_Data!$CZ$11)),Country_Data!$CZ$11,Country_Data!$CM$11)*Sector_Params!$I$5</f>
        <v>0.00123168478703293</v>
      </c>
      <c r="U47" s="37" t="n">
        <f aca="false">IF(AND(p_eng=1,ISNUMBER(Country_Data!$DA$11)),Country_Data!$DA$11,Country_Data!$CN$11)*Sector_Params!$J$5</f>
        <v>0.00245462819289879</v>
      </c>
      <c r="V47" s="37" t="n">
        <f aca="false">IF(AND(p_eng=1,ISNUMBER(Country_Data!$DB$11)),Country_Data!$DB$11,p_a)</f>
        <v>0.0699240298717824</v>
      </c>
      <c r="W47" s="16" t="n">
        <f aca="false">T47*L47</f>
        <v>0.0177100658086272</v>
      </c>
      <c r="X47" s="16" t="n">
        <f aca="false">U47*L47</f>
        <v>0.0352944416376776</v>
      </c>
      <c r="Y47" s="16" t="n">
        <f aca="false">V47*L47</f>
        <v>1.00541890560882</v>
      </c>
      <c r="Z47" s="16" t="n">
        <f aca="false">Q47*L47</f>
        <v>0.853304213623263</v>
      </c>
      <c r="AA47" s="16" t="n">
        <f aca="false">R47*L47</f>
        <v>0.999548706977609</v>
      </c>
      <c r="AB47" s="16" t="n">
        <f aca="false">S47*L47</f>
        <v>1.12480103847809</v>
      </c>
      <c r="AC47" s="16" t="n">
        <f aca="false">Z47-W47</f>
        <v>0.835594147814636</v>
      </c>
      <c r="AD47" s="16" t="n">
        <f aca="false">AA47-W47</f>
        <v>0.981838641168982</v>
      </c>
      <c r="AE47" s="16" t="n">
        <f aca="false">AB47-W47</f>
        <v>1.10709097266946</v>
      </c>
      <c r="AF47" s="16" t="n">
        <f aca="false">AE47-X47</f>
        <v>1.07179653103179</v>
      </c>
      <c r="AG47" s="16" t="n">
        <f aca="false">AF47-p_spc_lo*Y47/1000</f>
        <v>1.02152558575135</v>
      </c>
      <c r="AH47" s="16" t="n">
        <f aca="false">AF47-p_spc_hi*Y47/1000</f>
        <v>0.971254640470905</v>
      </c>
      <c r="AI47" s="16" t="n">
        <f aca="false">Q47*J47</f>
        <v>2.24553740427175</v>
      </c>
      <c r="AJ47" s="16" t="n">
        <f aca="false">S47*J47</f>
        <v>2.96000273283708</v>
      </c>
      <c r="AK47" s="16" t="n">
        <f aca="false">T47*J47</f>
        <v>0.0466054363384927</v>
      </c>
      <c r="AL47" s="16" t="n">
        <f aca="false">U47*J47</f>
        <v>0.0928801095728359</v>
      </c>
      <c r="AM47" s="16" t="n">
        <f aca="false">AI47-AJ47</f>
        <v>-0.714465328565339</v>
      </c>
      <c r="AN47" s="16" t="n">
        <f aca="false">J47*Country_Data!$EB$11</f>
        <v>39.5349898499352</v>
      </c>
      <c r="AO47" s="16" t="n">
        <f aca="false">L47*Country_Data!$EB$11</f>
        <v>15.0232961429754</v>
      </c>
    </row>
    <row r="48" customFormat="false" ht="15" hidden="false" customHeight="false" outlineLevel="0" collapsed="false">
      <c r="A48" s="14" t="str">
        <f aca="false">Country_Data!$A$11</f>
        <v>FRA</v>
      </c>
      <c r="B48" s="14" t="str">
        <f aca="false">Country_Data!$E$11</f>
        <v>AE</v>
      </c>
      <c r="C48" s="35" t="s">
        <v>470</v>
      </c>
      <c r="D48" s="37" t="n">
        <f aca="false">IF(Country_Data!$BZ$11="","",Country_Data!$BZ$11)</f>
        <v>428.301520764088</v>
      </c>
      <c r="E48" s="40" t="n">
        <f aca="false">Country_Data!$BW$11</f>
        <v>4396.548</v>
      </c>
      <c r="F48" s="41" t="n">
        <f aca="false">Country_Data!$BX$11</f>
        <v>0.718982710981434</v>
      </c>
      <c r="G48" s="42" t="n">
        <f aca="false">IF(D48="","",D48/SUMIFS($D$5:$D$1369,$B$5:$B$1369,B48,$C$5:$C$1369,C48))</f>
        <v>0.0437694376553798</v>
      </c>
      <c r="H48" s="42" t="n">
        <f aca="false">E48/SUMIFS($E$5:$E$1369,$B$5:$B$1369,B48,$C$5:$C$1369,C48)</f>
        <v>0.0557337428449982</v>
      </c>
      <c r="I48" s="43" t="n">
        <f aca="false">IF(G48="",H48,p_beta_alloc*G48+(1-p_beta_alloc)*H48)*F48^p_phi</f>
        <v>0.0421857904095055</v>
      </c>
      <c r="J48" s="16" t="n">
        <f aca="false">INDEX(Sector_Params!$C$17:$E$17,MATCH(B48,Sector_Params!$C$15:$E$15,0))*I48/SUMIFS($I$5:$I$1369,$B$5:$B$1369,B48,$C$5:$C$1369,C48)</f>
        <v>25.9465845691229</v>
      </c>
      <c r="K48" s="28" t="n">
        <f aca="false">INDEX(Sector_Params!$F$6:$H$6,MATCH(B48,Sector_Params!$C$15:$E$15,0))</f>
        <v>0.38</v>
      </c>
      <c r="L48" s="16" t="n">
        <f aca="false">J48*K48</f>
        <v>9.85970213626672</v>
      </c>
      <c r="M48" s="44" t="n">
        <f aca="false">Country_Data!$DW$11+Sector_Params!$E$6</f>
        <v>0.03297</v>
      </c>
      <c r="N48" s="44" t="n">
        <f aca="false">Country_Data!$DX$11+Sector_Params!$E$6</f>
        <v>0.04797</v>
      </c>
      <c r="O48" s="11" t="n">
        <f aca="false">IF(p_use_ibrd=1,p_r_ibrd,p_r_wb)</f>
        <v>0.06</v>
      </c>
      <c r="P48" s="45" t="n">
        <f aca="false">Sector_Params!$D$6</f>
        <v>40</v>
      </c>
      <c r="Q48" s="46" t="n">
        <f aca="false">M48/(1-(1+M48)^-P48)</f>
        <v>0.0453636662903717</v>
      </c>
      <c r="R48" s="46" t="n">
        <f aca="false">N48/(1-(1+N48)^-P48)</f>
        <v>0.0566671593552342</v>
      </c>
      <c r="S48" s="46" t="n">
        <f aca="false">O48/(1-(1+O48)^-P48)</f>
        <v>0.0664615359206755</v>
      </c>
      <c r="T48" s="37" t="n">
        <f aca="false">p_grid_credit*IF(AND(p_eng=1,ISNUMBER(Country_Data!$CZ$11)),Country_Data!$CZ$11,Country_Data!$CM$11)*Sector_Params!$I$6</f>
        <v>0</v>
      </c>
      <c r="U48" s="37" t="n">
        <f aca="false">p_grid_credit*IF(AND(p_eng=1,ISNUMBER(Country_Data!$DA$11)),Country_Data!$DA$11,Country_Data!$CN$11)*Sector_Params!$J$6</f>
        <v>0</v>
      </c>
      <c r="V48" s="37" t="n">
        <f aca="false">p_grid_credit*IF(AND(p_eng=1,ISNUMBER(Country_Data!$DB$11)),Country_Data!$DB$11,p_a)</f>
        <v>0</v>
      </c>
      <c r="W48" s="16" t="n">
        <f aca="false">T48*L48</f>
        <v>0</v>
      </c>
      <c r="X48" s="16" t="n">
        <f aca="false">U48*L48</f>
        <v>0</v>
      </c>
      <c r="Y48" s="16" t="n">
        <f aca="false">V48*L48</f>
        <v>0</v>
      </c>
      <c r="Z48" s="16" t="n">
        <f aca="false">Q48*L48</f>
        <v>0.447272237432068</v>
      </c>
      <c r="AA48" s="16" t="n">
        <f aca="false">R48*L48</f>
        <v>0.558721312150969</v>
      </c>
      <c r="AB48" s="16" t="n">
        <f aca="false">S48*L48</f>
        <v>0.655290947696651</v>
      </c>
      <c r="AC48" s="16" t="n">
        <f aca="false">Z48-W48</f>
        <v>0.447272237432068</v>
      </c>
      <c r="AD48" s="16" t="n">
        <f aca="false">AA48-W48</f>
        <v>0.558721312150969</v>
      </c>
      <c r="AE48" s="16" t="n">
        <f aca="false">AB48-W48</f>
        <v>0.655290947696651</v>
      </c>
      <c r="AF48" s="16" t="n">
        <f aca="false">AE48-X48</f>
        <v>0.655290947696651</v>
      </c>
      <c r="AG48" s="16" t="n">
        <f aca="false">AF48-p_spc_lo*Y48/1000</f>
        <v>0.655290947696651</v>
      </c>
      <c r="AH48" s="16" t="n">
        <f aca="false">AF48-p_spc_hi*Y48/1000</f>
        <v>0.655290947696651</v>
      </c>
      <c r="AI48" s="16" t="n">
        <f aca="false">Q48*J48</f>
        <v>1.1770322037686</v>
      </c>
      <c r="AJ48" s="16" t="n">
        <f aca="false">S48*J48</f>
        <v>1.72444986235961</v>
      </c>
      <c r="AK48" s="16" t="n">
        <f aca="false">T48*J48</f>
        <v>0</v>
      </c>
      <c r="AL48" s="16" t="n">
        <f aca="false">U48*J48</f>
        <v>0</v>
      </c>
      <c r="AM48" s="16" t="n">
        <f aca="false">AI48-AJ48</f>
        <v>-0.547417658591009</v>
      </c>
      <c r="AN48" s="16" t="n">
        <f aca="false">J48*Country_Data!$EB$11</f>
        <v>27.1097073256698</v>
      </c>
      <c r="AO48" s="16" t="n">
        <f aca="false">L48*Country_Data!$EB$11</f>
        <v>10.3016887837545</v>
      </c>
    </row>
    <row r="49" customFormat="false" ht="15" hidden="false" customHeight="false" outlineLevel="0" collapsed="false">
      <c r="A49" s="14" t="str">
        <f aca="false">Country_Data!$A$11</f>
        <v>FRA</v>
      </c>
      <c r="B49" s="14" t="str">
        <f aca="false">Country_Data!$E$11</f>
        <v>AE</v>
      </c>
      <c r="C49" s="35" t="s">
        <v>473</v>
      </c>
      <c r="D49" s="37" t="n">
        <f aca="false">IF(Country_Data!$CA$11="","",Country_Data!$CA$11)</f>
        <v>2.10098726054355</v>
      </c>
      <c r="E49" s="40" t="n">
        <f aca="false">Country_Data!$BW$11</f>
        <v>4396.548</v>
      </c>
      <c r="F49" s="41" t="n">
        <f aca="false">Country_Data!$BX$11</f>
        <v>0.718982710981434</v>
      </c>
      <c r="G49" s="42" t="n">
        <f aca="false">IF(D49="","",D49/SUMIFS($D$5:$D$1369,$B$5:$B$1369,B49,$C$5:$C$1369,C49))</f>
        <v>0.0411288634732256</v>
      </c>
      <c r="H49" s="42" t="n">
        <f aca="false">E49/SUMIFS($E$5:$E$1369,$B$5:$B$1369,B49,$C$5:$C$1369,C49)</f>
        <v>0.0557337428449982</v>
      </c>
      <c r="I49" s="43" t="n">
        <f aca="false">IF(G49="",H49,p_beta_alloc*G49+(1-p_beta_alloc)*H49)*F49^p_phi</f>
        <v>0.041066281380257</v>
      </c>
      <c r="J49" s="16" t="n">
        <f aca="false">INDEX(Sector_Params!$C$18:$E$18,MATCH(B49,Sector_Params!$C$15:$E$15,0))*I49/SUMIFS($I$5:$I$1369,$B$5:$B$1369,B49,$C$5:$C$1369,C49)</f>
        <v>15.4759579400299</v>
      </c>
      <c r="K49" s="28" t="n">
        <f aca="false">INDEX(Sector_Params!$F$7:$H$7,MATCH(B49,Sector_Params!$C$15:$E$15,0))</f>
        <v>0.38</v>
      </c>
      <c r="L49" s="16" t="n">
        <f aca="false">J49*K49</f>
        <v>5.88086401721136</v>
      </c>
      <c r="M49" s="44" t="n">
        <f aca="false">Country_Data!$DW$11+Sector_Params!$E$7</f>
        <v>0.03297</v>
      </c>
      <c r="N49" s="44" t="n">
        <f aca="false">Country_Data!$DX$11+Sector_Params!$E$7</f>
        <v>0.04797</v>
      </c>
      <c r="O49" s="11" t="n">
        <f aca="false">IF(p_use_ibrd=1,p_r_ibrd,p_r_wb)</f>
        <v>0.06</v>
      </c>
      <c r="P49" s="45" t="n">
        <f aca="false">Sector_Params!$D$7</f>
        <v>12</v>
      </c>
      <c r="Q49" s="46" t="n">
        <f aca="false">M49/(1-(1+M49)^-P49)</f>
        <v>0.102251451091873</v>
      </c>
      <c r="R49" s="46" t="n">
        <f aca="false">N49/(1-(1+N49)^-P49)</f>
        <v>0.111537353579467</v>
      </c>
      <c r="S49" s="46" t="n">
        <f aca="false">O49/(1-(1+O49)^-P49)</f>
        <v>0.119277029380664</v>
      </c>
      <c r="T49" s="37" t="n">
        <f aca="false">IF(AND(p_eng=1,ISNUMBER(Country_Data!$DE$11)),Country_Data!$DE$11,Country_Data!$CM$11)*Sector_Params!$I$7</f>
        <v>0.0857988</v>
      </c>
      <c r="U49" s="37" t="n">
        <f aca="false">IF(AND(p_eng=1,ISNUMBER(Country_Data!$DF$11)),Country_Data!$DF$11,Country_Data!$CN$11)*Sector_Params!$J$7</f>
        <v>0.00549945</v>
      </c>
      <c r="V49" s="37" t="n">
        <f aca="false">IF(AND(p_eng=1,ISNUMBER(Country_Data!$DG$11)),Country_Data!$DG$11,p_a)</f>
        <v>0.516855746237766</v>
      </c>
      <c r="W49" s="16" t="n">
        <f aca="false">T49*L49</f>
        <v>0.504571075639914</v>
      </c>
      <c r="X49" s="16" t="n">
        <f aca="false">U49*L49</f>
        <v>0.032341517619453</v>
      </c>
      <c r="Y49" s="16" t="n">
        <f aca="false">V49*L49</f>
        <v>3.0395583601386</v>
      </c>
      <c r="Z49" s="16" t="n">
        <f aca="false">Q49*L49</f>
        <v>0.601326879433842</v>
      </c>
      <c r="AA49" s="16" t="n">
        <f aca="false">R49*L49</f>
        <v>0.655936009240466</v>
      </c>
      <c r="AB49" s="16" t="n">
        <f aca="false">S49*L49</f>
        <v>0.701451990164606</v>
      </c>
      <c r="AC49" s="16" t="n">
        <f aca="false">Z49-W49</f>
        <v>0.096755803793928</v>
      </c>
      <c r="AD49" s="16" t="n">
        <f aca="false">AA49-W49</f>
        <v>0.151364933600552</v>
      </c>
      <c r="AE49" s="16" t="n">
        <f aca="false">AB49-W49</f>
        <v>0.196880914524692</v>
      </c>
      <c r="AF49" s="16" t="n">
        <f aca="false">AE49-X49</f>
        <v>0.164539396905239</v>
      </c>
      <c r="AG49" s="16" t="n">
        <f aca="false">AF49-p_spc_lo*Y49/1000</f>
        <v>0.0125614788983093</v>
      </c>
      <c r="AH49" s="16" t="n">
        <f aca="false">AF49-p_spc_hi*Y49/1000</f>
        <v>-0.139416439108621</v>
      </c>
      <c r="AI49" s="16" t="n">
        <f aca="false">Q49*J49</f>
        <v>1.58243915640485</v>
      </c>
      <c r="AJ49" s="16" t="n">
        <f aca="false">S49*J49</f>
        <v>1.84592628990686</v>
      </c>
      <c r="AK49" s="16" t="n">
        <f aca="false">T49*J49</f>
        <v>1.32781862010504</v>
      </c>
      <c r="AL49" s="16" t="n">
        <f aca="false">U49*J49</f>
        <v>0.0851092568932974</v>
      </c>
      <c r="AM49" s="16" t="n">
        <f aca="false">AI49-AJ49</f>
        <v>-0.263487133502012</v>
      </c>
      <c r="AN49" s="16" t="n">
        <f aca="false">J49*Country_Data!$EB$11</f>
        <v>16.1697077787209</v>
      </c>
      <c r="AO49" s="16" t="n">
        <f aca="false">L49*Country_Data!$EB$11</f>
        <v>6.14448895591394</v>
      </c>
    </row>
    <row r="50" customFormat="false" ht="15" hidden="false" customHeight="false" outlineLevel="0" collapsed="false">
      <c r="A50" s="14" t="str">
        <f aca="false">Country_Data!$A$11</f>
        <v>FRA</v>
      </c>
      <c r="B50" s="14" t="str">
        <f aca="false">Country_Data!$E$11</f>
        <v>AE</v>
      </c>
      <c r="C50" s="35" t="s">
        <v>477</v>
      </c>
      <c r="D50" s="37" t="n">
        <f aca="false">IF(Country_Data!$CB$11="","",Country_Data!$CB$11)</f>
        <v>1.67346787075889</v>
      </c>
      <c r="E50" s="40" t="n">
        <f aca="false">Country_Data!$BW$11</f>
        <v>4396.548</v>
      </c>
      <c r="F50" s="41" t="n">
        <f aca="false">Country_Data!$BX$11</f>
        <v>0.718982710981434</v>
      </c>
      <c r="G50" s="42" t="n">
        <f aca="false">IF(D50="","",D50/SUMIFS($D$5:$D$1369,$B$5:$B$1369,B50,$C$5:$C$1369,C50))</f>
        <v>0.043033405531578</v>
      </c>
      <c r="H50" s="42" t="n">
        <f aca="false">E50/SUMIFS($E$5:$E$1369,$B$5:$B$1369,B50,$C$5:$C$1369,C50)</f>
        <v>0.0557337428449982</v>
      </c>
      <c r="I50" s="43" t="n">
        <f aca="false">IF(G50="",H50,p_beta_alloc*G50+(1-p_beta_alloc)*H50)*F50^p_phi</f>
        <v>0.0418737391087006</v>
      </c>
      <c r="J50" s="16" t="n">
        <f aca="false">INDEX(Sector_Params!$C$19:$E$19,MATCH(B50,Sector_Params!$C$15:$E$15,0))*I50/SUMIFS($I$5:$I$1369,$B$5:$B$1369,B50,$C$5:$C$1369,C50)</f>
        <v>12.3090752725353</v>
      </c>
      <c r="K50" s="28" t="n">
        <f aca="false">INDEX(Sector_Params!$F$8:$H$8,MATCH(B50,Sector_Params!$C$15:$E$15,0))</f>
        <v>0.38</v>
      </c>
      <c r="L50" s="16" t="n">
        <f aca="false">J50*K50</f>
        <v>4.67744860356342</v>
      </c>
      <c r="M50" s="44" t="n">
        <f aca="false">Country_Data!$DW$11+Sector_Params!$E$8</f>
        <v>0.03297</v>
      </c>
      <c r="N50" s="44" t="n">
        <f aca="false">Country_Data!$DX$11+Sector_Params!$E$8</f>
        <v>0.04797</v>
      </c>
      <c r="O50" s="11" t="n">
        <f aca="false">IF(p_use_ibrd=1,p_r_ibrd,p_r_wb)</f>
        <v>0.06</v>
      </c>
      <c r="P50" s="45" t="n">
        <f aca="false">Sector_Params!$D$8</f>
        <v>25</v>
      </c>
      <c r="Q50" s="46" t="n">
        <f aca="false">M50/(1-(1+M50)^-P50)</f>
        <v>0.0593448849929677</v>
      </c>
      <c r="R50" s="46" t="n">
        <f aca="false">N50/(1-(1+N50)^-P50)</f>
        <v>0.0695157742261483</v>
      </c>
      <c r="S50" s="46" t="n">
        <f aca="false">O50/(1-(1+O50)^-P50)</f>
        <v>0.078226718212274</v>
      </c>
      <c r="T50" s="37" t="n">
        <f aca="false">Country_Data!$CM$11*Sector_Params!$I$8</f>
        <v>0.238218922985673</v>
      </c>
      <c r="U50" s="37" t="n">
        <f aca="false">Country_Data!$CN$11*Sector_Params!$J$8</f>
        <v>0.03225</v>
      </c>
      <c r="V50" s="37" t="n">
        <f aca="false">p_a</f>
        <v>0.35</v>
      </c>
      <c r="W50" s="16" t="n">
        <f aca="false">T50*L50</f>
        <v>1.11425676866172</v>
      </c>
      <c r="X50" s="16" t="n">
        <f aca="false">U50*L50</f>
        <v>0.15084771746492</v>
      </c>
      <c r="Y50" s="16" t="n">
        <f aca="false">V50*L50</f>
        <v>1.6371070112472</v>
      </c>
      <c r="Z50" s="16" t="n">
        <f aca="false">Q50*L50</f>
        <v>0.277582649438989</v>
      </c>
      <c r="AA50" s="16" t="n">
        <f aca="false">R50*L50</f>
        <v>0.325156461079727</v>
      </c>
      <c r="AB50" s="16" t="n">
        <f aca="false">S50*L50</f>
        <v>0.36590145386335</v>
      </c>
      <c r="AC50" s="16" t="n">
        <f aca="false">Z50-W50</f>
        <v>-0.83667411922273</v>
      </c>
      <c r="AD50" s="16" t="n">
        <f aca="false">AA50-W50</f>
        <v>-0.789100307581992</v>
      </c>
      <c r="AE50" s="16" t="n">
        <f aca="false">AB50-W50</f>
        <v>-0.748355314798369</v>
      </c>
      <c r="AF50" s="16" t="n">
        <f aca="false">AE50-X50</f>
        <v>-0.899203032263289</v>
      </c>
      <c r="AG50" s="16" t="n">
        <f aca="false">AF50-p_spc_lo*Y50/1000</f>
        <v>-0.981058382825649</v>
      </c>
      <c r="AH50" s="16" t="n">
        <f aca="false">AF50-p_spc_hi*Y50/1000</f>
        <v>-1.06291373338801</v>
      </c>
      <c r="AI50" s="16" t="n">
        <f aca="false">Q50*J50</f>
        <v>0.730480656418391</v>
      </c>
      <c r="AJ50" s="16" t="n">
        <f aca="false">S50*J50</f>
        <v>0.962898562798289</v>
      </c>
      <c r="AK50" s="16" t="n">
        <f aca="false">T50*J50</f>
        <v>2.93225465437294</v>
      </c>
      <c r="AL50" s="16" t="n">
        <f aca="false">U50*J50</f>
        <v>0.396967677539264</v>
      </c>
      <c r="AM50" s="16" t="n">
        <f aca="false">AI50-AJ50</f>
        <v>-0.232417906379898</v>
      </c>
      <c r="AN50" s="16" t="n">
        <f aca="false">J50*Country_Data!$EB$11</f>
        <v>12.8608614054421</v>
      </c>
      <c r="AO50" s="16" t="n">
        <f aca="false">L50*Country_Data!$EB$11</f>
        <v>4.88712733406799</v>
      </c>
    </row>
    <row r="51" customFormat="false" ht="15" hidden="false" customHeight="false" outlineLevel="0" collapsed="false">
      <c r="A51" s="14" t="str">
        <f aca="false">Country_Data!$A$11</f>
        <v>FRA</v>
      </c>
      <c r="B51" s="14" t="str">
        <f aca="false">Country_Data!$E$11</f>
        <v>AE</v>
      </c>
      <c r="C51" s="35" t="s">
        <v>481</v>
      </c>
      <c r="D51" s="37" t="n">
        <f aca="false">IF(Country_Data!$CC$11="","",Country_Data!$CC$11)</f>
        <v>1.60926288464227</v>
      </c>
      <c r="E51" s="40" t="n">
        <f aca="false">Country_Data!$BW$11</f>
        <v>4396.548</v>
      </c>
      <c r="F51" s="41" t="n">
        <f aca="false">Country_Data!$BX$11</f>
        <v>0.718982710981434</v>
      </c>
      <c r="G51" s="42" t="n">
        <f aca="false">IF(D51="","",D51/SUMIFS($D$5:$D$1369,$B$5:$B$1369,B51,$C$5:$C$1369,C51))</f>
        <v>0.029301238156787</v>
      </c>
      <c r="H51" s="42" t="n">
        <f aca="false">E51/SUMIFS($E$5:$E$1369,$B$5:$B$1369,B51,$C$5:$C$1369,C51)</f>
        <v>0.0557337428449982</v>
      </c>
      <c r="I51" s="43" t="n">
        <f aca="false">IF(G51="",H51,p_beta_alloc*G51+(1-p_beta_alloc)*H51)*F51^p_phi</f>
        <v>0.0360517911887647</v>
      </c>
      <c r="J51" s="16" t="n">
        <f aca="false">INDEX(Sector_Params!$C$20:$E$20,MATCH(B51,Sector_Params!$C$15:$E$15,0))*I51/SUMIFS($I$5:$I$1369,$B$5:$B$1369,B51,$C$5:$C$1369,C51)</f>
        <v>6.12221970577992</v>
      </c>
      <c r="K51" s="28" t="n">
        <f aca="false">INDEX(Sector_Params!$F$9:$H$9,MATCH(B51,Sector_Params!$C$15:$E$15,0))</f>
        <v>0.38</v>
      </c>
      <c r="L51" s="16" t="n">
        <f aca="false">J51*K51</f>
        <v>2.32644348819637</v>
      </c>
      <c r="M51" s="44" t="n">
        <f aca="false">Country_Data!$DW$11+Sector_Params!$E$9</f>
        <v>0.03297</v>
      </c>
      <c r="N51" s="44" t="n">
        <f aca="false">Country_Data!$DX$11+Sector_Params!$E$9</f>
        <v>0.04797</v>
      </c>
      <c r="O51" s="11" t="n">
        <f aca="false">IF(p_use_ibrd=1,p_r_ibrd,p_r_wb)</f>
        <v>0.06</v>
      </c>
      <c r="P51" s="45" t="n">
        <f aca="false">Sector_Params!$D$9</f>
        <v>25</v>
      </c>
      <c r="Q51" s="46" t="n">
        <f aca="false">M51/(1-(1+M51)^-P51)</f>
        <v>0.0593448849929677</v>
      </c>
      <c r="R51" s="46" t="n">
        <f aca="false">N51/(1-(1+N51)^-P51)</f>
        <v>0.0695157742261483</v>
      </c>
      <c r="S51" s="46" t="n">
        <f aca="false">O51/(1-(1+O51)^-P51)</f>
        <v>0.078226718212274</v>
      </c>
      <c r="T51" s="37" t="n">
        <f aca="false">Country_Data!$CM$11*Sector_Params!$I$9</f>
        <v>0.238218922985673</v>
      </c>
      <c r="U51" s="37" t="n">
        <f aca="false">Country_Data!$CN$11*Sector_Params!$J$9</f>
        <v>0.03225</v>
      </c>
      <c r="V51" s="37" t="n">
        <f aca="false">p_a</f>
        <v>0.35</v>
      </c>
      <c r="W51" s="16" t="n">
        <f aca="false">T51*L51</f>
        <v>0.554202862145172</v>
      </c>
      <c r="X51" s="16" t="n">
        <f aca="false">U51*L51</f>
        <v>0.0750278024943329</v>
      </c>
      <c r="Y51" s="16" t="n">
        <f aca="false">V51*L51</f>
        <v>0.814255220868729</v>
      </c>
      <c r="Z51" s="16" t="n">
        <f aca="false">Q51*L51</f>
        <v>0.138062521249652</v>
      </c>
      <c r="AA51" s="16" t="n">
        <f aca="false">R51*L51</f>
        <v>0.161724520275352</v>
      </c>
      <c r="AB51" s="16" t="n">
        <f aca="false">S51*L51</f>
        <v>0.181990039187917</v>
      </c>
      <c r="AC51" s="16" t="n">
        <f aca="false">Z51-W51</f>
        <v>-0.41614034089552</v>
      </c>
      <c r="AD51" s="16" t="n">
        <f aca="false">AA51-W51</f>
        <v>-0.39247834186982</v>
      </c>
      <c r="AE51" s="16" t="n">
        <f aca="false">AB51-W51</f>
        <v>-0.372212822957255</v>
      </c>
      <c r="AF51" s="16" t="n">
        <f aca="false">AE51-X51</f>
        <v>-0.447240625451588</v>
      </c>
      <c r="AG51" s="16" t="n">
        <f aca="false">AF51-p_spc_lo*Y51/1000</f>
        <v>-0.487953386495024</v>
      </c>
      <c r="AH51" s="16" t="n">
        <f aca="false">AF51-p_spc_hi*Y51/1000</f>
        <v>-0.528666147538461</v>
      </c>
      <c r="AI51" s="16" t="n">
        <f aca="false">Q51*J51</f>
        <v>0.36332242434119</v>
      </c>
      <c r="AJ51" s="16" t="n">
        <f aca="false">S51*J51</f>
        <v>0.478921155757676</v>
      </c>
      <c r="AK51" s="16" t="n">
        <f aca="false">T51*J51</f>
        <v>1.45842858459256</v>
      </c>
      <c r="AL51" s="16" t="n">
        <f aca="false">U51*J51</f>
        <v>0.197441585511402</v>
      </c>
      <c r="AM51" s="16" t="n">
        <f aca="false">AI51-AJ51</f>
        <v>-0.115598731416487</v>
      </c>
      <c r="AN51" s="16" t="n">
        <f aca="false">J51*Country_Data!$EB$11</f>
        <v>6.39666403741833</v>
      </c>
      <c r="AO51" s="16" t="n">
        <f aca="false">L51*Country_Data!$EB$11</f>
        <v>2.43073233421897</v>
      </c>
    </row>
    <row r="52" customFormat="false" ht="15" hidden="false" customHeight="false" outlineLevel="0" collapsed="false">
      <c r="A52" s="14" t="str">
        <f aca="false">Country_Data!$A$11</f>
        <v>FRA</v>
      </c>
      <c r="B52" s="14" t="str">
        <f aca="false">Country_Data!$E$11</f>
        <v>AE</v>
      </c>
      <c r="C52" s="35" t="s">
        <v>484</v>
      </c>
      <c r="D52" s="37" t="n">
        <f aca="false">IF(Country_Data!$CD$11="","",Country_Data!$CD$11)</f>
        <v>4.05986895876563</v>
      </c>
      <c r="E52" s="40" t="n">
        <f aca="false">Country_Data!$BW$11</f>
        <v>4396.548</v>
      </c>
      <c r="F52" s="41" t="n">
        <f aca="false">Country_Data!$BX$11</f>
        <v>0.718982710981434</v>
      </c>
      <c r="G52" s="42" t="n">
        <f aca="false">IF(D52="","",D52/SUMIFS($D$5:$D$1369,$B$5:$B$1369,B52,$C$5:$C$1369,C52))</f>
        <v>0.0274686373935193</v>
      </c>
      <c r="H52" s="42" t="n">
        <f aca="false">E52/SUMIFS($E$5:$E$1369,$B$5:$B$1369,B52,$C$5:$C$1369,C52)</f>
        <v>0.0557337428449982</v>
      </c>
      <c r="I52" s="43" t="n">
        <f aca="false">IF(G52="",H52,p_beta_alloc*G52+(1-p_beta_alloc)*H52)*F52^p_phi</f>
        <v>0.0352748339968967</v>
      </c>
      <c r="J52" s="16" t="n">
        <f aca="false">INDEX(Sector_Params!$C$21:$E$21,MATCH(B52,Sector_Params!$C$15:$E$15,0))*I52/SUMIFS($I$5:$I$1369,$B$5:$B$1369,B52,$C$5:$C$1369,C52)</f>
        <v>7.18723810495038</v>
      </c>
      <c r="K52" s="28" t="n">
        <f aca="false">INDEX(Sector_Params!$F$10:$H$10,MATCH(B52,Sector_Params!$C$15:$E$15,0))</f>
        <v>0.38</v>
      </c>
      <c r="L52" s="16" t="n">
        <f aca="false">J52*K52</f>
        <v>2.73115047988114</v>
      </c>
      <c r="M52" s="44" t="n">
        <f aca="false">Country_Data!$DW$11+Sector_Params!$E$10</f>
        <v>0.03297</v>
      </c>
      <c r="N52" s="44" t="n">
        <f aca="false">Country_Data!$DX$11+Sector_Params!$E$10</f>
        <v>0.04797</v>
      </c>
      <c r="O52" s="11" t="n">
        <f aca="false">IF(p_use_ibrd=1,p_r_ibrd,p_r_wb)</f>
        <v>0.06</v>
      </c>
      <c r="P52" s="45" t="n">
        <f aca="false">Sector_Params!$D$10</f>
        <v>20</v>
      </c>
      <c r="Q52" s="46" t="n">
        <f aca="false">M52/(1-(1+M52)^-P52)</f>
        <v>0.069074890250991</v>
      </c>
      <c r="R52" s="46" t="n">
        <f aca="false">N52/(1-(1+N52)^-P52)</f>
        <v>0.0788672340199942</v>
      </c>
      <c r="S52" s="46" t="n">
        <f aca="false">O52/(1-(1+O52)^-P52)</f>
        <v>0.0871845569768514</v>
      </c>
      <c r="T52" s="37" t="n">
        <f aca="false">0*Sector_Params!$I$10</f>
        <v>0</v>
      </c>
      <c r="U52" s="37" t="n">
        <f aca="false">0*Sector_Params!$J$10</f>
        <v>0</v>
      </c>
      <c r="V52" s="37" t="n">
        <f aca="false">1000*p_r_wb/(1-(1+p_r_wb)^-Sector_Params!$D$10)/p_cpt_fuel</f>
        <v>0.871845569768514</v>
      </c>
      <c r="W52" s="16" t="n">
        <f aca="false">T52*L52</f>
        <v>0</v>
      </c>
      <c r="X52" s="16" t="n">
        <f aca="false">U52*L52</f>
        <v>0</v>
      </c>
      <c r="Y52" s="16" t="n">
        <f aca="false">V52*L52</f>
        <v>2.38114144625553</v>
      </c>
      <c r="Z52" s="16" t="n">
        <f aca="false">Q52*L52</f>
        <v>0.188653919656731</v>
      </c>
      <c r="AA52" s="16" t="n">
        <f aca="false">R52*L52</f>
        <v>0.215398284040606</v>
      </c>
      <c r="AB52" s="16" t="n">
        <f aca="false">S52*L52</f>
        <v>0.238114144625553</v>
      </c>
      <c r="AC52" s="16" t="n">
        <f aca="false">Z52-W52</f>
        <v>0.188653919656731</v>
      </c>
      <c r="AD52" s="16" t="n">
        <f aca="false">AA52-W52</f>
        <v>0.215398284040606</v>
      </c>
      <c r="AE52" s="16" t="n">
        <f aca="false">AB52-W52</f>
        <v>0.238114144625553</v>
      </c>
      <c r="AF52" s="16" t="n">
        <f aca="false">AE52-X52</f>
        <v>0.238114144625553</v>
      </c>
      <c r="AG52" s="16" t="n">
        <f aca="false">AF52-p_spc_lo*Y52/1000</f>
        <v>0.119057072312776</v>
      </c>
      <c r="AH52" s="16" t="n">
        <f aca="false">AF52-p_spc_hi*Y52/1000</f>
        <v>0</v>
      </c>
      <c r="AI52" s="16" t="n">
        <f aca="false">Q52*J52</f>
        <v>0.496457683307188</v>
      </c>
      <c r="AJ52" s="16" t="n">
        <f aca="false">S52*J52</f>
        <v>0.626616170067244</v>
      </c>
      <c r="AK52" s="16" t="n">
        <f aca="false">T52*J52</f>
        <v>0</v>
      </c>
      <c r="AL52" s="16" t="n">
        <f aca="false">U52*J52</f>
        <v>0</v>
      </c>
      <c r="AM52" s="16" t="n">
        <f aca="false">AI52-AJ52</f>
        <v>-0.130158486760056</v>
      </c>
      <c r="AN52" s="16" t="n">
        <f aca="false">J52*Country_Data!$EB$11</f>
        <v>7.50942464068954</v>
      </c>
      <c r="AO52" s="16" t="n">
        <f aca="false">L52*Country_Data!$EB$11</f>
        <v>2.85358136346202</v>
      </c>
    </row>
    <row r="53" customFormat="false" ht="15" hidden="false" customHeight="false" outlineLevel="0" collapsed="false">
      <c r="A53" s="14" t="str">
        <f aca="false">Country_Data!$A$11</f>
        <v>FRA</v>
      </c>
      <c r="B53" s="14" t="str">
        <f aca="false">Country_Data!$E$11</f>
        <v>AE</v>
      </c>
      <c r="C53" s="35" t="s">
        <v>488</v>
      </c>
      <c r="D53" s="37" t="n">
        <f aca="false">IF(Country_Data!$CE$11="","",Country_Data!$CE$11)</f>
        <v>100.925</v>
      </c>
      <c r="E53" s="40" t="n">
        <f aca="false">Country_Data!$BW$11</f>
        <v>4396.548</v>
      </c>
      <c r="F53" s="41" t="n">
        <f aca="false">Country_Data!$BX$11</f>
        <v>0.718982710981434</v>
      </c>
      <c r="G53" s="42" t="n">
        <f aca="false">IF(D53="","",D53/SUMIFS($D$5:$D$1369,$B$5:$B$1369,B53,$C$5:$C$1369,C53))</f>
        <v>0.0385169642564098</v>
      </c>
      <c r="H53" s="42" t="n">
        <f aca="false">E53/SUMIFS($E$5:$E$1369,$B$5:$B$1369,B53,$C$5:$C$1369,C53)</f>
        <v>0.0557337428449982</v>
      </c>
      <c r="I53" s="43" t="n">
        <f aca="false">IF(G53="",H53,p_beta_alloc*G53+(1-p_beta_alloc)*H53)*F53^p_phi</f>
        <v>0.0399589295109274</v>
      </c>
      <c r="J53" s="16" t="n">
        <f aca="false">INDEX(Sector_Params!$C$22:$E$22,MATCH(B53,Sector_Params!$C$15:$E$15,0))*I53/SUMIFS($I$5:$I$1369,$B$5:$B$1369,B53,$C$5:$C$1369,C53)</f>
        <v>1.54831352324259</v>
      </c>
      <c r="K53" s="28" t="n">
        <f aca="false">INDEX(Sector_Params!$F$11:$H$11,MATCH(B53,Sector_Params!$C$15:$E$15,0))</f>
        <v>0.38</v>
      </c>
      <c r="L53" s="16" t="n">
        <f aca="false">J53*K53</f>
        <v>0.588359138832184</v>
      </c>
      <c r="M53" s="44" t="n">
        <f aca="false">Country_Data!$DW$11+Sector_Params!$E$11</f>
        <v>0.03297</v>
      </c>
      <c r="N53" s="44" t="n">
        <f aca="false">Country_Data!$DX$11+Sector_Params!$E$11</f>
        <v>0.04797</v>
      </c>
      <c r="O53" s="11" t="n">
        <f aca="false">IF(p_use_ibrd=1,p_r_ibrd,p_r_wb)</f>
        <v>0.06</v>
      </c>
      <c r="P53" s="45" t="n">
        <f aca="false">Sector_Params!$D$11</f>
        <v>30</v>
      </c>
      <c r="Q53" s="46" t="n">
        <f aca="false">M53/(1-(1+M53)^-P53)</f>
        <v>0.052997305903696</v>
      </c>
      <c r="R53" s="46" t="n">
        <f aca="false">N53/(1-(1+N53)^-P53)</f>
        <v>0.0635539257806942</v>
      </c>
      <c r="S53" s="46" t="n">
        <f aca="false">O53/(1-(1+O53)^-P53)</f>
        <v>0.0726489114900472</v>
      </c>
      <c r="T53" s="37" t="n">
        <f aca="false">0*Sector_Params!$I$11</f>
        <v>0</v>
      </c>
      <c r="U53" s="37" t="n">
        <f aca="false">p_c*Sector_Params!$J$11</f>
        <v>0.129</v>
      </c>
      <c r="V53" s="37" t="n">
        <f aca="false">1000*p_r_wb/(1-(1+p_r_wb)^-Sector_Params!$D$11)/p_cpt_afolu</f>
        <v>1.45297822980094</v>
      </c>
      <c r="W53" s="16" t="n">
        <f aca="false">T53*L53</f>
        <v>0</v>
      </c>
      <c r="X53" s="16" t="n">
        <f aca="false">U53*L53</f>
        <v>0.0758983289093518</v>
      </c>
      <c r="Y53" s="16" t="n">
        <f aca="false">V53*L53</f>
        <v>0.854873020027595</v>
      </c>
      <c r="Z53" s="16" t="n">
        <f aca="false">Q53*L53</f>
        <v>0.0311814492619244</v>
      </c>
      <c r="AA53" s="16" t="n">
        <f aca="false">R53*L53</f>
        <v>0.0373925330417338</v>
      </c>
      <c r="AB53" s="16" t="n">
        <f aca="false">S53*L53</f>
        <v>0.0427436510013797</v>
      </c>
      <c r="AC53" s="16" t="n">
        <f aca="false">Z53-W53</f>
        <v>0.0311814492619244</v>
      </c>
      <c r="AD53" s="16" t="n">
        <f aca="false">AA53-W53</f>
        <v>0.0373925330417338</v>
      </c>
      <c r="AE53" s="16" t="n">
        <f aca="false">AB53-W53</f>
        <v>0.0427436510013797</v>
      </c>
      <c r="AF53" s="16" t="n">
        <f aca="false">AE53-X53</f>
        <v>-0.033154677907972</v>
      </c>
      <c r="AG53" s="16" t="n">
        <f aca="false">AF53-p_spc_lo*Y53/1000</f>
        <v>-0.0758983289093518</v>
      </c>
      <c r="AH53" s="16" t="n">
        <f aca="false">AF53-p_spc_hi*Y53/1000</f>
        <v>-0.118641979910732</v>
      </c>
      <c r="AI53" s="16" t="n">
        <f aca="false">Q53*J53</f>
        <v>0.0820564454261169</v>
      </c>
      <c r="AJ53" s="16" t="n">
        <f aca="false">S53*J53</f>
        <v>0.112483292108894</v>
      </c>
      <c r="AK53" s="16" t="n">
        <f aca="false">T53*J53</f>
        <v>0</v>
      </c>
      <c r="AL53" s="16" t="n">
        <f aca="false">U53*J53</f>
        <v>0.199732444498294</v>
      </c>
      <c r="AM53" s="16" t="n">
        <f aca="false">AI53-AJ53</f>
        <v>-0.0304268466827772</v>
      </c>
      <c r="AN53" s="16" t="n">
        <f aca="false">J53*Country_Data!$EB$11</f>
        <v>1.61772068118105</v>
      </c>
      <c r="AO53" s="16" t="n">
        <f aca="false">L53*Country_Data!$EB$11</f>
        <v>0.614733858848799</v>
      </c>
    </row>
    <row r="54" customFormat="false" ht="15" hidden="false" customHeight="false" outlineLevel="0" collapsed="false">
      <c r="A54" s="14" t="str">
        <f aca="false">Country_Data!$A$12</f>
        <v>ITA</v>
      </c>
      <c r="B54" s="14" t="str">
        <f aca="false">Country_Data!$E$12</f>
        <v>AE</v>
      </c>
      <c r="C54" s="35" t="s">
        <v>466</v>
      </c>
      <c r="D54" s="37" t="n">
        <f aca="false">IF(Country_Data!$BZ$12="","",Country_Data!$BZ$12)</f>
        <v>288.290326816727</v>
      </c>
      <c r="E54" s="40" t="n">
        <f aca="false">Country_Data!$BW$12</f>
        <v>3621.731</v>
      </c>
      <c r="F54" s="41" t="n">
        <f aca="false">Country_Data!$BX$12</f>
        <v>0.657894802236831</v>
      </c>
      <c r="G54" s="42" t="n">
        <f aca="false">IF(D54="","",D54/SUMIFS($D$5:$D$1369,$B$5:$B$1369,B54,$C$5:$C$1369,C54))</f>
        <v>0.0294612670619119</v>
      </c>
      <c r="H54" s="42" t="n">
        <f aca="false">E54/SUMIFS($E$5:$E$1369,$B$5:$B$1369,B54,$C$5:$C$1369,C54)</f>
        <v>0.0459116161606238</v>
      </c>
      <c r="I54" s="43" t="n">
        <f aca="false">IF(G54="",H54,p_beta_alloc*G54+(1-p_beta_alloc)*H54)*F54^p_phi</f>
        <v>0.0305677420969233</v>
      </c>
      <c r="J54" s="16" t="n">
        <f aca="false">INDEX(Sector_Params!$C$16:$E$16,MATCH(B54,Sector_Params!$C$15:$E$15,0))*I54/SUMIFS($I$5:$I$1369,$B$5:$B$1369,B54,$C$5:$C$1369,C54)</f>
        <v>27.4178989138551</v>
      </c>
      <c r="K54" s="28" t="n">
        <f aca="false">INDEX(Sector_Params!$F$5:$H$5,MATCH(B54,Sector_Params!$C$15:$E$15,0))</f>
        <v>0.38</v>
      </c>
      <c r="L54" s="16" t="n">
        <f aca="false">J54*K54</f>
        <v>10.4188015872649</v>
      </c>
      <c r="M54" s="44" t="n">
        <f aca="false">Country_Data!$DW$12+Sector_Params!$E$5</f>
        <v>0.0438</v>
      </c>
      <c r="N54" s="44" t="n">
        <f aca="false">Country_Data!$DX$12+Sector_Params!$E$5</f>
        <v>0.0588</v>
      </c>
      <c r="O54" s="11" t="n">
        <f aca="false">IF(p_use_ibrd=1,p_r_ibrd,p_r_wb)</f>
        <v>0.06</v>
      </c>
      <c r="P54" s="45" t="n">
        <f aca="false">Sector_Params!$D$5</f>
        <v>25</v>
      </c>
      <c r="Q54" s="46" t="n">
        <f aca="false">M54/(1-(1+M54)^-P54)</f>
        <v>0.0666085491793325</v>
      </c>
      <c r="R54" s="46" t="n">
        <f aca="false">N54/(1-(1+N54)^-P54)</f>
        <v>0.0773369750498464</v>
      </c>
      <c r="S54" s="46" t="n">
        <f aca="false">O54/(1-(1+O54)^-P54)</f>
        <v>0.078226718212274</v>
      </c>
      <c r="T54" s="37" t="n">
        <f aca="false">IF(AND(p_eng=1,ISNUMBER(Country_Data!$CZ$12)),Country_Data!$CZ$12,Country_Data!$CM$12)*Sector_Params!$I$5</f>
        <v>0.125123035866651</v>
      </c>
      <c r="U54" s="37" t="n">
        <f aca="false">IF(AND(p_eng=1,ISNUMBER(Country_Data!$DA$12)),Country_Data!$DA$12,Country_Data!$CN$12)*Sector_Params!$J$5</f>
        <v>0.00998512728505598</v>
      </c>
      <c r="V54" s="37" t="n">
        <f aca="false">IF(AND(p_eng=1,ISNUMBER(Country_Data!$DB$12)),Country_Data!$DB$12,p_a)</f>
        <v>0.535624796531098</v>
      </c>
      <c r="W54" s="16" t="n">
        <f aca="false">T54*L54</f>
        <v>1.30363208469087</v>
      </c>
      <c r="X54" s="16" t="n">
        <f aca="false">U54*L54</f>
        <v>0.104033060006584</v>
      </c>
      <c r="Y54" s="16" t="n">
        <f aca="false">V54*L54</f>
        <v>5.58056848027667</v>
      </c>
      <c r="Z54" s="16" t="n">
        <f aca="false">Q54*L54</f>
        <v>0.693981257915045</v>
      </c>
      <c r="AA54" s="16" t="n">
        <f aca="false">R54*L54</f>
        <v>0.805758598403609</v>
      </c>
      <c r="AB54" s="16" t="n">
        <f aca="false">S54*L54</f>
        <v>0.815028655876567</v>
      </c>
      <c r="AC54" s="16" t="n">
        <f aca="false">Z54-W54</f>
        <v>-0.609650826775825</v>
      </c>
      <c r="AD54" s="16" t="n">
        <f aca="false">AA54-W54</f>
        <v>-0.497873486287261</v>
      </c>
      <c r="AE54" s="16" t="n">
        <f aca="false">AB54-W54</f>
        <v>-0.488603428814303</v>
      </c>
      <c r="AF54" s="16" t="n">
        <f aca="false">AE54-X54</f>
        <v>-0.592636488820886</v>
      </c>
      <c r="AG54" s="16" t="n">
        <f aca="false">AF54-p_spc_lo*Y54/1000</f>
        <v>-0.87166491283472</v>
      </c>
      <c r="AH54" s="16" t="n">
        <f aca="false">AF54-p_spc_hi*Y54/1000</f>
        <v>-1.15069333684855</v>
      </c>
      <c r="AI54" s="16" t="n">
        <f aca="false">Q54*J54</f>
        <v>1.82626646819749</v>
      </c>
      <c r="AJ54" s="16" t="n">
        <f aca="false">S54*J54</f>
        <v>2.14481225230676</v>
      </c>
      <c r="AK54" s="16" t="n">
        <f aca="false">T54*J54</f>
        <v>3.4306107491865</v>
      </c>
      <c r="AL54" s="16" t="n">
        <f aca="false">U54*J54</f>
        <v>0.273771210543641</v>
      </c>
      <c r="AM54" s="16" t="n">
        <f aca="false">AI54-AJ54</f>
        <v>-0.318545784109269</v>
      </c>
      <c r="AN54" s="16" t="n">
        <f aca="false">J54*Country_Data!$EB$12</f>
        <v>28.6469771410279</v>
      </c>
      <c r="AO54" s="16" t="n">
        <f aca="false">L54*Country_Data!$EB$12</f>
        <v>10.8858513135906</v>
      </c>
    </row>
    <row r="55" customFormat="false" ht="15" hidden="false" customHeight="false" outlineLevel="0" collapsed="false">
      <c r="A55" s="14" t="str">
        <f aca="false">Country_Data!$A$12</f>
        <v>ITA</v>
      </c>
      <c r="B55" s="14" t="str">
        <f aca="false">Country_Data!$E$12</f>
        <v>AE</v>
      </c>
      <c r="C55" s="35" t="s">
        <v>470</v>
      </c>
      <c r="D55" s="37" t="n">
        <f aca="false">IF(Country_Data!$BZ$12="","",Country_Data!$BZ$12)</f>
        <v>288.290326816727</v>
      </c>
      <c r="E55" s="40" t="n">
        <f aca="false">Country_Data!$BW$12</f>
        <v>3621.731</v>
      </c>
      <c r="F55" s="41" t="n">
        <f aca="false">Country_Data!$BX$12</f>
        <v>0.657894802236831</v>
      </c>
      <c r="G55" s="42" t="n">
        <f aca="false">IF(D55="","",D55/SUMIFS($D$5:$D$1369,$B$5:$B$1369,B55,$C$5:$C$1369,C55))</f>
        <v>0.0294612670619119</v>
      </c>
      <c r="H55" s="42" t="n">
        <f aca="false">E55/SUMIFS($E$5:$E$1369,$B$5:$B$1369,B55,$C$5:$C$1369,C55)</f>
        <v>0.0459116161606238</v>
      </c>
      <c r="I55" s="43" t="n">
        <f aca="false">IF(G55="",H55,p_beta_alloc*G55+(1-p_beta_alloc)*H55)*F55^p_phi</f>
        <v>0.0305677420969233</v>
      </c>
      <c r="J55" s="16" t="n">
        <f aca="false">INDEX(Sector_Params!$C$17:$E$17,MATCH(B55,Sector_Params!$C$15:$E$15,0))*I55/SUMIFS($I$5:$I$1369,$B$5:$B$1369,B55,$C$5:$C$1369,C55)</f>
        <v>18.8008449695006</v>
      </c>
      <c r="K55" s="28" t="n">
        <f aca="false">INDEX(Sector_Params!$F$6:$H$6,MATCH(B55,Sector_Params!$C$15:$E$15,0))</f>
        <v>0.38</v>
      </c>
      <c r="L55" s="16" t="n">
        <f aca="false">J55*K55</f>
        <v>7.14432108841025</v>
      </c>
      <c r="M55" s="44" t="n">
        <f aca="false">Country_Data!$DW$12+Sector_Params!$E$6</f>
        <v>0.0438</v>
      </c>
      <c r="N55" s="44" t="n">
        <f aca="false">Country_Data!$DX$12+Sector_Params!$E$6</f>
        <v>0.0588</v>
      </c>
      <c r="O55" s="11" t="n">
        <f aca="false">IF(p_use_ibrd=1,p_r_ibrd,p_r_wb)</f>
        <v>0.06</v>
      </c>
      <c r="P55" s="45" t="n">
        <f aca="false">Sector_Params!$D$6</f>
        <v>40</v>
      </c>
      <c r="Q55" s="46" t="n">
        <f aca="false">M55/(1-(1+M55)^-P55)</f>
        <v>0.0534156005799674</v>
      </c>
      <c r="R55" s="46" t="n">
        <f aca="false">N55/(1-(1+N55)^-P55)</f>
        <v>0.0654590519994884</v>
      </c>
      <c r="S55" s="46" t="n">
        <f aca="false">O55/(1-(1+O55)^-P55)</f>
        <v>0.0664615359206755</v>
      </c>
      <c r="T55" s="37" t="n">
        <f aca="false">p_grid_credit*IF(AND(p_eng=1,ISNUMBER(Country_Data!$CZ$12)),Country_Data!$CZ$12,Country_Data!$CM$12)*Sector_Params!$I$6</f>
        <v>0</v>
      </c>
      <c r="U55" s="37" t="n">
        <f aca="false">p_grid_credit*IF(AND(p_eng=1,ISNUMBER(Country_Data!$DA$12)),Country_Data!$DA$12,Country_Data!$CN$12)*Sector_Params!$J$6</f>
        <v>0</v>
      </c>
      <c r="V55" s="37" t="n">
        <f aca="false">p_grid_credit*IF(AND(p_eng=1,ISNUMBER(Country_Data!$DB$12)),Country_Data!$DB$12,p_a)</f>
        <v>0</v>
      </c>
      <c r="W55" s="16" t="n">
        <f aca="false">T55*L55</f>
        <v>0</v>
      </c>
      <c r="X55" s="16" t="n">
        <f aca="false">U55*L55</f>
        <v>0</v>
      </c>
      <c r="Y55" s="16" t="n">
        <f aca="false">V55*L55</f>
        <v>0</v>
      </c>
      <c r="Z55" s="16" t="n">
        <f aca="false">Q55*L55</f>
        <v>0.38161820167356</v>
      </c>
      <c r="AA55" s="16" t="n">
        <f aca="false">R55*L55</f>
        <v>0.467660485627288</v>
      </c>
      <c r="AB55" s="16" t="n">
        <f aca="false">S55*L55</f>
        <v>0.474822552646217</v>
      </c>
      <c r="AC55" s="16" t="n">
        <f aca="false">Z55-W55</f>
        <v>0.38161820167356</v>
      </c>
      <c r="AD55" s="16" t="n">
        <f aca="false">AA55-W55</f>
        <v>0.467660485627288</v>
      </c>
      <c r="AE55" s="16" t="n">
        <f aca="false">AB55-W55</f>
        <v>0.474822552646217</v>
      </c>
      <c r="AF55" s="16" t="n">
        <f aca="false">AE55-X55</f>
        <v>0.474822552646217</v>
      </c>
      <c r="AG55" s="16" t="n">
        <f aca="false">AF55-p_spc_lo*Y55/1000</f>
        <v>0.474822552646217</v>
      </c>
      <c r="AH55" s="16" t="n">
        <f aca="false">AF55-p_spc_hi*Y55/1000</f>
        <v>0.474822552646217</v>
      </c>
      <c r="AI55" s="16" t="n">
        <f aca="false">Q55*J55</f>
        <v>1.00425842545674</v>
      </c>
      <c r="AJ55" s="16" t="n">
        <f aca="false">S55*J55</f>
        <v>1.24953303327952</v>
      </c>
      <c r="AK55" s="16" t="n">
        <f aca="false">T55*J55</f>
        <v>0</v>
      </c>
      <c r="AL55" s="16" t="n">
        <f aca="false">U55*J55</f>
        <v>0</v>
      </c>
      <c r="AM55" s="16" t="n">
        <f aca="false">AI55-AJ55</f>
        <v>-0.245274607822783</v>
      </c>
      <c r="AN55" s="16" t="n">
        <f aca="false">J55*Country_Data!$EB$12</f>
        <v>19.6436414681334</v>
      </c>
      <c r="AO55" s="16" t="n">
        <f aca="false">L55*Country_Data!$EB$12</f>
        <v>7.4645837578907</v>
      </c>
    </row>
    <row r="56" customFormat="false" ht="15" hidden="false" customHeight="false" outlineLevel="0" collapsed="false">
      <c r="A56" s="14" t="str">
        <f aca="false">Country_Data!$A$12</f>
        <v>ITA</v>
      </c>
      <c r="B56" s="14" t="str">
        <f aca="false">Country_Data!$E$12</f>
        <v>AE</v>
      </c>
      <c r="C56" s="35" t="s">
        <v>473</v>
      </c>
      <c r="D56" s="37" t="n">
        <f aca="false">IF(Country_Data!$CA$12="","",Country_Data!$CA$12)</f>
        <v>1.59852523031398</v>
      </c>
      <c r="E56" s="40" t="n">
        <f aca="false">Country_Data!$BW$12</f>
        <v>3621.731</v>
      </c>
      <c r="F56" s="41" t="n">
        <f aca="false">Country_Data!$BX$12</f>
        <v>0.657894802236831</v>
      </c>
      <c r="G56" s="42" t="n">
        <f aca="false">IF(D56="","",D56/SUMIFS($D$5:$D$1369,$B$5:$B$1369,B56,$C$5:$C$1369,C56))</f>
        <v>0.0312926818695135</v>
      </c>
      <c r="H56" s="42" t="n">
        <f aca="false">E56/SUMIFS($E$5:$E$1369,$B$5:$B$1369,B56,$C$5:$C$1369,C56)</f>
        <v>0.0459116161606238</v>
      </c>
      <c r="I56" s="43" t="n">
        <f aca="false">IF(G56="",H56,p_beta_alloc*G56+(1-p_beta_alloc)*H56)*F56^p_phi</f>
        <v>0.0313104789157599</v>
      </c>
      <c r="J56" s="16" t="n">
        <f aca="false">INDEX(Sector_Params!$C$18:$E$18,MATCH(B56,Sector_Params!$C$15:$E$15,0))*I56/SUMIFS($I$5:$I$1369,$B$5:$B$1369,B56,$C$5:$C$1369,C56)</f>
        <v>11.799452945244</v>
      </c>
      <c r="K56" s="28" t="n">
        <f aca="false">INDEX(Sector_Params!$F$7:$H$7,MATCH(B56,Sector_Params!$C$15:$E$15,0))</f>
        <v>0.38</v>
      </c>
      <c r="L56" s="16" t="n">
        <f aca="false">J56*K56</f>
        <v>4.48379211919273</v>
      </c>
      <c r="M56" s="44" t="n">
        <f aca="false">Country_Data!$DW$12+Sector_Params!$E$7</f>
        <v>0.0438</v>
      </c>
      <c r="N56" s="44" t="n">
        <f aca="false">Country_Data!$DX$12+Sector_Params!$E$7</f>
        <v>0.0588</v>
      </c>
      <c r="O56" s="11" t="n">
        <f aca="false">IF(p_use_ibrd=1,p_r_ibrd,p_r_wb)</f>
        <v>0.06</v>
      </c>
      <c r="P56" s="45" t="n">
        <f aca="false">Sector_Params!$D$7</f>
        <v>12</v>
      </c>
      <c r="Q56" s="46" t="n">
        <f aca="false">M56/(1-(1+M56)^-P56)</f>
        <v>0.108914679623314</v>
      </c>
      <c r="R56" s="46" t="n">
        <f aca="false">N56/(1-(1+N56)^-P56)</f>
        <v>0.118493581024321</v>
      </c>
      <c r="S56" s="46" t="n">
        <f aca="false">O56/(1-(1+O56)^-P56)</f>
        <v>0.119277029380664</v>
      </c>
      <c r="T56" s="37" t="n">
        <f aca="false">IF(AND(p_eng=1,ISNUMBER(Country_Data!$DE$12)),Country_Data!$DE$12,Country_Data!$CM$12)*Sector_Params!$I$7</f>
        <v>0.09637029</v>
      </c>
      <c r="U56" s="37" t="n">
        <f aca="false">IF(AND(p_eng=1,ISNUMBER(Country_Data!$DF$12)),Country_Data!$DF$12,Country_Data!$CN$12)*Sector_Params!$J$7</f>
        <v>0.0191421</v>
      </c>
      <c r="V56" s="37" t="n">
        <f aca="false">IF(AND(p_eng=1,ISNUMBER(Country_Data!$DG$12)),Country_Data!$DG$12,p_a)</f>
        <v>0.407578527515664</v>
      </c>
      <c r="W56" s="16" t="n">
        <f aca="false">T56*L56</f>
        <v>0.432104346826318</v>
      </c>
      <c r="X56" s="16" t="n">
        <f aca="false">U56*L56</f>
        <v>0.0858291971247991</v>
      </c>
      <c r="Y56" s="16" t="n">
        <f aca="false">V56*L56</f>
        <v>1.82749738962691</v>
      </c>
      <c r="Z56" s="16" t="n">
        <f aca="false">Q56*L56</f>
        <v>0.488350782159414</v>
      </c>
      <c r="AA56" s="16" t="n">
        <f aca="false">R56*L56</f>
        <v>0.531300584771777</v>
      </c>
      <c r="AB56" s="16" t="n">
        <f aca="false">S56*L56</f>
        <v>0.534813404337739</v>
      </c>
      <c r="AC56" s="16" t="n">
        <f aca="false">Z56-W56</f>
        <v>0.0562464353330962</v>
      </c>
      <c r="AD56" s="16" t="n">
        <f aca="false">AA56-W56</f>
        <v>0.099196237945459</v>
      </c>
      <c r="AE56" s="16" t="n">
        <f aca="false">AB56-W56</f>
        <v>0.102709057511421</v>
      </c>
      <c r="AF56" s="16" t="n">
        <f aca="false">AE56-X56</f>
        <v>0.0168798603866218</v>
      </c>
      <c r="AG56" s="16" t="n">
        <f aca="false">AF56-p_spc_lo*Y56/1000</f>
        <v>-0.0744950090947237</v>
      </c>
      <c r="AH56" s="16" t="n">
        <f aca="false">AF56-p_spc_hi*Y56/1000</f>
        <v>-0.165869878576069</v>
      </c>
      <c r="AI56" s="16" t="n">
        <f aca="false">Q56*J56</f>
        <v>1.28513363726162</v>
      </c>
      <c r="AJ56" s="16" t="n">
        <f aca="false">S56*J56</f>
        <v>1.40740369562563</v>
      </c>
      <c r="AK56" s="16" t="n">
        <f aca="false">T56*J56</f>
        <v>1.13711670217452</v>
      </c>
      <c r="AL56" s="16" t="n">
        <f aca="false">U56*J56</f>
        <v>0.225866308223155</v>
      </c>
      <c r="AM56" s="16" t="n">
        <f aca="false">AI56-AJ56</f>
        <v>-0.122270058364012</v>
      </c>
      <c r="AN56" s="16" t="n">
        <f aca="false">J56*Country_Data!$EB$12</f>
        <v>12.3283939393412</v>
      </c>
      <c r="AO56" s="16" t="n">
        <f aca="false">L56*Country_Data!$EB$12</f>
        <v>4.68478969694964</v>
      </c>
    </row>
    <row r="57" customFormat="false" ht="15" hidden="false" customHeight="false" outlineLevel="0" collapsed="false">
      <c r="A57" s="14" t="str">
        <f aca="false">Country_Data!$A$12</f>
        <v>ITA</v>
      </c>
      <c r="B57" s="14" t="str">
        <f aca="false">Country_Data!$E$12</f>
        <v>AE</v>
      </c>
      <c r="C57" s="35" t="s">
        <v>477</v>
      </c>
      <c r="D57" s="37" t="n">
        <f aca="false">IF(Country_Data!$CB$12="","",Country_Data!$CB$12)</f>
        <v>1.61529157686011</v>
      </c>
      <c r="E57" s="40" t="n">
        <f aca="false">Country_Data!$BW$12</f>
        <v>3621.731</v>
      </c>
      <c r="F57" s="41" t="n">
        <f aca="false">Country_Data!$BX$12</f>
        <v>0.657894802236831</v>
      </c>
      <c r="G57" s="42" t="n">
        <f aca="false">IF(D57="","",D57/SUMIFS($D$5:$D$1369,$B$5:$B$1369,B57,$C$5:$C$1369,C57))</f>
        <v>0.0415373959030605</v>
      </c>
      <c r="H57" s="42" t="n">
        <f aca="false">E57/SUMIFS($E$5:$E$1369,$B$5:$B$1369,B57,$C$5:$C$1369,C57)</f>
        <v>0.0459116161606238</v>
      </c>
      <c r="I57" s="43" t="n">
        <f aca="false">IF(G57="",H57,p_beta_alloc*G57+(1-p_beta_alloc)*H57)*F57^p_phi</f>
        <v>0.0354652592962531</v>
      </c>
      <c r="J57" s="16" t="n">
        <f aca="false">INDEX(Sector_Params!$C$19:$E$19,MATCH(B57,Sector_Params!$C$15:$E$15,0))*I57/SUMIFS($I$5:$I$1369,$B$5:$B$1369,B57,$C$5:$C$1369,C57)</f>
        <v>10.4252583010161</v>
      </c>
      <c r="K57" s="28" t="n">
        <f aca="false">INDEX(Sector_Params!$F$8:$H$8,MATCH(B57,Sector_Params!$C$15:$E$15,0))</f>
        <v>0.38</v>
      </c>
      <c r="L57" s="16" t="n">
        <f aca="false">J57*K57</f>
        <v>3.9615981543861</v>
      </c>
      <c r="M57" s="44" t="n">
        <f aca="false">Country_Data!$DW$12+Sector_Params!$E$8</f>
        <v>0.0438</v>
      </c>
      <c r="N57" s="44" t="n">
        <f aca="false">Country_Data!$DX$12+Sector_Params!$E$8</f>
        <v>0.0588</v>
      </c>
      <c r="O57" s="11" t="n">
        <f aca="false">IF(p_use_ibrd=1,p_r_ibrd,p_r_wb)</f>
        <v>0.06</v>
      </c>
      <c r="P57" s="45" t="n">
        <f aca="false">Sector_Params!$D$8</f>
        <v>25</v>
      </c>
      <c r="Q57" s="46" t="n">
        <f aca="false">M57/(1-(1+M57)^-P57)</f>
        <v>0.0666085491793325</v>
      </c>
      <c r="R57" s="46" t="n">
        <f aca="false">N57/(1-(1+N57)^-P57)</f>
        <v>0.0773369750498464</v>
      </c>
      <c r="S57" s="46" t="n">
        <f aca="false">O57/(1-(1+O57)^-P57)</f>
        <v>0.078226718212274</v>
      </c>
      <c r="T57" s="37" t="n">
        <f aca="false">Country_Data!$CM$12*Sector_Params!$I$8</f>
        <v>0.252924492067733</v>
      </c>
      <c r="U57" s="37" t="n">
        <f aca="false">Country_Data!$CN$12*Sector_Params!$J$8</f>
        <v>0.0802088851224208</v>
      </c>
      <c r="V57" s="37" t="n">
        <f aca="false">p_a</f>
        <v>0.35</v>
      </c>
      <c r="W57" s="16" t="n">
        <f aca="false">T57*L57</f>
        <v>1.00198520097458</v>
      </c>
      <c r="X57" s="16" t="n">
        <f aca="false">U57*L57</f>
        <v>0.317755371266349</v>
      </c>
      <c r="Y57" s="16" t="n">
        <f aca="false">V57*L57</f>
        <v>1.38655935403514</v>
      </c>
      <c r="Z57" s="16" t="n">
        <f aca="false">Q57*L57</f>
        <v>0.26387630549518</v>
      </c>
      <c r="AA57" s="16" t="n">
        <f aca="false">R57*L57</f>
        <v>0.306378017623276</v>
      </c>
      <c r="AB57" s="16" t="n">
        <f aca="false">S57*L57</f>
        <v>0.309902822493426</v>
      </c>
      <c r="AC57" s="16" t="n">
        <f aca="false">Z57-W57</f>
        <v>-0.738108895479395</v>
      </c>
      <c r="AD57" s="16" t="n">
        <f aca="false">AA57-W57</f>
        <v>-0.695607183351299</v>
      </c>
      <c r="AE57" s="16" t="n">
        <f aca="false">AB57-W57</f>
        <v>-0.692082378481149</v>
      </c>
      <c r="AF57" s="16" t="n">
        <f aca="false">AE57-X57</f>
        <v>-1.0098377497475</v>
      </c>
      <c r="AG57" s="16" t="n">
        <f aca="false">AF57-p_spc_lo*Y57/1000</f>
        <v>-1.07916571744925</v>
      </c>
      <c r="AH57" s="16" t="n">
        <f aca="false">AF57-p_spc_hi*Y57/1000</f>
        <v>-1.14849368515101</v>
      </c>
      <c r="AI57" s="16" t="n">
        <f aca="false">Q57*J57</f>
        <v>0.694411330250473</v>
      </c>
      <c r="AJ57" s="16" t="n">
        <f aca="false">S57*J57</f>
        <v>0.815533743403754</v>
      </c>
      <c r="AK57" s="16" t="n">
        <f aca="false">T57*J57</f>
        <v>2.63680316045941</v>
      </c>
      <c r="AL57" s="16" t="n">
        <f aca="false">U57*J57</f>
        <v>0.836198345437761</v>
      </c>
      <c r="AM57" s="16" t="n">
        <f aca="false">AI57-AJ57</f>
        <v>-0.12112241315328</v>
      </c>
      <c r="AN57" s="16" t="n">
        <f aca="false">J57*Country_Data!$EB$12</f>
        <v>10.892597466234</v>
      </c>
      <c r="AO57" s="16" t="n">
        <f aca="false">L57*Country_Data!$EB$12</f>
        <v>4.13918703716893</v>
      </c>
    </row>
    <row r="58" customFormat="false" ht="15" hidden="false" customHeight="false" outlineLevel="0" collapsed="false">
      <c r="A58" s="14" t="str">
        <f aca="false">Country_Data!$A$12</f>
        <v>ITA</v>
      </c>
      <c r="B58" s="14" t="str">
        <f aca="false">Country_Data!$E$12</f>
        <v>AE</v>
      </c>
      <c r="C58" s="35" t="s">
        <v>481</v>
      </c>
      <c r="D58" s="37" t="n">
        <f aca="false">IF(Country_Data!$CC$12="","",Country_Data!$CC$12)</f>
        <v>1.82110510963363</v>
      </c>
      <c r="E58" s="40" t="n">
        <f aca="false">Country_Data!$BW$12</f>
        <v>3621.731</v>
      </c>
      <c r="F58" s="41" t="n">
        <f aca="false">Country_Data!$BX$12</f>
        <v>0.657894802236831</v>
      </c>
      <c r="G58" s="42" t="n">
        <f aca="false">IF(D58="","",D58/SUMIFS($D$5:$D$1369,$B$5:$B$1369,B58,$C$5:$C$1369,C58))</f>
        <v>0.0331584323699721</v>
      </c>
      <c r="H58" s="42" t="n">
        <f aca="false">E58/SUMIFS($E$5:$E$1369,$B$5:$B$1369,B58,$C$5:$C$1369,C58)</f>
        <v>0.0459116161606238</v>
      </c>
      <c r="I58" s="43" t="n">
        <f aca="false">IF(G58="",H58,p_beta_alloc*G58+(1-p_beta_alloc)*H58)*F58^p_phi</f>
        <v>0.0320671406975156</v>
      </c>
      <c r="J58" s="16" t="n">
        <f aca="false">INDEX(Sector_Params!$C$20:$E$20,MATCH(B58,Sector_Params!$C$15:$E$15,0))*I58/SUMIFS($I$5:$I$1369,$B$5:$B$1369,B58,$C$5:$C$1369,C58)</f>
        <v>5.44555691167793</v>
      </c>
      <c r="K58" s="28" t="n">
        <f aca="false">INDEX(Sector_Params!$F$9:$H$9,MATCH(B58,Sector_Params!$C$15:$E$15,0))</f>
        <v>0.38</v>
      </c>
      <c r="L58" s="16" t="n">
        <f aca="false">J58*K58</f>
        <v>2.06931162643761</v>
      </c>
      <c r="M58" s="44" t="n">
        <f aca="false">Country_Data!$DW$12+Sector_Params!$E$9</f>
        <v>0.0438</v>
      </c>
      <c r="N58" s="44" t="n">
        <f aca="false">Country_Data!$DX$12+Sector_Params!$E$9</f>
        <v>0.0588</v>
      </c>
      <c r="O58" s="11" t="n">
        <f aca="false">IF(p_use_ibrd=1,p_r_ibrd,p_r_wb)</f>
        <v>0.06</v>
      </c>
      <c r="P58" s="45" t="n">
        <f aca="false">Sector_Params!$D$9</f>
        <v>25</v>
      </c>
      <c r="Q58" s="46" t="n">
        <f aca="false">M58/(1-(1+M58)^-P58)</f>
        <v>0.0666085491793325</v>
      </c>
      <c r="R58" s="46" t="n">
        <f aca="false">N58/(1-(1+N58)^-P58)</f>
        <v>0.0773369750498464</v>
      </c>
      <c r="S58" s="46" t="n">
        <f aca="false">O58/(1-(1+O58)^-P58)</f>
        <v>0.078226718212274</v>
      </c>
      <c r="T58" s="37" t="n">
        <f aca="false">Country_Data!$CM$12*Sector_Params!$I$9</f>
        <v>0.252924492067733</v>
      </c>
      <c r="U58" s="37" t="n">
        <f aca="false">Country_Data!$CN$12*Sector_Params!$J$9</f>
        <v>0.0802088851224208</v>
      </c>
      <c r="V58" s="37" t="n">
        <f aca="false">p_a</f>
        <v>0.35</v>
      </c>
      <c r="W58" s="16" t="n">
        <f aca="false">T58*L58</f>
        <v>0.523379592046588</v>
      </c>
      <c r="X58" s="16" t="n">
        <f aca="false">U58*L58</f>
        <v>0.165977178527424</v>
      </c>
      <c r="Y58" s="16" t="n">
        <f aca="false">V58*L58</f>
        <v>0.724259069253164</v>
      </c>
      <c r="Z58" s="16" t="n">
        <f aca="false">Q58*L58</f>
        <v>0.137833845236934</v>
      </c>
      <c r="AA58" s="16" t="n">
        <f aca="false">R58*L58</f>
        <v>0.160034301624163</v>
      </c>
      <c r="AB58" s="16" t="n">
        <f aca="false">S58*L58</f>
        <v>0.161875457494717</v>
      </c>
      <c r="AC58" s="16" t="n">
        <f aca="false">Z58-W58</f>
        <v>-0.385545746809654</v>
      </c>
      <c r="AD58" s="16" t="n">
        <f aca="false">AA58-W58</f>
        <v>-0.363345290422425</v>
      </c>
      <c r="AE58" s="16" t="n">
        <f aca="false">AB58-W58</f>
        <v>-0.361504134551871</v>
      </c>
      <c r="AF58" s="16" t="n">
        <f aca="false">AE58-X58</f>
        <v>-0.527481313079295</v>
      </c>
      <c r="AG58" s="16" t="n">
        <f aca="false">AF58-p_spc_lo*Y58/1000</f>
        <v>-0.563694266541953</v>
      </c>
      <c r="AH58" s="16" t="n">
        <f aca="false">AF58-p_spc_hi*Y58/1000</f>
        <v>-0.599907220004611</v>
      </c>
      <c r="AI58" s="16" t="n">
        <f aca="false">Q58*J58</f>
        <v>0.362720645360353</v>
      </c>
      <c r="AJ58" s="16" t="n">
        <f aca="false">S58*J58</f>
        <v>0.42598804603873</v>
      </c>
      <c r="AK58" s="16" t="n">
        <f aca="false">T58*J58</f>
        <v>1.37731471591207</v>
      </c>
      <c r="AL58" s="16" t="n">
        <f aca="false">U58*J58</f>
        <v>0.436782048756379</v>
      </c>
      <c r="AM58" s="16" t="n">
        <f aca="false">AI58-AJ58</f>
        <v>-0.0632674006783766</v>
      </c>
      <c r="AN58" s="16" t="n">
        <f aca="false">J58*Country_Data!$EB$12</f>
        <v>5.68966808358073</v>
      </c>
      <c r="AO58" s="16" t="n">
        <f aca="false">L58*Country_Data!$EB$12</f>
        <v>2.16207387176068</v>
      </c>
    </row>
    <row r="59" customFormat="false" ht="15" hidden="false" customHeight="false" outlineLevel="0" collapsed="false">
      <c r="A59" s="14" t="str">
        <f aca="false">Country_Data!$A$12</f>
        <v>ITA</v>
      </c>
      <c r="B59" s="14" t="str">
        <f aca="false">Country_Data!$E$12</f>
        <v>AE</v>
      </c>
      <c r="C59" s="35" t="s">
        <v>484</v>
      </c>
      <c r="D59" s="37" t="n">
        <f aca="false">IF(Country_Data!$CD$12="","",Country_Data!$CD$12)</f>
        <v>5.05651307362008</v>
      </c>
      <c r="E59" s="40" t="n">
        <f aca="false">Country_Data!$BW$12</f>
        <v>3621.731</v>
      </c>
      <c r="F59" s="41" t="n">
        <f aca="false">Country_Data!$BX$12</f>
        <v>0.657894802236831</v>
      </c>
      <c r="G59" s="42" t="n">
        <f aca="false">IF(D59="","",D59/SUMIFS($D$5:$D$1369,$B$5:$B$1369,B59,$C$5:$C$1369,C59))</f>
        <v>0.0342118244469373</v>
      </c>
      <c r="H59" s="42" t="n">
        <f aca="false">E59/SUMIFS($E$5:$E$1369,$B$5:$B$1369,B59,$C$5:$C$1369,C59)</f>
        <v>0.0459116161606238</v>
      </c>
      <c r="I59" s="43" t="n">
        <f aca="false">IF(G59="",H59,p_beta_alloc*G59+(1-p_beta_alloc)*H59)*F59^p_phi</f>
        <v>0.0324943476180807</v>
      </c>
      <c r="J59" s="16" t="n">
        <f aca="false">INDEX(Sector_Params!$C$21:$E$21,MATCH(B59,Sector_Params!$C$15:$E$15,0))*I59/SUMIFS($I$5:$I$1369,$B$5:$B$1369,B59,$C$5:$C$1369,C59)</f>
        <v>6.62071474005291</v>
      </c>
      <c r="K59" s="28" t="n">
        <f aca="false">INDEX(Sector_Params!$F$10:$H$10,MATCH(B59,Sector_Params!$C$15:$E$15,0))</f>
        <v>0.38</v>
      </c>
      <c r="L59" s="16" t="n">
        <f aca="false">J59*K59</f>
        <v>2.5158716012201</v>
      </c>
      <c r="M59" s="44" t="n">
        <f aca="false">Country_Data!$DW$12+Sector_Params!$E$10</f>
        <v>0.0438</v>
      </c>
      <c r="N59" s="44" t="n">
        <f aca="false">Country_Data!$DX$12+Sector_Params!$E$10</f>
        <v>0.0588</v>
      </c>
      <c r="O59" s="11" t="n">
        <f aca="false">IF(p_use_ibrd=1,p_r_ibrd,p_r_wb)</f>
        <v>0.06</v>
      </c>
      <c r="P59" s="45" t="n">
        <f aca="false">Sector_Params!$D$10</f>
        <v>20</v>
      </c>
      <c r="Q59" s="46" t="n">
        <f aca="false">M59/(1-(1+M59)^-P59)</f>
        <v>0.0760788545368916</v>
      </c>
      <c r="R59" s="46" t="n">
        <f aca="false">N59/(1-(1+N59)^-P59)</f>
        <v>0.0863371561064664</v>
      </c>
      <c r="S59" s="46" t="n">
        <f aca="false">O59/(1-(1+O59)^-P59)</f>
        <v>0.0871845569768514</v>
      </c>
      <c r="T59" s="37" t="n">
        <f aca="false">0*Sector_Params!$I$10</f>
        <v>0</v>
      </c>
      <c r="U59" s="37" t="n">
        <f aca="false">0*Sector_Params!$J$10</f>
        <v>0</v>
      </c>
      <c r="V59" s="37" t="n">
        <f aca="false">1000*p_r_wb/(1-(1+p_r_wb)^-Sector_Params!$D$10)/p_cpt_fuel</f>
        <v>0.871845569768514</v>
      </c>
      <c r="W59" s="16" t="n">
        <f aca="false">T59*L59</f>
        <v>0</v>
      </c>
      <c r="X59" s="16" t="n">
        <f aca="false">U59*L59</f>
        <v>0</v>
      </c>
      <c r="Y59" s="16" t="n">
        <f aca="false">V59*L59</f>
        <v>2.19345150963017</v>
      </c>
      <c r="Z59" s="16" t="n">
        <f aca="false">Q59*L59</f>
        <v>0.191404629582721</v>
      </c>
      <c r="AA59" s="16" t="n">
        <f aca="false">R59*L59</f>
        <v>0.217213199178366</v>
      </c>
      <c r="AB59" s="16" t="n">
        <f aca="false">S59*L59</f>
        <v>0.219345150963017</v>
      </c>
      <c r="AC59" s="16" t="n">
        <f aca="false">Z59-W59</f>
        <v>0.191404629582721</v>
      </c>
      <c r="AD59" s="16" t="n">
        <f aca="false">AA59-W59</f>
        <v>0.217213199178366</v>
      </c>
      <c r="AE59" s="16" t="n">
        <f aca="false">AB59-W59</f>
        <v>0.219345150963017</v>
      </c>
      <c r="AF59" s="16" t="n">
        <f aca="false">AE59-X59</f>
        <v>0.219345150963017</v>
      </c>
      <c r="AG59" s="16" t="n">
        <f aca="false">AF59-p_spc_lo*Y59/1000</f>
        <v>0.109672575481508</v>
      </c>
      <c r="AH59" s="16" t="n">
        <f aca="false">AF59-p_spc_hi*Y59/1000</f>
        <v>0</v>
      </c>
      <c r="AI59" s="16" t="n">
        <f aca="false">Q59*J59</f>
        <v>0.503696393638739</v>
      </c>
      <c r="AJ59" s="16" t="n">
        <f aca="false">S59*J59</f>
        <v>0.577224081481622</v>
      </c>
      <c r="AK59" s="16" t="n">
        <f aca="false">T59*J59</f>
        <v>0</v>
      </c>
      <c r="AL59" s="16" t="n">
        <f aca="false">U59*J59</f>
        <v>0</v>
      </c>
      <c r="AM59" s="16" t="n">
        <f aca="false">AI59-AJ59</f>
        <v>-0.0735276878428833</v>
      </c>
      <c r="AN59" s="16" t="n">
        <f aca="false">J59*Country_Data!$EB$12</f>
        <v>6.9175054008139</v>
      </c>
      <c r="AO59" s="16" t="n">
        <f aca="false">L59*Country_Data!$EB$12</f>
        <v>2.62865205230928</v>
      </c>
    </row>
    <row r="60" customFormat="false" ht="15" hidden="false" customHeight="false" outlineLevel="0" collapsed="false">
      <c r="A60" s="14" t="str">
        <f aca="false">Country_Data!$A$12</f>
        <v>ITA</v>
      </c>
      <c r="B60" s="14" t="str">
        <f aca="false">Country_Data!$E$12</f>
        <v>AE</v>
      </c>
      <c r="C60" s="35" t="s">
        <v>488</v>
      </c>
      <c r="D60" s="37" t="n">
        <f aca="false">IF(Country_Data!$CE$12="","",Country_Data!$CE$12)</f>
        <v>84.503</v>
      </c>
      <c r="E60" s="40" t="n">
        <f aca="false">Country_Data!$BW$12</f>
        <v>3621.731</v>
      </c>
      <c r="F60" s="41" t="n">
        <f aca="false">Country_Data!$BX$12</f>
        <v>0.657894802236831</v>
      </c>
      <c r="G60" s="42" t="n">
        <f aca="false">IF(D60="","",D60/SUMIFS($D$5:$D$1369,$B$5:$B$1369,B60,$C$5:$C$1369,C60))</f>
        <v>0.0322496807585772</v>
      </c>
      <c r="H60" s="42" t="n">
        <f aca="false">E60/SUMIFS($E$5:$E$1369,$B$5:$B$1369,B60,$C$5:$C$1369,C60)</f>
        <v>0.0459116161606238</v>
      </c>
      <c r="I60" s="43" t="n">
        <f aca="false">IF(G60="",H60,p_beta_alloc*G60+(1-p_beta_alloc)*H60)*F60^p_phi</f>
        <v>0.0316985932345604</v>
      </c>
      <c r="J60" s="16" t="n">
        <f aca="false">INDEX(Sector_Params!$C$22:$E$22,MATCH(B60,Sector_Params!$C$15:$E$15,0))*I60/SUMIFS($I$5:$I$1369,$B$5:$B$1369,B60,$C$5:$C$1369,C60)</f>
        <v>1.22824513002568</v>
      </c>
      <c r="K60" s="28" t="n">
        <f aca="false">INDEX(Sector_Params!$F$11:$H$11,MATCH(B60,Sector_Params!$C$15:$E$15,0))</f>
        <v>0.38</v>
      </c>
      <c r="L60" s="16" t="n">
        <f aca="false">J60*K60</f>
        <v>0.466733149409758</v>
      </c>
      <c r="M60" s="44" t="n">
        <f aca="false">Country_Data!$DW$12+Sector_Params!$E$11</f>
        <v>0.0438</v>
      </c>
      <c r="N60" s="44" t="n">
        <f aca="false">Country_Data!$DX$12+Sector_Params!$E$11</f>
        <v>0.0588</v>
      </c>
      <c r="O60" s="11" t="n">
        <f aca="false">IF(p_use_ibrd=1,p_r_ibrd,p_r_wb)</f>
        <v>0.06</v>
      </c>
      <c r="P60" s="45" t="n">
        <f aca="false">Sector_Params!$D$11</f>
        <v>30</v>
      </c>
      <c r="Q60" s="46" t="n">
        <f aca="false">M60/(1-(1+M60)^-P60)</f>
        <v>0.0605276555410882</v>
      </c>
      <c r="R60" s="46" t="n">
        <f aca="false">N60/(1-(1+N60)^-P60)</f>
        <v>0.0717185409704388</v>
      </c>
      <c r="S60" s="46" t="n">
        <f aca="false">O60/(1-(1+O60)^-P60)</f>
        <v>0.0726489114900472</v>
      </c>
      <c r="T60" s="37" t="n">
        <f aca="false">0*Sector_Params!$I$11</f>
        <v>0</v>
      </c>
      <c r="U60" s="37" t="n">
        <f aca="false">p_c*Sector_Params!$J$11</f>
        <v>0.129</v>
      </c>
      <c r="V60" s="37" t="n">
        <f aca="false">1000*p_r_wb/(1-(1+p_r_wb)^-Sector_Params!$D$11)/p_cpt_afolu</f>
        <v>1.45297822980094</v>
      </c>
      <c r="W60" s="16" t="n">
        <f aca="false">T60*L60</f>
        <v>0</v>
      </c>
      <c r="X60" s="16" t="n">
        <f aca="false">U60*L60</f>
        <v>0.0602085762738587</v>
      </c>
      <c r="Y60" s="16" t="n">
        <f aca="false">V60*L60</f>
        <v>0.678153105218809</v>
      </c>
      <c r="Z60" s="16" t="n">
        <f aca="false">Q60*L60</f>
        <v>0.0282502632970811</v>
      </c>
      <c r="AA60" s="16" t="n">
        <f aca="false">R60*L60</f>
        <v>0.0334734204982056</v>
      </c>
      <c r="AB60" s="16" t="n">
        <f aca="false">S60*L60</f>
        <v>0.0339076552609405</v>
      </c>
      <c r="AC60" s="16" t="n">
        <f aca="false">Z60-W60</f>
        <v>0.0282502632970811</v>
      </c>
      <c r="AD60" s="16" t="n">
        <f aca="false">AA60-W60</f>
        <v>0.0334734204982056</v>
      </c>
      <c r="AE60" s="16" t="n">
        <f aca="false">AB60-W60</f>
        <v>0.0339076552609405</v>
      </c>
      <c r="AF60" s="16" t="n">
        <f aca="false">AE60-X60</f>
        <v>-0.0263009210129183</v>
      </c>
      <c r="AG60" s="16" t="n">
        <f aca="false">AF60-p_spc_lo*Y60/1000</f>
        <v>-0.0602085762738587</v>
      </c>
      <c r="AH60" s="16" t="n">
        <f aca="false">AF60-p_spc_hi*Y60/1000</f>
        <v>-0.0941162315347992</v>
      </c>
      <c r="AI60" s="16" t="n">
        <f aca="false">Q60*J60</f>
        <v>0.0743427981502133</v>
      </c>
      <c r="AJ60" s="16" t="n">
        <f aca="false">S60*J60</f>
        <v>0.089230671739317</v>
      </c>
      <c r="AK60" s="16" t="n">
        <f aca="false">T60*J60</f>
        <v>0</v>
      </c>
      <c r="AL60" s="16" t="n">
        <f aca="false">U60*J60</f>
        <v>0.158443621773312</v>
      </c>
      <c r="AM60" s="16" t="n">
        <f aca="false">AI60-AJ60</f>
        <v>-0.0148878735891037</v>
      </c>
      <c r="AN60" s="16" t="n">
        <f aca="false">J60*Country_Data!$EB$12</f>
        <v>1.2833043944751</v>
      </c>
      <c r="AO60" s="16" t="n">
        <f aca="false">L60*Country_Data!$EB$12</f>
        <v>0.48765566990054</v>
      </c>
    </row>
    <row r="61" customFormat="false" ht="15" hidden="false" customHeight="false" outlineLevel="0" collapsed="false">
      <c r="A61" s="14" t="str">
        <f aca="false">Country_Data!$A$13</f>
        <v>CAN</v>
      </c>
      <c r="B61" s="14" t="str">
        <f aca="false">Country_Data!$E$13</f>
        <v>AE</v>
      </c>
      <c r="C61" s="35" t="s">
        <v>466</v>
      </c>
      <c r="D61" s="37" t="n">
        <f aca="false">IF(Country_Data!$BZ$13="","",Country_Data!$BZ$13)</f>
        <v>546.209312535774</v>
      </c>
      <c r="E61" s="40" t="n">
        <f aca="false">Country_Data!$BW$13</f>
        <v>2664.499</v>
      </c>
      <c r="F61" s="41" t="n">
        <f aca="false">Country_Data!$BX$13</f>
        <v>0.851971045963988</v>
      </c>
      <c r="G61" s="42" t="n">
        <f aca="false">IF(D61="","",D61/SUMIFS($D$5:$D$1369,$B$5:$B$1369,B61,$C$5:$C$1369,C61))</f>
        <v>0.0558187942204173</v>
      </c>
      <c r="H61" s="42" t="n">
        <f aca="false">E61/SUMIFS($E$5:$E$1369,$B$5:$B$1369,B61,$C$5:$C$1369,C61)</f>
        <v>0.03377706829921</v>
      </c>
      <c r="I61" s="43" t="n">
        <f aca="false">IF(G61="",H61,p_beta_alloc*G61+(1-p_beta_alloc)*H61)*F61^p_phi</f>
        <v>0.0413495108935256</v>
      </c>
      <c r="J61" s="16" t="n">
        <f aca="false">INDEX(Sector_Params!$C$16:$E$16,MATCH(B61,Sector_Params!$C$15:$E$15,0))*I61/SUMIFS($I$5:$I$1369,$B$5:$B$1369,B61,$C$5:$C$1369,C61)</f>
        <v>37.088663801902</v>
      </c>
      <c r="K61" s="28" t="n">
        <f aca="false">INDEX(Sector_Params!$F$5:$H$5,MATCH(B61,Sector_Params!$C$15:$E$15,0))</f>
        <v>0.38</v>
      </c>
      <c r="L61" s="16" t="n">
        <f aca="false">J61*K61</f>
        <v>14.0936922447228</v>
      </c>
      <c r="M61" s="44" t="n">
        <f aca="false">Country_Data!$DW$13+Sector_Params!$E$5</f>
        <v>0.055</v>
      </c>
      <c r="N61" s="44" t="n">
        <f aca="false">Country_Data!$DX$13+Sector_Params!$E$5</f>
        <v>0.07</v>
      </c>
      <c r="O61" s="11" t="n">
        <f aca="false">IF(p_use_ibrd=1,p_r_ibrd,p_r_wb)</f>
        <v>0.06</v>
      </c>
      <c r="P61" s="45" t="n">
        <f aca="false">Sector_Params!$D$5</f>
        <v>25</v>
      </c>
      <c r="Q61" s="46" t="n">
        <f aca="false">M61/(1-(1+M61)^-P61)</f>
        <v>0.0745493529464385</v>
      </c>
      <c r="R61" s="46" t="n">
        <f aca="false">N61/(1-(1+N61)^-P61)</f>
        <v>0.0858105172206656</v>
      </c>
      <c r="S61" s="46" t="n">
        <f aca="false">O61/(1-(1+O61)^-P61)</f>
        <v>0.078226718212274</v>
      </c>
      <c r="T61" s="37" t="n">
        <f aca="false">IF(AND(p_eng=1,ISNUMBER(Country_Data!$CZ$13)),Country_Data!$CZ$13,Country_Data!$CM$13)*Sector_Params!$I$5</f>
        <v>0.00863107732898124</v>
      </c>
      <c r="U61" s="37" t="n">
        <f aca="false">IF(AND(p_eng=1,ISNUMBER(Country_Data!$DA$13)),Country_Data!$DA$13,Country_Data!$CN$13)*Sector_Params!$J$5</f>
        <v>0.00207418536888655</v>
      </c>
      <c r="V61" s="37" t="n">
        <f aca="false">IF(AND(p_eng=1,ISNUMBER(Country_Data!$DB$13)),Country_Data!$DB$13,p_a)</f>
        <v>0.281798255712756</v>
      </c>
      <c r="W61" s="16" t="n">
        <f aca="false">T61*L61</f>
        <v>0.121643747615065</v>
      </c>
      <c r="X61" s="16" t="n">
        <f aca="false">U61*L61</f>
        <v>0.0292329302475938</v>
      </c>
      <c r="Y61" s="16" t="n">
        <f aca="false">V61*L61</f>
        <v>3.97157789111527</v>
      </c>
      <c r="Z61" s="16" t="n">
        <f aca="false">Q61*L61</f>
        <v>1.05067563747032</v>
      </c>
      <c r="AA61" s="16" t="n">
        <f aca="false">R61*L61</f>
        <v>1.20938702106854</v>
      </c>
      <c r="AB61" s="16" t="n">
        <f aca="false">S61*L61</f>
        <v>1.10250329179844</v>
      </c>
      <c r="AC61" s="16" t="n">
        <f aca="false">Z61-W61</f>
        <v>0.929031889855255</v>
      </c>
      <c r="AD61" s="16" t="n">
        <f aca="false">AA61-W61</f>
        <v>1.08774327345348</v>
      </c>
      <c r="AE61" s="16" t="n">
        <f aca="false">AB61-W61</f>
        <v>0.980859544183373</v>
      </c>
      <c r="AF61" s="16" t="n">
        <f aca="false">AE61-X61</f>
        <v>0.951626613935779</v>
      </c>
      <c r="AG61" s="16" t="n">
        <f aca="false">AF61-p_spc_lo*Y61/1000</f>
        <v>0.753047719380016</v>
      </c>
      <c r="AH61" s="16" t="n">
        <f aca="false">AF61-p_spc_hi*Y61/1000</f>
        <v>0.554468824824252</v>
      </c>
      <c r="AI61" s="16" t="n">
        <f aca="false">Q61*J61</f>
        <v>2.76493588807979</v>
      </c>
      <c r="AJ61" s="16" t="n">
        <f aca="false">S61*J61</f>
        <v>2.90132445210115</v>
      </c>
      <c r="AK61" s="16" t="n">
        <f aca="false">T61*J61</f>
        <v>0.320115125302803</v>
      </c>
      <c r="AL61" s="16" t="n">
        <f aca="false">U61*J61</f>
        <v>0.0769287638094573</v>
      </c>
      <c r="AM61" s="16" t="n">
        <f aca="false">AI61-AJ61</f>
        <v>-0.136388564021362</v>
      </c>
      <c r="AN61" s="16" t="n">
        <f aca="false">J61*Country_Data!$EB$13</f>
        <v>38.7512590757804</v>
      </c>
      <c r="AO61" s="16" t="n">
        <f aca="false">L61*Country_Data!$EB$13</f>
        <v>14.7254784487965</v>
      </c>
    </row>
    <row r="62" customFormat="false" ht="15" hidden="false" customHeight="false" outlineLevel="0" collapsed="false">
      <c r="A62" s="14" t="str">
        <f aca="false">Country_Data!$A$13</f>
        <v>CAN</v>
      </c>
      <c r="B62" s="14" t="str">
        <f aca="false">Country_Data!$E$13</f>
        <v>AE</v>
      </c>
      <c r="C62" s="35" t="s">
        <v>470</v>
      </c>
      <c r="D62" s="37" t="n">
        <f aca="false">IF(Country_Data!$BZ$13="","",Country_Data!$BZ$13)</f>
        <v>546.209312535774</v>
      </c>
      <c r="E62" s="40" t="n">
        <f aca="false">Country_Data!$BW$13</f>
        <v>2664.499</v>
      </c>
      <c r="F62" s="41" t="n">
        <f aca="false">Country_Data!$BX$13</f>
        <v>0.851971045963988</v>
      </c>
      <c r="G62" s="42" t="n">
        <f aca="false">IF(D62="","",D62/SUMIFS($D$5:$D$1369,$B$5:$B$1369,B62,$C$5:$C$1369,C62))</f>
        <v>0.0558187942204173</v>
      </c>
      <c r="H62" s="42" t="n">
        <f aca="false">E62/SUMIFS($E$5:$E$1369,$B$5:$B$1369,B62,$C$5:$C$1369,C62)</f>
        <v>0.03377706829921</v>
      </c>
      <c r="I62" s="43" t="n">
        <f aca="false">IF(G62="",H62,p_beta_alloc*G62+(1-p_beta_alloc)*H62)*F62^p_phi</f>
        <v>0.0413495108935256</v>
      </c>
      <c r="J62" s="16" t="n">
        <f aca="false">INDEX(Sector_Params!$C$17:$E$17,MATCH(B62,Sector_Params!$C$15:$E$15,0))*I62/SUMIFS($I$5:$I$1369,$B$5:$B$1369,B62,$C$5:$C$1369,C62)</f>
        <v>25.4322266070185</v>
      </c>
      <c r="K62" s="28" t="n">
        <f aca="false">INDEX(Sector_Params!$F$6:$H$6,MATCH(B62,Sector_Params!$C$15:$E$15,0))</f>
        <v>0.38</v>
      </c>
      <c r="L62" s="16" t="n">
        <f aca="false">J62*K62</f>
        <v>9.66424611066704</v>
      </c>
      <c r="M62" s="44" t="n">
        <f aca="false">Country_Data!$DW$13+Sector_Params!$E$6</f>
        <v>0.055</v>
      </c>
      <c r="N62" s="44" t="n">
        <f aca="false">Country_Data!$DX$13+Sector_Params!$E$6</f>
        <v>0.07</v>
      </c>
      <c r="O62" s="11" t="n">
        <f aca="false">IF(p_use_ibrd=1,p_r_ibrd,p_r_wb)</f>
        <v>0.06</v>
      </c>
      <c r="P62" s="45" t="n">
        <f aca="false">Sector_Params!$D$6</f>
        <v>40</v>
      </c>
      <c r="Q62" s="46" t="n">
        <f aca="false">M62/(1-(1+M62)^-P62)</f>
        <v>0.062320343360638</v>
      </c>
      <c r="R62" s="46" t="n">
        <f aca="false">N62/(1-(1+N62)^-P62)</f>
        <v>0.0750091388736103</v>
      </c>
      <c r="S62" s="46" t="n">
        <f aca="false">O62/(1-(1+O62)^-P62)</f>
        <v>0.0664615359206755</v>
      </c>
      <c r="T62" s="37" t="n">
        <f aca="false">p_grid_credit*IF(AND(p_eng=1,ISNUMBER(Country_Data!$CZ$13)),Country_Data!$CZ$13,Country_Data!$CM$13)*Sector_Params!$I$6</f>
        <v>0</v>
      </c>
      <c r="U62" s="37" t="n">
        <f aca="false">p_grid_credit*IF(AND(p_eng=1,ISNUMBER(Country_Data!$DA$13)),Country_Data!$DA$13,Country_Data!$CN$13)*Sector_Params!$J$6</f>
        <v>0</v>
      </c>
      <c r="V62" s="37" t="n">
        <f aca="false">p_grid_credit*IF(AND(p_eng=1,ISNUMBER(Country_Data!$DB$13)),Country_Data!$DB$13,p_a)</f>
        <v>0</v>
      </c>
      <c r="W62" s="16" t="n">
        <f aca="false">T62*L62</f>
        <v>0</v>
      </c>
      <c r="X62" s="16" t="n">
        <f aca="false">U62*L62</f>
        <v>0</v>
      </c>
      <c r="Y62" s="16" t="n">
        <f aca="false">V62*L62</f>
        <v>0</v>
      </c>
      <c r="Z62" s="16" t="n">
        <f aca="false">Q62*L62</f>
        <v>0.60227913593848</v>
      </c>
      <c r="AA62" s="16" t="n">
        <f aca="false">R62*L62</f>
        <v>0.724906778623772</v>
      </c>
      <c r="AB62" s="16" t="n">
        <f aca="false">S62*L62</f>
        <v>0.642300640030346</v>
      </c>
      <c r="AC62" s="16" t="n">
        <f aca="false">Z62-W62</f>
        <v>0.60227913593848</v>
      </c>
      <c r="AD62" s="16" t="n">
        <f aca="false">AA62-W62</f>
        <v>0.724906778623772</v>
      </c>
      <c r="AE62" s="16" t="n">
        <f aca="false">AB62-W62</f>
        <v>0.642300640030346</v>
      </c>
      <c r="AF62" s="16" t="n">
        <f aca="false">AE62-X62</f>
        <v>0.642300640030346</v>
      </c>
      <c r="AG62" s="16" t="n">
        <f aca="false">AF62-p_spc_lo*Y62/1000</f>
        <v>0.642300640030346</v>
      </c>
      <c r="AH62" s="16" t="n">
        <f aca="false">AF62-p_spc_hi*Y62/1000</f>
        <v>0.642300640030346</v>
      </c>
      <c r="AI62" s="16" t="n">
        <f aca="false">Q62*J62</f>
        <v>1.58494509457495</v>
      </c>
      <c r="AJ62" s="16" t="n">
        <f aca="false">S62*J62</f>
        <v>1.69026484218512</v>
      </c>
      <c r="AK62" s="16" t="n">
        <f aca="false">T62*J62</f>
        <v>0</v>
      </c>
      <c r="AL62" s="16" t="n">
        <f aca="false">U62*J62</f>
        <v>0</v>
      </c>
      <c r="AM62" s="16" t="n">
        <f aca="false">AI62-AJ62</f>
        <v>-0.105319747610174</v>
      </c>
      <c r="AN62" s="16" t="n">
        <f aca="false">J62*Country_Data!$EB$13</f>
        <v>26.572291937678</v>
      </c>
      <c r="AO62" s="16" t="n">
        <f aca="false">L62*Country_Data!$EB$13</f>
        <v>10.0974709363176</v>
      </c>
    </row>
    <row r="63" customFormat="false" ht="15" hidden="false" customHeight="false" outlineLevel="0" collapsed="false">
      <c r="A63" s="14" t="str">
        <f aca="false">Country_Data!$A$13</f>
        <v>CAN</v>
      </c>
      <c r="B63" s="14" t="str">
        <f aca="false">Country_Data!$E$13</f>
        <v>AE</v>
      </c>
      <c r="C63" s="35" t="s">
        <v>473</v>
      </c>
      <c r="D63" s="37" t="n">
        <f aca="false">IF(Country_Data!$CA$13="","",Country_Data!$CA$13)</f>
        <v>2.67602290897148</v>
      </c>
      <c r="E63" s="40" t="n">
        <f aca="false">Country_Data!$BW$13</f>
        <v>2664.499</v>
      </c>
      <c r="F63" s="41" t="n">
        <f aca="false">Country_Data!$BX$13</f>
        <v>0.851971045963988</v>
      </c>
      <c r="G63" s="42" t="n">
        <f aca="false">IF(D63="","",D63/SUMIFS($D$5:$D$1369,$B$5:$B$1369,B63,$C$5:$C$1369,C63))</f>
        <v>0.0523857440457956</v>
      </c>
      <c r="H63" s="42" t="n">
        <f aca="false">E63/SUMIFS($E$5:$E$1369,$B$5:$B$1369,B63,$C$5:$C$1369,C63)</f>
        <v>0.03377706829921</v>
      </c>
      <c r="I63" s="43" t="n">
        <f aca="false">IF(G63="",H63,p_beta_alloc*G63+(1-p_beta_alloc)*H63)*F63^p_phi</f>
        <v>0.0397651191414796</v>
      </c>
      <c r="J63" s="16" t="n">
        <f aca="false">INDEX(Sector_Params!$C$18:$E$18,MATCH(B63,Sector_Params!$C$15:$E$15,0))*I63/SUMIFS($I$5:$I$1369,$B$5:$B$1369,B63,$C$5:$C$1369,C63)</f>
        <v>14.9856108376464</v>
      </c>
      <c r="K63" s="28" t="n">
        <f aca="false">INDEX(Sector_Params!$F$7:$H$7,MATCH(B63,Sector_Params!$C$15:$E$15,0))</f>
        <v>0.38</v>
      </c>
      <c r="L63" s="16" t="n">
        <f aca="false">J63*K63</f>
        <v>5.69453211830563</v>
      </c>
      <c r="M63" s="44" t="n">
        <f aca="false">Country_Data!$DW$13+Sector_Params!$E$7</f>
        <v>0.055</v>
      </c>
      <c r="N63" s="44" t="n">
        <f aca="false">Country_Data!$DX$13+Sector_Params!$E$7</f>
        <v>0.07</v>
      </c>
      <c r="O63" s="11" t="n">
        <f aca="false">IF(p_use_ibrd=1,p_r_ibrd,p_r_wb)</f>
        <v>0.06</v>
      </c>
      <c r="P63" s="45" t="n">
        <f aca="false">Sector_Params!$D$7</f>
        <v>12</v>
      </c>
      <c r="Q63" s="46" t="n">
        <f aca="false">M63/(1-(1+M63)^-P63)</f>
        <v>0.116029231191614</v>
      </c>
      <c r="R63" s="46" t="n">
        <f aca="false">N63/(1-(1+N63)^-P63)</f>
        <v>0.12590198865502</v>
      </c>
      <c r="S63" s="46" t="n">
        <f aca="false">O63/(1-(1+O63)^-P63)</f>
        <v>0.119277029380664</v>
      </c>
      <c r="T63" s="37" t="n">
        <f aca="false">IF(AND(p_eng=1,ISNUMBER(Country_Data!$DE$13)),Country_Data!$DE$13,Country_Data!$CM$13)*Sector_Params!$I$7</f>
        <v>0.152854425</v>
      </c>
      <c r="U63" s="37" t="n">
        <f aca="false">IF(AND(p_eng=1,ISNUMBER(Country_Data!$DF$13)),Country_Data!$DF$13,Country_Data!$CN$13)*Sector_Params!$J$7</f>
        <v>0.00413055</v>
      </c>
      <c r="V63" s="37" t="n">
        <f aca="false">IF(AND(p_eng=1,ISNUMBER(Country_Data!$DG$13)),Country_Data!$DG$13,p_a)</f>
        <v>0.467139216276076</v>
      </c>
      <c r="W63" s="16" t="n">
        <f aca="false">T63*L63</f>
        <v>0.870434432587639</v>
      </c>
      <c r="X63" s="16" t="n">
        <f aca="false">U63*L63</f>
        <v>0.0235215496412673</v>
      </c>
      <c r="Y63" s="16" t="n">
        <f aca="false">V63*L63</f>
        <v>2.66013927080423</v>
      </c>
      <c r="Z63" s="16" t="n">
        <f aca="false">Q63*L63</f>
        <v>0.660732183682958</v>
      </c>
      <c r="AA63" s="16" t="n">
        <f aca="false">R63*L63</f>
        <v>0.716952918154565</v>
      </c>
      <c r="AB63" s="16" t="n">
        <f aca="false">S63*L63</f>
        <v>0.679226874784273</v>
      </c>
      <c r="AC63" s="16" t="n">
        <f aca="false">Z63-W63</f>
        <v>-0.209702248904681</v>
      </c>
      <c r="AD63" s="16" t="n">
        <f aca="false">AA63-W63</f>
        <v>-0.153481514433074</v>
      </c>
      <c r="AE63" s="16" t="n">
        <f aca="false">AB63-W63</f>
        <v>-0.191207557803366</v>
      </c>
      <c r="AF63" s="16" t="n">
        <f aca="false">AE63-X63</f>
        <v>-0.214729107444633</v>
      </c>
      <c r="AG63" s="16" t="n">
        <f aca="false">AF63-p_spc_lo*Y63/1000</f>
        <v>-0.347736070984845</v>
      </c>
      <c r="AH63" s="16" t="n">
        <f aca="false">AF63-p_spc_hi*Y63/1000</f>
        <v>-0.480743034525057</v>
      </c>
      <c r="AI63" s="16" t="n">
        <f aca="false">Q63*J63</f>
        <v>1.73876890442884</v>
      </c>
      <c r="AJ63" s="16" t="n">
        <f aca="false">S63*J63</f>
        <v>1.78743914416914</v>
      </c>
      <c r="AK63" s="16" t="n">
        <f aca="false">T63*J63</f>
        <v>2.29061692786221</v>
      </c>
      <c r="AL63" s="16" t="n">
        <f aca="false">U63*J63</f>
        <v>0.0618988148454403</v>
      </c>
      <c r="AM63" s="16" t="n">
        <f aca="false">AI63-AJ63</f>
        <v>-0.0486702397403027</v>
      </c>
      <c r="AN63" s="16" t="n">
        <f aca="false">J63*Country_Data!$EB$13</f>
        <v>15.657379599334</v>
      </c>
      <c r="AO63" s="16" t="n">
        <f aca="false">L63*Country_Data!$EB$13</f>
        <v>5.94980424774692</v>
      </c>
    </row>
    <row r="64" customFormat="false" ht="15" hidden="false" customHeight="false" outlineLevel="0" collapsed="false">
      <c r="A64" s="14" t="str">
        <f aca="false">Country_Data!$A$13</f>
        <v>CAN</v>
      </c>
      <c r="B64" s="14" t="str">
        <f aca="false">Country_Data!$E$13</f>
        <v>AE</v>
      </c>
      <c r="C64" s="35" t="s">
        <v>477</v>
      </c>
      <c r="D64" s="37" t="n">
        <f aca="false">IF(Country_Data!$CB$13="","",Country_Data!$CB$13)</f>
        <v>2.22906429935116</v>
      </c>
      <c r="E64" s="40" t="n">
        <f aca="false">Country_Data!$BW$13</f>
        <v>2664.499</v>
      </c>
      <c r="F64" s="41" t="n">
        <f aca="false">Country_Data!$BX$13</f>
        <v>0.851971045963988</v>
      </c>
      <c r="G64" s="42" t="n">
        <f aca="false">IF(D64="","",D64/SUMIFS($D$5:$D$1369,$B$5:$B$1369,B64,$C$5:$C$1369,C64))</f>
        <v>0.0573206271993985</v>
      </c>
      <c r="H64" s="42" t="n">
        <f aca="false">E64/SUMIFS($E$5:$E$1369,$B$5:$B$1369,B64,$C$5:$C$1369,C64)</f>
        <v>0.03377706829921</v>
      </c>
      <c r="I64" s="43" t="n">
        <f aca="false">IF(G64="",H64,p_beta_alloc*G64+(1-p_beta_alloc)*H64)*F64^p_phi</f>
        <v>0.0420426239165855</v>
      </c>
      <c r="J64" s="16" t="n">
        <f aca="false">INDEX(Sector_Params!$C$19:$E$19,MATCH(B64,Sector_Params!$C$15:$E$15,0))*I64/SUMIFS($I$5:$I$1369,$B$5:$B$1369,B64,$C$5:$C$1369,C64)</f>
        <v>12.3587201300735</v>
      </c>
      <c r="K64" s="28" t="n">
        <f aca="false">INDEX(Sector_Params!$F$8:$H$8,MATCH(B64,Sector_Params!$C$15:$E$15,0))</f>
        <v>0.38</v>
      </c>
      <c r="L64" s="16" t="n">
        <f aca="false">J64*K64</f>
        <v>4.69631364942793</v>
      </c>
      <c r="M64" s="44" t="n">
        <f aca="false">Country_Data!$DW$13+Sector_Params!$E$8</f>
        <v>0.055</v>
      </c>
      <c r="N64" s="44" t="n">
        <f aca="false">Country_Data!$DX$13+Sector_Params!$E$8</f>
        <v>0.07</v>
      </c>
      <c r="O64" s="11" t="n">
        <f aca="false">IF(p_use_ibrd=1,p_r_ibrd,p_r_wb)</f>
        <v>0.06</v>
      </c>
      <c r="P64" s="45" t="n">
        <f aca="false">Sector_Params!$D$8</f>
        <v>25</v>
      </c>
      <c r="Q64" s="46" t="n">
        <f aca="false">M64/(1-(1+M64)^-P64)</f>
        <v>0.0745493529464385</v>
      </c>
      <c r="R64" s="46" t="n">
        <f aca="false">N64/(1-(1+N64)^-P64)</f>
        <v>0.0858105172206656</v>
      </c>
      <c r="S64" s="46" t="n">
        <f aca="false">O64/(1-(1+O64)^-P64)</f>
        <v>0.078226718212274</v>
      </c>
      <c r="T64" s="37" t="n">
        <f aca="false">Country_Data!$CM$13*Sector_Params!$I$8</f>
        <v>0.141319058703961</v>
      </c>
      <c r="U64" s="37" t="n">
        <f aca="false">Country_Data!$CN$13*Sector_Params!$J$8</f>
        <v>0.03225</v>
      </c>
      <c r="V64" s="37" t="n">
        <f aca="false">p_a</f>
        <v>0.35</v>
      </c>
      <c r="W64" s="16" t="n">
        <f aca="false">T64*L64</f>
        <v>0.66367862431572</v>
      </c>
      <c r="X64" s="16" t="n">
        <f aca="false">U64*L64</f>
        <v>0.151456115194051</v>
      </c>
      <c r="Y64" s="16" t="n">
        <f aca="false">V64*L64</f>
        <v>1.64370977729978</v>
      </c>
      <c r="Z64" s="16" t="n">
        <f aca="false">Q64*L64</f>
        <v>0.350107143798379</v>
      </c>
      <c r="AA64" s="16" t="n">
        <f aca="false">R64*L64</f>
        <v>0.402993103287882</v>
      </c>
      <c r="AB64" s="16" t="n">
        <f aca="false">S64*L64</f>
        <v>0.367377204490255</v>
      </c>
      <c r="AC64" s="16" t="n">
        <f aca="false">Z64-W64</f>
        <v>-0.313571480517341</v>
      </c>
      <c r="AD64" s="16" t="n">
        <f aca="false">AA64-W64</f>
        <v>-0.260685521027838</v>
      </c>
      <c r="AE64" s="16" t="n">
        <f aca="false">AB64-W64</f>
        <v>-0.296301419825466</v>
      </c>
      <c r="AF64" s="16" t="n">
        <f aca="false">AE64-X64</f>
        <v>-0.447757535019516</v>
      </c>
      <c r="AG64" s="16" t="n">
        <f aca="false">AF64-p_spc_lo*Y64/1000</f>
        <v>-0.529943023884505</v>
      </c>
      <c r="AH64" s="16" t="n">
        <f aca="false">AF64-p_spc_hi*Y64/1000</f>
        <v>-0.612128512749494</v>
      </c>
      <c r="AI64" s="16" t="n">
        <f aca="false">Q64*J64</f>
        <v>0.921334588943104</v>
      </c>
      <c r="AJ64" s="16" t="n">
        <f aca="false">S64*J64</f>
        <v>0.966782117079617</v>
      </c>
      <c r="AK64" s="16" t="n">
        <f aca="false">T64*J64</f>
        <v>1.74652269556769</v>
      </c>
      <c r="AL64" s="16" t="n">
        <f aca="false">U64*J64</f>
        <v>0.39856872419487</v>
      </c>
      <c r="AM64" s="16" t="n">
        <f aca="false">AI64-AJ64</f>
        <v>-0.0454475281365134</v>
      </c>
      <c r="AN64" s="16" t="n">
        <f aca="false">J64*Country_Data!$EB$13</f>
        <v>12.9127317221113</v>
      </c>
      <c r="AO64" s="16" t="n">
        <f aca="false">L64*Country_Data!$EB$13</f>
        <v>4.90683805440229</v>
      </c>
    </row>
    <row r="65" customFormat="false" ht="15" hidden="false" customHeight="false" outlineLevel="0" collapsed="false">
      <c r="A65" s="14" t="str">
        <f aca="false">Country_Data!$A$13</f>
        <v>CAN</v>
      </c>
      <c r="B65" s="14" t="str">
        <f aca="false">Country_Data!$E$13</f>
        <v>AE</v>
      </c>
      <c r="C65" s="35" t="s">
        <v>481</v>
      </c>
      <c r="D65" s="37" t="n">
        <f aca="false">IF(Country_Data!$CC$13="","",Country_Data!$CC$13)</f>
        <v>4.43688543711666</v>
      </c>
      <c r="E65" s="40" t="n">
        <f aca="false">Country_Data!$BW$13</f>
        <v>2664.499</v>
      </c>
      <c r="F65" s="41" t="n">
        <f aca="false">Country_Data!$BX$13</f>
        <v>0.851971045963988</v>
      </c>
      <c r="G65" s="42" t="n">
        <f aca="false">IF(D65="","",D65/SUMIFS($D$5:$D$1369,$B$5:$B$1369,B65,$C$5:$C$1369,C65))</f>
        <v>0.0807862022470214</v>
      </c>
      <c r="H65" s="42" t="n">
        <f aca="false">E65/SUMIFS($E$5:$E$1369,$B$5:$B$1369,B65,$C$5:$C$1369,C65)</f>
        <v>0.03377706829921</v>
      </c>
      <c r="I65" s="43" t="n">
        <f aca="false">IF(G65="",H65,p_beta_alloc*G65+(1-p_beta_alloc)*H65)*F65^p_phi</f>
        <v>0.0528722540330651</v>
      </c>
      <c r="J65" s="16" t="n">
        <f aca="false">INDEX(Sector_Params!$C$20:$E$20,MATCH(B65,Sector_Params!$C$15:$E$15,0))*I65/SUMIFS($I$5:$I$1369,$B$5:$B$1369,B65,$C$5:$C$1369,C65)</f>
        <v>8.97862616132955</v>
      </c>
      <c r="K65" s="28" t="n">
        <f aca="false">INDEX(Sector_Params!$F$9:$H$9,MATCH(B65,Sector_Params!$C$15:$E$15,0))</f>
        <v>0.38</v>
      </c>
      <c r="L65" s="16" t="n">
        <f aca="false">J65*K65</f>
        <v>3.41187794130523</v>
      </c>
      <c r="M65" s="44" t="n">
        <f aca="false">Country_Data!$DW$13+Sector_Params!$E$9</f>
        <v>0.055</v>
      </c>
      <c r="N65" s="44" t="n">
        <f aca="false">Country_Data!$DX$13+Sector_Params!$E$9</f>
        <v>0.07</v>
      </c>
      <c r="O65" s="11" t="n">
        <f aca="false">IF(p_use_ibrd=1,p_r_ibrd,p_r_wb)</f>
        <v>0.06</v>
      </c>
      <c r="P65" s="45" t="n">
        <f aca="false">Sector_Params!$D$9</f>
        <v>25</v>
      </c>
      <c r="Q65" s="46" t="n">
        <f aca="false">M65/(1-(1+M65)^-P65)</f>
        <v>0.0745493529464385</v>
      </c>
      <c r="R65" s="46" t="n">
        <f aca="false">N65/(1-(1+N65)^-P65)</f>
        <v>0.0858105172206656</v>
      </c>
      <c r="S65" s="46" t="n">
        <f aca="false">O65/(1-(1+O65)^-P65)</f>
        <v>0.078226718212274</v>
      </c>
      <c r="T65" s="37" t="n">
        <f aca="false">Country_Data!$CM$13*Sector_Params!$I$9</f>
        <v>0.141319058703961</v>
      </c>
      <c r="U65" s="37" t="n">
        <f aca="false">Country_Data!$CN$13*Sector_Params!$J$9</f>
        <v>0.03225</v>
      </c>
      <c r="V65" s="37" t="n">
        <f aca="false">p_a</f>
        <v>0.35</v>
      </c>
      <c r="W65" s="16" t="n">
        <f aca="false">T65*L65</f>
        <v>0.482163379078065</v>
      </c>
      <c r="X65" s="16" t="n">
        <f aca="false">U65*L65</f>
        <v>0.110033063607094</v>
      </c>
      <c r="Y65" s="16" t="n">
        <f aca="false">V65*L65</f>
        <v>1.19415727945683</v>
      </c>
      <c r="Z65" s="16" t="n">
        <f aca="false">Q65*L65</f>
        <v>0.254353292856532</v>
      </c>
      <c r="AA65" s="16" t="n">
        <f aca="false">R65*L65</f>
        <v>0.292775010837182</v>
      </c>
      <c r="AB65" s="16" t="n">
        <f aca="false">S65*L65</f>
        <v>0.266900014289158</v>
      </c>
      <c r="AC65" s="16" t="n">
        <f aca="false">Z65-W65</f>
        <v>-0.227810086221533</v>
      </c>
      <c r="AD65" s="16" t="n">
        <f aca="false">AA65-W65</f>
        <v>-0.189388368240883</v>
      </c>
      <c r="AE65" s="16" t="n">
        <f aca="false">AB65-W65</f>
        <v>-0.215263364788907</v>
      </c>
      <c r="AF65" s="16" t="n">
        <f aca="false">AE65-X65</f>
        <v>-0.325296428396001</v>
      </c>
      <c r="AG65" s="16" t="n">
        <f aca="false">AF65-p_spc_lo*Y65/1000</f>
        <v>-0.385004292368842</v>
      </c>
      <c r="AH65" s="16" t="n">
        <f aca="false">AF65-p_spc_hi*Y65/1000</f>
        <v>-0.444712156341684</v>
      </c>
      <c r="AI65" s="16" t="n">
        <f aca="false">Q65*J65</f>
        <v>0.669350770675083</v>
      </c>
      <c r="AJ65" s="16" t="n">
        <f aca="false">S65*J65</f>
        <v>0.702368458655678</v>
      </c>
      <c r="AK65" s="16" t="n">
        <f aca="false">T65*J65</f>
        <v>1.26885099757385</v>
      </c>
      <c r="AL65" s="16" t="n">
        <f aca="false">U65*J65</f>
        <v>0.289560693702878</v>
      </c>
      <c r="AM65" s="16" t="n">
        <f aca="false">AI65-AJ65</f>
        <v>-0.0330176879805946</v>
      </c>
      <c r="AN65" s="16" t="n">
        <f aca="false">J65*Country_Data!$EB$13</f>
        <v>9.38111629959605</v>
      </c>
      <c r="AO65" s="16" t="n">
        <f aca="false">L65*Country_Data!$EB$13</f>
        <v>3.5648241938465</v>
      </c>
    </row>
    <row r="66" customFormat="false" ht="15" hidden="false" customHeight="false" outlineLevel="0" collapsed="false">
      <c r="A66" s="14" t="str">
        <f aca="false">Country_Data!$A$13</f>
        <v>CAN</v>
      </c>
      <c r="B66" s="14" t="str">
        <f aca="false">Country_Data!$E$13</f>
        <v>AE</v>
      </c>
      <c r="C66" s="35" t="s">
        <v>484</v>
      </c>
      <c r="D66" s="37" t="n">
        <f aca="false">IF(Country_Data!$CD$13="","",Country_Data!$CD$13)</f>
        <v>8.19916076518434</v>
      </c>
      <c r="E66" s="40" t="n">
        <f aca="false">Country_Data!$BW$13</f>
        <v>2664.499</v>
      </c>
      <c r="F66" s="41" t="n">
        <f aca="false">Country_Data!$BX$13</f>
        <v>0.851971045963988</v>
      </c>
      <c r="G66" s="42" t="n">
        <f aca="false">IF(D66="","",D66/SUMIFS($D$5:$D$1369,$B$5:$B$1369,B66,$C$5:$C$1369,C66))</f>
        <v>0.0554746412451931</v>
      </c>
      <c r="H66" s="42" t="n">
        <f aca="false">E66/SUMIFS($E$5:$E$1369,$B$5:$B$1369,B66,$C$5:$C$1369,C66)</f>
        <v>0.03377706829921</v>
      </c>
      <c r="I66" s="43" t="n">
        <f aca="false">IF(G66="",H66,p_beta_alloc*G66+(1-p_beta_alloc)*H66)*F66^p_phi</f>
        <v>0.041190680376157</v>
      </c>
      <c r="J66" s="16" t="n">
        <f aca="false">INDEX(Sector_Params!$C$21:$E$21,MATCH(B66,Sector_Params!$C$15:$E$15,0))*I66/SUMIFS($I$5:$I$1369,$B$5:$B$1369,B66,$C$5:$C$1369,C66)</f>
        <v>8.3925902413713</v>
      </c>
      <c r="K66" s="28" t="n">
        <f aca="false">INDEX(Sector_Params!$F$10:$H$10,MATCH(B66,Sector_Params!$C$15:$E$15,0))</f>
        <v>0.38</v>
      </c>
      <c r="L66" s="16" t="n">
        <f aca="false">J66*K66</f>
        <v>3.1891842917211</v>
      </c>
      <c r="M66" s="44" t="n">
        <f aca="false">Country_Data!$DW$13+Sector_Params!$E$10</f>
        <v>0.055</v>
      </c>
      <c r="N66" s="44" t="n">
        <f aca="false">Country_Data!$DX$13+Sector_Params!$E$10</f>
        <v>0.07</v>
      </c>
      <c r="O66" s="11" t="n">
        <f aca="false">IF(p_use_ibrd=1,p_r_ibrd,p_r_wb)</f>
        <v>0.06</v>
      </c>
      <c r="P66" s="45" t="n">
        <f aca="false">Sector_Params!$D$10</f>
        <v>20</v>
      </c>
      <c r="Q66" s="46" t="n">
        <f aca="false">M66/(1-(1+M66)^-P66)</f>
        <v>0.0836793300349332</v>
      </c>
      <c r="R66" s="46" t="n">
        <f aca="false">N66/(1-(1+N66)^-P66)</f>
        <v>0.0943929257432557</v>
      </c>
      <c r="S66" s="46" t="n">
        <f aca="false">O66/(1-(1+O66)^-P66)</f>
        <v>0.0871845569768514</v>
      </c>
      <c r="T66" s="37" t="n">
        <f aca="false">0*Sector_Params!$I$10</f>
        <v>0</v>
      </c>
      <c r="U66" s="37" t="n">
        <f aca="false">0*Sector_Params!$J$10</f>
        <v>0</v>
      </c>
      <c r="V66" s="37" t="n">
        <f aca="false">1000*p_r_wb/(1-(1+p_r_wb)^-Sector_Params!$D$10)/p_cpt_fuel</f>
        <v>0.871845569768514</v>
      </c>
      <c r="W66" s="16" t="n">
        <f aca="false">T66*L66</f>
        <v>0</v>
      </c>
      <c r="X66" s="16" t="n">
        <f aca="false">U66*L66</f>
        <v>0</v>
      </c>
      <c r="Y66" s="16" t="n">
        <f aca="false">V66*L66</f>
        <v>2.78047619591237</v>
      </c>
      <c r="Z66" s="16" t="n">
        <f aca="false">Q66*L66</f>
        <v>0.266868804889154</v>
      </c>
      <c r="AA66" s="16" t="n">
        <f aca="false">R66*L66</f>
        <v>0.301036436029987</v>
      </c>
      <c r="AB66" s="16" t="n">
        <f aca="false">S66*L66</f>
        <v>0.278047619591237</v>
      </c>
      <c r="AC66" s="16" t="n">
        <f aca="false">Z66-W66</f>
        <v>0.266868804889154</v>
      </c>
      <c r="AD66" s="16" t="n">
        <f aca="false">AA66-W66</f>
        <v>0.301036436029987</v>
      </c>
      <c r="AE66" s="16" t="n">
        <f aca="false">AB66-W66</f>
        <v>0.278047619591237</v>
      </c>
      <c r="AF66" s="16" t="n">
        <f aca="false">AE66-X66</f>
        <v>0.278047619591237</v>
      </c>
      <c r="AG66" s="16" t="n">
        <f aca="false">AF66-p_spc_lo*Y66/1000</f>
        <v>0.139023809795619</v>
      </c>
      <c r="AH66" s="16" t="n">
        <f aca="false">AF66-p_spc_hi*Y66/1000</f>
        <v>0</v>
      </c>
      <c r="AI66" s="16" t="n">
        <f aca="false">Q66*J66</f>
        <v>0.702286328655669</v>
      </c>
      <c r="AJ66" s="16" t="n">
        <f aca="false">S66*J66</f>
        <v>0.731704262082204</v>
      </c>
      <c r="AK66" s="16" t="n">
        <f aca="false">T66*J66</f>
        <v>0</v>
      </c>
      <c r="AL66" s="16" t="n">
        <f aca="false">U66*J66</f>
        <v>0</v>
      </c>
      <c r="AM66" s="16" t="n">
        <f aca="false">AI66-AJ66</f>
        <v>-0.0294179334265343</v>
      </c>
      <c r="AN66" s="16" t="n">
        <f aca="false">J66*Country_Data!$EB$13</f>
        <v>8.76880980391553</v>
      </c>
      <c r="AO66" s="16" t="n">
        <f aca="false">L66*Country_Data!$EB$13</f>
        <v>3.3321477254879</v>
      </c>
    </row>
    <row r="67" customFormat="false" ht="15" hidden="false" customHeight="false" outlineLevel="0" collapsed="false">
      <c r="A67" s="14" t="str">
        <f aca="false">Country_Data!$A$13</f>
        <v>CAN</v>
      </c>
      <c r="B67" s="14" t="str">
        <f aca="false">Country_Data!$E$13</f>
        <v>AE</v>
      </c>
      <c r="C67" s="35" t="s">
        <v>488</v>
      </c>
      <c r="D67" s="37" t="n">
        <f aca="false">IF(Country_Data!$CE$13="","",Country_Data!$CE$13)</f>
        <v>138.558</v>
      </c>
      <c r="E67" s="40" t="n">
        <f aca="false">Country_Data!$BW$13</f>
        <v>2664.499</v>
      </c>
      <c r="F67" s="41" t="n">
        <f aca="false">Country_Data!$BX$13</f>
        <v>0.851971045963988</v>
      </c>
      <c r="G67" s="42" t="n">
        <f aca="false">IF(D67="","",D67/SUMIFS($D$5:$D$1369,$B$5:$B$1369,B67,$C$5:$C$1369,C67))</f>
        <v>0.052879202709335</v>
      </c>
      <c r="H67" s="42" t="n">
        <f aca="false">E67/SUMIFS($E$5:$E$1369,$B$5:$B$1369,B67,$C$5:$C$1369,C67)</f>
        <v>0.03377706829921</v>
      </c>
      <c r="I67" s="43" t="n">
        <f aca="false">IF(G67="",H67,p_beta_alloc*G67+(1-p_beta_alloc)*H67)*F67^p_phi</f>
        <v>0.0399928559343372</v>
      </c>
      <c r="J67" s="16" t="n">
        <f aca="false">INDEX(Sector_Params!$C$22:$E$22,MATCH(B67,Sector_Params!$C$15:$E$15,0))*I67/SUMIFS($I$5:$I$1369,$B$5:$B$1369,B67,$C$5:$C$1369,C67)</f>
        <v>1.54962809149563</v>
      </c>
      <c r="K67" s="28" t="n">
        <f aca="false">INDEX(Sector_Params!$F$11:$H$11,MATCH(B67,Sector_Params!$C$15:$E$15,0))</f>
        <v>0.38</v>
      </c>
      <c r="L67" s="16" t="n">
        <f aca="false">J67*K67</f>
        <v>0.58885867476834</v>
      </c>
      <c r="M67" s="44" t="n">
        <f aca="false">Country_Data!$DW$13+Sector_Params!$E$11</f>
        <v>0.055</v>
      </c>
      <c r="N67" s="44" t="n">
        <f aca="false">Country_Data!$DX$13+Sector_Params!$E$11</f>
        <v>0.07</v>
      </c>
      <c r="O67" s="11" t="n">
        <f aca="false">IF(p_use_ibrd=1,p_r_ibrd,p_r_wb)</f>
        <v>0.06</v>
      </c>
      <c r="P67" s="45" t="n">
        <f aca="false">Sector_Params!$D$11</f>
        <v>30</v>
      </c>
      <c r="Q67" s="46" t="n">
        <f aca="false">M67/(1-(1+M67)^-P67)</f>
        <v>0.0688053896793896</v>
      </c>
      <c r="R67" s="46" t="n">
        <f aca="false">N67/(1-(1+N67)^-P67)</f>
        <v>0.0805864035111112</v>
      </c>
      <c r="S67" s="46" t="n">
        <f aca="false">O67/(1-(1+O67)^-P67)</f>
        <v>0.0726489114900472</v>
      </c>
      <c r="T67" s="37" t="n">
        <f aca="false">0*Sector_Params!$I$11</f>
        <v>0</v>
      </c>
      <c r="U67" s="37" t="n">
        <f aca="false">p_c*Sector_Params!$J$11</f>
        <v>0.129</v>
      </c>
      <c r="V67" s="37" t="n">
        <f aca="false">1000*p_r_wb/(1-(1+p_r_wb)^-Sector_Params!$D$11)/p_cpt_afolu</f>
        <v>1.45297822980094</v>
      </c>
      <c r="W67" s="16" t="n">
        <f aca="false">T67*L67</f>
        <v>0</v>
      </c>
      <c r="X67" s="16" t="n">
        <f aca="false">U67*L67</f>
        <v>0.0759627690451159</v>
      </c>
      <c r="Y67" s="16" t="n">
        <f aca="false">V67*L67</f>
        <v>0.855598834867833</v>
      </c>
      <c r="Z67" s="16" t="n">
        <f aca="false">Q67*L67</f>
        <v>0.0405166505835246</v>
      </c>
      <c r="AA67" s="16" t="n">
        <f aca="false">R67*L67</f>
        <v>0.0474540027758997</v>
      </c>
      <c r="AB67" s="16" t="n">
        <f aca="false">S67*L67</f>
        <v>0.0427799417433917</v>
      </c>
      <c r="AC67" s="16" t="n">
        <f aca="false">Z67-W67</f>
        <v>0.0405166505835246</v>
      </c>
      <c r="AD67" s="16" t="n">
        <f aca="false">AA67-W67</f>
        <v>0.0474540027758997</v>
      </c>
      <c r="AE67" s="16" t="n">
        <f aca="false">AB67-W67</f>
        <v>0.0427799417433917</v>
      </c>
      <c r="AF67" s="16" t="n">
        <f aca="false">AE67-X67</f>
        <v>-0.0331828273017243</v>
      </c>
      <c r="AG67" s="16" t="n">
        <f aca="false">AF67-p_spc_lo*Y67/1000</f>
        <v>-0.0759627690451159</v>
      </c>
      <c r="AH67" s="16" t="n">
        <f aca="false">AF67-p_spc_hi*Y67/1000</f>
        <v>-0.118742710788508</v>
      </c>
      <c r="AI67" s="16" t="n">
        <f aca="false">Q67*J67</f>
        <v>0.106622764693486</v>
      </c>
      <c r="AJ67" s="16" t="n">
        <f aca="false">S67*J67</f>
        <v>0.112578794061557</v>
      </c>
      <c r="AK67" s="16" t="n">
        <f aca="false">T67*J67</f>
        <v>0</v>
      </c>
      <c r="AL67" s="16" t="n">
        <f aca="false">U67*J67</f>
        <v>0.199902023802937</v>
      </c>
      <c r="AM67" s="16" t="n">
        <f aca="false">AI67-AJ67</f>
        <v>-0.0059560293680712</v>
      </c>
      <c r="AN67" s="16" t="n">
        <f aca="false">J67*Country_Data!$EB$13</f>
        <v>1.61909417835578</v>
      </c>
      <c r="AO67" s="16" t="n">
        <f aca="false">L67*Country_Data!$EB$13</f>
        <v>0.615255787775197</v>
      </c>
    </row>
    <row r="68" customFormat="false" ht="15" hidden="false" customHeight="false" outlineLevel="0" collapsed="false">
      <c r="A68" s="14" t="str">
        <f aca="false">Country_Data!$A$14</f>
        <v>RUS</v>
      </c>
      <c r="B68" s="14" t="str">
        <f aca="false">Country_Data!$E$14</f>
        <v>EMDC</v>
      </c>
      <c r="C68" s="35" t="s">
        <v>466</v>
      </c>
      <c r="D68" s="37" t="n">
        <f aca="false">IF(Country_Data!$BZ$14="","",Country_Data!$BZ$14)</f>
        <v>933.802117765399</v>
      </c>
      <c r="E68" s="40" t="n">
        <f aca="false">Country_Data!$BW$14</f>
        <v>6968.614</v>
      </c>
      <c r="F68" s="41" t="n">
        <f aca="false">Country_Data!$BX$14</f>
        <v>0.313670408491559</v>
      </c>
      <c r="G68" s="42" t="n">
        <f aca="false">IF(D68="","",D68/SUMIFS($D$5:$D$1369,$B$5:$B$1369,B68,$C$5:$C$1369,C68))</f>
        <v>0.106604843832352</v>
      </c>
      <c r="H68" s="42" t="n">
        <f aca="false">E68/SUMIFS($E$5:$E$1369,$B$5:$B$1369,B68,$C$5:$C$1369,C68)</f>
        <v>0.0863179841324166</v>
      </c>
      <c r="I68" s="43" t="n">
        <f aca="false">IF(G68="",H68,p_beta_alloc*G68+(1-p_beta_alloc)*H68)*F68^p_phi</f>
        <v>0.0540244555100298</v>
      </c>
      <c r="J68" s="16" t="n">
        <f aca="false">INDEX(Sector_Params!$C$16:$E$16,MATCH(B68,Sector_Params!$C$15:$E$15,0))*I68/SUMIFS($I$5:$I$1369,$B$5:$B$1369,B68,$C$5:$C$1369,C68)</f>
        <v>52.2538230073339</v>
      </c>
      <c r="K68" s="28" t="n">
        <f aca="false">INDEX(Sector_Params!$F$5:$H$5,MATCH(B68,Sector_Params!$C$15:$E$15,0))</f>
        <v>0.24</v>
      </c>
      <c r="L68" s="16" t="n">
        <f aca="false">J68*K68</f>
        <v>12.5409175217601</v>
      </c>
      <c r="M68" s="44" t="n">
        <f aca="false">Country_Data!$DW$14+Sector_Params!$E$5</f>
        <v>0.105</v>
      </c>
      <c r="N68" s="44" t="n">
        <f aca="false">Country_Data!$DX$14+Sector_Params!$E$5</f>
        <v>0.15</v>
      </c>
      <c r="O68" s="11" t="n">
        <f aca="false">IF(p_use_ibrd=1,p_r_ibrd,p_r_wb)</f>
        <v>0.06</v>
      </c>
      <c r="P68" s="45" t="n">
        <f aca="false">Sector_Params!$D$5</f>
        <v>25</v>
      </c>
      <c r="Q68" s="46" t="n">
        <f aca="false">M68/(1-(1+M68)^-P68)</f>
        <v>0.114429319813103</v>
      </c>
      <c r="R68" s="46" t="n">
        <f aca="false">N68/(1-(1+N68)^-P68)</f>
        <v>0.154699402320206</v>
      </c>
      <c r="S68" s="46" t="n">
        <f aca="false">O68/(1-(1+O68)^-P68)</f>
        <v>0.078226718212274</v>
      </c>
      <c r="T68" s="37" t="n">
        <f aca="false">IF(AND(p_eng=1,ISNUMBER(Country_Data!$CZ$14)),Country_Data!$CZ$14,Country_Data!$CM$14)*Sector_Params!$I$5</f>
        <v>0.013008567650579</v>
      </c>
      <c r="U68" s="37" t="n">
        <f aca="false">IF(AND(p_eng=1,ISNUMBER(Country_Data!$DA$14)),Country_Data!$DA$14,Country_Data!$CN$14)*Sector_Params!$J$5</f>
        <v>0.070167326823583</v>
      </c>
      <c r="V68" s="37" t="n">
        <f aca="false">IF(AND(p_eng=1,ISNUMBER(Country_Data!$DB$14)),Country_Data!$DB$14,p_a)</f>
        <v>0.856161935308451</v>
      </c>
      <c r="W68" s="16" t="n">
        <f aca="false">T68*L68</f>
        <v>0.163139373982148</v>
      </c>
      <c r="X68" s="16" t="n">
        <f aca="false">U68*L68</f>
        <v>0.879962658416943</v>
      </c>
      <c r="Y68" s="16" t="n">
        <f aca="false">V68*L68</f>
        <v>10.7370562159738</v>
      </c>
      <c r="Z68" s="16" t="n">
        <f aca="false">Q68*L68</f>
        <v>1.43504866184724</v>
      </c>
      <c r="AA68" s="16" t="n">
        <f aca="false">R68*L68</f>
        <v>1.9400724451633</v>
      </c>
      <c r="AB68" s="16" t="n">
        <f aca="false">S68*L68</f>
        <v>0.9810348210981</v>
      </c>
      <c r="AC68" s="16" t="n">
        <f aca="false">Z68-W68</f>
        <v>1.27190928786509</v>
      </c>
      <c r="AD68" s="16" t="n">
        <f aca="false">AA68-W68</f>
        <v>1.77693307118115</v>
      </c>
      <c r="AE68" s="16" t="n">
        <f aca="false">AB68-W68</f>
        <v>0.817895447115952</v>
      </c>
      <c r="AF68" s="16" t="n">
        <f aca="false">AE68-X68</f>
        <v>-0.0620672113009914</v>
      </c>
      <c r="AG68" s="16" t="n">
        <f aca="false">AF68-p_spc_lo*Y68/1000</f>
        <v>-0.598920022099683</v>
      </c>
      <c r="AH68" s="16" t="n">
        <f aca="false">AF68-p_spc_hi*Y68/1000</f>
        <v>-1.13577283289837</v>
      </c>
      <c r="AI68" s="16" t="n">
        <f aca="false">Q68*J68</f>
        <v>5.97936942436351</v>
      </c>
      <c r="AJ68" s="16" t="n">
        <f aca="false">S68*J68</f>
        <v>4.08764508790875</v>
      </c>
      <c r="AK68" s="16" t="n">
        <f aca="false">T68*J68</f>
        <v>0.679747391592284</v>
      </c>
      <c r="AL68" s="16" t="n">
        <f aca="false">U68*J68</f>
        <v>3.66651107673726</v>
      </c>
      <c r="AM68" s="16" t="n">
        <f aca="false">AI68-AJ68</f>
        <v>1.89172433645476</v>
      </c>
      <c r="AN68" s="16" t="n">
        <f aca="false">J68*Country_Data!$EB$14</f>
        <v>59.9845255892409</v>
      </c>
      <c r="AO68" s="16" t="n">
        <f aca="false">L68*Country_Data!$EB$14</f>
        <v>14.3962861414178</v>
      </c>
    </row>
    <row r="69" customFormat="false" ht="15" hidden="false" customHeight="false" outlineLevel="0" collapsed="false">
      <c r="A69" s="14" t="str">
        <f aca="false">Country_Data!$A$14</f>
        <v>RUS</v>
      </c>
      <c r="B69" s="14" t="str">
        <f aca="false">Country_Data!$E$14</f>
        <v>EMDC</v>
      </c>
      <c r="C69" s="35" t="s">
        <v>470</v>
      </c>
      <c r="D69" s="37" t="n">
        <f aca="false">IF(Country_Data!$BZ$14="","",Country_Data!$BZ$14)</f>
        <v>933.802117765399</v>
      </c>
      <c r="E69" s="40" t="n">
        <f aca="false">Country_Data!$BW$14</f>
        <v>6968.614</v>
      </c>
      <c r="F69" s="41" t="n">
        <f aca="false">Country_Data!$BX$14</f>
        <v>0.313670408491559</v>
      </c>
      <c r="G69" s="42" t="n">
        <f aca="false">IF(D69="","",D69/SUMIFS($D$5:$D$1369,$B$5:$B$1369,B69,$C$5:$C$1369,C69))</f>
        <v>0.106604843832352</v>
      </c>
      <c r="H69" s="42" t="n">
        <f aca="false">E69/SUMIFS($E$5:$E$1369,$B$5:$B$1369,B69,$C$5:$C$1369,C69)</f>
        <v>0.0863179841324166</v>
      </c>
      <c r="I69" s="43" t="n">
        <f aca="false">IF(G69="",H69,p_beta_alloc*G69+(1-p_beta_alloc)*H69)*F69^p_phi</f>
        <v>0.0540244555100298</v>
      </c>
      <c r="J69" s="16" t="n">
        <f aca="false">INDEX(Sector_Params!$C$17:$E$17,MATCH(B69,Sector_Params!$C$15:$E$15,0))*I69/SUMIFS($I$5:$I$1369,$B$5:$B$1369,B69,$C$5:$C$1369,C69)</f>
        <v>35.8311929193147</v>
      </c>
      <c r="K69" s="28" t="n">
        <f aca="false">INDEX(Sector_Params!$F$6:$H$6,MATCH(B69,Sector_Params!$C$15:$E$15,0))</f>
        <v>0.24</v>
      </c>
      <c r="L69" s="16" t="n">
        <f aca="false">J69*K69</f>
        <v>8.59948630063553</v>
      </c>
      <c r="M69" s="44" t="n">
        <f aca="false">Country_Data!$DW$14+Sector_Params!$E$6</f>
        <v>0.105</v>
      </c>
      <c r="N69" s="44" t="n">
        <f aca="false">Country_Data!$DX$14+Sector_Params!$E$6</f>
        <v>0.15</v>
      </c>
      <c r="O69" s="11" t="n">
        <f aca="false">IF(p_use_ibrd=1,p_r_ibrd,p_r_wb)</f>
        <v>0.06</v>
      </c>
      <c r="P69" s="45" t="n">
        <f aca="false">Sector_Params!$D$6</f>
        <v>40</v>
      </c>
      <c r="Q69" s="46" t="n">
        <f aca="false">M69/(1-(1+M69)^-P69)</f>
        <v>0.10697140835497</v>
      </c>
      <c r="R69" s="46" t="n">
        <f aca="false">N69/(1-(1+N69)^-P69)</f>
        <v>0.150562085013545</v>
      </c>
      <c r="S69" s="46" t="n">
        <f aca="false">O69/(1-(1+O69)^-P69)</f>
        <v>0.0664615359206755</v>
      </c>
      <c r="T69" s="37" t="n">
        <f aca="false">p_grid_credit*IF(AND(p_eng=1,ISNUMBER(Country_Data!$CZ$14)),Country_Data!$CZ$14,Country_Data!$CM$14)*Sector_Params!$I$6</f>
        <v>0</v>
      </c>
      <c r="U69" s="37" t="n">
        <f aca="false">p_grid_credit*IF(AND(p_eng=1,ISNUMBER(Country_Data!$DA$14)),Country_Data!$DA$14,Country_Data!$CN$14)*Sector_Params!$J$6</f>
        <v>0</v>
      </c>
      <c r="V69" s="37" t="n">
        <f aca="false">p_grid_credit*IF(AND(p_eng=1,ISNUMBER(Country_Data!$DB$14)),Country_Data!$DB$14,p_a)</f>
        <v>0</v>
      </c>
      <c r="W69" s="16" t="n">
        <f aca="false">T69*L69</f>
        <v>0</v>
      </c>
      <c r="X69" s="16" t="n">
        <f aca="false">U69*L69</f>
        <v>0</v>
      </c>
      <c r="Y69" s="16" t="n">
        <f aca="false">V69*L69</f>
        <v>0</v>
      </c>
      <c r="Z69" s="16" t="n">
        <f aca="false">Q69*L69</f>
        <v>0.919899160708256</v>
      </c>
      <c r="AA69" s="16" t="n">
        <f aca="false">R69*L69</f>
        <v>1.2947565874691</v>
      </c>
      <c r="AB69" s="16" t="n">
        <f aca="false">S69*L69</f>
        <v>0.571535067669045</v>
      </c>
      <c r="AC69" s="16" t="n">
        <f aca="false">Z69-W69</f>
        <v>0.919899160708256</v>
      </c>
      <c r="AD69" s="16" t="n">
        <f aca="false">AA69-W69</f>
        <v>1.2947565874691</v>
      </c>
      <c r="AE69" s="16" t="n">
        <f aca="false">AB69-W69</f>
        <v>0.571535067669045</v>
      </c>
      <c r="AF69" s="16" t="n">
        <f aca="false">AE69-X69</f>
        <v>0.571535067669045</v>
      </c>
      <c r="AG69" s="16" t="n">
        <f aca="false">AF69-p_spc_lo*Y69/1000</f>
        <v>0.571535067669045</v>
      </c>
      <c r="AH69" s="16" t="n">
        <f aca="false">AF69-p_spc_hi*Y69/1000</f>
        <v>0.571535067669045</v>
      </c>
      <c r="AI69" s="16" t="n">
        <f aca="false">Q69*J69</f>
        <v>3.83291316961774</v>
      </c>
      <c r="AJ69" s="16" t="n">
        <f aca="false">S69*J69</f>
        <v>2.38139611528769</v>
      </c>
      <c r="AK69" s="16" t="n">
        <f aca="false">T69*J69</f>
        <v>0</v>
      </c>
      <c r="AL69" s="16" t="n">
        <f aca="false">U69*J69</f>
        <v>0</v>
      </c>
      <c r="AM69" s="16" t="n">
        <f aca="false">AI69-AJ69</f>
        <v>1.45151705433005</v>
      </c>
      <c r="AN69" s="16" t="n">
        <f aca="false">J69*Country_Data!$EB$14</f>
        <v>41.1322461183366</v>
      </c>
      <c r="AO69" s="16" t="n">
        <f aca="false">L69*Country_Data!$EB$14</f>
        <v>9.87173906840079</v>
      </c>
    </row>
    <row r="70" customFormat="false" ht="15" hidden="false" customHeight="false" outlineLevel="0" collapsed="false">
      <c r="A70" s="14" t="str">
        <f aca="false">Country_Data!$A$14</f>
        <v>RUS</v>
      </c>
      <c r="B70" s="14" t="str">
        <f aca="false">Country_Data!$E$14</f>
        <v>EMDC</v>
      </c>
      <c r="C70" s="35" t="s">
        <v>473</v>
      </c>
      <c r="D70" s="37" t="n">
        <f aca="false">IF(Country_Data!$CA$14="","",Country_Data!$CA$14)</f>
        <v>3.52677042817168</v>
      </c>
      <c r="E70" s="40" t="n">
        <f aca="false">Country_Data!$BW$14</f>
        <v>6968.614</v>
      </c>
      <c r="F70" s="41" t="n">
        <f aca="false">Country_Data!$BX$14</f>
        <v>0.313670408491559</v>
      </c>
      <c r="G70" s="42" t="n">
        <f aca="false">IF(D70="","",D70/SUMIFS($D$5:$D$1369,$B$5:$B$1369,B70,$C$5:$C$1369,C70))</f>
        <v>0.081476602678343</v>
      </c>
      <c r="H70" s="42" t="n">
        <f aca="false">E70/SUMIFS($E$5:$E$1369,$B$5:$B$1369,B70,$C$5:$C$1369,C70)</f>
        <v>0.0863179841324166</v>
      </c>
      <c r="I70" s="43" t="n">
        <f aca="false">IF(G70="",H70,p_beta_alloc*G70+(1-p_beta_alloc)*H70)*F70^p_phi</f>
        <v>0.0469877581912555</v>
      </c>
      <c r="J70" s="16" t="n">
        <f aca="false">INDEX(Sector_Params!$C$18:$E$18,MATCH(B70,Sector_Params!$C$15:$E$15,0))*I70/SUMIFS($I$5:$I$1369,$B$5:$B$1369,B70,$C$5:$C$1369,C70)</f>
        <v>19.2403751919019</v>
      </c>
      <c r="K70" s="28" t="n">
        <f aca="false">INDEX(Sector_Params!$F$7:$H$7,MATCH(B70,Sector_Params!$C$15:$E$15,0))</f>
        <v>0.24</v>
      </c>
      <c r="L70" s="16" t="n">
        <f aca="false">J70*K70</f>
        <v>4.61769004605646</v>
      </c>
      <c r="M70" s="44" t="n">
        <f aca="false">Country_Data!$DW$14+Sector_Params!$E$7</f>
        <v>0.105</v>
      </c>
      <c r="N70" s="44" t="n">
        <f aca="false">Country_Data!$DX$14+Sector_Params!$E$7</f>
        <v>0.15</v>
      </c>
      <c r="O70" s="11" t="n">
        <f aca="false">IF(p_use_ibrd=1,p_r_ibrd,p_r_wb)</f>
        <v>0.06</v>
      </c>
      <c r="P70" s="45" t="n">
        <f aca="false">Sector_Params!$D$7</f>
        <v>12</v>
      </c>
      <c r="Q70" s="46" t="n">
        <f aca="false">M70/(1-(1+M70)^-P70)</f>
        <v>0.150376745634766</v>
      </c>
      <c r="R70" s="46" t="n">
        <f aca="false">N70/(1-(1+N70)^-P70)</f>
        <v>0.18448077613084</v>
      </c>
      <c r="S70" s="46" t="n">
        <f aca="false">O70/(1-(1+O70)^-P70)</f>
        <v>0.119277029380664</v>
      </c>
      <c r="T70" s="37" t="n">
        <f aca="false">IF(AND(p_eng=1,ISNUMBER(Country_Data!$DE$14)),Country_Data!$DE$14,Country_Data!$CM$14)*Sector_Params!$I$7</f>
        <v>0.133111575</v>
      </c>
      <c r="U70" s="37" t="n">
        <f aca="false">IF(AND(p_eng=1,ISNUMBER(Country_Data!$DF$14)),Country_Data!$DF$14,Country_Data!$CN$14)*Sector_Params!$J$7</f>
        <v>0.063523125</v>
      </c>
      <c r="V70" s="37" t="n">
        <f aca="false">IF(AND(p_eng=1,ISNUMBER(Country_Data!$DG$14)),Country_Data!$DG$14,p_a)</f>
        <v>0.332364120474857</v>
      </c>
      <c r="W70" s="16" t="n">
        <f aca="false">T70*L70</f>
        <v>0.614667994892398</v>
      </c>
      <c r="X70" s="16" t="n">
        <f aca="false">U70*L70</f>
        <v>0.2933301020069</v>
      </c>
      <c r="Y70" s="16" t="n">
        <f aca="false">V70*L70</f>
        <v>1.53475449078306</v>
      </c>
      <c r="Z70" s="16" t="n">
        <f aca="false">Q70*L70</f>
        <v>0.694393201476022</v>
      </c>
      <c r="AA70" s="16" t="n">
        <f aca="false">R70*L70</f>
        <v>0.851875043628148</v>
      </c>
      <c r="AB70" s="16" t="n">
        <f aca="false">S70*L70</f>
        <v>0.550784351294274</v>
      </c>
      <c r="AC70" s="16" t="n">
        <f aca="false">Z70-W70</f>
        <v>0.0797252065836241</v>
      </c>
      <c r="AD70" s="16" t="n">
        <f aca="false">AA70-W70</f>
        <v>0.23720704873575</v>
      </c>
      <c r="AE70" s="16" t="n">
        <f aca="false">AB70-W70</f>
        <v>-0.0638836435981238</v>
      </c>
      <c r="AF70" s="16" t="n">
        <f aca="false">AE70-X70</f>
        <v>-0.357213745605024</v>
      </c>
      <c r="AG70" s="16" t="n">
        <f aca="false">AF70-p_spc_lo*Y70/1000</f>
        <v>-0.433951470144177</v>
      </c>
      <c r="AH70" s="16" t="n">
        <f aca="false">AF70-p_spc_hi*Y70/1000</f>
        <v>-0.51068919468333</v>
      </c>
      <c r="AI70" s="16" t="n">
        <f aca="false">Q70*J70</f>
        <v>2.89330500615009</v>
      </c>
      <c r="AJ70" s="16" t="n">
        <f aca="false">S70*J70</f>
        <v>2.29493479705948</v>
      </c>
      <c r="AK70" s="16" t="n">
        <f aca="false">T70*J70</f>
        <v>2.56111664538499</v>
      </c>
      <c r="AL70" s="16" t="n">
        <f aca="false">U70*J70</f>
        <v>1.22220875836209</v>
      </c>
      <c r="AM70" s="16" t="n">
        <f aca="false">AI70-AJ70</f>
        <v>0.598370209090616</v>
      </c>
      <c r="AN70" s="16" t="n">
        <f aca="false">J70*Country_Data!$EB$14</f>
        <v>22.0868964531696</v>
      </c>
      <c r="AO70" s="16" t="n">
        <f aca="false">L70*Country_Data!$EB$14</f>
        <v>5.30085514876071</v>
      </c>
    </row>
    <row r="71" customFormat="false" ht="15" hidden="false" customHeight="false" outlineLevel="0" collapsed="false">
      <c r="A71" s="14" t="str">
        <f aca="false">Country_Data!$A$14</f>
        <v>RUS</v>
      </c>
      <c r="B71" s="14" t="str">
        <f aca="false">Country_Data!$E$14</f>
        <v>EMDC</v>
      </c>
      <c r="C71" s="35" t="s">
        <v>477</v>
      </c>
      <c r="D71" s="37" t="n">
        <f aca="false">IF(Country_Data!$CB$14="","",Country_Data!$CB$14)</f>
        <v>5.05403691332708</v>
      </c>
      <c r="E71" s="40" t="n">
        <f aca="false">Country_Data!$BW$14</f>
        <v>6968.614</v>
      </c>
      <c r="F71" s="41" t="n">
        <f aca="false">Country_Data!$BX$14</f>
        <v>0.313670408491559</v>
      </c>
      <c r="G71" s="42" t="n">
        <f aca="false">IF(D71="","",D71/SUMIFS($D$5:$D$1369,$B$5:$B$1369,B71,$C$5:$C$1369,C71))</f>
        <v>0.159369173421204</v>
      </c>
      <c r="H71" s="42" t="n">
        <f aca="false">E71/SUMIFS($E$5:$E$1369,$B$5:$B$1369,B71,$C$5:$C$1369,C71)</f>
        <v>0.0863179841324166</v>
      </c>
      <c r="I71" s="43" t="n">
        <f aca="false">IF(G71="",H71,p_beta_alloc*G71+(1-p_beta_alloc)*H71)*F71^p_phi</f>
        <v>0.0688001262093523</v>
      </c>
      <c r="J71" s="16" t="n">
        <f aca="false">INDEX(Sector_Params!$C$19:$E$19,MATCH(B71,Sector_Params!$C$15:$E$15,0))*I71/SUMIFS($I$5:$I$1369,$B$5:$B$1369,B71,$C$5:$C$1369,C71)</f>
        <v>22.1441872630233</v>
      </c>
      <c r="K71" s="28" t="n">
        <f aca="false">INDEX(Sector_Params!$F$8:$H$8,MATCH(B71,Sector_Params!$C$15:$E$15,0))</f>
        <v>0.24</v>
      </c>
      <c r="L71" s="16" t="n">
        <f aca="false">J71*K71</f>
        <v>5.31460494312558</v>
      </c>
      <c r="M71" s="44" t="n">
        <f aca="false">Country_Data!$DW$14+Sector_Params!$E$8</f>
        <v>0.105</v>
      </c>
      <c r="N71" s="44" t="n">
        <f aca="false">Country_Data!$DX$14+Sector_Params!$E$8</f>
        <v>0.15</v>
      </c>
      <c r="O71" s="11" t="n">
        <f aca="false">IF(p_use_ibrd=1,p_r_ibrd,p_r_wb)</f>
        <v>0.06</v>
      </c>
      <c r="P71" s="45" t="n">
        <f aca="false">Sector_Params!$D$8</f>
        <v>25</v>
      </c>
      <c r="Q71" s="46" t="n">
        <f aca="false">M71/(1-(1+M71)^-P71)</f>
        <v>0.114429319813103</v>
      </c>
      <c r="R71" s="46" t="n">
        <f aca="false">N71/(1-(1+N71)^-P71)</f>
        <v>0.154699402320206</v>
      </c>
      <c r="S71" s="46" t="n">
        <f aca="false">O71/(1-(1+O71)^-P71)</f>
        <v>0.078226718212274</v>
      </c>
      <c r="T71" s="37" t="n">
        <f aca="false">Country_Data!$CM$14*Sector_Params!$I$8</f>
        <v>0.0665654154842537</v>
      </c>
      <c r="U71" s="37" t="n">
        <f aca="false">Country_Data!$CN$14*Sector_Params!$J$8</f>
        <v>0.241536258333099</v>
      </c>
      <c r="V71" s="37" t="n">
        <f aca="false">p_a</f>
        <v>0.35</v>
      </c>
      <c r="W71" s="16" t="n">
        <f aca="false">T71*L71</f>
        <v>0.353768886173823</v>
      </c>
      <c r="X71" s="16" t="n">
        <f aca="false">U71*L71</f>
        <v>1.28366979248115</v>
      </c>
      <c r="Y71" s="16" t="n">
        <f aca="false">V71*L71</f>
        <v>1.86011173009395</v>
      </c>
      <c r="Z71" s="16" t="n">
        <f aca="false">Q71*L71</f>
        <v>0.608146628717217</v>
      </c>
      <c r="AA71" s="16" t="n">
        <f aca="false">R71*L71</f>
        <v>0.822166208269543</v>
      </c>
      <c r="AB71" s="16" t="n">
        <f aca="false">S71*L71</f>
        <v>0.415744103295443</v>
      </c>
      <c r="AC71" s="16" t="n">
        <f aca="false">Z71-W71</f>
        <v>0.254377742543394</v>
      </c>
      <c r="AD71" s="16" t="n">
        <f aca="false">AA71-W71</f>
        <v>0.468397322095719</v>
      </c>
      <c r="AE71" s="16" t="n">
        <f aca="false">AB71-W71</f>
        <v>0.0619752171216201</v>
      </c>
      <c r="AF71" s="16" t="n">
        <f aca="false">AE71-X71</f>
        <v>-1.22169457535953</v>
      </c>
      <c r="AG71" s="16" t="n">
        <f aca="false">AF71-p_spc_lo*Y71/1000</f>
        <v>-1.31470016186422</v>
      </c>
      <c r="AH71" s="16" t="n">
        <f aca="false">AF71-p_spc_hi*Y71/1000</f>
        <v>-1.40770574836892</v>
      </c>
      <c r="AI71" s="16" t="n">
        <f aca="false">Q71*J71</f>
        <v>2.53394428632174</v>
      </c>
      <c r="AJ71" s="16" t="n">
        <f aca="false">S71*J71</f>
        <v>1.73226709706435</v>
      </c>
      <c r="AK71" s="16" t="n">
        <f aca="false">T71*J71</f>
        <v>1.47403702572426</v>
      </c>
      <c r="AL71" s="16" t="n">
        <f aca="false">U71*J71</f>
        <v>5.34862413533811</v>
      </c>
      <c r="AM71" s="16" t="n">
        <f aca="false">AI71-AJ71</f>
        <v>0.801677189257391</v>
      </c>
      <c r="AN71" s="16" t="n">
        <f aca="false">J71*Country_Data!$EB$14</f>
        <v>25.4203135978267</v>
      </c>
      <c r="AO71" s="16" t="n">
        <f aca="false">L71*Country_Data!$EB$14</f>
        <v>6.10087526347841</v>
      </c>
    </row>
    <row r="72" customFormat="false" ht="15" hidden="false" customHeight="false" outlineLevel="0" collapsed="false">
      <c r="A72" s="14" t="str">
        <f aca="false">Country_Data!$A$14</f>
        <v>RUS</v>
      </c>
      <c r="B72" s="14" t="str">
        <f aca="false">Country_Data!$E$14</f>
        <v>EMDC</v>
      </c>
      <c r="C72" s="35" t="s">
        <v>481</v>
      </c>
      <c r="D72" s="37" t="n">
        <f aca="false">IF(Country_Data!$CC$14="","",Country_Data!$CC$14)</f>
        <v>10.7382371635417</v>
      </c>
      <c r="E72" s="40" t="n">
        <f aca="false">Country_Data!$BW$14</f>
        <v>6968.614</v>
      </c>
      <c r="F72" s="41" t="n">
        <f aca="false">Country_Data!$BX$14</f>
        <v>0.313670408491559</v>
      </c>
      <c r="G72" s="42" t="n">
        <f aca="false">IF(D72="","",D72/SUMIFS($D$5:$D$1369,$B$5:$B$1369,B72,$C$5:$C$1369,C72))</f>
        <v>0.153387484996673</v>
      </c>
      <c r="H72" s="42" t="n">
        <f aca="false">E72/SUMIFS($E$5:$E$1369,$B$5:$B$1369,B72,$C$5:$C$1369,C72)</f>
        <v>0.0863179841324166</v>
      </c>
      <c r="I72" s="43" t="n">
        <f aca="false">IF(G72="",H72,p_beta_alloc*G72+(1-p_beta_alloc)*H72)*F72^p_phi</f>
        <v>0.0671250654424381</v>
      </c>
      <c r="J72" s="16" t="n">
        <f aca="false">INDEX(Sector_Params!$C$20:$E$20,MATCH(B72,Sector_Params!$C$15:$E$15,0))*I72/SUMIFS($I$5:$I$1369,$B$5:$B$1369,B72,$C$5:$C$1369,C72)</f>
        <v>12.2516761868027</v>
      </c>
      <c r="K72" s="28" t="n">
        <f aca="false">INDEX(Sector_Params!$F$9:$H$9,MATCH(B72,Sector_Params!$C$15:$E$15,0))</f>
        <v>0.24</v>
      </c>
      <c r="L72" s="16" t="n">
        <f aca="false">J72*K72</f>
        <v>2.94040228483264</v>
      </c>
      <c r="M72" s="44" t="n">
        <f aca="false">Country_Data!$DW$14+Sector_Params!$E$9</f>
        <v>0.105</v>
      </c>
      <c r="N72" s="44" t="n">
        <f aca="false">Country_Data!$DX$14+Sector_Params!$E$9</f>
        <v>0.15</v>
      </c>
      <c r="O72" s="11" t="n">
        <f aca="false">IF(p_use_ibrd=1,p_r_ibrd,p_r_wb)</f>
        <v>0.06</v>
      </c>
      <c r="P72" s="45" t="n">
        <f aca="false">Sector_Params!$D$9</f>
        <v>25</v>
      </c>
      <c r="Q72" s="46" t="n">
        <f aca="false">M72/(1-(1+M72)^-P72)</f>
        <v>0.114429319813103</v>
      </c>
      <c r="R72" s="46" t="n">
        <f aca="false">N72/(1-(1+N72)^-P72)</f>
        <v>0.154699402320206</v>
      </c>
      <c r="S72" s="46" t="n">
        <f aca="false">O72/(1-(1+O72)^-P72)</f>
        <v>0.078226718212274</v>
      </c>
      <c r="T72" s="37" t="n">
        <f aca="false">Country_Data!$CM$14*Sector_Params!$I$9</f>
        <v>0.0665654154842537</v>
      </c>
      <c r="U72" s="37" t="n">
        <f aca="false">Country_Data!$CN$14*Sector_Params!$J$9</f>
        <v>0.241536258333099</v>
      </c>
      <c r="V72" s="37" t="n">
        <f aca="false">p_a</f>
        <v>0.35</v>
      </c>
      <c r="W72" s="16" t="n">
        <f aca="false">T72*L72</f>
        <v>0.195729099780734</v>
      </c>
      <c r="X72" s="16" t="n">
        <f aca="false">U72*L72</f>
        <v>0.710213765872572</v>
      </c>
      <c r="Y72" s="16" t="n">
        <f aca="false">V72*L72</f>
        <v>1.02914079969142</v>
      </c>
      <c r="Z72" s="16" t="n">
        <f aca="false">Q72*L72</f>
        <v>0.336468233430294</v>
      </c>
      <c r="AA72" s="16" t="n">
        <f aca="false">R72*L72</f>
        <v>0.454878476044579</v>
      </c>
      <c r="AB72" s="16" t="n">
        <f aca="false">S72*L72</f>
        <v>0.23001802096633</v>
      </c>
      <c r="AC72" s="16" t="n">
        <f aca="false">Z72-W72</f>
        <v>0.14073913364956</v>
      </c>
      <c r="AD72" s="16" t="n">
        <f aca="false">AA72-W72</f>
        <v>0.259149376263845</v>
      </c>
      <c r="AE72" s="16" t="n">
        <f aca="false">AB72-W72</f>
        <v>0.0342889211855958</v>
      </c>
      <c r="AF72" s="16" t="n">
        <f aca="false">AE72-X72</f>
        <v>-0.675924844686976</v>
      </c>
      <c r="AG72" s="16" t="n">
        <f aca="false">AF72-p_spc_lo*Y72/1000</f>
        <v>-0.727381884671547</v>
      </c>
      <c r="AH72" s="16" t="n">
        <f aca="false">AF72-p_spc_hi*Y72/1000</f>
        <v>-0.778838924656118</v>
      </c>
      <c r="AI72" s="16" t="n">
        <f aca="false">Q72*J72</f>
        <v>1.40195097262623</v>
      </c>
      <c r="AJ72" s="16" t="n">
        <f aca="false">S72*J72</f>
        <v>0.95840842069304</v>
      </c>
      <c r="AK72" s="16" t="n">
        <f aca="false">T72*J72</f>
        <v>0.815537915753058</v>
      </c>
      <c r="AL72" s="16" t="n">
        <f aca="false">U72*J72</f>
        <v>2.95922402446905</v>
      </c>
      <c r="AM72" s="16" t="n">
        <f aca="false">AI72-AJ72</f>
        <v>0.443542551933186</v>
      </c>
      <c r="AN72" s="16" t="n">
        <f aca="false">J72*Country_Data!$EB$14</f>
        <v>14.0642529377269</v>
      </c>
      <c r="AO72" s="16" t="n">
        <f aca="false">L72*Country_Data!$EB$14</f>
        <v>3.37542070505446</v>
      </c>
    </row>
    <row r="73" customFormat="false" ht="15" hidden="false" customHeight="false" outlineLevel="0" collapsed="false">
      <c r="A73" s="14" t="str">
        <f aca="false">Country_Data!$A$14</f>
        <v>RUS</v>
      </c>
      <c r="B73" s="14" t="str">
        <f aca="false">Country_Data!$E$14</f>
        <v>EMDC</v>
      </c>
      <c r="C73" s="35" t="s">
        <v>484</v>
      </c>
      <c r="D73" s="37" t="n">
        <f aca="false">IF(Country_Data!$CD$14="","",Country_Data!$CD$14)</f>
        <v>26.8869724982803</v>
      </c>
      <c r="E73" s="40" t="n">
        <f aca="false">Country_Data!$BW$14</f>
        <v>6968.614</v>
      </c>
      <c r="F73" s="41" t="n">
        <f aca="false">Country_Data!$BX$14</f>
        <v>0.313670408491559</v>
      </c>
      <c r="G73" s="42" t="n">
        <f aca="false">IF(D73="","",D73/SUMIFS($D$5:$D$1369,$B$5:$B$1369,B73,$C$5:$C$1369,C73))</f>
        <v>0.150146676761147</v>
      </c>
      <c r="H73" s="42" t="n">
        <f aca="false">E73/SUMIFS($E$5:$E$1369,$B$5:$B$1369,B73,$C$5:$C$1369,C73)</f>
        <v>0.0863179841324166</v>
      </c>
      <c r="I73" s="43" t="n">
        <f aca="false">IF(G73="",H73,p_beta_alloc*G73+(1-p_beta_alloc)*H73)*F73^p_phi</f>
        <v>0.0662175372759493</v>
      </c>
      <c r="J73" s="16" t="n">
        <f aca="false">INDEX(Sector_Params!$C$21:$E$21,MATCH(B73,Sector_Params!$C$15:$E$15,0))*I73/SUMIFS($I$5:$I$1369,$B$5:$B$1369,B73,$C$5:$C$1369,C73)</f>
        <v>14.6863760876286</v>
      </c>
      <c r="K73" s="28" t="n">
        <f aca="false">INDEX(Sector_Params!$F$10:$H$10,MATCH(B73,Sector_Params!$C$15:$E$15,0))</f>
        <v>0.24</v>
      </c>
      <c r="L73" s="16" t="n">
        <f aca="false">J73*K73</f>
        <v>3.52473026103087</v>
      </c>
      <c r="M73" s="44" t="n">
        <f aca="false">Country_Data!$DW$14+Sector_Params!$E$10</f>
        <v>0.105</v>
      </c>
      <c r="N73" s="44" t="n">
        <f aca="false">Country_Data!$DX$14+Sector_Params!$E$10</f>
        <v>0.15</v>
      </c>
      <c r="O73" s="11" t="n">
        <f aca="false">IF(p_use_ibrd=1,p_r_ibrd,p_r_wb)</f>
        <v>0.06</v>
      </c>
      <c r="P73" s="45" t="n">
        <f aca="false">Sector_Params!$D$10</f>
        <v>20</v>
      </c>
      <c r="Q73" s="46" t="n">
        <f aca="false">M73/(1-(1+M73)^-P73)</f>
        <v>0.121493265267016</v>
      </c>
      <c r="R73" s="46" t="n">
        <f aca="false">N73/(1-(1+N73)^-P73)</f>
        <v>0.159761470405744</v>
      </c>
      <c r="S73" s="46" t="n">
        <f aca="false">O73/(1-(1+O73)^-P73)</f>
        <v>0.0871845569768514</v>
      </c>
      <c r="T73" s="37" t="n">
        <f aca="false">0*Sector_Params!$I$10</f>
        <v>0</v>
      </c>
      <c r="U73" s="37" t="n">
        <f aca="false">0*Sector_Params!$J$10</f>
        <v>0</v>
      </c>
      <c r="V73" s="37" t="n">
        <f aca="false">1000*p_r_wb/(1-(1+p_r_wb)^-Sector_Params!$D$10)/p_cpt_fuel</f>
        <v>0.871845569768514</v>
      </c>
      <c r="W73" s="16" t="n">
        <f aca="false">T73*L73</f>
        <v>0</v>
      </c>
      <c r="X73" s="16" t="n">
        <f aca="false">U73*L73</f>
        <v>0</v>
      </c>
      <c r="Y73" s="16" t="n">
        <f aca="false">V73*L73</f>
        <v>3.07302046270878</v>
      </c>
      <c r="Z73" s="16" t="n">
        <f aca="false">Q73*L73</f>
        <v>0.428230988598103</v>
      </c>
      <c r="AA73" s="16" t="n">
        <f aca="false">R73*L73</f>
        <v>0.563116089285913</v>
      </c>
      <c r="AB73" s="16" t="n">
        <f aca="false">S73*L73</f>
        <v>0.307302046270878</v>
      </c>
      <c r="AC73" s="16" t="n">
        <f aca="false">Z73-W73</f>
        <v>0.428230988598103</v>
      </c>
      <c r="AD73" s="16" t="n">
        <f aca="false">AA73-W73</f>
        <v>0.563116089285913</v>
      </c>
      <c r="AE73" s="16" t="n">
        <f aca="false">AB73-W73</f>
        <v>0.307302046270878</v>
      </c>
      <c r="AF73" s="16" t="n">
        <f aca="false">AE73-X73</f>
        <v>0.307302046270878</v>
      </c>
      <c r="AG73" s="16" t="n">
        <f aca="false">AF73-p_spc_lo*Y73/1000</f>
        <v>0.153651023135439</v>
      </c>
      <c r="AH73" s="16" t="n">
        <f aca="false">AF73-p_spc_hi*Y73/1000</f>
        <v>0</v>
      </c>
      <c r="AI73" s="16" t="n">
        <f aca="false">Q73*J73</f>
        <v>1.78429578582543</v>
      </c>
      <c r="AJ73" s="16" t="n">
        <f aca="false">S73*J73</f>
        <v>1.28042519279533</v>
      </c>
      <c r="AK73" s="16" t="n">
        <f aca="false">T73*J73</f>
        <v>0</v>
      </c>
      <c r="AL73" s="16" t="n">
        <f aca="false">U73*J73</f>
        <v>0</v>
      </c>
      <c r="AM73" s="16" t="n">
        <f aca="false">AI73-AJ73</f>
        <v>0.503870593030102</v>
      </c>
      <c r="AN73" s="16" t="n">
        <f aca="false">J73*Country_Data!$EB$14</f>
        <v>16.8591550156614</v>
      </c>
      <c r="AO73" s="16" t="n">
        <f aca="false">L73*Country_Data!$EB$14</f>
        <v>4.04619720375873</v>
      </c>
    </row>
    <row r="74" customFormat="false" ht="15" hidden="false" customHeight="false" outlineLevel="0" collapsed="false">
      <c r="A74" s="14" t="str">
        <f aca="false">Country_Data!$A$14</f>
        <v>RUS</v>
      </c>
      <c r="B74" s="14" t="str">
        <f aca="false">Country_Data!$E$14</f>
        <v>EMDC</v>
      </c>
      <c r="C74" s="35" t="s">
        <v>488</v>
      </c>
      <c r="D74" s="37" t="n">
        <f aca="false">IF(Country_Data!$CE$14="","",Country_Data!$CE$14)</f>
        <v>464.182</v>
      </c>
      <c r="E74" s="40" t="n">
        <f aca="false">Country_Data!$BW$14</f>
        <v>6968.614</v>
      </c>
      <c r="F74" s="41" t="n">
        <f aca="false">Country_Data!$BX$14</f>
        <v>0.313670408491559</v>
      </c>
      <c r="G74" s="42" t="n">
        <f aca="false">IF(D74="","",D74/SUMIFS($D$5:$D$1369,$B$5:$B$1369,B74,$C$5:$C$1369,C74))</f>
        <v>0.0380348915242488</v>
      </c>
      <c r="H74" s="42" t="n">
        <f aca="false">E74/SUMIFS($E$5:$E$1369,$B$5:$B$1369,B74,$C$5:$C$1369,C74)</f>
        <v>0.0863179841324166</v>
      </c>
      <c r="I74" s="43" t="n">
        <f aca="false">IF(G74="",H74,p_beta_alloc*G74+(1-p_beta_alloc)*H74)*F74^p_phi</f>
        <v>0.0348227136691395</v>
      </c>
      <c r="J74" s="16" t="n">
        <f aca="false">INDEX(Sector_Params!$C$22:$E$22,MATCH(B74,Sector_Params!$C$15:$E$15,0))*I74/SUMIFS($I$5:$I$1369,$B$5:$B$1369,B74,$C$5:$C$1369,C74)</f>
        <v>20.9914239003022</v>
      </c>
      <c r="K74" s="28" t="n">
        <f aca="false">INDEX(Sector_Params!$F$11:$H$11,MATCH(B74,Sector_Params!$C$15:$E$15,0))</f>
        <v>0.24</v>
      </c>
      <c r="L74" s="16" t="n">
        <f aca="false">J74*K74</f>
        <v>5.03794173607252</v>
      </c>
      <c r="M74" s="44" t="n">
        <f aca="false">Country_Data!$DW$14+Sector_Params!$E$11</f>
        <v>0.105</v>
      </c>
      <c r="N74" s="44" t="n">
        <f aca="false">Country_Data!$DX$14+Sector_Params!$E$11</f>
        <v>0.15</v>
      </c>
      <c r="O74" s="11" t="n">
        <f aca="false">IF(p_use_ibrd=1,p_r_ibrd,p_r_wb)</f>
        <v>0.06</v>
      </c>
      <c r="P74" s="45" t="n">
        <f aca="false">Sector_Params!$D$11</f>
        <v>30</v>
      </c>
      <c r="Q74" s="46" t="n">
        <f aca="false">M74/(1-(1+M74)^-P74)</f>
        <v>0.110528481529605</v>
      </c>
      <c r="R74" s="46" t="n">
        <f aca="false">N74/(1-(1+N74)^-P74)</f>
        <v>0.152300198192734</v>
      </c>
      <c r="S74" s="46" t="n">
        <f aca="false">O74/(1-(1+O74)^-P74)</f>
        <v>0.0726489114900472</v>
      </c>
      <c r="T74" s="37" t="n">
        <f aca="false">0*Sector_Params!$I$11</f>
        <v>0</v>
      </c>
      <c r="U74" s="37" t="n">
        <f aca="false">p_c*Sector_Params!$J$11</f>
        <v>0.129</v>
      </c>
      <c r="V74" s="37" t="n">
        <f aca="false">1000*p_r_wb/(1-(1+p_r_wb)^-Sector_Params!$D$11)/p_cpt_afolu</f>
        <v>1.45297822980094</v>
      </c>
      <c r="W74" s="16" t="n">
        <f aca="false">T74*L74</f>
        <v>0</v>
      </c>
      <c r="X74" s="16" t="n">
        <f aca="false">U74*L74</f>
        <v>0.649894483953355</v>
      </c>
      <c r="Y74" s="16" t="n">
        <f aca="false">V74*L74</f>
        <v>7.32001966551894</v>
      </c>
      <c r="Z74" s="16" t="n">
        <f aca="false">Q74*L74</f>
        <v>0.556836050122718</v>
      </c>
      <c r="AA74" s="16" t="n">
        <f aca="false">R74*L74</f>
        <v>0.767279524887292</v>
      </c>
      <c r="AB74" s="16" t="n">
        <f aca="false">S74*L74</f>
        <v>0.366000983275947</v>
      </c>
      <c r="AC74" s="16" t="n">
        <f aca="false">Z74-W74</f>
        <v>0.556836050122718</v>
      </c>
      <c r="AD74" s="16" t="n">
        <f aca="false">AA74-W74</f>
        <v>0.767279524887292</v>
      </c>
      <c r="AE74" s="16" t="n">
        <f aca="false">AB74-W74</f>
        <v>0.366000983275947</v>
      </c>
      <c r="AF74" s="16" t="n">
        <f aca="false">AE74-X74</f>
        <v>-0.283893500677408</v>
      </c>
      <c r="AG74" s="16" t="n">
        <f aca="false">AF74-p_spc_lo*Y74/1000</f>
        <v>-0.649894483953355</v>
      </c>
      <c r="AH74" s="16" t="n">
        <f aca="false">AF74-p_spc_hi*Y74/1000</f>
        <v>-1.0158954672293</v>
      </c>
      <c r="AI74" s="16" t="n">
        <f aca="false">Q74*J74</f>
        <v>2.32015020884466</v>
      </c>
      <c r="AJ74" s="16" t="n">
        <f aca="false">S74*J74</f>
        <v>1.52500409698311</v>
      </c>
      <c r="AK74" s="16" t="n">
        <f aca="false">T74*J74</f>
        <v>0</v>
      </c>
      <c r="AL74" s="16" t="n">
        <f aca="false">U74*J74</f>
        <v>2.70789368313898</v>
      </c>
      <c r="AM74" s="16" t="n">
        <f aca="false">AI74-AJ74</f>
        <v>0.795146111861546</v>
      </c>
      <c r="AN74" s="16" t="n">
        <f aca="false">J74*Country_Data!$EB$14</f>
        <v>24.0970044225386</v>
      </c>
      <c r="AO74" s="16" t="n">
        <f aca="false">L74*Country_Data!$EB$14</f>
        <v>5.78328106140927</v>
      </c>
    </row>
    <row r="75" customFormat="false" ht="15" hidden="false" customHeight="false" outlineLevel="0" collapsed="false">
      <c r="A75" s="14" t="str">
        <f aca="false">Country_Data!$A$15</f>
        <v>BRA</v>
      </c>
      <c r="B75" s="14" t="str">
        <f aca="false">Country_Data!$E$15</f>
        <v>EMDC</v>
      </c>
      <c r="C75" s="35" t="s">
        <v>466</v>
      </c>
      <c r="D75" s="37" t="n">
        <f aca="false">IF(Country_Data!$BZ$15="","",Country_Data!$BZ$15)</f>
        <v>526.78893012255</v>
      </c>
      <c r="E75" s="40" t="n">
        <f aca="false">Country_Data!$BW$15</f>
        <v>4742.6</v>
      </c>
      <c r="F75" s="41" t="n">
        <f aca="false">Country_Data!$BX$15</f>
        <v>0.46089107240754</v>
      </c>
      <c r="G75" s="42" t="n">
        <f aca="false">IF(D75="","",D75/SUMIFS($D$5:$D$1369,$B$5:$B$1369,B75,$C$5:$C$1369,C75))</f>
        <v>0.0601393491832226</v>
      </c>
      <c r="H75" s="42" t="n">
        <f aca="false">E75/SUMIFS($E$5:$E$1369,$B$5:$B$1369,B75,$C$5:$C$1369,C75)</f>
        <v>0.0587450634439501</v>
      </c>
      <c r="I75" s="43" t="n">
        <f aca="false">IF(G75="",H75,p_beta_alloc*G75+(1-p_beta_alloc)*H75)*F75^p_phi</f>
        <v>0.0403546949414652</v>
      </c>
      <c r="J75" s="16" t="n">
        <f aca="false">INDEX(Sector_Params!$C$16:$E$16,MATCH(B75,Sector_Params!$C$15:$E$15,0))*I75/SUMIFS($I$5:$I$1369,$B$5:$B$1369,B75,$C$5:$C$1369,C75)</f>
        <v>39.0320840271087</v>
      </c>
      <c r="K75" s="28" t="n">
        <f aca="false">INDEX(Sector_Params!$F$5:$H$5,MATCH(B75,Sector_Params!$C$15:$E$15,0))</f>
        <v>0.24</v>
      </c>
      <c r="L75" s="16" t="n">
        <f aca="false">J75*K75</f>
        <v>9.3677001665061</v>
      </c>
      <c r="M75" s="44" t="n">
        <f aca="false">Country_Data!$DW$15+Sector_Params!$E$5</f>
        <v>0.097755</v>
      </c>
      <c r="N75" s="44" t="n">
        <f aca="false">Country_Data!$DX$15+Sector_Params!$E$5</f>
        <v>0.142755</v>
      </c>
      <c r="O75" s="11" t="n">
        <f aca="false">IF(p_use_ibrd=1,p_r_ibrd,p_r_wb)</f>
        <v>0.06</v>
      </c>
      <c r="P75" s="45" t="n">
        <f aca="false">Sector_Params!$D$5</f>
        <v>25</v>
      </c>
      <c r="Q75" s="46" t="n">
        <f aca="false">M75/(1-(1+M75)^-P75)</f>
        <v>0.108271696602123</v>
      </c>
      <c r="R75" s="46" t="n">
        <f aca="false">N75/(1-(1+N75)^-P75)</f>
        <v>0.148021178846988</v>
      </c>
      <c r="S75" s="46" t="n">
        <f aca="false">O75/(1-(1+O75)^-P75)</f>
        <v>0.078226718212274</v>
      </c>
      <c r="T75" s="37" t="n">
        <f aca="false">IF(AND(p_eng=1,ISNUMBER(Country_Data!$CZ$15)),Country_Data!$CZ$15,Country_Data!$CM$15)*Sector_Params!$I$5</f>
        <v>0.0159696888136133</v>
      </c>
      <c r="U75" s="37" t="n">
        <f aca="false">IF(AND(p_eng=1,ISNUMBER(Country_Data!$DA$15)),Country_Data!$DA$15,Country_Data!$CN$15)*Sector_Params!$J$5</f>
        <v>0.00300788572339543</v>
      </c>
      <c r="V75" s="37" t="n">
        <f aca="false">IF(AND(p_eng=1,ISNUMBER(Country_Data!$DB$15)),Country_Data!$DB$15,p_a)</f>
        <v>0.151815632228285</v>
      </c>
      <c r="W75" s="16" t="n">
        <f aca="false">T75*L75</f>
        <v>0.149599256558336</v>
      </c>
      <c r="X75" s="16" t="n">
        <f aca="false">U75*L75</f>
        <v>0.0281769715918827</v>
      </c>
      <c r="Y75" s="16" t="n">
        <f aca="false">V75*L75</f>
        <v>1.42216332330313</v>
      </c>
      <c r="Z75" s="16" t="n">
        <f aca="false">Q75*L75</f>
        <v>1.01425679028761</v>
      </c>
      <c r="AA75" s="16" t="n">
        <f aca="false">R75*L75</f>
        <v>1.38661802173135</v>
      </c>
      <c r="AB75" s="16" t="n">
        <f aca="false">S75*L75</f>
        <v>0.732804441222344</v>
      </c>
      <c r="AC75" s="16" t="n">
        <f aca="false">Z75-W75</f>
        <v>0.864657533729271</v>
      </c>
      <c r="AD75" s="16" t="n">
        <f aca="false">AA75-W75</f>
        <v>1.23701876517302</v>
      </c>
      <c r="AE75" s="16" t="n">
        <f aca="false">AB75-W75</f>
        <v>0.583205184664008</v>
      </c>
      <c r="AF75" s="16" t="n">
        <f aca="false">AE75-X75</f>
        <v>0.555028213072125</v>
      </c>
      <c r="AG75" s="16" t="n">
        <f aca="false">AF75-p_spc_lo*Y75/1000</f>
        <v>0.483920046906969</v>
      </c>
      <c r="AH75" s="16" t="n">
        <f aca="false">AF75-p_spc_hi*Y75/1000</f>
        <v>0.412811880741812</v>
      </c>
      <c r="AI75" s="16" t="n">
        <f aca="false">Q75*J75</f>
        <v>4.2260699595317</v>
      </c>
      <c r="AJ75" s="16" t="n">
        <f aca="false">S75*J75</f>
        <v>3.05335183842643</v>
      </c>
      <c r="AK75" s="16" t="n">
        <f aca="false">T75*J75</f>
        <v>0.623330235659734</v>
      </c>
      <c r="AL75" s="16" t="n">
        <f aca="false">U75*J75</f>
        <v>0.117404048299511</v>
      </c>
      <c r="AM75" s="16" t="n">
        <f aca="false">AI75-AJ75</f>
        <v>1.17271812110526</v>
      </c>
      <c r="AN75" s="16" t="n">
        <f aca="false">J75*Country_Data!$EB$15</f>
        <v>44.8066937187906</v>
      </c>
      <c r="AO75" s="16" t="n">
        <f aca="false">L75*Country_Data!$EB$15</f>
        <v>10.7536064925097</v>
      </c>
    </row>
    <row r="76" customFormat="false" ht="15" hidden="false" customHeight="false" outlineLevel="0" collapsed="false">
      <c r="A76" s="14" t="str">
        <f aca="false">Country_Data!$A$15</f>
        <v>BRA</v>
      </c>
      <c r="B76" s="14" t="str">
        <f aca="false">Country_Data!$E$15</f>
        <v>EMDC</v>
      </c>
      <c r="C76" s="35" t="s">
        <v>470</v>
      </c>
      <c r="D76" s="37" t="n">
        <f aca="false">IF(Country_Data!$BZ$15="","",Country_Data!$BZ$15)</f>
        <v>526.78893012255</v>
      </c>
      <c r="E76" s="40" t="n">
        <f aca="false">Country_Data!$BW$15</f>
        <v>4742.6</v>
      </c>
      <c r="F76" s="41" t="n">
        <f aca="false">Country_Data!$BX$15</f>
        <v>0.46089107240754</v>
      </c>
      <c r="G76" s="42" t="n">
        <f aca="false">IF(D76="","",D76/SUMIFS($D$5:$D$1369,$B$5:$B$1369,B76,$C$5:$C$1369,C76))</f>
        <v>0.0601393491832226</v>
      </c>
      <c r="H76" s="42" t="n">
        <f aca="false">E76/SUMIFS($E$5:$E$1369,$B$5:$B$1369,B76,$C$5:$C$1369,C76)</f>
        <v>0.0587450634439501</v>
      </c>
      <c r="I76" s="43" t="n">
        <f aca="false">IF(G76="",H76,p_beta_alloc*G76+(1-p_beta_alloc)*H76)*F76^p_phi</f>
        <v>0.0403546949414652</v>
      </c>
      <c r="J76" s="16" t="n">
        <f aca="false">INDEX(Sector_Params!$C$17:$E$17,MATCH(B76,Sector_Params!$C$15:$E$15,0))*I76/SUMIFS($I$5:$I$1369,$B$5:$B$1369,B76,$C$5:$C$1369,C76)</f>
        <v>26.7648576185888</v>
      </c>
      <c r="K76" s="28" t="n">
        <f aca="false">INDEX(Sector_Params!$F$6:$H$6,MATCH(B76,Sector_Params!$C$15:$E$15,0))</f>
        <v>0.24</v>
      </c>
      <c r="L76" s="16" t="n">
        <f aca="false">J76*K76</f>
        <v>6.42356582846132</v>
      </c>
      <c r="M76" s="44" t="n">
        <f aca="false">Country_Data!$DW$15+Sector_Params!$E$6</f>
        <v>0.097755</v>
      </c>
      <c r="N76" s="44" t="n">
        <f aca="false">Country_Data!$DX$15+Sector_Params!$E$6</f>
        <v>0.142755</v>
      </c>
      <c r="O76" s="11" t="n">
        <f aca="false">IF(p_use_ibrd=1,p_r_ibrd,p_r_wb)</f>
        <v>0.06</v>
      </c>
      <c r="P76" s="45" t="n">
        <f aca="false">Sector_Params!$D$6</f>
        <v>40</v>
      </c>
      <c r="Q76" s="46" t="n">
        <f aca="false">M76/(1-(1+M76)^-P76)</f>
        <v>0.10015638438833</v>
      </c>
      <c r="R76" s="46" t="n">
        <f aca="false">N76/(1-(1+N76)^-P76)</f>
        <v>0.143444538964038</v>
      </c>
      <c r="S76" s="46" t="n">
        <f aca="false">O76/(1-(1+O76)^-P76)</f>
        <v>0.0664615359206755</v>
      </c>
      <c r="T76" s="37" t="n">
        <f aca="false">p_grid_credit*IF(AND(p_eng=1,ISNUMBER(Country_Data!$CZ$15)),Country_Data!$CZ$15,Country_Data!$CM$15)*Sector_Params!$I$6</f>
        <v>0</v>
      </c>
      <c r="U76" s="37" t="n">
        <f aca="false">p_grid_credit*IF(AND(p_eng=1,ISNUMBER(Country_Data!$DA$15)),Country_Data!$DA$15,Country_Data!$CN$15)*Sector_Params!$J$6</f>
        <v>0</v>
      </c>
      <c r="V76" s="37" t="n">
        <f aca="false">p_grid_credit*IF(AND(p_eng=1,ISNUMBER(Country_Data!$DB$15)),Country_Data!$DB$15,p_a)</f>
        <v>0</v>
      </c>
      <c r="W76" s="16" t="n">
        <f aca="false">T76*L76</f>
        <v>0</v>
      </c>
      <c r="X76" s="16" t="n">
        <f aca="false">U76*L76</f>
        <v>0</v>
      </c>
      <c r="Y76" s="16" t="n">
        <f aca="false">V76*L76</f>
        <v>0</v>
      </c>
      <c r="Z76" s="16" t="n">
        <f aca="false">Q76*L76</f>
        <v>0.643361128259117</v>
      </c>
      <c r="AA76" s="16" t="n">
        <f aca="false">R76*L76</f>
        <v>0.921425438768785</v>
      </c>
      <c r="AB76" s="16" t="n">
        <f aca="false">S76*L76</f>
        <v>0.426920051047106</v>
      </c>
      <c r="AC76" s="16" t="n">
        <f aca="false">Z76-W76</f>
        <v>0.643361128259117</v>
      </c>
      <c r="AD76" s="16" t="n">
        <f aca="false">AA76-W76</f>
        <v>0.921425438768785</v>
      </c>
      <c r="AE76" s="16" t="n">
        <f aca="false">AB76-W76</f>
        <v>0.426920051047106</v>
      </c>
      <c r="AF76" s="16" t="n">
        <f aca="false">AE76-X76</f>
        <v>0.426920051047106</v>
      </c>
      <c r="AG76" s="16" t="n">
        <f aca="false">AF76-p_spc_lo*Y76/1000</f>
        <v>0.426920051047106</v>
      </c>
      <c r="AH76" s="16" t="n">
        <f aca="false">AF76-p_spc_hi*Y76/1000</f>
        <v>0.426920051047106</v>
      </c>
      <c r="AI76" s="16" t="n">
        <f aca="false">Q76*J76</f>
        <v>2.68067136774632</v>
      </c>
      <c r="AJ76" s="16" t="n">
        <f aca="false">S76*J76</f>
        <v>1.77883354602961</v>
      </c>
      <c r="AK76" s="16" t="n">
        <f aca="false">T76*J76</f>
        <v>0</v>
      </c>
      <c r="AL76" s="16" t="n">
        <f aca="false">U76*J76</f>
        <v>0</v>
      </c>
      <c r="AM76" s="16" t="n">
        <f aca="false">AI76-AJ76</f>
        <v>0.901837821716712</v>
      </c>
      <c r="AN76" s="16" t="n">
        <f aca="false">J76*Country_Data!$EB$15</f>
        <v>30.7245899785992</v>
      </c>
      <c r="AO76" s="16" t="n">
        <f aca="false">L76*Country_Data!$EB$15</f>
        <v>7.37390159486382</v>
      </c>
    </row>
    <row r="77" customFormat="false" ht="15" hidden="false" customHeight="false" outlineLevel="0" collapsed="false">
      <c r="A77" s="14" t="str">
        <f aca="false">Country_Data!$A$15</f>
        <v>BRA</v>
      </c>
      <c r="B77" s="14" t="str">
        <f aca="false">Country_Data!$E$15</f>
        <v>EMDC</v>
      </c>
      <c r="C77" s="35" t="s">
        <v>473</v>
      </c>
      <c r="D77" s="37" t="n">
        <f aca="false">IF(Country_Data!$CA$15="","",Country_Data!$CA$15)</f>
        <v>2.83371086464101</v>
      </c>
      <c r="E77" s="40" t="n">
        <f aca="false">Country_Data!$BW$15</f>
        <v>4742.6</v>
      </c>
      <c r="F77" s="41" t="n">
        <f aca="false">Country_Data!$BX$15</f>
        <v>0.46089107240754</v>
      </c>
      <c r="G77" s="42" t="n">
        <f aca="false">IF(D77="","",D77/SUMIFS($D$5:$D$1369,$B$5:$B$1369,B77,$C$5:$C$1369,C77))</f>
        <v>0.0654653142091109</v>
      </c>
      <c r="H77" s="42" t="n">
        <f aca="false">E77/SUMIFS($E$5:$E$1369,$B$5:$B$1369,B77,$C$5:$C$1369,C77)</f>
        <v>0.0587450634439501</v>
      </c>
      <c r="I77" s="43" t="n">
        <f aca="false">IF(G77="",H77,p_beta_alloc*G77+(1-p_beta_alloc)*H77)*F77^p_phi</f>
        <v>0.0421625660419657</v>
      </c>
      <c r="J77" s="16" t="n">
        <f aca="false">INDEX(Sector_Params!$C$18:$E$18,MATCH(B77,Sector_Params!$C$15:$E$15,0))*I77/SUMIFS($I$5:$I$1369,$B$5:$B$1369,B77,$C$5:$C$1369,C77)</f>
        <v>17.2645731766734</v>
      </c>
      <c r="K77" s="28" t="n">
        <f aca="false">INDEX(Sector_Params!$F$7:$H$7,MATCH(B77,Sector_Params!$C$15:$E$15,0))</f>
        <v>0.24</v>
      </c>
      <c r="L77" s="16" t="n">
        <f aca="false">J77*K77</f>
        <v>4.14349756240161</v>
      </c>
      <c r="M77" s="44" t="n">
        <f aca="false">Country_Data!$DW$15+Sector_Params!$E$7</f>
        <v>0.097755</v>
      </c>
      <c r="N77" s="44" t="n">
        <f aca="false">Country_Data!$DX$15+Sector_Params!$E$7</f>
        <v>0.142755</v>
      </c>
      <c r="O77" s="11" t="n">
        <f aca="false">IF(p_use_ibrd=1,p_r_ibrd,p_r_wb)</f>
        <v>0.06</v>
      </c>
      <c r="P77" s="45" t="n">
        <f aca="false">Sector_Params!$D$7</f>
        <v>12</v>
      </c>
      <c r="Q77" s="46" t="n">
        <f aca="false">M77/(1-(1+M77)^-P77)</f>
        <v>0.145153147950135</v>
      </c>
      <c r="R77" s="46" t="n">
        <f aca="false">N77/(1-(1+N77)^-P77)</f>
        <v>0.178808829246929</v>
      </c>
      <c r="S77" s="46" t="n">
        <f aca="false">O77/(1-(1+O77)^-P77)</f>
        <v>0.119277029380664</v>
      </c>
      <c r="T77" s="37" t="n">
        <f aca="false">IF(AND(p_eng=1,ISNUMBER(Country_Data!$DE$15)),Country_Data!$DE$15,Country_Data!$CM$15)*Sector_Params!$I$7</f>
        <v>0.146565</v>
      </c>
      <c r="U77" s="37" t="n">
        <f aca="false">IF(AND(p_eng=1,ISNUMBER(Country_Data!$DF$15)),Country_Data!$DF$15,Country_Data!$CN$15)*Sector_Params!$J$7</f>
        <v>0.005458725</v>
      </c>
      <c r="V77" s="37" t="n">
        <f aca="false">IF(AND(p_eng=1,ISNUMBER(Country_Data!$DG$15)),Country_Data!$DG$15,p_a)</f>
        <v>0.497639787873752</v>
      </c>
      <c r="W77" s="16" t="n">
        <f aca="false">T77*L77</f>
        <v>0.607291720233392</v>
      </c>
      <c r="X77" s="16" t="n">
        <f aca="false">U77*L77</f>
        <v>0.0226182137313207</v>
      </c>
      <c r="Y77" s="16" t="n">
        <f aca="false">V77*L77</f>
        <v>2.06196924800894</v>
      </c>
      <c r="Z77" s="16" t="n">
        <f aca="false">Q77*L77</f>
        <v>0.601441714706305</v>
      </c>
      <c r="AA77" s="16" t="n">
        <f aca="false">R77*L77</f>
        <v>0.740893948120536</v>
      </c>
      <c r="AB77" s="16" t="n">
        <f aca="false">S77*L77</f>
        <v>0.494224080489284</v>
      </c>
      <c r="AC77" s="16" t="n">
        <f aca="false">Z77-W77</f>
        <v>-0.00585000552708648</v>
      </c>
      <c r="AD77" s="16" t="n">
        <f aca="false">AA77-W77</f>
        <v>0.133602227887145</v>
      </c>
      <c r="AE77" s="16" t="n">
        <f aca="false">AB77-W77</f>
        <v>-0.113067639744107</v>
      </c>
      <c r="AF77" s="16" t="n">
        <f aca="false">AE77-X77</f>
        <v>-0.135685853475428</v>
      </c>
      <c r="AG77" s="16" t="n">
        <f aca="false">AF77-p_spc_lo*Y77/1000</f>
        <v>-0.238784315875875</v>
      </c>
      <c r="AH77" s="16" t="n">
        <f aca="false">AF77-p_spc_hi*Y77/1000</f>
        <v>-0.341882778276322</v>
      </c>
      <c r="AI77" s="16" t="n">
        <f aca="false">Q77*J77</f>
        <v>2.5060071446096</v>
      </c>
      <c r="AJ77" s="16" t="n">
        <f aca="false">S77*J77</f>
        <v>2.05926700203869</v>
      </c>
      <c r="AK77" s="16" t="n">
        <f aca="false">T77*J77</f>
        <v>2.53038216763913</v>
      </c>
      <c r="AL77" s="16" t="n">
        <f aca="false">U77*J77</f>
        <v>0.0942425572138363</v>
      </c>
      <c r="AM77" s="16" t="n">
        <f aca="false">AI77-AJ77</f>
        <v>0.446740142570919</v>
      </c>
      <c r="AN77" s="16" t="n">
        <f aca="false">J77*Country_Data!$EB$15</f>
        <v>19.8187840028113</v>
      </c>
      <c r="AO77" s="16" t="n">
        <f aca="false">L77*Country_Data!$EB$15</f>
        <v>4.75650816067472</v>
      </c>
    </row>
    <row r="78" customFormat="false" ht="15" hidden="false" customHeight="false" outlineLevel="0" collapsed="false">
      <c r="A78" s="14" t="str">
        <f aca="false">Country_Data!$A$15</f>
        <v>BRA</v>
      </c>
      <c r="B78" s="14" t="str">
        <f aca="false">Country_Data!$E$15</f>
        <v>EMDC</v>
      </c>
      <c r="C78" s="35" t="s">
        <v>477</v>
      </c>
      <c r="D78" s="37" t="n">
        <f aca="false">IF(Country_Data!$CB$15="","",Country_Data!$CB$15)</f>
        <v>1.04281096941553</v>
      </c>
      <c r="E78" s="40" t="n">
        <f aca="false">Country_Data!$BW$15</f>
        <v>4742.6</v>
      </c>
      <c r="F78" s="41" t="n">
        <f aca="false">Country_Data!$BX$15</f>
        <v>0.46089107240754</v>
      </c>
      <c r="G78" s="42" t="n">
        <f aca="false">IF(D78="","",D78/SUMIFS($D$5:$D$1369,$B$5:$B$1369,B78,$C$5:$C$1369,C78))</f>
        <v>0.0328830052254036</v>
      </c>
      <c r="H78" s="42" t="n">
        <f aca="false">E78/SUMIFS($E$5:$E$1369,$B$5:$B$1369,B78,$C$5:$C$1369,C78)</f>
        <v>0.0587450634439501</v>
      </c>
      <c r="I78" s="43" t="n">
        <f aca="false">IF(G78="",H78,p_beta_alloc*G78+(1-p_beta_alloc)*H78)*F78^p_phi</f>
        <v>0.0311026708843936</v>
      </c>
      <c r="J78" s="16" t="n">
        <f aca="false">INDEX(Sector_Params!$C$19:$E$19,MATCH(B78,Sector_Params!$C$15:$E$15,0))*I78/SUMIFS($I$5:$I$1369,$B$5:$B$1369,B78,$C$5:$C$1369,C78)</f>
        <v>10.0107864097286</v>
      </c>
      <c r="K78" s="28" t="n">
        <f aca="false">INDEX(Sector_Params!$F$8:$H$8,MATCH(B78,Sector_Params!$C$15:$E$15,0))</f>
        <v>0.24</v>
      </c>
      <c r="L78" s="16" t="n">
        <f aca="false">J78*K78</f>
        <v>2.40258873833485</v>
      </c>
      <c r="M78" s="44" t="n">
        <f aca="false">Country_Data!$DW$15+Sector_Params!$E$8</f>
        <v>0.097755</v>
      </c>
      <c r="N78" s="44" t="n">
        <f aca="false">Country_Data!$DX$15+Sector_Params!$E$8</f>
        <v>0.142755</v>
      </c>
      <c r="O78" s="11" t="n">
        <f aca="false">IF(p_use_ibrd=1,p_r_ibrd,p_r_wb)</f>
        <v>0.06</v>
      </c>
      <c r="P78" s="45" t="n">
        <f aca="false">Sector_Params!$D$8</f>
        <v>25</v>
      </c>
      <c r="Q78" s="46" t="n">
        <f aca="false">M78/(1-(1+M78)^-P78)</f>
        <v>0.108271696602123</v>
      </c>
      <c r="R78" s="46" t="n">
        <f aca="false">N78/(1-(1+N78)^-P78)</f>
        <v>0.148021178846988</v>
      </c>
      <c r="S78" s="46" t="n">
        <f aca="false">O78/(1-(1+O78)^-P78)</f>
        <v>0.078226718212274</v>
      </c>
      <c r="T78" s="37" t="n">
        <f aca="false">Country_Data!$CM$15*Sector_Params!$I$8</f>
        <v>0.162140889413232</v>
      </c>
      <c r="U78" s="37" t="n">
        <f aca="false">Country_Data!$CN$15*Sector_Params!$J$8</f>
        <v>0.0887921907170448</v>
      </c>
      <c r="V78" s="37" t="n">
        <f aca="false">p_a</f>
        <v>0.35</v>
      </c>
      <c r="W78" s="16" t="n">
        <f aca="false">T78*L78</f>
        <v>0.389557874927827</v>
      </c>
      <c r="X78" s="16" t="n">
        <f aca="false">U78*L78</f>
        <v>0.213331117468852</v>
      </c>
      <c r="Y78" s="16" t="n">
        <f aca="false">V78*L78</f>
        <v>0.840906058417198</v>
      </c>
      <c r="Z78" s="16" t="n">
        <f aca="false">Q78*L78</f>
        <v>0.260132358936669</v>
      </c>
      <c r="AA78" s="16" t="n">
        <f aca="false">R78*L78</f>
        <v>0.355634017332821</v>
      </c>
      <c r="AB78" s="16" t="n">
        <f aca="false">S78*L78</f>
        <v>0.187946632213703</v>
      </c>
      <c r="AC78" s="16" t="n">
        <f aca="false">Z78-W78</f>
        <v>-0.129425515991158</v>
      </c>
      <c r="AD78" s="16" t="n">
        <f aca="false">AA78-W78</f>
        <v>-0.0339238575950053</v>
      </c>
      <c r="AE78" s="16" t="n">
        <f aca="false">AB78-W78</f>
        <v>-0.201611242714123</v>
      </c>
      <c r="AF78" s="16" t="n">
        <f aca="false">AE78-X78</f>
        <v>-0.414942360182976</v>
      </c>
      <c r="AG78" s="16" t="n">
        <f aca="false">AF78-p_spc_lo*Y78/1000</f>
        <v>-0.456987663103836</v>
      </c>
      <c r="AH78" s="16" t="n">
        <f aca="false">AF78-p_spc_hi*Y78/1000</f>
        <v>-0.499032966024696</v>
      </c>
      <c r="AI78" s="16" t="n">
        <f aca="false">Q78*J78</f>
        <v>1.08388482890279</v>
      </c>
      <c r="AJ78" s="16" t="n">
        <f aca="false">S78*J78</f>
        <v>0.783110967557097</v>
      </c>
      <c r="AK78" s="16" t="n">
        <f aca="false">T78*J78</f>
        <v>1.62315781219928</v>
      </c>
      <c r="AL78" s="16" t="n">
        <f aca="false">U78*J78</f>
        <v>0.888879656120218</v>
      </c>
      <c r="AM78" s="16" t="n">
        <f aca="false">AI78-AJ78</f>
        <v>0.300773861345691</v>
      </c>
      <c r="AN78" s="16" t="n">
        <f aca="false">J78*Country_Data!$EB$15</f>
        <v>11.4918342621267</v>
      </c>
      <c r="AO78" s="16" t="n">
        <f aca="false">L78*Country_Data!$EB$15</f>
        <v>2.75804022291042</v>
      </c>
    </row>
    <row r="79" customFormat="false" ht="15" hidden="false" customHeight="false" outlineLevel="0" collapsed="false">
      <c r="A79" s="14" t="str">
        <f aca="false">Country_Data!$A$15</f>
        <v>BRA</v>
      </c>
      <c r="B79" s="14" t="str">
        <f aca="false">Country_Data!$E$15</f>
        <v>EMDC</v>
      </c>
      <c r="C79" s="35" t="s">
        <v>481</v>
      </c>
      <c r="D79" s="37" t="n">
        <f aca="false">IF(Country_Data!$CC$15="","",Country_Data!$CC$15)</f>
        <v>3.0564162404241</v>
      </c>
      <c r="E79" s="40" t="n">
        <f aca="false">Country_Data!$BW$15</f>
        <v>4742.6</v>
      </c>
      <c r="F79" s="41" t="n">
        <f aca="false">Country_Data!$BX$15</f>
        <v>0.46089107240754</v>
      </c>
      <c r="G79" s="42" t="n">
        <f aca="false">IF(D79="","",D79/SUMIFS($D$5:$D$1369,$B$5:$B$1369,B79,$C$5:$C$1369,C79))</f>
        <v>0.0436585626748265</v>
      </c>
      <c r="H79" s="42" t="n">
        <f aca="false">E79/SUMIFS($E$5:$E$1369,$B$5:$B$1369,B79,$C$5:$C$1369,C79)</f>
        <v>0.0587450634439501</v>
      </c>
      <c r="I79" s="43" t="n">
        <f aca="false">IF(G79="",H79,p_beta_alloc*G79+(1-p_beta_alloc)*H79)*F79^p_phi</f>
        <v>0.0347603777619082</v>
      </c>
      <c r="J79" s="16" t="n">
        <f aca="false">INDEX(Sector_Params!$C$20:$E$20,MATCH(B79,Sector_Params!$C$15:$E$15,0))*I79/SUMIFS($I$5:$I$1369,$B$5:$B$1369,B79,$C$5:$C$1369,C79)</f>
        <v>6.34446893515562</v>
      </c>
      <c r="K79" s="28" t="n">
        <f aca="false">INDEX(Sector_Params!$F$9:$H$9,MATCH(B79,Sector_Params!$C$15:$E$15,0))</f>
        <v>0.24</v>
      </c>
      <c r="L79" s="16" t="n">
        <f aca="false">J79*K79</f>
        <v>1.52267254443735</v>
      </c>
      <c r="M79" s="44" t="n">
        <f aca="false">Country_Data!$DW$15+Sector_Params!$E$9</f>
        <v>0.097755</v>
      </c>
      <c r="N79" s="44" t="n">
        <f aca="false">Country_Data!$DX$15+Sector_Params!$E$9</f>
        <v>0.142755</v>
      </c>
      <c r="O79" s="11" t="n">
        <f aca="false">IF(p_use_ibrd=1,p_r_ibrd,p_r_wb)</f>
        <v>0.06</v>
      </c>
      <c r="P79" s="45" t="n">
        <f aca="false">Sector_Params!$D$9</f>
        <v>25</v>
      </c>
      <c r="Q79" s="46" t="n">
        <f aca="false">M79/(1-(1+M79)^-P79)</f>
        <v>0.108271696602123</v>
      </c>
      <c r="R79" s="46" t="n">
        <f aca="false">N79/(1-(1+N79)^-P79)</f>
        <v>0.148021178846988</v>
      </c>
      <c r="S79" s="46" t="n">
        <f aca="false">O79/(1-(1+O79)^-P79)</f>
        <v>0.078226718212274</v>
      </c>
      <c r="T79" s="37" t="n">
        <f aca="false">Country_Data!$CM$15*Sector_Params!$I$9</f>
        <v>0.162140889413232</v>
      </c>
      <c r="U79" s="37" t="n">
        <f aca="false">Country_Data!$CN$15*Sector_Params!$J$9</f>
        <v>0.0887921907170448</v>
      </c>
      <c r="V79" s="37" t="n">
        <f aca="false">p_a</f>
        <v>0.35</v>
      </c>
      <c r="W79" s="16" t="n">
        <f aca="false">T79*L79</f>
        <v>0.24688748064018</v>
      </c>
      <c r="X79" s="16" t="n">
        <f aca="false">U79*L79</f>
        <v>0.135201430965289</v>
      </c>
      <c r="Y79" s="16" t="n">
        <f aca="false">V79*L79</f>
        <v>0.532935390553072</v>
      </c>
      <c r="Z79" s="16" t="n">
        <f aca="false">Q79*L79</f>
        <v>0.164862339755704</v>
      </c>
      <c r="AA79" s="16" t="n">
        <f aca="false">R79*L79</f>
        <v>0.225387785025558</v>
      </c>
      <c r="AB79" s="16" t="n">
        <f aca="false">S79*L79</f>
        <v>0.119113676063267</v>
      </c>
      <c r="AC79" s="16" t="n">
        <f aca="false">Z79-W79</f>
        <v>-0.0820251408844765</v>
      </c>
      <c r="AD79" s="16" t="n">
        <f aca="false">AA79-W79</f>
        <v>-0.0214996956146216</v>
      </c>
      <c r="AE79" s="16" t="n">
        <f aca="false">AB79-W79</f>
        <v>-0.127773804576913</v>
      </c>
      <c r="AF79" s="16" t="n">
        <f aca="false">AE79-X79</f>
        <v>-0.262975235542202</v>
      </c>
      <c r="AG79" s="16" t="n">
        <f aca="false">AF79-p_spc_lo*Y79/1000</f>
        <v>-0.289622005069856</v>
      </c>
      <c r="AH79" s="16" t="n">
        <f aca="false">AF79-p_spc_hi*Y79/1000</f>
        <v>-0.316268774597509</v>
      </c>
      <c r="AI79" s="16" t="n">
        <f aca="false">Q79*J79</f>
        <v>0.686926415648765</v>
      </c>
      <c r="AJ79" s="16" t="n">
        <f aca="false">S79*J79</f>
        <v>0.496306983596944</v>
      </c>
      <c r="AK79" s="16" t="n">
        <f aca="false">T79*J79</f>
        <v>1.02869783600075</v>
      </c>
      <c r="AL79" s="16" t="n">
        <f aca="false">U79*J79</f>
        <v>0.563339295688704</v>
      </c>
      <c r="AM79" s="16" t="n">
        <f aca="false">AI79-AJ79</f>
        <v>0.19061943205182</v>
      </c>
      <c r="AN79" s="16" t="n">
        <f aca="false">J79*Country_Data!$EB$15</f>
        <v>7.28310269542522</v>
      </c>
      <c r="AO79" s="16" t="n">
        <f aca="false">L79*Country_Data!$EB$15</f>
        <v>1.74794464690205</v>
      </c>
    </row>
    <row r="80" customFormat="false" ht="15" hidden="false" customHeight="false" outlineLevel="0" collapsed="false">
      <c r="A80" s="14" t="str">
        <f aca="false">Country_Data!$A$15</f>
        <v>BRA</v>
      </c>
      <c r="B80" s="14" t="str">
        <f aca="false">Country_Data!$E$15</f>
        <v>EMDC</v>
      </c>
      <c r="C80" s="35" t="s">
        <v>484</v>
      </c>
      <c r="D80" s="37" t="n">
        <f aca="false">IF(Country_Data!$CD$15="","",Country_Data!$CD$15)</f>
        <v>5.73492811900913</v>
      </c>
      <c r="E80" s="40" t="n">
        <f aca="false">Country_Data!$BW$15</f>
        <v>4742.6</v>
      </c>
      <c r="F80" s="41" t="n">
        <f aca="false">Country_Data!$BX$15</f>
        <v>0.46089107240754</v>
      </c>
      <c r="G80" s="42" t="n">
        <f aca="false">IF(D80="","",D80/SUMIFS($D$5:$D$1369,$B$5:$B$1369,B80,$C$5:$C$1369,C80))</f>
        <v>0.0320259336966387</v>
      </c>
      <c r="H80" s="42" t="n">
        <f aca="false">E80/SUMIFS($E$5:$E$1369,$B$5:$B$1369,B80,$C$5:$C$1369,C80)</f>
        <v>0.0587450634439501</v>
      </c>
      <c r="I80" s="43" t="n">
        <f aca="false">IF(G80="",H80,p_beta_alloc*G80+(1-p_beta_alloc)*H80)*F80^p_phi</f>
        <v>0.0308117424159594</v>
      </c>
      <c r="J80" s="16" t="n">
        <f aca="false">INDEX(Sector_Params!$C$21:$E$21,MATCH(B80,Sector_Params!$C$15:$E$15,0))*I80/SUMIFS($I$5:$I$1369,$B$5:$B$1369,B80,$C$5:$C$1369,C80)</f>
        <v>6.83373099712477</v>
      </c>
      <c r="K80" s="28" t="n">
        <f aca="false">INDEX(Sector_Params!$F$10:$H$10,MATCH(B80,Sector_Params!$C$15:$E$15,0))</f>
        <v>0.24</v>
      </c>
      <c r="L80" s="16" t="n">
        <f aca="false">J80*K80</f>
        <v>1.64009543930994</v>
      </c>
      <c r="M80" s="44" t="n">
        <f aca="false">Country_Data!$DW$15+Sector_Params!$E$10</f>
        <v>0.097755</v>
      </c>
      <c r="N80" s="44" t="n">
        <f aca="false">Country_Data!$DX$15+Sector_Params!$E$10</f>
        <v>0.142755</v>
      </c>
      <c r="O80" s="11" t="n">
        <f aca="false">IF(p_use_ibrd=1,p_r_ibrd,p_r_wb)</f>
        <v>0.06</v>
      </c>
      <c r="P80" s="45" t="n">
        <f aca="false">Sector_Params!$D$10</f>
        <v>20</v>
      </c>
      <c r="Q80" s="46" t="n">
        <f aca="false">M80/(1-(1+M80)^-P80)</f>
        <v>0.115664897465404</v>
      </c>
      <c r="R80" s="46" t="n">
        <f aca="false">N80/(1-(1+N80)^-P80)</f>
        <v>0.153389919740771</v>
      </c>
      <c r="S80" s="46" t="n">
        <f aca="false">O80/(1-(1+O80)^-P80)</f>
        <v>0.0871845569768514</v>
      </c>
      <c r="T80" s="37" t="n">
        <f aca="false">0*Sector_Params!$I$10</f>
        <v>0</v>
      </c>
      <c r="U80" s="37" t="n">
        <f aca="false">0*Sector_Params!$J$10</f>
        <v>0</v>
      </c>
      <c r="V80" s="37" t="n">
        <f aca="false">1000*p_r_wb/(1-(1+p_r_wb)^-Sector_Params!$D$10)/p_cpt_fuel</f>
        <v>0.871845569768514</v>
      </c>
      <c r="W80" s="16" t="n">
        <f aca="false">T80*L80</f>
        <v>0</v>
      </c>
      <c r="X80" s="16" t="n">
        <f aca="false">U80*L80</f>
        <v>0</v>
      </c>
      <c r="Y80" s="16" t="n">
        <f aca="false">V80*L80</f>
        <v>1.42990994275992</v>
      </c>
      <c r="Z80" s="16" t="n">
        <f aca="false">Q80*L80</f>
        <v>0.189701470821261</v>
      </c>
      <c r="AA80" s="16" t="n">
        <f aca="false">R80*L80</f>
        <v>0.251574107802957</v>
      </c>
      <c r="AB80" s="16" t="n">
        <f aca="false">S80*L80</f>
        <v>0.142990994275992</v>
      </c>
      <c r="AC80" s="16" t="n">
        <f aca="false">Z80-W80</f>
        <v>0.189701470821261</v>
      </c>
      <c r="AD80" s="16" t="n">
        <f aca="false">AA80-W80</f>
        <v>0.251574107802957</v>
      </c>
      <c r="AE80" s="16" t="n">
        <f aca="false">AB80-W80</f>
        <v>0.142990994275992</v>
      </c>
      <c r="AF80" s="16" t="n">
        <f aca="false">AE80-X80</f>
        <v>0.142990994275992</v>
      </c>
      <c r="AG80" s="16" t="n">
        <f aca="false">AF80-p_spc_lo*Y80/1000</f>
        <v>0.0714954971379959</v>
      </c>
      <c r="AH80" s="16" t="n">
        <f aca="false">AF80-p_spc_hi*Y80/1000</f>
        <v>0</v>
      </c>
      <c r="AI80" s="16" t="n">
        <f aca="false">Q80*J80</f>
        <v>0.790422795088588</v>
      </c>
      <c r="AJ80" s="16" t="n">
        <f aca="false">S80*J80</f>
        <v>0.5957958094833</v>
      </c>
      <c r="AK80" s="16" t="n">
        <f aca="false">T80*J80</f>
        <v>0</v>
      </c>
      <c r="AL80" s="16" t="n">
        <f aca="false">U80*J80</f>
        <v>0</v>
      </c>
      <c r="AM80" s="16" t="n">
        <f aca="false">AI80-AJ80</f>
        <v>0.194626985605289</v>
      </c>
      <c r="AN80" s="16" t="n">
        <f aca="false">J80*Country_Data!$EB$15</f>
        <v>7.84474873368569</v>
      </c>
      <c r="AO80" s="16" t="n">
        <f aca="false">L80*Country_Data!$EB$15</f>
        <v>1.88273969608457</v>
      </c>
    </row>
    <row r="81" customFormat="false" ht="15" hidden="false" customHeight="false" outlineLevel="0" collapsed="false">
      <c r="A81" s="14" t="str">
        <f aca="false">Country_Data!$A$15</f>
        <v>BRA</v>
      </c>
      <c r="B81" s="14" t="str">
        <f aca="false">Country_Data!$E$15</f>
        <v>EMDC</v>
      </c>
      <c r="C81" s="35" t="s">
        <v>488</v>
      </c>
      <c r="D81" s="37" t="n">
        <f aca="false">IF(Country_Data!$CE$15="","",Country_Data!$CE$15)</f>
        <v>1261.705</v>
      </c>
      <c r="E81" s="40" t="n">
        <f aca="false">Country_Data!$BW$15</f>
        <v>4742.6</v>
      </c>
      <c r="F81" s="41" t="n">
        <f aca="false">Country_Data!$BX$15</f>
        <v>0.46089107240754</v>
      </c>
      <c r="G81" s="42" t="n">
        <f aca="false">IF(D81="","",D81/SUMIFS($D$5:$D$1369,$B$5:$B$1369,B81,$C$5:$C$1369,C81))</f>
        <v>0.103383614208656</v>
      </c>
      <c r="H81" s="42" t="n">
        <f aca="false">E81/SUMIFS($E$5:$E$1369,$B$5:$B$1369,B81,$C$5:$C$1369,C81)</f>
        <v>0.0587450634439501</v>
      </c>
      <c r="I81" s="43" t="n">
        <f aca="false">IF(G81="",H81,p_beta_alloc*G81+(1-p_beta_alloc)*H81)*F81^p_phi</f>
        <v>0.0550337355701302</v>
      </c>
      <c r="J81" s="16" t="n">
        <f aca="false">INDEX(Sector_Params!$C$22:$E$22,MATCH(B81,Sector_Params!$C$15:$E$15,0))*I81/SUMIFS($I$5:$I$1369,$B$5:$B$1369,B81,$C$5:$C$1369,C81)</f>
        <v>33.1747974366952</v>
      </c>
      <c r="K81" s="28" t="n">
        <f aca="false">INDEX(Sector_Params!$F$11:$H$11,MATCH(B81,Sector_Params!$C$15:$E$15,0))</f>
        <v>0.24</v>
      </c>
      <c r="L81" s="16" t="n">
        <f aca="false">J81*K81</f>
        <v>7.96195138480685</v>
      </c>
      <c r="M81" s="44" t="n">
        <f aca="false">Country_Data!$DW$15+Sector_Params!$E$11</f>
        <v>0.097755</v>
      </c>
      <c r="N81" s="44" t="n">
        <f aca="false">Country_Data!$DX$15+Sector_Params!$E$11</f>
        <v>0.142755</v>
      </c>
      <c r="O81" s="11" t="n">
        <f aca="false">IF(p_use_ibrd=1,p_r_ibrd,p_r_wb)</f>
        <v>0.06</v>
      </c>
      <c r="P81" s="45" t="n">
        <f aca="false">Sector_Params!$D$11</f>
        <v>30</v>
      </c>
      <c r="Q81" s="46" t="n">
        <f aca="false">M81/(1-(1+M81)^-P81)</f>
        <v>0.104097766052229</v>
      </c>
      <c r="R81" s="46" t="n">
        <f aca="false">N81/(1-(1+N81)^-P81)</f>
        <v>0.145409600526081</v>
      </c>
      <c r="S81" s="46" t="n">
        <f aca="false">O81/(1-(1+O81)^-P81)</f>
        <v>0.0726489114900472</v>
      </c>
      <c r="T81" s="37" t="n">
        <f aca="false">0*Sector_Params!$I$11</f>
        <v>0</v>
      </c>
      <c r="U81" s="37" t="n">
        <f aca="false">p_c*Sector_Params!$J$11</f>
        <v>0.129</v>
      </c>
      <c r="V81" s="37" t="n">
        <f aca="false">1000*p_r_wb/(1-(1+p_r_wb)^-Sector_Params!$D$11)/p_cpt_afolu</f>
        <v>1.45297822980094</v>
      </c>
      <c r="W81" s="16" t="n">
        <f aca="false">T81*L81</f>
        <v>0</v>
      </c>
      <c r="X81" s="16" t="n">
        <f aca="false">U81*L81</f>
        <v>1.02709172864008</v>
      </c>
      <c r="Y81" s="16" t="n">
        <f aca="false">V81*L81</f>
        <v>11.5685420288578</v>
      </c>
      <c r="Z81" s="16" t="n">
        <f aca="false">Q81*L81</f>
        <v>0.828821352574846</v>
      </c>
      <c r="AA81" s="16" t="n">
        <f aca="false">R81*L81</f>
        <v>1.15774417027284</v>
      </c>
      <c r="AB81" s="16" t="n">
        <f aca="false">S81*L81</f>
        <v>0.578427101442892</v>
      </c>
      <c r="AC81" s="16" t="n">
        <f aca="false">Z81-W81</f>
        <v>0.828821352574846</v>
      </c>
      <c r="AD81" s="16" t="n">
        <f aca="false">AA81-W81</f>
        <v>1.15774417027284</v>
      </c>
      <c r="AE81" s="16" t="n">
        <f aca="false">AB81-W81</f>
        <v>0.578427101442892</v>
      </c>
      <c r="AF81" s="16" t="n">
        <f aca="false">AE81-X81</f>
        <v>-0.448664627197192</v>
      </c>
      <c r="AG81" s="16" t="n">
        <f aca="false">AF81-p_spc_lo*Y81/1000</f>
        <v>-1.02709172864008</v>
      </c>
      <c r="AH81" s="16" t="n">
        <f aca="false">AF81-p_spc_hi*Y81/1000</f>
        <v>-1.60551883008298</v>
      </c>
      <c r="AI81" s="16" t="n">
        <f aca="false">Q81*J81</f>
        <v>3.45342230239519</v>
      </c>
      <c r="AJ81" s="16" t="n">
        <f aca="false">S81*J81</f>
        <v>2.41011292267872</v>
      </c>
      <c r="AK81" s="16" t="n">
        <f aca="false">T81*J81</f>
        <v>0</v>
      </c>
      <c r="AL81" s="16" t="n">
        <f aca="false">U81*J81</f>
        <v>4.27954886933368</v>
      </c>
      <c r="AM81" s="16" t="n">
        <f aca="false">AI81-AJ81</f>
        <v>1.04330937971648</v>
      </c>
      <c r="AN81" s="16" t="n">
        <f aca="false">J81*Country_Data!$EB$15</f>
        <v>38.0828496602063</v>
      </c>
      <c r="AO81" s="16" t="n">
        <f aca="false">L81*Country_Data!$EB$15</f>
        <v>9.13988391844951</v>
      </c>
    </row>
    <row r="82" customFormat="false" ht="15" hidden="false" customHeight="false" outlineLevel="0" collapsed="false">
      <c r="A82" s="14" t="str">
        <f aca="false">Country_Data!$A$16</f>
        <v>KOR</v>
      </c>
      <c r="B82" s="14" t="str">
        <f aca="false">Country_Data!$E$16</f>
        <v>AE</v>
      </c>
      <c r="C82" s="35" t="s">
        <v>466</v>
      </c>
      <c r="D82" s="37" t="n">
        <f aca="false">IF(Country_Data!$BZ$16="","",Country_Data!$BZ$16)</f>
        <v>632.972890258739</v>
      </c>
      <c r="E82" s="40" t="n">
        <f aca="false">Country_Data!$BW$16</f>
        <v>3254.39</v>
      </c>
      <c r="F82" s="41" t="n">
        <f aca="false">Country_Data!$BX$16</f>
        <v>0.576264061775018</v>
      </c>
      <c r="G82" s="42" t="n">
        <f aca="false">IF(D82="","",D82/SUMIFS($D$5:$D$1369,$B$5:$B$1369,B82,$C$5:$C$1369,C82))</f>
        <v>0.0646854286398517</v>
      </c>
      <c r="H82" s="42" t="n">
        <f aca="false">E82/SUMIFS($E$5:$E$1369,$B$5:$B$1369,B82,$C$5:$C$1369,C82)</f>
        <v>0.0412549425998155</v>
      </c>
      <c r="I82" s="43" t="n">
        <f aca="false">IF(G82="",H82,p_beta_alloc*G82+(1-p_beta_alloc)*H82)*F82^p_phi</f>
        <v>0.0402107582675245</v>
      </c>
      <c r="J82" s="16" t="n">
        <f aca="false">INDEX(Sector_Params!$C$16:$E$16,MATCH(B82,Sector_Params!$C$15:$E$15,0))*I82/SUMIFS($I$5:$I$1369,$B$5:$B$1369,B82,$C$5:$C$1369,C82)</f>
        <v>36.067253575115</v>
      </c>
      <c r="K82" s="28" t="n">
        <f aca="false">INDEX(Sector_Params!$F$5:$H$5,MATCH(B82,Sector_Params!$C$15:$E$15,0))</f>
        <v>0.38</v>
      </c>
      <c r="L82" s="16" t="n">
        <f aca="false">J82*K82</f>
        <v>13.7055563585437</v>
      </c>
      <c r="M82" s="44" t="n">
        <f aca="false">Country_Data!$DW$16+Sector_Params!$E$5</f>
        <v>0.055</v>
      </c>
      <c r="N82" s="44" t="n">
        <f aca="false">Country_Data!$DX$16+Sector_Params!$E$5</f>
        <v>0.07</v>
      </c>
      <c r="O82" s="11" t="n">
        <f aca="false">IF(p_use_ibrd=1,p_r_ibrd,p_r_wb)</f>
        <v>0.06</v>
      </c>
      <c r="P82" s="45" t="n">
        <f aca="false">Sector_Params!$D$5</f>
        <v>25</v>
      </c>
      <c r="Q82" s="46" t="n">
        <f aca="false">M82/(1-(1+M82)^-P82)</f>
        <v>0.0745493529464385</v>
      </c>
      <c r="R82" s="46" t="n">
        <f aca="false">N82/(1-(1+N82)^-P82)</f>
        <v>0.0858105172206656</v>
      </c>
      <c r="S82" s="46" t="n">
        <f aca="false">O82/(1-(1+O82)^-P82)</f>
        <v>0.078226718212274</v>
      </c>
      <c r="T82" s="37" t="n">
        <f aca="false">IF(AND(p_eng=1,ISNUMBER(Country_Data!$CZ$16)),Country_Data!$CZ$16,Country_Data!$CM$16)*Sector_Params!$I$5</f>
        <v>0.088439534617517</v>
      </c>
      <c r="U82" s="37" t="n">
        <f aca="false">IF(AND(p_eng=1,ISNUMBER(Country_Data!$DA$16)),Country_Data!$DA$16,Country_Data!$CN$16)*Sector_Params!$J$5</f>
        <v>0.0167344967520638</v>
      </c>
      <c r="V82" s="37" t="n">
        <f aca="false">IF(AND(p_eng=1,ISNUMBER(Country_Data!$DB$16)),Country_Data!$DB$16,p_a)</f>
        <v>0.966387498595388</v>
      </c>
      <c r="W82" s="16" t="n">
        <f aca="false">T82*L82</f>
        <v>1.21211302602376</v>
      </c>
      <c r="X82" s="16" t="n">
        <f aca="false">U82*L82</f>
        <v>0.229355588367278</v>
      </c>
      <c r="Y82" s="16" t="n">
        <f aca="false">V82*L82</f>
        <v>13.2448783261912</v>
      </c>
      <c r="Z82" s="16" t="n">
        <f aca="false">Q82*L82</f>
        <v>1.02174035830038</v>
      </c>
      <c r="AA82" s="16" t="n">
        <f aca="false">R82*L82</f>
        <v>1.17608087992362</v>
      </c>
      <c r="AB82" s="16" t="n">
        <f aca="false">S82*L82</f>
        <v>1.07214069520224</v>
      </c>
      <c r="AC82" s="16" t="n">
        <f aca="false">Z82-W82</f>
        <v>-0.190372667723377</v>
      </c>
      <c r="AD82" s="16" t="n">
        <f aca="false">AA82-W82</f>
        <v>-0.0360321461001385</v>
      </c>
      <c r="AE82" s="16" t="n">
        <f aca="false">AB82-W82</f>
        <v>-0.139972330821518</v>
      </c>
      <c r="AF82" s="16" t="n">
        <f aca="false">AE82-X82</f>
        <v>-0.369327919188796</v>
      </c>
      <c r="AG82" s="16" t="n">
        <f aca="false">AF82-p_spc_lo*Y82/1000</f>
        <v>-1.03157183549835</v>
      </c>
      <c r="AH82" s="16" t="n">
        <f aca="false">AF82-p_spc_hi*Y82/1000</f>
        <v>-1.69381575180791</v>
      </c>
      <c r="AI82" s="16" t="n">
        <f aca="false">Q82*J82</f>
        <v>2.68879041657995</v>
      </c>
      <c r="AJ82" s="16" t="n">
        <f aca="false">S82*J82</f>
        <v>2.82142288211116</v>
      </c>
      <c r="AK82" s="16" t="n">
        <f aca="false">T82*J82</f>
        <v>3.18977112111515</v>
      </c>
      <c r="AL82" s="16" t="n">
        <f aca="false">U82*J82</f>
        <v>0.603567337808626</v>
      </c>
      <c r="AM82" s="16" t="n">
        <f aca="false">AI82-AJ82</f>
        <v>-0.132632465531207</v>
      </c>
      <c r="AN82" s="16" t="n">
        <f aca="false">J82*Country_Data!$EB$16</f>
        <v>37.6840614939995</v>
      </c>
      <c r="AO82" s="16" t="n">
        <f aca="false">L82*Country_Data!$EB$16</f>
        <v>14.3199433677198</v>
      </c>
    </row>
    <row r="83" customFormat="false" ht="15" hidden="false" customHeight="false" outlineLevel="0" collapsed="false">
      <c r="A83" s="14" t="str">
        <f aca="false">Country_Data!$A$16</f>
        <v>KOR</v>
      </c>
      <c r="B83" s="14" t="str">
        <f aca="false">Country_Data!$E$16</f>
        <v>AE</v>
      </c>
      <c r="C83" s="35" t="s">
        <v>470</v>
      </c>
      <c r="D83" s="37" t="n">
        <f aca="false">IF(Country_Data!$BZ$16="","",Country_Data!$BZ$16)</f>
        <v>632.972890258739</v>
      </c>
      <c r="E83" s="40" t="n">
        <f aca="false">Country_Data!$BW$16</f>
        <v>3254.39</v>
      </c>
      <c r="F83" s="41" t="n">
        <f aca="false">Country_Data!$BX$16</f>
        <v>0.576264061775018</v>
      </c>
      <c r="G83" s="42" t="n">
        <f aca="false">IF(D83="","",D83/SUMIFS($D$5:$D$1369,$B$5:$B$1369,B83,$C$5:$C$1369,C83))</f>
        <v>0.0646854286398517</v>
      </c>
      <c r="H83" s="42" t="n">
        <f aca="false">E83/SUMIFS($E$5:$E$1369,$B$5:$B$1369,B83,$C$5:$C$1369,C83)</f>
        <v>0.0412549425998155</v>
      </c>
      <c r="I83" s="43" t="n">
        <f aca="false">IF(G83="",H83,p_beta_alloc*G83+(1-p_beta_alloc)*H83)*F83^p_phi</f>
        <v>0.0402107582675245</v>
      </c>
      <c r="J83" s="16" t="n">
        <f aca="false">INDEX(Sector_Params!$C$17:$E$17,MATCH(B83,Sector_Params!$C$15:$E$15,0))*I83/SUMIFS($I$5:$I$1369,$B$5:$B$1369,B83,$C$5:$C$1369,C83)</f>
        <v>24.731831022936</v>
      </c>
      <c r="K83" s="28" t="n">
        <f aca="false">INDEX(Sector_Params!$F$6:$H$6,MATCH(B83,Sector_Params!$C$15:$E$15,0))</f>
        <v>0.38</v>
      </c>
      <c r="L83" s="16" t="n">
        <f aca="false">J83*K83</f>
        <v>9.39809578871569</v>
      </c>
      <c r="M83" s="44" t="n">
        <f aca="false">Country_Data!$DW$16+Sector_Params!$E$6</f>
        <v>0.055</v>
      </c>
      <c r="N83" s="44" t="n">
        <f aca="false">Country_Data!$DX$16+Sector_Params!$E$6</f>
        <v>0.07</v>
      </c>
      <c r="O83" s="11" t="n">
        <f aca="false">IF(p_use_ibrd=1,p_r_ibrd,p_r_wb)</f>
        <v>0.06</v>
      </c>
      <c r="P83" s="45" t="n">
        <f aca="false">Sector_Params!$D$6</f>
        <v>40</v>
      </c>
      <c r="Q83" s="46" t="n">
        <f aca="false">M83/(1-(1+M83)^-P83)</f>
        <v>0.062320343360638</v>
      </c>
      <c r="R83" s="46" t="n">
        <f aca="false">N83/(1-(1+N83)^-P83)</f>
        <v>0.0750091388736103</v>
      </c>
      <c r="S83" s="46" t="n">
        <f aca="false">O83/(1-(1+O83)^-P83)</f>
        <v>0.0664615359206755</v>
      </c>
      <c r="T83" s="37" t="n">
        <f aca="false">p_grid_credit*IF(AND(p_eng=1,ISNUMBER(Country_Data!$CZ$16)),Country_Data!$CZ$16,Country_Data!$CM$16)*Sector_Params!$I$6</f>
        <v>0</v>
      </c>
      <c r="U83" s="37" t="n">
        <f aca="false">p_grid_credit*IF(AND(p_eng=1,ISNUMBER(Country_Data!$DA$16)),Country_Data!$DA$16,Country_Data!$CN$16)*Sector_Params!$J$6</f>
        <v>0</v>
      </c>
      <c r="V83" s="37" t="n">
        <f aca="false">p_grid_credit*IF(AND(p_eng=1,ISNUMBER(Country_Data!$DB$16)),Country_Data!$DB$16,p_a)</f>
        <v>0</v>
      </c>
      <c r="W83" s="16" t="n">
        <f aca="false">T83*L83</f>
        <v>0</v>
      </c>
      <c r="X83" s="16" t="n">
        <f aca="false">U83*L83</f>
        <v>0</v>
      </c>
      <c r="Y83" s="16" t="n">
        <f aca="false">V83*L83</f>
        <v>0</v>
      </c>
      <c r="Z83" s="16" t="n">
        <f aca="false">Q83*L83</f>
        <v>0.585692556488927</v>
      </c>
      <c r="AA83" s="16" t="n">
        <f aca="false">R83*L83</f>
        <v>0.704943072163268</v>
      </c>
      <c r="AB83" s="16" t="n">
        <f aca="false">S83*L83</f>
        <v>0.624611880847677</v>
      </c>
      <c r="AC83" s="16" t="n">
        <f aca="false">Z83-W83</f>
        <v>0.585692556488927</v>
      </c>
      <c r="AD83" s="16" t="n">
        <f aca="false">AA83-W83</f>
        <v>0.704943072163268</v>
      </c>
      <c r="AE83" s="16" t="n">
        <f aca="false">AB83-W83</f>
        <v>0.624611880847677</v>
      </c>
      <c r="AF83" s="16" t="n">
        <f aca="false">AE83-X83</f>
        <v>0.624611880847677</v>
      </c>
      <c r="AG83" s="16" t="n">
        <f aca="false">AF83-p_spc_lo*Y83/1000</f>
        <v>0.624611880847677</v>
      </c>
      <c r="AH83" s="16" t="n">
        <f aca="false">AF83-p_spc_hi*Y83/1000</f>
        <v>0.624611880847677</v>
      </c>
      <c r="AI83" s="16" t="n">
        <f aca="false">Q83*J83</f>
        <v>1.54129620128665</v>
      </c>
      <c r="AJ83" s="16" t="n">
        <f aca="false">S83*J83</f>
        <v>1.64371547591494</v>
      </c>
      <c r="AK83" s="16" t="n">
        <f aca="false">T83*J83</f>
        <v>0</v>
      </c>
      <c r="AL83" s="16" t="n">
        <f aca="false">U83*J83</f>
        <v>0</v>
      </c>
      <c r="AM83" s="16" t="n">
        <f aca="false">AI83-AJ83</f>
        <v>-0.102419274628289</v>
      </c>
      <c r="AN83" s="16" t="n">
        <f aca="false">J83*Country_Data!$EB$16</f>
        <v>25.8404993101711</v>
      </c>
      <c r="AO83" s="16" t="n">
        <f aca="false">L83*Country_Data!$EB$16</f>
        <v>9.81938973786502</v>
      </c>
    </row>
    <row r="84" customFormat="false" ht="15" hidden="false" customHeight="false" outlineLevel="0" collapsed="false">
      <c r="A84" s="14" t="str">
        <f aca="false">Country_Data!$A$16</f>
        <v>KOR</v>
      </c>
      <c r="B84" s="14" t="str">
        <f aca="false">Country_Data!$E$16</f>
        <v>AE</v>
      </c>
      <c r="C84" s="35" t="s">
        <v>473</v>
      </c>
      <c r="D84" s="37" t="n">
        <f aca="false">IF(Country_Data!$CA$16="","",Country_Data!$CA$16)</f>
        <v>1.86005127505033</v>
      </c>
      <c r="E84" s="40" t="n">
        <f aca="false">Country_Data!$BW$16</f>
        <v>3254.39</v>
      </c>
      <c r="F84" s="41" t="n">
        <f aca="false">Country_Data!$BX$16</f>
        <v>0.576264061775018</v>
      </c>
      <c r="G84" s="42" t="n">
        <f aca="false">IF(D84="","",D84/SUMIFS($D$5:$D$1369,$B$5:$B$1369,B84,$C$5:$C$1369,C84))</f>
        <v>0.0364123078618535</v>
      </c>
      <c r="H84" s="42" t="n">
        <f aca="false">E84/SUMIFS($E$5:$E$1369,$B$5:$B$1369,B84,$C$5:$C$1369,C84)</f>
        <v>0.0412549425998155</v>
      </c>
      <c r="I84" s="43" t="n">
        <f aca="false">IF(G84="",H84,p_beta_alloc*G84+(1-p_beta_alloc)*H84)*F84^p_phi</f>
        <v>0.0294794042825488</v>
      </c>
      <c r="J84" s="16" t="n">
        <f aca="false">INDEX(Sector_Params!$C$18:$E$18,MATCH(B84,Sector_Params!$C$15:$E$15,0))*I84/SUMIFS($I$5:$I$1369,$B$5:$B$1369,B84,$C$5:$C$1369,C84)</f>
        <v>11.1094066820765</v>
      </c>
      <c r="K84" s="28" t="n">
        <f aca="false">INDEX(Sector_Params!$F$7:$H$7,MATCH(B84,Sector_Params!$C$15:$E$15,0))</f>
        <v>0.38</v>
      </c>
      <c r="L84" s="16" t="n">
        <f aca="false">J84*K84</f>
        <v>4.22157453918907</v>
      </c>
      <c r="M84" s="44" t="n">
        <f aca="false">Country_Data!$DW$16+Sector_Params!$E$7</f>
        <v>0.055</v>
      </c>
      <c r="N84" s="44" t="n">
        <f aca="false">Country_Data!$DX$16+Sector_Params!$E$7</f>
        <v>0.07</v>
      </c>
      <c r="O84" s="11" t="n">
        <f aca="false">IF(p_use_ibrd=1,p_r_ibrd,p_r_wb)</f>
        <v>0.06</v>
      </c>
      <c r="P84" s="45" t="n">
        <f aca="false">Sector_Params!$D$7</f>
        <v>12</v>
      </c>
      <c r="Q84" s="46" t="n">
        <f aca="false">M84/(1-(1+M84)^-P84)</f>
        <v>0.116029231191614</v>
      </c>
      <c r="R84" s="46" t="n">
        <f aca="false">N84/(1-(1+N84)^-P84)</f>
        <v>0.12590198865502</v>
      </c>
      <c r="S84" s="46" t="n">
        <f aca="false">O84/(1-(1+O84)^-P84)</f>
        <v>0.119277029380664</v>
      </c>
      <c r="T84" s="37" t="n">
        <f aca="false">IF(AND(p_eng=1,ISNUMBER(Country_Data!$DE$16)),Country_Data!$DE$16,Country_Data!$CM$16)*Sector_Params!$I$7</f>
        <v>0.148266</v>
      </c>
      <c r="U84" s="37" t="n">
        <f aca="false">IF(AND(p_eng=1,ISNUMBER(Country_Data!$DF$16)),Country_Data!$DF$16,Country_Data!$CN$16)*Sector_Params!$J$7</f>
        <v>0.0108819</v>
      </c>
      <c r="V84" s="37" t="n">
        <f aca="false">IF(AND(p_eng=1,ISNUMBER(Country_Data!$DG$16)),Country_Data!$DG$16,p_a)</f>
        <v>0.306499565699741</v>
      </c>
      <c r="W84" s="16" t="n">
        <f aca="false">T84*L84</f>
        <v>0.625915970627407</v>
      </c>
      <c r="X84" s="16" t="n">
        <f aca="false">U84*L84</f>
        <v>0.0459387519780016</v>
      </c>
      <c r="Y84" s="16" t="n">
        <f aca="false">V84*L84</f>
        <v>1.29391076283053</v>
      </c>
      <c r="Z84" s="16" t="n">
        <f aca="false">Q84*L84</f>
        <v>0.489826048200202</v>
      </c>
      <c r="AA84" s="16" t="n">
        <f aca="false">R84*L84</f>
        <v>0.531504629739306</v>
      </c>
      <c r="AB84" s="16" t="n">
        <f aca="false">S84*L84</f>
        <v>0.503536870343516</v>
      </c>
      <c r="AC84" s="16" t="n">
        <f aca="false">Z84-W84</f>
        <v>-0.136089922427205</v>
      </c>
      <c r="AD84" s="16" t="n">
        <f aca="false">AA84-W84</f>
        <v>-0.0944113408881013</v>
      </c>
      <c r="AE84" s="16" t="n">
        <f aca="false">AB84-W84</f>
        <v>-0.122379100283891</v>
      </c>
      <c r="AF84" s="16" t="n">
        <f aca="false">AE84-X84</f>
        <v>-0.168317852261892</v>
      </c>
      <c r="AG84" s="16" t="n">
        <f aca="false">AF84-p_spc_lo*Y84/1000</f>
        <v>-0.233013390403419</v>
      </c>
      <c r="AH84" s="16" t="n">
        <f aca="false">AF84-p_spc_hi*Y84/1000</f>
        <v>-0.297708928544946</v>
      </c>
      <c r="AI84" s="16" t="n">
        <f aca="false">Q84*J84</f>
        <v>1.28901591631632</v>
      </c>
      <c r="AJ84" s="16" t="n">
        <f aca="false">S84*J84</f>
        <v>1.32509702721978</v>
      </c>
      <c r="AK84" s="16" t="n">
        <f aca="false">T84*J84</f>
        <v>1.64714729112476</v>
      </c>
      <c r="AL84" s="16" t="n">
        <f aca="false">U84*J84</f>
        <v>0.120891452573688</v>
      </c>
      <c r="AM84" s="16" t="n">
        <f aca="false">AI84-AJ84</f>
        <v>-0.0360811109034582</v>
      </c>
      <c r="AN84" s="16" t="n">
        <f aca="false">J84*Country_Data!$EB$16</f>
        <v>11.6074145678248</v>
      </c>
      <c r="AO84" s="16" t="n">
        <f aca="false">L84*Country_Data!$EB$16</f>
        <v>4.41081753577341</v>
      </c>
    </row>
    <row r="85" customFormat="false" ht="15" hidden="false" customHeight="false" outlineLevel="0" collapsed="false">
      <c r="A85" s="14" t="str">
        <f aca="false">Country_Data!$A$16</f>
        <v>KOR</v>
      </c>
      <c r="B85" s="14" t="str">
        <f aca="false">Country_Data!$E$16</f>
        <v>AE</v>
      </c>
      <c r="C85" s="35" t="s">
        <v>477</v>
      </c>
      <c r="D85" s="37" t="n">
        <f aca="false">IF(Country_Data!$CB$16="","",Country_Data!$CB$16)</f>
        <v>1.56770115298677</v>
      </c>
      <c r="E85" s="40" t="n">
        <f aca="false">Country_Data!$BW$16</f>
        <v>3254.39</v>
      </c>
      <c r="F85" s="41" t="n">
        <f aca="false">Country_Data!$BX$16</f>
        <v>0.576264061775018</v>
      </c>
      <c r="G85" s="42" t="n">
        <f aca="false">IF(D85="","",D85/SUMIFS($D$5:$D$1369,$B$5:$B$1369,B85,$C$5:$C$1369,C85))</f>
        <v>0.0403136030560352</v>
      </c>
      <c r="H85" s="42" t="n">
        <f aca="false">E85/SUMIFS($E$5:$E$1369,$B$5:$B$1369,B85,$C$5:$C$1369,C85)</f>
        <v>0.0412549425998155</v>
      </c>
      <c r="I85" s="43" t="n">
        <f aca="false">IF(G85="",H85,p_beta_alloc*G85+(1-p_beta_alloc)*H85)*F85^p_phi</f>
        <v>0.0309601810265589</v>
      </c>
      <c r="J85" s="16" t="n">
        <f aca="false">INDEX(Sector_Params!$C$19:$E$19,MATCH(B85,Sector_Params!$C$15:$E$15,0))*I85/SUMIFS($I$5:$I$1369,$B$5:$B$1369,B85,$C$5:$C$1369,C85)</f>
        <v>9.10095937976671</v>
      </c>
      <c r="K85" s="28" t="n">
        <f aca="false">INDEX(Sector_Params!$F$8:$H$8,MATCH(B85,Sector_Params!$C$15:$E$15,0))</f>
        <v>0.38</v>
      </c>
      <c r="L85" s="16" t="n">
        <f aca="false">J85*K85</f>
        <v>3.45836456431135</v>
      </c>
      <c r="M85" s="44" t="n">
        <f aca="false">Country_Data!$DW$16+Sector_Params!$E$8</f>
        <v>0.055</v>
      </c>
      <c r="N85" s="44" t="n">
        <f aca="false">Country_Data!$DX$16+Sector_Params!$E$8</f>
        <v>0.07</v>
      </c>
      <c r="O85" s="11" t="n">
        <f aca="false">IF(p_use_ibrd=1,p_r_ibrd,p_r_wb)</f>
        <v>0.06</v>
      </c>
      <c r="P85" s="45" t="n">
        <f aca="false">Sector_Params!$D$8</f>
        <v>25</v>
      </c>
      <c r="Q85" s="46" t="n">
        <f aca="false">M85/(1-(1+M85)^-P85)</f>
        <v>0.0745493529464385</v>
      </c>
      <c r="R85" s="46" t="n">
        <f aca="false">N85/(1-(1+N85)^-P85)</f>
        <v>0.0858105172206656</v>
      </c>
      <c r="S85" s="46" t="n">
        <f aca="false">O85/(1-(1+O85)^-P85)</f>
        <v>0.078226718212274</v>
      </c>
      <c r="T85" s="37" t="n">
        <f aca="false">Country_Data!$CM$16*Sector_Params!$I$8</f>
        <v>0.125630988715841</v>
      </c>
      <c r="U85" s="37" t="n">
        <f aca="false">Country_Data!$CN$16*Sector_Params!$J$8</f>
        <v>0.0897189423473319</v>
      </c>
      <c r="V85" s="37" t="n">
        <f aca="false">p_a</f>
        <v>0.35</v>
      </c>
      <c r="W85" s="16" t="n">
        <f aca="false">T85*L85</f>
        <v>0.434477759554262</v>
      </c>
      <c r="X85" s="16" t="n">
        <f aca="false">U85*L85</f>
        <v>0.310280810961505</v>
      </c>
      <c r="Y85" s="16" t="n">
        <f aca="false">V85*L85</f>
        <v>1.21042759750897</v>
      </c>
      <c r="Z85" s="16" t="n">
        <f aca="false">Q85*L85</f>
        <v>0.257818840522303</v>
      </c>
      <c r="AA85" s="16" t="n">
        <f aca="false">R85*L85</f>
        <v>0.296764052001179</v>
      </c>
      <c r="AB85" s="16" t="n">
        <f aca="false">S85*L85</f>
        <v>0.270536510247697</v>
      </c>
      <c r="AC85" s="16" t="n">
        <f aca="false">Z85-W85</f>
        <v>-0.176658919031959</v>
      </c>
      <c r="AD85" s="16" t="n">
        <f aca="false">AA85-W85</f>
        <v>-0.137713707553083</v>
      </c>
      <c r="AE85" s="16" t="n">
        <f aca="false">AB85-W85</f>
        <v>-0.163941249306564</v>
      </c>
      <c r="AF85" s="16" t="n">
        <f aca="false">AE85-X85</f>
        <v>-0.47422206026807</v>
      </c>
      <c r="AG85" s="16" t="n">
        <f aca="false">AF85-p_spc_lo*Y85/1000</f>
        <v>-0.534743440143518</v>
      </c>
      <c r="AH85" s="16" t="n">
        <f aca="false">AF85-p_spc_hi*Y85/1000</f>
        <v>-0.595264820018967</v>
      </c>
      <c r="AI85" s="16" t="n">
        <f aca="false">Q85*J85</f>
        <v>0.678470632953428</v>
      </c>
      <c r="AJ85" s="16" t="n">
        <f aca="false">S85*J85</f>
        <v>0.711938184862362</v>
      </c>
      <c r="AK85" s="16" t="n">
        <f aca="false">T85*J85</f>
        <v>1.14336252514279</v>
      </c>
      <c r="AL85" s="16" t="n">
        <f aca="false">U85*J85</f>
        <v>0.816528449898698</v>
      </c>
      <c r="AM85" s="16" t="n">
        <f aca="false">AI85-AJ85</f>
        <v>-0.0334675519089331</v>
      </c>
      <c r="AN85" s="16" t="n">
        <f aca="false">J85*Country_Data!$EB$16</f>
        <v>9.50893342092866</v>
      </c>
      <c r="AO85" s="16" t="n">
        <f aca="false">L85*Country_Data!$EB$16</f>
        <v>3.61339469995289</v>
      </c>
    </row>
    <row r="86" customFormat="false" ht="15" hidden="false" customHeight="false" outlineLevel="0" collapsed="false">
      <c r="A86" s="14" t="str">
        <f aca="false">Country_Data!$A$16</f>
        <v>KOR</v>
      </c>
      <c r="B86" s="14" t="str">
        <f aca="false">Country_Data!$E$16</f>
        <v>AE</v>
      </c>
      <c r="C86" s="35" t="s">
        <v>481</v>
      </c>
      <c r="D86" s="37" t="n">
        <f aca="false">IF(Country_Data!$CC$16="","",Country_Data!$CC$16)</f>
        <v>4.07601018356172</v>
      </c>
      <c r="E86" s="40" t="n">
        <f aca="false">Country_Data!$BW$16</f>
        <v>3254.39</v>
      </c>
      <c r="F86" s="41" t="n">
        <f aca="false">Country_Data!$BX$16</f>
        <v>0.576264061775018</v>
      </c>
      <c r="G86" s="42" t="n">
        <f aca="false">IF(D86="","",D86/SUMIFS($D$5:$D$1369,$B$5:$B$1369,B86,$C$5:$C$1369,C86))</f>
        <v>0.0742154350652164</v>
      </c>
      <c r="H86" s="42" t="n">
        <f aca="false">E86/SUMIFS($E$5:$E$1369,$B$5:$B$1369,B86,$C$5:$C$1369,C86)</f>
        <v>0.0412549425998155</v>
      </c>
      <c r="I86" s="43" t="n">
        <f aca="false">IF(G86="",H86,p_beta_alloc*G86+(1-p_beta_alloc)*H86)*F86^p_phi</f>
        <v>0.0438279702913654</v>
      </c>
      <c r="J86" s="16" t="n">
        <f aca="false">INDEX(Sector_Params!$C$20:$E$20,MATCH(B86,Sector_Params!$C$15:$E$15,0))*I86/SUMIFS($I$5:$I$1369,$B$5:$B$1369,B86,$C$5:$C$1369,C86)</f>
        <v>7.44274984777333</v>
      </c>
      <c r="K86" s="28" t="n">
        <f aca="false">INDEX(Sector_Params!$F$9:$H$9,MATCH(B86,Sector_Params!$C$15:$E$15,0))</f>
        <v>0.38</v>
      </c>
      <c r="L86" s="16" t="n">
        <f aca="false">J86*K86</f>
        <v>2.82824494215387</v>
      </c>
      <c r="M86" s="44" t="n">
        <f aca="false">Country_Data!$DW$16+Sector_Params!$E$9</f>
        <v>0.055</v>
      </c>
      <c r="N86" s="44" t="n">
        <f aca="false">Country_Data!$DX$16+Sector_Params!$E$9</f>
        <v>0.07</v>
      </c>
      <c r="O86" s="11" t="n">
        <f aca="false">IF(p_use_ibrd=1,p_r_ibrd,p_r_wb)</f>
        <v>0.06</v>
      </c>
      <c r="P86" s="45" t="n">
        <f aca="false">Sector_Params!$D$9</f>
        <v>25</v>
      </c>
      <c r="Q86" s="46" t="n">
        <f aca="false">M86/(1-(1+M86)^-P86)</f>
        <v>0.0745493529464385</v>
      </c>
      <c r="R86" s="46" t="n">
        <f aca="false">N86/(1-(1+N86)^-P86)</f>
        <v>0.0858105172206656</v>
      </c>
      <c r="S86" s="46" t="n">
        <f aca="false">O86/(1-(1+O86)^-P86)</f>
        <v>0.078226718212274</v>
      </c>
      <c r="T86" s="37" t="n">
        <f aca="false">Country_Data!$CM$16*Sector_Params!$I$9</f>
        <v>0.125630988715841</v>
      </c>
      <c r="U86" s="37" t="n">
        <f aca="false">Country_Data!$CN$16*Sector_Params!$J$9</f>
        <v>0.0897189423473319</v>
      </c>
      <c r="V86" s="37" t="n">
        <f aca="false">p_a</f>
        <v>0.35</v>
      </c>
      <c r="W86" s="16" t="n">
        <f aca="false">T86*L86</f>
        <v>0.355315208413365</v>
      </c>
      <c r="X86" s="16" t="n">
        <f aca="false">U86*L86</f>
        <v>0.253747144909236</v>
      </c>
      <c r="Y86" s="16" t="n">
        <f aca="false">V86*L86</f>
        <v>0.989885729753853</v>
      </c>
      <c r="Z86" s="16" t="n">
        <f aca="false">Q86*L86</f>
        <v>0.210843830411608</v>
      </c>
      <c r="AA86" s="16" t="n">
        <f aca="false">R86*L86</f>
        <v>0.242693161312955</v>
      </c>
      <c r="AB86" s="16" t="n">
        <f aca="false">S86*L86</f>
        <v>0.22124432012516</v>
      </c>
      <c r="AC86" s="16" t="n">
        <f aca="false">Z86-W86</f>
        <v>-0.144471378001757</v>
      </c>
      <c r="AD86" s="16" t="n">
        <f aca="false">AA86-W86</f>
        <v>-0.112622047100411</v>
      </c>
      <c r="AE86" s="16" t="n">
        <f aca="false">AB86-W86</f>
        <v>-0.134070888288206</v>
      </c>
      <c r="AF86" s="16" t="n">
        <f aca="false">AE86-X86</f>
        <v>-0.387818033197442</v>
      </c>
      <c r="AG86" s="16" t="n">
        <f aca="false">AF86-p_spc_lo*Y86/1000</f>
        <v>-0.437312319685134</v>
      </c>
      <c r="AH86" s="16" t="n">
        <f aca="false">AF86-p_spc_hi*Y86/1000</f>
        <v>-0.486806606172827</v>
      </c>
      <c r="AI86" s="16" t="n">
        <f aca="false">Q86*J86</f>
        <v>0.554852185293706</v>
      </c>
      <c r="AJ86" s="16" t="n">
        <f aca="false">S86*J86</f>
        <v>0.582221895066209</v>
      </c>
      <c r="AK86" s="16" t="n">
        <f aca="false">T86*J86</f>
        <v>0.935040022140435</v>
      </c>
      <c r="AL86" s="16" t="n">
        <f aca="false">U86*J86</f>
        <v>0.667755644497989</v>
      </c>
      <c r="AM86" s="16" t="n">
        <f aca="false">AI86-AJ86</f>
        <v>-0.0273697097725035</v>
      </c>
      <c r="AN86" s="16" t="n">
        <f aca="false">J86*Country_Data!$EB$16</f>
        <v>7.77639035819076</v>
      </c>
      <c r="AO86" s="16" t="n">
        <f aca="false">L86*Country_Data!$EB$16</f>
        <v>2.95502833611249</v>
      </c>
    </row>
    <row r="87" customFormat="false" ht="15" hidden="false" customHeight="false" outlineLevel="0" collapsed="false">
      <c r="A87" s="14" t="str">
        <f aca="false">Country_Data!$A$16</f>
        <v>KOR</v>
      </c>
      <c r="B87" s="14" t="str">
        <f aca="false">Country_Data!$E$16</f>
        <v>AE</v>
      </c>
      <c r="C87" s="35" t="s">
        <v>484</v>
      </c>
      <c r="D87" s="37" t="n">
        <f aca="false">IF(Country_Data!$CD$16="","",Country_Data!$CD$16)</f>
        <v>8.06663057160115</v>
      </c>
      <c r="E87" s="40" t="n">
        <f aca="false">Country_Data!$BW$16</f>
        <v>3254.39</v>
      </c>
      <c r="F87" s="41" t="n">
        <f aca="false">Country_Data!$BX$16</f>
        <v>0.576264061775018</v>
      </c>
      <c r="G87" s="42" t="n">
        <f aca="false">IF(D87="","",D87/SUMIFS($D$5:$D$1369,$B$5:$B$1369,B87,$C$5:$C$1369,C87))</f>
        <v>0.0545779561875708</v>
      </c>
      <c r="H87" s="42" t="n">
        <f aca="false">E87/SUMIFS($E$5:$E$1369,$B$5:$B$1369,B87,$C$5:$C$1369,C87)</f>
        <v>0.0412549425998155</v>
      </c>
      <c r="I87" s="43" t="n">
        <f aca="false">IF(G87="",H87,p_beta_alloc*G87+(1-p_beta_alloc)*H87)*F87^p_phi</f>
        <v>0.0363743630697498</v>
      </c>
      <c r="J87" s="16" t="n">
        <f aca="false">INDEX(Sector_Params!$C$21:$E$21,MATCH(B87,Sector_Params!$C$15:$E$15,0))*I87/SUMIFS($I$5:$I$1369,$B$5:$B$1369,B87,$C$5:$C$1369,C87)</f>
        <v>7.41126686297674</v>
      </c>
      <c r="K87" s="28" t="n">
        <f aca="false">INDEX(Sector_Params!$F$10:$H$10,MATCH(B87,Sector_Params!$C$15:$E$15,0))</f>
        <v>0.38</v>
      </c>
      <c r="L87" s="16" t="n">
        <f aca="false">J87*K87</f>
        <v>2.81628140793116</v>
      </c>
      <c r="M87" s="44" t="n">
        <f aca="false">Country_Data!$DW$16+Sector_Params!$E$10</f>
        <v>0.055</v>
      </c>
      <c r="N87" s="44" t="n">
        <f aca="false">Country_Data!$DX$16+Sector_Params!$E$10</f>
        <v>0.07</v>
      </c>
      <c r="O87" s="11" t="n">
        <f aca="false">IF(p_use_ibrd=1,p_r_ibrd,p_r_wb)</f>
        <v>0.06</v>
      </c>
      <c r="P87" s="45" t="n">
        <f aca="false">Sector_Params!$D$10</f>
        <v>20</v>
      </c>
      <c r="Q87" s="46" t="n">
        <f aca="false">M87/(1-(1+M87)^-P87)</f>
        <v>0.0836793300349332</v>
      </c>
      <c r="R87" s="46" t="n">
        <f aca="false">N87/(1-(1+N87)^-P87)</f>
        <v>0.0943929257432557</v>
      </c>
      <c r="S87" s="46" t="n">
        <f aca="false">O87/(1-(1+O87)^-P87)</f>
        <v>0.0871845569768514</v>
      </c>
      <c r="T87" s="37" t="n">
        <f aca="false">0*Sector_Params!$I$10</f>
        <v>0</v>
      </c>
      <c r="U87" s="37" t="n">
        <f aca="false">0*Sector_Params!$J$10</f>
        <v>0</v>
      </c>
      <c r="V87" s="37" t="n">
        <f aca="false">1000*p_r_wb/(1-(1+p_r_wb)^-Sector_Params!$D$10)/p_cpt_fuel</f>
        <v>0.871845569768514</v>
      </c>
      <c r="W87" s="16" t="n">
        <f aca="false">T87*L87</f>
        <v>0</v>
      </c>
      <c r="X87" s="16" t="n">
        <f aca="false">U87*L87</f>
        <v>0</v>
      </c>
      <c r="Y87" s="16" t="n">
        <f aca="false">V87*L87</f>
        <v>2.45536246872622</v>
      </c>
      <c r="Z87" s="16" t="n">
        <f aca="false">Q87*L87</f>
        <v>0.235664541405518</v>
      </c>
      <c r="AA87" s="16" t="n">
        <f aca="false">R87*L87</f>
        <v>0.265837041810958</v>
      </c>
      <c r="AB87" s="16" t="n">
        <f aca="false">S87*L87</f>
        <v>0.245536246872622</v>
      </c>
      <c r="AC87" s="16" t="n">
        <f aca="false">Z87-W87</f>
        <v>0.235664541405518</v>
      </c>
      <c r="AD87" s="16" t="n">
        <f aca="false">AA87-W87</f>
        <v>0.265837041810958</v>
      </c>
      <c r="AE87" s="16" t="n">
        <f aca="false">AB87-W87</f>
        <v>0.245536246872622</v>
      </c>
      <c r="AF87" s="16" t="n">
        <f aca="false">AE87-X87</f>
        <v>0.245536246872622</v>
      </c>
      <c r="AG87" s="16" t="n">
        <f aca="false">AF87-p_spc_lo*Y87/1000</f>
        <v>0.122768123436311</v>
      </c>
      <c r="AH87" s="16" t="n">
        <f aca="false">AF87-p_spc_hi*Y87/1000</f>
        <v>0</v>
      </c>
      <c r="AI87" s="16" t="n">
        <f aca="false">Q87*J87</f>
        <v>0.620169845803995</v>
      </c>
      <c r="AJ87" s="16" t="n">
        <f aca="false">S87*J87</f>
        <v>0.646148018085846</v>
      </c>
      <c r="AK87" s="16" t="n">
        <f aca="false">T87*J87</f>
        <v>0</v>
      </c>
      <c r="AL87" s="16" t="n">
        <f aca="false">U87*J87</f>
        <v>0</v>
      </c>
      <c r="AM87" s="16" t="n">
        <f aca="false">AI87-AJ87</f>
        <v>-0.0259781722818515</v>
      </c>
      <c r="AN87" s="16" t="n">
        <f aca="false">J87*Country_Data!$EB$16</f>
        <v>7.74349606717914</v>
      </c>
      <c r="AO87" s="16" t="n">
        <f aca="false">L87*Country_Data!$EB$16</f>
        <v>2.94252850552807</v>
      </c>
    </row>
    <row r="88" customFormat="false" ht="15" hidden="false" customHeight="false" outlineLevel="0" collapsed="false">
      <c r="A88" s="14" t="str">
        <f aca="false">Country_Data!$A$16</f>
        <v>KOR</v>
      </c>
      <c r="B88" s="14" t="str">
        <f aca="false">Country_Data!$E$16</f>
        <v>AE</v>
      </c>
      <c r="C88" s="35" t="s">
        <v>488</v>
      </c>
      <c r="D88" s="37" t="n">
        <f aca="false">IF(Country_Data!$CE$16="","",Country_Data!$CE$16)</f>
        <v>92.751</v>
      </c>
      <c r="E88" s="40" t="n">
        <f aca="false">Country_Data!$BW$16</f>
        <v>3254.39</v>
      </c>
      <c r="F88" s="41" t="n">
        <f aca="false">Country_Data!$BX$16</f>
        <v>0.576264061775018</v>
      </c>
      <c r="G88" s="42" t="n">
        <f aca="false">IF(D88="","",D88/SUMIFS($D$5:$D$1369,$B$5:$B$1369,B88,$C$5:$C$1369,C88))</f>
        <v>0.0353974431681572</v>
      </c>
      <c r="H88" s="42" t="n">
        <f aca="false">E88/SUMIFS($E$5:$E$1369,$B$5:$B$1369,B88,$C$5:$C$1369,C88)</f>
        <v>0.0412549425998155</v>
      </c>
      <c r="I88" s="43" t="n">
        <f aca="false">IF(G88="",H88,p_beta_alloc*G88+(1-p_beta_alloc)*H88)*F88^p_phi</f>
        <v>0.0290942019428274</v>
      </c>
      <c r="J88" s="16" t="n">
        <f aca="false">INDEX(Sector_Params!$C$22:$E$22,MATCH(B88,Sector_Params!$C$15:$E$15,0))*I88/SUMIFS($I$5:$I$1369,$B$5:$B$1369,B88,$C$5:$C$1369,C88)</f>
        <v>1.12733115895189</v>
      </c>
      <c r="K88" s="28" t="n">
        <f aca="false">INDEX(Sector_Params!$F$11:$H$11,MATCH(B88,Sector_Params!$C$15:$E$15,0))</f>
        <v>0.38</v>
      </c>
      <c r="L88" s="16" t="n">
        <f aca="false">J88*K88</f>
        <v>0.428385840401718</v>
      </c>
      <c r="M88" s="44" t="n">
        <f aca="false">Country_Data!$DW$16+Sector_Params!$E$11</f>
        <v>0.055</v>
      </c>
      <c r="N88" s="44" t="n">
        <f aca="false">Country_Data!$DX$16+Sector_Params!$E$11</f>
        <v>0.07</v>
      </c>
      <c r="O88" s="11" t="n">
        <f aca="false">IF(p_use_ibrd=1,p_r_ibrd,p_r_wb)</f>
        <v>0.06</v>
      </c>
      <c r="P88" s="45" t="n">
        <f aca="false">Sector_Params!$D$11</f>
        <v>30</v>
      </c>
      <c r="Q88" s="46" t="n">
        <f aca="false">M88/(1-(1+M88)^-P88)</f>
        <v>0.0688053896793896</v>
      </c>
      <c r="R88" s="46" t="n">
        <f aca="false">N88/(1-(1+N88)^-P88)</f>
        <v>0.0805864035111112</v>
      </c>
      <c r="S88" s="46" t="n">
        <f aca="false">O88/(1-(1+O88)^-P88)</f>
        <v>0.0726489114900472</v>
      </c>
      <c r="T88" s="37" t="n">
        <f aca="false">0*Sector_Params!$I$11</f>
        <v>0</v>
      </c>
      <c r="U88" s="37" t="n">
        <f aca="false">p_c*Sector_Params!$J$11</f>
        <v>0.129</v>
      </c>
      <c r="V88" s="37" t="n">
        <f aca="false">1000*p_r_wb/(1-(1+p_r_wb)^-Sector_Params!$D$11)/p_cpt_afolu</f>
        <v>1.45297822980094</v>
      </c>
      <c r="W88" s="16" t="n">
        <f aca="false">T88*L88</f>
        <v>0</v>
      </c>
      <c r="X88" s="16" t="n">
        <f aca="false">U88*L88</f>
        <v>0.0552617734118216</v>
      </c>
      <c r="Y88" s="16" t="n">
        <f aca="false">V88*L88</f>
        <v>0.622435300058677</v>
      </c>
      <c r="Z88" s="16" t="n">
        <f aca="false">Q88*L88</f>
        <v>0.029475254681973</v>
      </c>
      <c r="AA88" s="16" t="n">
        <f aca="false">R88*L88</f>
        <v>0.0345220741930593</v>
      </c>
      <c r="AB88" s="16" t="n">
        <f aca="false">S88*L88</f>
        <v>0.0311217650029339</v>
      </c>
      <c r="AC88" s="16" t="n">
        <f aca="false">Z88-W88</f>
        <v>0.029475254681973</v>
      </c>
      <c r="AD88" s="16" t="n">
        <f aca="false">AA88-W88</f>
        <v>0.0345220741930593</v>
      </c>
      <c r="AE88" s="16" t="n">
        <f aca="false">AB88-W88</f>
        <v>0.0311217650029339</v>
      </c>
      <c r="AF88" s="16" t="n">
        <f aca="false">AE88-X88</f>
        <v>-0.0241400084088877</v>
      </c>
      <c r="AG88" s="16" t="n">
        <f aca="false">AF88-p_spc_lo*Y88/1000</f>
        <v>-0.0552617734118216</v>
      </c>
      <c r="AH88" s="16" t="n">
        <f aca="false">AF88-p_spc_hi*Y88/1000</f>
        <v>-0.0863835384147554</v>
      </c>
      <c r="AI88" s="16" t="n">
        <f aca="false">Q88*J88</f>
        <v>0.0775664596894026</v>
      </c>
      <c r="AJ88" s="16" t="n">
        <f aca="false">S88*J88</f>
        <v>0.0818993815866681</v>
      </c>
      <c r="AK88" s="16" t="n">
        <f aca="false">T88*J88</f>
        <v>0</v>
      </c>
      <c r="AL88" s="16" t="n">
        <f aca="false">U88*J88</f>
        <v>0.145425719504794</v>
      </c>
      <c r="AM88" s="16" t="n">
        <f aca="false">AI88-AJ88</f>
        <v>-0.00433292189726552</v>
      </c>
      <c r="AN88" s="16" t="n">
        <f aca="false">J88*Country_Data!$EB$16</f>
        <v>1.17786669366352</v>
      </c>
      <c r="AO88" s="16" t="n">
        <f aca="false">L88*Country_Data!$EB$16</f>
        <v>0.447589343592139</v>
      </c>
    </row>
    <row r="89" customFormat="false" ht="15" hidden="false" customHeight="false" outlineLevel="0" collapsed="false">
      <c r="A89" s="14" t="str">
        <f aca="false">Country_Data!$A$17</f>
        <v>MEX</v>
      </c>
      <c r="B89" s="14" t="str">
        <f aca="false">Country_Data!$E$17</f>
        <v>EMDC</v>
      </c>
      <c r="C89" s="35" t="s">
        <v>466</v>
      </c>
      <c r="D89" s="37" t="n">
        <f aca="false">IF(Country_Data!$BZ$17="","",Country_Data!$BZ$17)</f>
        <v>301.936003318766</v>
      </c>
      <c r="E89" s="40" t="n">
        <f aca="false">Country_Data!$BW$17</f>
        <v>3312.004</v>
      </c>
      <c r="F89" s="41" t="n">
        <f aca="false">Country_Data!$BX$17</f>
        <v>0.552683209319796</v>
      </c>
      <c r="G89" s="42" t="n">
        <f aca="false">IF(D89="","",D89/SUMIFS($D$5:$D$1369,$B$5:$B$1369,B89,$C$5:$C$1369,C89))</f>
        <v>0.0344696589018104</v>
      </c>
      <c r="H89" s="42" t="n">
        <f aca="false">E89/SUMIFS($E$5:$E$1369,$B$5:$B$1369,B89,$C$5:$C$1369,C89)</f>
        <v>0.0410247301283297</v>
      </c>
      <c r="I89" s="43" t="n">
        <f aca="false">IF(G89="",H89,p_beta_alloc*G89+(1-p_beta_alloc)*H89)*F89^p_phi</f>
        <v>0.0280622710098097</v>
      </c>
      <c r="J89" s="16" t="n">
        <f aca="false">INDEX(Sector_Params!$C$16:$E$16,MATCH(B89,Sector_Params!$C$15:$E$15,0))*I89/SUMIFS($I$5:$I$1369,$B$5:$B$1369,B89,$C$5:$C$1369,C89)</f>
        <v>27.1425399605962</v>
      </c>
      <c r="K89" s="28" t="n">
        <f aca="false">INDEX(Sector_Params!$F$5:$H$5,MATCH(B89,Sector_Params!$C$15:$E$15,0))</f>
        <v>0.24</v>
      </c>
      <c r="L89" s="16" t="n">
        <f aca="false">J89*K89</f>
        <v>6.51420959054308</v>
      </c>
      <c r="M89" s="44" t="n">
        <f aca="false">Country_Data!$DW$17+Sector_Params!$E$5</f>
        <v>0.11</v>
      </c>
      <c r="N89" s="44" t="n">
        <f aca="false">Country_Data!$DX$17+Sector_Params!$E$5</f>
        <v>0.155</v>
      </c>
      <c r="O89" s="11" t="n">
        <f aca="false">IF(p_use_ibrd=1,p_r_ibrd,p_r_wb)</f>
        <v>0.06</v>
      </c>
      <c r="P89" s="45" t="n">
        <f aca="false">Sector_Params!$D$5</f>
        <v>25</v>
      </c>
      <c r="Q89" s="46" t="n">
        <f aca="false">M89/(1-(1+M89)^-P89)</f>
        <v>0.118740242054056</v>
      </c>
      <c r="R89" s="46" t="n">
        <f aca="false">N89/(1-(1+N89)^-P89)</f>
        <v>0.159342933738041</v>
      </c>
      <c r="S89" s="46" t="n">
        <f aca="false">O89/(1-(1+O89)^-P89)</f>
        <v>0.078226718212274</v>
      </c>
      <c r="T89" s="37" t="n">
        <f aca="false">IF(AND(p_eng=1,ISNUMBER(Country_Data!$CZ$17)),Country_Data!$CZ$17,Country_Data!$CM$17)*Sector_Params!$I$5</f>
        <v>0.0681908403490584</v>
      </c>
      <c r="U89" s="37" t="n">
        <f aca="false">IF(AND(p_eng=1,ISNUMBER(Country_Data!$DA$17)),Country_Data!$DA$17,Country_Data!$CN$17)*Sector_Params!$J$5</f>
        <v>0.0255389923289886</v>
      </c>
      <c r="V89" s="37" t="n">
        <f aca="false">IF(AND(p_eng=1,ISNUMBER(Country_Data!$DB$17)),Country_Data!$DB$17,p_a)</f>
        <v>0.838811437030274</v>
      </c>
      <c r="W89" s="16" t="n">
        <f aca="false">T89*L89</f>
        <v>0.444209426189028</v>
      </c>
      <c r="X89" s="16" t="n">
        <f aca="false">U89*L89</f>
        <v>0.166366348762304</v>
      </c>
      <c r="Y89" s="16" t="n">
        <f aca="false">V89*L89</f>
        <v>5.46419350775983</v>
      </c>
      <c r="Z89" s="16" t="n">
        <f aca="false">Q89*L89</f>
        <v>0.773498823571936</v>
      </c>
      <c r="AA89" s="16" t="n">
        <f aca="false">R89*L89</f>
        <v>1.03799326714162</v>
      </c>
      <c r="AB89" s="16" t="n">
        <f aca="false">S89*L89</f>
        <v>0.509585238015106</v>
      </c>
      <c r="AC89" s="16" t="n">
        <f aca="false">Z89-W89</f>
        <v>0.329289397382907</v>
      </c>
      <c r="AD89" s="16" t="n">
        <f aca="false">AA89-W89</f>
        <v>0.59378384095259</v>
      </c>
      <c r="AE89" s="16" t="n">
        <f aca="false">AB89-W89</f>
        <v>0.0653758118260774</v>
      </c>
      <c r="AF89" s="16" t="n">
        <f aca="false">AE89-X89</f>
        <v>-0.100990536936226</v>
      </c>
      <c r="AG89" s="16" t="n">
        <f aca="false">AF89-p_spc_lo*Y89/1000</f>
        <v>-0.374200212324218</v>
      </c>
      <c r="AH89" s="16" t="n">
        <f aca="false">AF89-p_spc_hi*Y89/1000</f>
        <v>-0.647409887712209</v>
      </c>
      <c r="AI89" s="16" t="n">
        <f aca="false">Q89*J89</f>
        <v>3.22291176488307</v>
      </c>
      <c r="AJ89" s="16" t="n">
        <f aca="false">S89*J89</f>
        <v>2.12327182506294</v>
      </c>
      <c r="AK89" s="16" t="n">
        <f aca="false">T89*J89</f>
        <v>1.85087260912095</v>
      </c>
      <c r="AL89" s="16" t="n">
        <f aca="false">U89*J89</f>
        <v>0.693193119842932</v>
      </c>
      <c r="AM89" s="16" t="n">
        <f aca="false">AI89-AJ89</f>
        <v>1.09963993982012</v>
      </c>
      <c r="AN89" s="16" t="n">
        <f aca="false">J89*Country_Data!$EB$17</f>
        <v>31.1581486123008</v>
      </c>
      <c r="AO89" s="16" t="n">
        <f aca="false">L89*Country_Data!$EB$17</f>
        <v>7.47795566695219</v>
      </c>
    </row>
    <row r="90" customFormat="false" ht="15" hidden="false" customHeight="false" outlineLevel="0" collapsed="false">
      <c r="A90" s="14" t="str">
        <f aca="false">Country_Data!$A$17</f>
        <v>MEX</v>
      </c>
      <c r="B90" s="14" t="str">
        <f aca="false">Country_Data!$E$17</f>
        <v>EMDC</v>
      </c>
      <c r="C90" s="35" t="s">
        <v>470</v>
      </c>
      <c r="D90" s="37" t="n">
        <f aca="false">IF(Country_Data!$BZ$17="","",Country_Data!$BZ$17)</f>
        <v>301.936003318766</v>
      </c>
      <c r="E90" s="40" t="n">
        <f aca="false">Country_Data!$BW$17</f>
        <v>3312.004</v>
      </c>
      <c r="F90" s="41" t="n">
        <f aca="false">Country_Data!$BX$17</f>
        <v>0.552683209319796</v>
      </c>
      <c r="G90" s="42" t="n">
        <f aca="false">IF(D90="","",D90/SUMIFS($D$5:$D$1369,$B$5:$B$1369,B90,$C$5:$C$1369,C90))</f>
        <v>0.0344696589018104</v>
      </c>
      <c r="H90" s="42" t="n">
        <f aca="false">E90/SUMIFS($E$5:$E$1369,$B$5:$B$1369,B90,$C$5:$C$1369,C90)</f>
        <v>0.0410247301283297</v>
      </c>
      <c r="I90" s="43" t="n">
        <f aca="false">IF(G90="",H90,p_beta_alloc*G90+(1-p_beta_alloc)*H90)*F90^p_phi</f>
        <v>0.0280622710098097</v>
      </c>
      <c r="J90" s="16" t="n">
        <f aca="false">INDEX(Sector_Params!$C$17:$E$17,MATCH(B90,Sector_Params!$C$15:$E$15,0))*I90/SUMIFS($I$5:$I$1369,$B$5:$B$1369,B90,$C$5:$C$1369,C90)</f>
        <v>18.6120274015517</v>
      </c>
      <c r="K90" s="28" t="n">
        <f aca="false">INDEX(Sector_Params!$F$6:$H$6,MATCH(B90,Sector_Params!$C$15:$E$15,0))</f>
        <v>0.24</v>
      </c>
      <c r="L90" s="16" t="n">
        <f aca="false">J90*K90</f>
        <v>4.4668865763724</v>
      </c>
      <c r="M90" s="44" t="n">
        <f aca="false">Country_Data!$DW$17+Sector_Params!$E$6</f>
        <v>0.11</v>
      </c>
      <c r="N90" s="44" t="n">
        <f aca="false">Country_Data!$DX$17+Sector_Params!$E$6</f>
        <v>0.155</v>
      </c>
      <c r="O90" s="11" t="n">
        <f aca="false">IF(p_use_ibrd=1,p_r_ibrd,p_r_wb)</f>
        <v>0.06</v>
      </c>
      <c r="P90" s="45" t="n">
        <f aca="false">Sector_Params!$D$6</f>
        <v>40</v>
      </c>
      <c r="Q90" s="46" t="n">
        <f aca="false">M90/(1-(1+M90)^-P90)</f>
        <v>0.111718726708417</v>
      </c>
      <c r="R90" s="46" t="n">
        <f aca="false">N90/(1-(1+N90)^-P90)</f>
        <v>0.155487997391954</v>
      </c>
      <c r="S90" s="46" t="n">
        <f aca="false">O90/(1-(1+O90)^-P90)</f>
        <v>0.0664615359206755</v>
      </c>
      <c r="T90" s="37" t="n">
        <f aca="false">p_grid_credit*IF(AND(p_eng=1,ISNUMBER(Country_Data!$CZ$17)),Country_Data!$CZ$17,Country_Data!$CM$17)*Sector_Params!$I$6</f>
        <v>0</v>
      </c>
      <c r="U90" s="37" t="n">
        <f aca="false">p_grid_credit*IF(AND(p_eng=1,ISNUMBER(Country_Data!$DA$17)),Country_Data!$DA$17,Country_Data!$CN$17)*Sector_Params!$J$6</f>
        <v>0</v>
      </c>
      <c r="V90" s="37" t="n">
        <f aca="false">p_grid_credit*IF(AND(p_eng=1,ISNUMBER(Country_Data!$DB$17)),Country_Data!$DB$17,p_a)</f>
        <v>0</v>
      </c>
      <c r="W90" s="16" t="n">
        <f aca="false">T90*L90</f>
        <v>0</v>
      </c>
      <c r="X90" s="16" t="n">
        <f aca="false">U90*L90</f>
        <v>0</v>
      </c>
      <c r="Y90" s="16" t="n">
        <f aca="false">V90*L90</f>
        <v>0</v>
      </c>
      <c r="Z90" s="16" t="n">
        <f aca="false">Q90*L90</f>
        <v>0.499034880663245</v>
      </c>
      <c r="AA90" s="16" t="n">
        <f aca="false">R90*L90</f>
        <v>0.694547248337145</v>
      </c>
      <c r="AB90" s="16" t="n">
        <f aca="false">S90*L90</f>
        <v>0.296876142649157</v>
      </c>
      <c r="AC90" s="16" t="n">
        <f aca="false">Z90-W90</f>
        <v>0.499034880663245</v>
      </c>
      <c r="AD90" s="16" t="n">
        <f aca="false">AA90-W90</f>
        <v>0.694547248337145</v>
      </c>
      <c r="AE90" s="16" t="n">
        <f aca="false">AB90-W90</f>
        <v>0.296876142649157</v>
      </c>
      <c r="AF90" s="16" t="n">
        <f aca="false">AE90-X90</f>
        <v>0.296876142649157</v>
      </c>
      <c r="AG90" s="16" t="n">
        <f aca="false">AF90-p_spc_lo*Y90/1000</f>
        <v>0.296876142649157</v>
      </c>
      <c r="AH90" s="16" t="n">
        <f aca="false">AF90-p_spc_hi*Y90/1000</f>
        <v>0.296876142649157</v>
      </c>
      <c r="AI90" s="16" t="n">
        <f aca="false">Q90*J90</f>
        <v>2.07931200276352</v>
      </c>
      <c r="AJ90" s="16" t="n">
        <f aca="false">S90*J90</f>
        <v>1.23698392770482</v>
      </c>
      <c r="AK90" s="16" t="n">
        <f aca="false">T90*J90</f>
        <v>0</v>
      </c>
      <c r="AL90" s="16" t="n">
        <f aca="false">U90*J90</f>
        <v>0</v>
      </c>
      <c r="AM90" s="16" t="n">
        <f aca="false">AI90-AJ90</f>
        <v>0.842328075058699</v>
      </c>
      <c r="AN90" s="16" t="n">
        <f aca="false">J90*Country_Data!$EB$17</f>
        <v>21.3655876198634</v>
      </c>
      <c r="AO90" s="16" t="n">
        <f aca="false">L90*Country_Data!$EB$17</f>
        <v>5.12774102876722</v>
      </c>
    </row>
    <row r="91" customFormat="false" ht="15" hidden="false" customHeight="false" outlineLevel="0" collapsed="false">
      <c r="A91" s="14" t="str">
        <f aca="false">Country_Data!$A$17</f>
        <v>MEX</v>
      </c>
      <c r="B91" s="14" t="str">
        <f aca="false">Country_Data!$E$17</f>
        <v>EMDC</v>
      </c>
      <c r="C91" s="35" t="s">
        <v>473</v>
      </c>
      <c r="D91" s="37" t="n">
        <f aca="false">IF(Country_Data!$CA$17="","",Country_Data!$CA$17)</f>
        <v>1.69563823733415</v>
      </c>
      <c r="E91" s="40" t="n">
        <f aca="false">Country_Data!$BW$17</f>
        <v>3312.004</v>
      </c>
      <c r="F91" s="41" t="n">
        <f aca="false">Country_Data!$BX$17</f>
        <v>0.552683209319796</v>
      </c>
      <c r="G91" s="42" t="n">
        <f aca="false">IF(D91="","",D91/SUMIFS($D$5:$D$1369,$B$5:$B$1369,B91,$C$5:$C$1369,C91))</f>
        <v>0.0391731885483405</v>
      </c>
      <c r="H91" s="42" t="n">
        <f aca="false">E91/SUMIFS($E$5:$E$1369,$B$5:$B$1369,B91,$C$5:$C$1369,C91)</f>
        <v>0.0410247301283297</v>
      </c>
      <c r="I91" s="43" t="n">
        <f aca="false">IF(G91="",H91,p_beta_alloc*G91+(1-p_beta_alloc)*H91)*F91^p_phi</f>
        <v>0.0298106356941163</v>
      </c>
      <c r="J91" s="16" t="n">
        <f aca="false">INDEX(Sector_Params!$C$18:$E$18,MATCH(B91,Sector_Params!$C$15:$E$15,0))*I91/SUMIFS($I$5:$I$1369,$B$5:$B$1369,B91,$C$5:$C$1369,C91)</f>
        <v>12.2067499609003</v>
      </c>
      <c r="K91" s="28" t="n">
        <f aca="false">INDEX(Sector_Params!$F$7:$H$7,MATCH(B91,Sector_Params!$C$15:$E$15,0))</f>
        <v>0.24</v>
      </c>
      <c r="L91" s="16" t="n">
        <f aca="false">J91*K91</f>
        <v>2.92961999061607</v>
      </c>
      <c r="M91" s="44" t="n">
        <f aca="false">Country_Data!$DW$17+Sector_Params!$E$7</f>
        <v>0.11</v>
      </c>
      <c r="N91" s="44" t="n">
        <f aca="false">Country_Data!$DX$17+Sector_Params!$E$7</f>
        <v>0.155</v>
      </c>
      <c r="O91" s="11" t="n">
        <f aca="false">IF(p_use_ibrd=1,p_r_ibrd,p_r_wb)</f>
        <v>0.06</v>
      </c>
      <c r="P91" s="45" t="n">
        <f aca="false">Sector_Params!$D$7</f>
        <v>12</v>
      </c>
      <c r="Q91" s="46" t="n">
        <f aca="false">M91/(1-(1+M91)^-P91)</f>
        <v>0.154027286404989</v>
      </c>
      <c r="R91" s="46" t="n">
        <f aca="false">N91/(1-(1+N91)^-P91)</f>
        <v>0.1884327944293</v>
      </c>
      <c r="S91" s="46" t="n">
        <f aca="false">O91/(1-(1+O91)^-P91)</f>
        <v>0.119277029380664</v>
      </c>
      <c r="T91" s="37" t="n">
        <f aca="false">IF(AND(p_eng=1,ISNUMBER(Country_Data!$DE$17)),Country_Data!$DE$17,Country_Data!$CM$17)*Sector_Params!$I$7</f>
        <v>0.16313436</v>
      </c>
      <c r="U91" s="37" t="n">
        <f aca="false">IF(AND(p_eng=1,ISNUMBER(Country_Data!$DF$17)),Country_Data!$DF$17,Country_Data!$CN$17)*Sector_Params!$J$7</f>
        <v>0.045947925</v>
      </c>
      <c r="V91" s="37" t="n">
        <f aca="false">IF(AND(p_eng=1,ISNUMBER(Country_Data!$DG$17)),Country_Data!$DG$17,p_a)</f>
        <v>0.336435434784436</v>
      </c>
      <c r="W91" s="16" t="n">
        <f aca="false">T91*L91</f>
        <v>0.477921682212359</v>
      </c>
      <c r="X91" s="16" t="n">
        <f aca="false">U91*L91</f>
        <v>0.134609959607328</v>
      </c>
      <c r="Y91" s="16" t="n">
        <f aca="false">V91*L91</f>
        <v>0.985627975296093</v>
      </c>
      <c r="Z91" s="16" t="n">
        <f aca="false">Q91*L91</f>
        <v>0.451241417352402</v>
      </c>
      <c r="AA91" s="16" t="n">
        <f aca="false">R91*L91</f>
        <v>0.552036481447726</v>
      </c>
      <c r="AB91" s="16" t="n">
        <f aca="false">S91*L91</f>
        <v>0.349436369694893</v>
      </c>
      <c r="AC91" s="16" t="n">
        <f aca="false">Z91-W91</f>
        <v>-0.0266802648599572</v>
      </c>
      <c r="AD91" s="16" t="n">
        <f aca="false">AA91-W91</f>
        <v>0.0741147992353665</v>
      </c>
      <c r="AE91" s="16" t="n">
        <f aca="false">AB91-W91</f>
        <v>-0.128485312517466</v>
      </c>
      <c r="AF91" s="16" t="n">
        <f aca="false">AE91-X91</f>
        <v>-0.263095272124794</v>
      </c>
      <c r="AG91" s="16" t="n">
        <f aca="false">AF91-p_spc_lo*Y91/1000</f>
        <v>-0.312376670889599</v>
      </c>
      <c r="AH91" s="16" t="n">
        <f aca="false">AF91-p_spc_hi*Y91/1000</f>
        <v>-0.361658069654404</v>
      </c>
      <c r="AI91" s="16" t="n">
        <f aca="false">Q91*J91</f>
        <v>1.88017257230167</v>
      </c>
      <c r="AJ91" s="16" t="n">
        <f aca="false">S91*J91</f>
        <v>1.45598487372872</v>
      </c>
      <c r="AK91" s="16" t="n">
        <f aca="false">T91*J91</f>
        <v>1.9913403425515</v>
      </c>
      <c r="AL91" s="16" t="n">
        <f aca="false">U91*J91</f>
        <v>0.5608748316972</v>
      </c>
      <c r="AM91" s="16" t="n">
        <f aca="false">AI91-AJ91</f>
        <v>0.424187698572955</v>
      </c>
      <c r="AN91" s="16" t="n">
        <f aca="false">J91*Country_Data!$EB$17</f>
        <v>14.012680092102</v>
      </c>
      <c r="AO91" s="16" t="n">
        <f aca="false">L91*Country_Data!$EB$17</f>
        <v>3.36304322210448</v>
      </c>
    </row>
    <row r="92" customFormat="false" ht="15" hidden="false" customHeight="false" outlineLevel="0" collapsed="false">
      <c r="A92" s="14" t="str">
        <f aca="false">Country_Data!$A$17</f>
        <v>MEX</v>
      </c>
      <c r="B92" s="14" t="str">
        <f aca="false">Country_Data!$E$17</f>
        <v>EMDC</v>
      </c>
      <c r="C92" s="35" t="s">
        <v>477</v>
      </c>
      <c r="D92" s="37" t="n">
        <f aca="false">IF(Country_Data!$CB$17="","",Country_Data!$CB$17)</f>
        <v>0.813178621563138</v>
      </c>
      <c r="E92" s="40" t="n">
        <f aca="false">Country_Data!$BW$17</f>
        <v>3312.004</v>
      </c>
      <c r="F92" s="41" t="n">
        <f aca="false">Country_Data!$BX$17</f>
        <v>0.552683209319796</v>
      </c>
      <c r="G92" s="42" t="n">
        <f aca="false">IF(D92="","",D92/SUMIFS($D$5:$D$1369,$B$5:$B$1369,B92,$C$5:$C$1369,C92))</f>
        <v>0.0256419980670458</v>
      </c>
      <c r="H92" s="42" t="n">
        <f aca="false">E92/SUMIFS($E$5:$E$1369,$B$5:$B$1369,B92,$C$5:$C$1369,C92)</f>
        <v>0.0410247301283297</v>
      </c>
      <c r="I92" s="43" t="n">
        <f aca="false">IF(G92="",H92,p_beta_alloc*G92+(1-p_beta_alloc)*H92)*F92^p_phi</f>
        <v>0.0247809117735763</v>
      </c>
      <c r="J92" s="16" t="n">
        <f aca="false">INDEX(Sector_Params!$C$19:$E$19,MATCH(B92,Sector_Params!$C$15:$E$15,0))*I92/SUMIFS($I$5:$I$1369,$B$5:$B$1369,B92,$C$5:$C$1369,C92)</f>
        <v>7.97604860771223</v>
      </c>
      <c r="K92" s="28" t="n">
        <f aca="false">INDEX(Sector_Params!$F$8:$H$8,MATCH(B92,Sector_Params!$C$15:$E$15,0))</f>
        <v>0.24</v>
      </c>
      <c r="L92" s="16" t="n">
        <f aca="false">J92*K92</f>
        <v>1.91425166585094</v>
      </c>
      <c r="M92" s="44" t="n">
        <f aca="false">Country_Data!$DW$17+Sector_Params!$E$8</f>
        <v>0.11</v>
      </c>
      <c r="N92" s="44" t="n">
        <f aca="false">Country_Data!$DX$17+Sector_Params!$E$8</f>
        <v>0.155</v>
      </c>
      <c r="O92" s="11" t="n">
        <f aca="false">IF(p_use_ibrd=1,p_r_ibrd,p_r_wb)</f>
        <v>0.06</v>
      </c>
      <c r="P92" s="45" t="n">
        <f aca="false">Sector_Params!$D$8</f>
        <v>25</v>
      </c>
      <c r="Q92" s="46" t="n">
        <f aca="false">M92/(1-(1+M92)^-P92)</f>
        <v>0.118740242054056</v>
      </c>
      <c r="R92" s="46" t="n">
        <f aca="false">N92/(1-(1+N92)^-P92)</f>
        <v>0.159342933738041</v>
      </c>
      <c r="S92" s="46" t="n">
        <f aca="false">O92/(1-(1+O92)^-P92)</f>
        <v>0.078226718212274</v>
      </c>
      <c r="T92" s="37" t="n">
        <f aca="false">Country_Data!$CM$17*Sector_Params!$I$8</f>
        <v>0.101525836512571</v>
      </c>
      <c r="U92" s="37" t="n">
        <f aca="false">Country_Data!$CN$17*Sector_Params!$J$8</f>
        <v>0.0760757062880117</v>
      </c>
      <c r="V92" s="37" t="n">
        <f aca="false">p_a</f>
        <v>0.35</v>
      </c>
      <c r="W92" s="16" t="n">
        <f aca="false">T92*L92</f>
        <v>0.194346001671099</v>
      </c>
      <c r="X92" s="16" t="n">
        <f aca="false">U92*L92</f>
        <v>0.145628047492613</v>
      </c>
      <c r="Y92" s="16" t="n">
        <f aca="false">V92*L92</f>
        <v>0.669988083047828</v>
      </c>
      <c r="Z92" s="16" t="n">
        <f aca="false">Q92*L92</f>
        <v>0.227298706155519</v>
      </c>
      <c r="AA92" s="16" t="n">
        <f aca="false">R92*L92</f>
        <v>0.305022476349621</v>
      </c>
      <c r="AB92" s="16" t="n">
        <f aca="false">S92*L92</f>
        <v>0.149745625651897</v>
      </c>
      <c r="AC92" s="16" t="n">
        <f aca="false">Z92-W92</f>
        <v>0.0329527044844207</v>
      </c>
      <c r="AD92" s="16" t="n">
        <f aca="false">AA92-W92</f>
        <v>0.110676474678522</v>
      </c>
      <c r="AE92" s="16" t="n">
        <f aca="false">AB92-W92</f>
        <v>-0.0446003760192015</v>
      </c>
      <c r="AF92" s="16" t="n">
        <f aca="false">AE92-X92</f>
        <v>-0.190228423511814</v>
      </c>
      <c r="AG92" s="16" t="n">
        <f aca="false">AF92-p_spc_lo*Y92/1000</f>
        <v>-0.223727827664206</v>
      </c>
      <c r="AH92" s="16" t="n">
        <f aca="false">AF92-p_spc_hi*Y92/1000</f>
        <v>-0.257227231816597</v>
      </c>
      <c r="AI92" s="16" t="n">
        <f aca="false">Q92*J92</f>
        <v>0.947077942314664</v>
      </c>
      <c r="AJ92" s="16" t="n">
        <f aca="false">S92*J92</f>
        <v>0.623940106882905</v>
      </c>
      <c r="AK92" s="16" t="n">
        <f aca="false">T92*J92</f>
        <v>0.809775006962911</v>
      </c>
      <c r="AL92" s="16" t="n">
        <f aca="false">U92*J92</f>
        <v>0.606783531219221</v>
      </c>
      <c r="AM92" s="16" t="n">
        <f aca="false">AI92-AJ92</f>
        <v>0.323137835431759</v>
      </c>
      <c r="AN92" s="16" t="n">
        <f aca="false">J92*Country_Data!$EB$17</f>
        <v>9.15606675789432</v>
      </c>
      <c r="AO92" s="16" t="n">
        <f aca="false">L92*Country_Data!$EB$17</f>
        <v>2.19745602189464</v>
      </c>
    </row>
    <row r="93" customFormat="false" ht="15" hidden="false" customHeight="false" outlineLevel="0" collapsed="false">
      <c r="A93" s="14" t="str">
        <f aca="false">Country_Data!$A$17</f>
        <v>MEX</v>
      </c>
      <c r="B93" s="14" t="str">
        <f aca="false">Country_Data!$E$17</f>
        <v>EMDC</v>
      </c>
      <c r="C93" s="35" t="s">
        <v>481</v>
      </c>
      <c r="D93" s="37" t="n">
        <f aca="false">IF(Country_Data!$CC$17="","",Country_Data!$CC$17)</f>
        <v>2.55856328330682</v>
      </c>
      <c r="E93" s="40" t="n">
        <f aca="false">Country_Data!$BW$17</f>
        <v>3312.004</v>
      </c>
      <c r="F93" s="41" t="n">
        <f aca="false">Country_Data!$BX$17</f>
        <v>0.552683209319796</v>
      </c>
      <c r="G93" s="42" t="n">
        <f aca="false">IF(D93="","",D93/SUMIFS($D$5:$D$1369,$B$5:$B$1369,B93,$C$5:$C$1369,C93))</f>
        <v>0.0365471148806162</v>
      </c>
      <c r="H93" s="42" t="n">
        <f aca="false">E93/SUMIFS($E$5:$E$1369,$B$5:$B$1369,B93,$C$5:$C$1369,C93)</f>
        <v>0.0410247301283297</v>
      </c>
      <c r="I93" s="43" t="n">
        <f aca="false">IF(G93="",H93,p_beta_alloc*G93+(1-p_beta_alloc)*H93)*F93^p_phi</f>
        <v>0.0288344890969701</v>
      </c>
      <c r="J93" s="16" t="n">
        <f aca="false">INDEX(Sector_Params!$C$20:$E$20,MATCH(B93,Sector_Params!$C$15:$E$15,0))*I93/SUMIFS($I$5:$I$1369,$B$5:$B$1369,B93,$C$5:$C$1369,C93)</f>
        <v>5.26287492011328</v>
      </c>
      <c r="K93" s="28" t="n">
        <f aca="false">INDEX(Sector_Params!$F$9:$H$9,MATCH(B93,Sector_Params!$C$15:$E$15,0))</f>
        <v>0.24</v>
      </c>
      <c r="L93" s="16" t="n">
        <f aca="false">J93*K93</f>
        <v>1.26308998082719</v>
      </c>
      <c r="M93" s="44" t="n">
        <f aca="false">Country_Data!$DW$17+Sector_Params!$E$9</f>
        <v>0.11</v>
      </c>
      <c r="N93" s="44" t="n">
        <f aca="false">Country_Data!$DX$17+Sector_Params!$E$9</f>
        <v>0.155</v>
      </c>
      <c r="O93" s="11" t="n">
        <f aca="false">IF(p_use_ibrd=1,p_r_ibrd,p_r_wb)</f>
        <v>0.06</v>
      </c>
      <c r="P93" s="45" t="n">
        <f aca="false">Sector_Params!$D$9</f>
        <v>25</v>
      </c>
      <c r="Q93" s="46" t="n">
        <f aca="false">M93/(1-(1+M93)^-P93)</f>
        <v>0.118740242054056</v>
      </c>
      <c r="R93" s="46" t="n">
        <f aca="false">N93/(1-(1+N93)^-P93)</f>
        <v>0.159342933738041</v>
      </c>
      <c r="S93" s="46" t="n">
        <f aca="false">O93/(1-(1+O93)^-P93)</f>
        <v>0.078226718212274</v>
      </c>
      <c r="T93" s="37" t="n">
        <f aca="false">Country_Data!$CM$17*Sector_Params!$I$9</f>
        <v>0.101525836512571</v>
      </c>
      <c r="U93" s="37" t="n">
        <f aca="false">Country_Data!$CN$17*Sector_Params!$J$9</f>
        <v>0.0760757062880117</v>
      </c>
      <c r="V93" s="37" t="n">
        <f aca="false">p_a</f>
        <v>0.35</v>
      </c>
      <c r="W93" s="16" t="n">
        <f aca="false">T93*L93</f>
        <v>0.128236266894127</v>
      </c>
      <c r="X93" s="16" t="n">
        <f aca="false">U93*L93</f>
        <v>0.0960904623967394</v>
      </c>
      <c r="Y93" s="16" t="n">
        <f aca="false">V93*L93</f>
        <v>0.442081493289515</v>
      </c>
      <c r="Z93" s="16" t="n">
        <f aca="false">Q93*L93</f>
        <v>0.149979610059473</v>
      </c>
      <c r="AA93" s="16" t="n">
        <f aca="false">R93*L93</f>
        <v>0.20126446312013</v>
      </c>
      <c r="AB93" s="16" t="n">
        <f aca="false">S93*L93</f>
        <v>0.0988073840069148</v>
      </c>
      <c r="AC93" s="16" t="n">
        <f aca="false">Z93-W93</f>
        <v>0.0217433431653454</v>
      </c>
      <c r="AD93" s="16" t="n">
        <f aca="false">AA93-W93</f>
        <v>0.0730281962260028</v>
      </c>
      <c r="AE93" s="16" t="n">
        <f aca="false">AB93-W93</f>
        <v>-0.0294288828872124</v>
      </c>
      <c r="AF93" s="16" t="n">
        <f aca="false">AE93-X93</f>
        <v>-0.125519345283952</v>
      </c>
      <c r="AG93" s="16" t="n">
        <f aca="false">AF93-p_spc_lo*Y93/1000</f>
        <v>-0.147623419948428</v>
      </c>
      <c r="AH93" s="16" t="n">
        <f aca="false">AF93-p_spc_hi*Y93/1000</f>
        <v>-0.169727494612903</v>
      </c>
      <c r="AI93" s="16" t="n">
        <f aca="false">Q93*J93</f>
        <v>0.624915041914469</v>
      </c>
      <c r="AJ93" s="16" t="n">
        <f aca="false">S93*J93</f>
        <v>0.411697433362145</v>
      </c>
      <c r="AK93" s="16" t="n">
        <f aca="false">T93*J93</f>
        <v>0.53431777872553</v>
      </c>
      <c r="AL93" s="16" t="n">
        <f aca="false">U93*J93</f>
        <v>0.400376926653081</v>
      </c>
      <c r="AM93" s="16" t="n">
        <f aca="false">AI93-AJ93</f>
        <v>0.213217608552324</v>
      </c>
      <c r="AN93" s="16" t="n">
        <f aca="false">J93*Country_Data!$EB$17</f>
        <v>6.04149203158209</v>
      </c>
      <c r="AO93" s="16" t="n">
        <f aca="false">L93*Country_Data!$EB$17</f>
        <v>1.4499580875797</v>
      </c>
    </row>
    <row r="94" customFormat="false" ht="15" hidden="false" customHeight="false" outlineLevel="0" collapsed="false">
      <c r="A94" s="14" t="str">
        <f aca="false">Country_Data!$A$17</f>
        <v>MEX</v>
      </c>
      <c r="B94" s="14" t="str">
        <f aca="false">Country_Data!$E$17</f>
        <v>EMDC</v>
      </c>
      <c r="C94" s="35" t="s">
        <v>484</v>
      </c>
      <c r="D94" s="37" t="n">
        <f aca="false">IF(Country_Data!$CD$17="","",Country_Data!$CD$17)</f>
        <v>6.80424173831183</v>
      </c>
      <c r="E94" s="40" t="n">
        <f aca="false">Country_Data!$BW$17</f>
        <v>3312.004</v>
      </c>
      <c r="F94" s="41" t="n">
        <f aca="false">Country_Data!$BX$17</f>
        <v>0.552683209319796</v>
      </c>
      <c r="G94" s="42" t="n">
        <f aca="false">IF(D94="","",D94/SUMIFS($D$5:$D$1369,$B$5:$B$1369,B94,$C$5:$C$1369,C94))</f>
        <v>0.0379973715877588</v>
      </c>
      <c r="H94" s="42" t="n">
        <f aca="false">E94/SUMIFS($E$5:$E$1369,$B$5:$B$1369,B94,$C$5:$C$1369,C94)</f>
        <v>0.0410247301283297</v>
      </c>
      <c r="I94" s="43" t="n">
        <f aca="false">IF(G94="",H94,p_beta_alloc*G94+(1-p_beta_alloc)*H94)*F94^p_phi</f>
        <v>0.0293735688520679</v>
      </c>
      <c r="J94" s="16" t="n">
        <f aca="false">INDEX(Sector_Params!$C$21:$E$21,MATCH(B94,Sector_Params!$C$15:$E$15,0))*I94/SUMIFS($I$5:$I$1369,$B$5:$B$1369,B94,$C$5:$C$1369,C94)</f>
        <v>6.51475873226122</v>
      </c>
      <c r="K94" s="28" t="n">
        <f aca="false">INDEX(Sector_Params!$F$10:$H$10,MATCH(B94,Sector_Params!$C$15:$E$15,0))</f>
        <v>0.24</v>
      </c>
      <c r="L94" s="16" t="n">
        <f aca="false">J94*K94</f>
        <v>1.56354209574269</v>
      </c>
      <c r="M94" s="44" t="n">
        <f aca="false">Country_Data!$DW$17+Sector_Params!$E$10</f>
        <v>0.11</v>
      </c>
      <c r="N94" s="44" t="n">
        <f aca="false">Country_Data!$DX$17+Sector_Params!$E$10</f>
        <v>0.155</v>
      </c>
      <c r="O94" s="11" t="n">
        <f aca="false">IF(p_use_ibrd=1,p_r_ibrd,p_r_wb)</f>
        <v>0.06</v>
      </c>
      <c r="P94" s="45" t="n">
        <f aca="false">Sector_Params!$D$10</f>
        <v>20</v>
      </c>
      <c r="Q94" s="46" t="n">
        <f aca="false">M94/(1-(1+M94)^-P94)</f>
        <v>0.125575636877142</v>
      </c>
      <c r="R94" s="46" t="n">
        <f aca="false">N94/(1-(1+N94)^-P94)</f>
        <v>0.164198780204503</v>
      </c>
      <c r="S94" s="46" t="n">
        <f aca="false">O94/(1-(1+O94)^-P94)</f>
        <v>0.0871845569768514</v>
      </c>
      <c r="T94" s="37" t="n">
        <f aca="false">0*Sector_Params!$I$10</f>
        <v>0</v>
      </c>
      <c r="U94" s="37" t="n">
        <f aca="false">0*Sector_Params!$J$10</f>
        <v>0</v>
      </c>
      <c r="V94" s="37" t="n">
        <f aca="false">1000*p_r_wb/(1-(1+p_r_wb)^-Sector_Params!$D$10)/p_cpt_fuel</f>
        <v>0.871845569768514</v>
      </c>
      <c r="W94" s="16" t="n">
        <f aca="false">T94*L94</f>
        <v>0</v>
      </c>
      <c r="X94" s="16" t="n">
        <f aca="false">U94*L94</f>
        <v>0</v>
      </c>
      <c r="Y94" s="16" t="n">
        <f aca="false">V94*L94</f>
        <v>1.36316724931985</v>
      </c>
      <c r="Z94" s="16" t="n">
        <f aca="false">Q94*L94</f>
        <v>0.19634279445711</v>
      </c>
      <c r="AA94" s="16" t="n">
        <f aca="false">R94*L94</f>
        <v>0.256731704919343</v>
      </c>
      <c r="AB94" s="16" t="n">
        <f aca="false">S94*L94</f>
        <v>0.136316724931984</v>
      </c>
      <c r="AC94" s="16" t="n">
        <f aca="false">Z94-W94</f>
        <v>0.19634279445711</v>
      </c>
      <c r="AD94" s="16" t="n">
        <f aca="false">AA94-W94</f>
        <v>0.256731704919343</v>
      </c>
      <c r="AE94" s="16" t="n">
        <f aca="false">AB94-W94</f>
        <v>0.136316724931984</v>
      </c>
      <c r="AF94" s="16" t="n">
        <f aca="false">AE94-X94</f>
        <v>0.136316724931984</v>
      </c>
      <c r="AG94" s="16" t="n">
        <f aca="false">AF94-p_spc_lo*Y94/1000</f>
        <v>0.0681583624659922</v>
      </c>
      <c r="AH94" s="16" t="n">
        <f aca="false">AF94-p_spc_hi*Y94/1000</f>
        <v>0</v>
      </c>
      <c r="AI94" s="16" t="n">
        <f aca="false">Q94*J94</f>
        <v>0.818094976904626</v>
      </c>
      <c r="AJ94" s="16" t="n">
        <f aca="false">S94*J94</f>
        <v>0.567986353883269</v>
      </c>
      <c r="AK94" s="16" t="n">
        <f aca="false">T94*J94</f>
        <v>0</v>
      </c>
      <c r="AL94" s="16" t="n">
        <f aca="false">U94*J94</f>
        <v>0</v>
      </c>
      <c r="AM94" s="16" t="n">
        <f aca="false">AI94-AJ94</f>
        <v>0.250108623021358</v>
      </c>
      <c r="AN94" s="16" t="n">
        <f aca="false">J94*Country_Data!$EB$17</f>
        <v>7.47858605155466</v>
      </c>
      <c r="AO94" s="16" t="n">
        <f aca="false">L94*Country_Data!$EB$17</f>
        <v>1.79486065237312</v>
      </c>
    </row>
    <row r="95" customFormat="false" ht="15" hidden="false" customHeight="false" outlineLevel="0" collapsed="false">
      <c r="A95" s="14" t="str">
        <f aca="false">Country_Data!$A$17</f>
        <v>MEX</v>
      </c>
      <c r="B95" s="14" t="str">
        <f aca="false">Country_Data!$E$17</f>
        <v>EMDC</v>
      </c>
      <c r="C95" s="35" t="s">
        <v>488</v>
      </c>
      <c r="D95" s="37" t="n">
        <f aca="false">IF(Country_Data!$CE$17="","",Country_Data!$CE$17)</f>
        <v>377.259</v>
      </c>
      <c r="E95" s="40" t="n">
        <f aca="false">Country_Data!$BW$17</f>
        <v>3312.004</v>
      </c>
      <c r="F95" s="41" t="n">
        <f aca="false">Country_Data!$BX$17</f>
        <v>0.552683209319796</v>
      </c>
      <c r="G95" s="42" t="n">
        <f aca="false">IF(D95="","",D95/SUMIFS($D$5:$D$1369,$B$5:$B$1369,B95,$C$5:$C$1369,C95))</f>
        <v>0.0309124549024878</v>
      </c>
      <c r="H95" s="42" t="n">
        <f aca="false">E95/SUMIFS($E$5:$E$1369,$B$5:$B$1369,B95,$C$5:$C$1369,C95)</f>
        <v>0.0410247301283297</v>
      </c>
      <c r="I95" s="43" t="n">
        <f aca="false">IF(G95="",H95,p_beta_alloc*G95+(1-p_beta_alloc)*H95)*F95^p_phi</f>
        <v>0.0267400108531467</v>
      </c>
      <c r="J95" s="16" t="n">
        <f aca="false">INDEX(Sector_Params!$C$22:$E$22,MATCH(B95,Sector_Params!$C$15:$E$15,0))*I95/SUMIFS($I$5:$I$1369,$B$5:$B$1369,B95,$C$5:$C$1369,C95)</f>
        <v>16.1191028433412</v>
      </c>
      <c r="K95" s="28" t="n">
        <f aca="false">INDEX(Sector_Params!$F$11:$H$11,MATCH(B95,Sector_Params!$C$15:$E$15,0))</f>
        <v>0.24</v>
      </c>
      <c r="L95" s="16" t="n">
        <f aca="false">J95*K95</f>
        <v>3.86858468240188</v>
      </c>
      <c r="M95" s="44" t="n">
        <f aca="false">Country_Data!$DW$17+Sector_Params!$E$11</f>
        <v>0.11</v>
      </c>
      <c r="N95" s="44" t="n">
        <f aca="false">Country_Data!$DX$17+Sector_Params!$E$11</f>
        <v>0.155</v>
      </c>
      <c r="O95" s="11" t="n">
        <f aca="false">IF(p_use_ibrd=1,p_r_ibrd,p_r_wb)</f>
        <v>0.06</v>
      </c>
      <c r="P95" s="45" t="n">
        <f aca="false">Sector_Params!$D$11</f>
        <v>30</v>
      </c>
      <c r="Q95" s="46" t="n">
        <f aca="false">M95/(1-(1+M95)^-P95)</f>
        <v>0.115024598476394</v>
      </c>
      <c r="R95" s="46" t="n">
        <f aca="false">N95/(1-(1+N95)^-P95)</f>
        <v>0.157082904683673</v>
      </c>
      <c r="S95" s="46" t="n">
        <f aca="false">O95/(1-(1+O95)^-P95)</f>
        <v>0.0726489114900472</v>
      </c>
      <c r="T95" s="37" t="n">
        <f aca="false">0*Sector_Params!$I$11</f>
        <v>0</v>
      </c>
      <c r="U95" s="37" t="n">
        <f aca="false">p_c*Sector_Params!$J$11</f>
        <v>0.129</v>
      </c>
      <c r="V95" s="37" t="n">
        <f aca="false">1000*p_r_wb/(1-(1+p_r_wb)^-Sector_Params!$D$11)/p_cpt_afolu</f>
        <v>1.45297822980094</v>
      </c>
      <c r="W95" s="16" t="n">
        <f aca="false">T95*L95</f>
        <v>0</v>
      </c>
      <c r="X95" s="16" t="n">
        <f aca="false">U95*L95</f>
        <v>0.499047424029843</v>
      </c>
      <c r="Y95" s="16" t="n">
        <f aca="false">V95*L95</f>
        <v>5.62096932367134</v>
      </c>
      <c r="Z95" s="16" t="n">
        <f aca="false">Q95*L95</f>
        <v>0.444982399765206</v>
      </c>
      <c r="AA95" s="16" t="n">
        <f aca="false">R95*L95</f>
        <v>0.607688518926453</v>
      </c>
      <c r="AB95" s="16" t="n">
        <f aca="false">S95*L95</f>
        <v>0.281048466183567</v>
      </c>
      <c r="AC95" s="16" t="n">
        <f aca="false">Z95-W95</f>
        <v>0.444982399765206</v>
      </c>
      <c r="AD95" s="16" t="n">
        <f aca="false">AA95-W95</f>
        <v>0.607688518926453</v>
      </c>
      <c r="AE95" s="16" t="n">
        <f aca="false">AB95-W95</f>
        <v>0.281048466183567</v>
      </c>
      <c r="AF95" s="16" t="n">
        <f aca="false">AE95-X95</f>
        <v>-0.217998957846276</v>
      </c>
      <c r="AG95" s="16" t="n">
        <f aca="false">AF95-p_spc_lo*Y95/1000</f>
        <v>-0.499047424029843</v>
      </c>
      <c r="AH95" s="16" t="n">
        <f aca="false">AF95-p_spc_hi*Y95/1000</f>
        <v>-0.78009589021341</v>
      </c>
      <c r="AI95" s="16" t="n">
        <f aca="false">Q95*J95</f>
        <v>1.85409333235503</v>
      </c>
      <c r="AJ95" s="16" t="n">
        <f aca="false">S95*J95</f>
        <v>1.17103527576486</v>
      </c>
      <c r="AK95" s="16" t="n">
        <f aca="false">T95*J95</f>
        <v>0</v>
      </c>
      <c r="AL95" s="16" t="n">
        <f aca="false">U95*J95</f>
        <v>2.07936426679101</v>
      </c>
      <c r="AM95" s="16" t="n">
        <f aca="false">AI95-AJ95</f>
        <v>0.683058056590165</v>
      </c>
      <c r="AN95" s="16" t="n">
        <f aca="false">J95*Country_Data!$EB$17</f>
        <v>18.5038468256437</v>
      </c>
      <c r="AO95" s="16" t="n">
        <f aca="false">L95*Country_Data!$EB$17</f>
        <v>4.44092323815449</v>
      </c>
    </row>
    <row r="96" customFormat="false" ht="15" hidden="false" customHeight="false" outlineLevel="0" collapsed="false">
      <c r="A96" s="14" t="str">
        <f aca="false">Country_Data!$A$18</f>
        <v>AUS</v>
      </c>
      <c r="B96" s="14" t="str">
        <f aca="false">Country_Data!$E$18</f>
        <v>AE</v>
      </c>
      <c r="C96" s="35" t="s">
        <v>466</v>
      </c>
      <c r="D96" s="37" t="n">
        <f aca="false">IF(Country_Data!$BZ$18="","",Country_Data!$BZ$18)</f>
        <v>272.061465698769</v>
      </c>
      <c r="E96" s="40" t="n">
        <f aca="false">Country_Data!$BW$18</f>
        <v>1907.482</v>
      </c>
      <c r="F96" s="41" t="n">
        <f aca="false">Country_Data!$BX$18</f>
        <v>0.943347302884116</v>
      </c>
      <c r="G96" s="42" t="n">
        <f aca="false">IF(D96="","",D96/SUMIFS($D$5:$D$1369,$B$5:$B$1369,B96,$C$5:$C$1369,C96))</f>
        <v>0.0278027902868282</v>
      </c>
      <c r="H96" s="42" t="n">
        <f aca="false">E96/SUMIFS($E$5:$E$1369,$B$5:$B$1369,B96,$C$5:$C$1369,C96)</f>
        <v>0.0241805869671986</v>
      </c>
      <c r="I96" s="43" t="n">
        <f aca="false">IF(G96="",H96,p_beta_alloc*G96+(1-p_beta_alloc)*H96)*F96^p_phi</f>
        <v>0.0252447050948904</v>
      </c>
      <c r="J96" s="16" t="n">
        <f aca="false">INDEX(Sector_Params!$C$16:$E$16,MATCH(B96,Sector_Params!$C$15:$E$15,0))*I96/SUMIFS($I$5:$I$1369,$B$5:$B$1369,B96,$C$5:$C$1369,C96)</f>
        <v>22.6433725529062</v>
      </c>
      <c r="K96" s="28" t="n">
        <f aca="false">INDEX(Sector_Params!$F$5:$H$5,MATCH(B96,Sector_Params!$C$15:$E$15,0))</f>
        <v>0.38</v>
      </c>
      <c r="L96" s="16" t="n">
        <f aca="false">J96*K96</f>
        <v>8.60448157010436</v>
      </c>
      <c r="M96" s="44" t="n">
        <f aca="false">Country_Data!$DW$18+Sector_Params!$E$5</f>
        <v>0.0502</v>
      </c>
      <c r="N96" s="44" t="n">
        <f aca="false">Country_Data!$DX$18+Sector_Params!$E$5</f>
        <v>0.0652</v>
      </c>
      <c r="O96" s="11" t="n">
        <f aca="false">IF(p_use_ibrd=1,p_r_ibrd,p_r_wb)</f>
        <v>0.06</v>
      </c>
      <c r="P96" s="45" t="n">
        <f aca="false">Sector_Params!$D$5</f>
        <v>25</v>
      </c>
      <c r="Q96" s="46" t="n">
        <f aca="false">M96/(1-(1+M96)^-P96)</f>
        <v>0.071094750225976</v>
      </c>
      <c r="R96" s="46" t="n">
        <f aca="false">N96/(1-(1+N96)^-P96)</f>
        <v>0.0821332374103273</v>
      </c>
      <c r="S96" s="46" t="n">
        <f aca="false">O96/(1-(1+O96)^-P96)</f>
        <v>0.078226718212274</v>
      </c>
      <c r="T96" s="37" t="n">
        <f aca="false">IF(AND(p_eng=1,ISNUMBER(Country_Data!$CZ$18)),Country_Data!$CZ$18,Country_Data!$CM$18)*Sector_Params!$I$5</f>
        <v>0.0385084826018275</v>
      </c>
      <c r="U96" s="37" t="n">
        <f aca="false">IF(AND(p_eng=1,ISNUMBER(Country_Data!$DA$18)),Country_Data!$DA$18,Country_Data!$CN$18)*Sector_Params!$J$5</f>
        <v>0.0121828311935398</v>
      </c>
      <c r="V96" s="37" t="n">
        <f aca="false">IF(AND(p_eng=1,ISNUMBER(Country_Data!$DB$18)),Country_Data!$DB$18,p_a)</f>
        <v>1.12921375008765</v>
      </c>
      <c r="W96" s="16" t="n">
        <f aca="false">T96*L96</f>
        <v>0.331345528840109</v>
      </c>
      <c r="X96" s="16" t="n">
        <f aca="false">U96*L96</f>
        <v>0.104826946476505</v>
      </c>
      <c r="Y96" s="16" t="n">
        <f aca="false">V96*L96</f>
        <v>9.71629890133759</v>
      </c>
      <c r="Z96" s="16" t="n">
        <f aca="false">Q96*L96</f>
        <v>0.611733468050583</v>
      </c>
      <c r="AA96" s="16" t="n">
        <f aca="false">R96*L96</f>
        <v>0.706713927590167</v>
      </c>
      <c r="AB96" s="16" t="n">
        <f aca="false">S96*L96</f>
        <v>0.673100355147258</v>
      </c>
      <c r="AC96" s="16" t="n">
        <f aca="false">Z96-W96</f>
        <v>0.280387939210474</v>
      </c>
      <c r="AD96" s="16" t="n">
        <f aca="false">AA96-W96</f>
        <v>0.375368398750058</v>
      </c>
      <c r="AE96" s="16" t="n">
        <f aca="false">AB96-W96</f>
        <v>0.341754826307149</v>
      </c>
      <c r="AF96" s="16" t="n">
        <f aca="false">AE96-X96</f>
        <v>0.236927879830643</v>
      </c>
      <c r="AG96" s="16" t="n">
        <f aca="false">AF96-p_spc_lo*Y96/1000</f>
        <v>-0.248887065236236</v>
      </c>
      <c r="AH96" s="16" t="n">
        <f aca="false">AF96-p_spc_hi*Y96/1000</f>
        <v>-0.734702010303116</v>
      </c>
      <c r="AI96" s="16" t="n">
        <f aca="false">Q96*J96</f>
        <v>1.60982491592259</v>
      </c>
      <c r="AJ96" s="16" t="n">
        <f aca="false">S96*J96</f>
        <v>1.77131672407173</v>
      </c>
      <c r="AK96" s="16" t="n">
        <f aca="false">T96*J96</f>
        <v>0.871961918000287</v>
      </c>
      <c r="AL96" s="16" t="n">
        <f aca="false">U96*J96</f>
        <v>0.275860385464488</v>
      </c>
      <c r="AM96" s="16" t="n">
        <f aca="false">AI96-AJ96</f>
        <v>-0.161491808149145</v>
      </c>
      <c r="AN96" s="16" t="n">
        <f aca="false">J96*Country_Data!$EB$18</f>
        <v>23.6584202880365</v>
      </c>
      <c r="AO96" s="16" t="n">
        <f aca="false">L96*Country_Data!$EB$18</f>
        <v>8.99019970945386</v>
      </c>
    </row>
    <row r="97" customFormat="false" ht="15" hidden="false" customHeight="false" outlineLevel="0" collapsed="false">
      <c r="A97" s="14" t="str">
        <f aca="false">Country_Data!$A$18</f>
        <v>AUS</v>
      </c>
      <c r="B97" s="14" t="str">
        <f aca="false">Country_Data!$E$18</f>
        <v>AE</v>
      </c>
      <c r="C97" s="35" t="s">
        <v>470</v>
      </c>
      <c r="D97" s="37" t="n">
        <f aca="false">IF(Country_Data!$BZ$18="","",Country_Data!$BZ$18)</f>
        <v>272.061465698769</v>
      </c>
      <c r="E97" s="40" t="n">
        <f aca="false">Country_Data!$BW$18</f>
        <v>1907.482</v>
      </c>
      <c r="F97" s="41" t="n">
        <f aca="false">Country_Data!$BX$18</f>
        <v>0.943347302884116</v>
      </c>
      <c r="G97" s="42" t="n">
        <f aca="false">IF(D97="","",D97/SUMIFS($D$5:$D$1369,$B$5:$B$1369,B97,$C$5:$C$1369,C97))</f>
        <v>0.0278027902868282</v>
      </c>
      <c r="H97" s="42" t="n">
        <f aca="false">E97/SUMIFS($E$5:$E$1369,$B$5:$B$1369,B97,$C$5:$C$1369,C97)</f>
        <v>0.0241805869671986</v>
      </c>
      <c r="I97" s="43" t="n">
        <f aca="false">IF(G97="",H97,p_beta_alloc*G97+(1-p_beta_alloc)*H97)*F97^p_phi</f>
        <v>0.0252447050948904</v>
      </c>
      <c r="J97" s="16" t="n">
        <f aca="false">INDEX(Sector_Params!$C$17:$E$17,MATCH(B97,Sector_Params!$C$15:$E$15,0))*I97/SUMIFS($I$5:$I$1369,$B$5:$B$1369,B97,$C$5:$C$1369,C97)</f>
        <v>15.5268840362785</v>
      </c>
      <c r="K97" s="28" t="n">
        <f aca="false">INDEX(Sector_Params!$F$6:$H$6,MATCH(B97,Sector_Params!$C$15:$E$15,0))</f>
        <v>0.38</v>
      </c>
      <c r="L97" s="16" t="n">
        <f aca="false">J97*K97</f>
        <v>5.90021593378584</v>
      </c>
      <c r="M97" s="44" t="n">
        <f aca="false">Country_Data!$DW$18+Sector_Params!$E$6</f>
        <v>0.0502</v>
      </c>
      <c r="N97" s="44" t="n">
        <f aca="false">Country_Data!$DX$18+Sector_Params!$E$6</f>
        <v>0.0652</v>
      </c>
      <c r="O97" s="11" t="n">
        <f aca="false">IF(p_use_ibrd=1,p_r_ibrd,p_r_wb)</f>
        <v>0.06</v>
      </c>
      <c r="P97" s="45" t="n">
        <f aca="false">Sector_Params!$D$6</f>
        <v>40</v>
      </c>
      <c r="Q97" s="46" t="n">
        <f aca="false">M97/(1-(1+M97)^-P97)</f>
        <v>0.0584378453962404</v>
      </c>
      <c r="R97" s="46" t="n">
        <f aca="false">N97/(1-(1+N97)^-P97)</f>
        <v>0.0708647953741798</v>
      </c>
      <c r="S97" s="46" t="n">
        <f aca="false">O97/(1-(1+O97)^-P97)</f>
        <v>0.0664615359206755</v>
      </c>
      <c r="T97" s="37" t="n">
        <f aca="false">p_grid_credit*IF(AND(p_eng=1,ISNUMBER(Country_Data!$CZ$18)),Country_Data!$CZ$18,Country_Data!$CM$18)*Sector_Params!$I$6</f>
        <v>0</v>
      </c>
      <c r="U97" s="37" t="n">
        <f aca="false">p_grid_credit*IF(AND(p_eng=1,ISNUMBER(Country_Data!$DA$18)),Country_Data!$DA$18,Country_Data!$CN$18)*Sector_Params!$J$6</f>
        <v>0</v>
      </c>
      <c r="V97" s="37" t="n">
        <f aca="false">p_grid_credit*IF(AND(p_eng=1,ISNUMBER(Country_Data!$DB$18)),Country_Data!$DB$18,p_a)</f>
        <v>0</v>
      </c>
      <c r="W97" s="16" t="n">
        <f aca="false">T97*L97</f>
        <v>0</v>
      </c>
      <c r="X97" s="16" t="n">
        <f aca="false">U97*L97</f>
        <v>0</v>
      </c>
      <c r="Y97" s="16" t="n">
        <f aca="false">V97*L97</f>
        <v>0</v>
      </c>
      <c r="Z97" s="16" t="n">
        <f aca="false">Q97*L97</f>
        <v>0.344795906543011</v>
      </c>
      <c r="AA97" s="16" t="n">
        <f aca="false">R97*L97</f>
        <v>0.418117594811209</v>
      </c>
      <c r="AB97" s="16" t="n">
        <f aca="false">S97*L97</f>
        <v>0.39213741322305</v>
      </c>
      <c r="AC97" s="16" t="n">
        <f aca="false">Z97-W97</f>
        <v>0.344795906543011</v>
      </c>
      <c r="AD97" s="16" t="n">
        <f aca="false">AA97-W97</f>
        <v>0.418117594811209</v>
      </c>
      <c r="AE97" s="16" t="n">
        <f aca="false">AB97-W97</f>
        <v>0.39213741322305</v>
      </c>
      <c r="AF97" s="16" t="n">
        <f aca="false">AE97-X97</f>
        <v>0.39213741322305</v>
      </c>
      <c r="AG97" s="16" t="n">
        <f aca="false">AF97-p_spc_lo*Y97/1000</f>
        <v>0.39213741322305</v>
      </c>
      <c r="AH97" s="16" t="n">
        <f aca="false">AF97-p_spc_hi*Y97/1000</f>
        <v>0.39213741322305</v>
      </c>
      <c r="AI97" s="16" t="n">
        <f aca="false">Q97*J97</f>
        <v>0.907357648797398</v>
      </c>
      <c r="AJ97" s="16" t="n">
        <f aca="false">S97*J97</f>
        <v>1.03194056111329</v>
      </c>
      <c r="AK97" s="16" t="n">
        <f aca="false">T97*J97</f>
        <v>0</v>
      </c>
      <c r="AL97" s="16" t="n">
        <f aca="false">U97*J97</f>
        <v>0</v>
      </c>
      <c r="AM97" s="16" t="n">
        <f aca="false">AI97-AJ97</f>
        <v>-0.124582912315891</v>
      </c>
      <c r="AN97" s="16" t="n">
        <f aca="false">J97*Country_Data!$EB$18</f>
        <v>16.2229167689393</v>
      </c>
      <c r="AO97" s="16" t="n">
        <f aca="false">L97*Country_Data!$EB$18</f>
        <v>6.16470837219693</v>
      </c>
    </row>
    <row r="98" customFormat="false" ht="15" hidden="false" customHeight="false" outlineLevel="0" collapsed="false">
      <c r="A98" s="14" t="str">
        <f aca="false">Country_Data!$A$18</f>
        <v>AUS</v>
      </c>
      <c r="B98" s="14" t="str">
        <f aca="false">Country_Data!$E$18</f>
        <v>AE</v>
      </c>
      <c r="C98" s="35" t="s">
        <v>473</v>
      </c>
      <c r="D98" s="37" t="n">
        <f aca="false">IF(Country_Data!$CA$18="","",Country_Data!$CA$18)</f>
        <v>2.0599434863085</v>
      </c>
      <c r="E98" s="40" t="n">
        <f aca="false">Country_Data!$BW$18</f>
        <v>1907.482</v>
      </c>
      <c r="F98" s="41" t="n">
        <f aca="false">Country_Data!$BX$18</f>
        <v>0.943347302884116</v>
      </c>
      <c r="G98" s="42" t="n">
        <f aca="false">IF(D98="","",D98/SUMIFS($D$5:$D$1369,$B$5:$B$1369,B98,$C$5:$C$1369,C98))</f>
        <v>0.0403253917822537</v>
      </c>
      <c r="H98" s="42" t="n">
        <f aca="false">E98/SUMIFS($E$5:$E$1369,$B$5:$B$1369,B98,$C$5:$C$1369,C98)</f>
        <v>0.0241805869671986</v>
      </c>
      <c r="I98" s="43" t="n">
        <f aca="false">IF(G98="",H98,p_beta_alloc*G98+(1-p_beta_alloc)*H98)*F98^p_phi</f>
        <v>0.0313260602986515</v>
      </c>
      <c r="J98" s="16" t="n">
        <f aca="false">INDEX(Sector_Params!$C$18:$E$18,MATCH(B98,Sector_Params!$C$15:$E$15,0))*I98/SUMIFS($I$5:$I$1369,$B$5:$B$1369,B98,$C$5:$C$1369,C98)</f>
        <v>11.8053248386362</v>
      </c>
      <c r="K98" s="28" t="n">
        <f aca="false">INDEX(Sector_Params!$F$7:$H$7,MATCH(B98,Sector_Params!$C$15:$E$15,0))</f>
        <v>0.38</v>
      </c>
      <c r="L98" s="16" t="n">
        <f aca="false">J98*K98</f>
        <v>4.48602343868174</v>
      </c>
      <c r="M98" s="44" t="n">
        <f aca="false">Country_Data!$DW$18+Sector_Params!$E$7</f>
        <v>0.0502</v>
      </c>
      <c r="N98" s="44" t="n">
        <f aca="false">Country_Data!$DX$18+Sector_Params!$E$7</f>
        <v>0.0652</v>
      </c>
      <c r="O98" s="11" t="n">
        <f aca="false">IF(p_use_ibrd=1,p_r_ibrd,p_r_wb)</f>
        <v>0.06</v>
      </c>
      <c r="P98" s="45" t="n">
        <f aca="false">Sector_Params!$D$7</f>
        <v>12</v>
      </c>
      <c r="Q98" s="46" t="n">
        <f aca="false">M98/(1-(1+M98)^-P98)</f>
        <v>0.112952710642954</v>
      </c>
      <c r="R98" s="46" t="n">
        <f aca="false">N98/(1-(1+N98)^-P98)</f>
        <v>0.122700703845628</v>
      </c>
      <c r="S98" s="46" t="n">
        <f aca="false">O98/(1-(1+O98)^-P98)</f>
        <v>0.119277029380664</v>
      </c>
      <c r="T98" s="37" t="n">
        <f aca="false">IF(AND(p_eng=1,ISNUMBER(Country_Data!$DE$18)),Country_Data!$DE$18,Country_Data!$CM$18)*Sector_Params!$I$7</f>
        <v>0.110557215</v>
      </c>
      <c r="U98" s="37" t="n">
        <f aca="false">IF(AND(p_eng=1,ISNUMBER(Country_Data!$DF$18)),Country_Data!$DF$18,Country_Data!$CN$18)*Sector_Params!$J$7</f>
        <v>0.00484875</v>
      </c>
      <c r="V98" s="37" t="n">
        <f aca="false">IF(AND(p_eng=1,ISNUMBER(Country_Data!$DG$18)),Country_Data!$DG$18,p_a)</f>
        <v>0.2682921991419</v>
      </c>
      <c r="W98" s="16" t="n">
        <f aca="false">T98*L98</f>
        <v>0.495962257805377</v>
      </c>
      <c r="X98" s="16" t="n">
        <f aca="false">U98*L98</f>
        <v>0.0217516061483081</v>
      </c>
      <c r="Y98" s="16" t="n">
        <f aca="false">V98*L98</f>
        <v>1.20356509376603</v>
      </c>
      <c r="Z98" s="16" t="n">
        <f aca="false">Q98*L98</f>
        <v>0.506708507406929</v>
      </c>
      <c r="AA98" s="16" t="n">
        <f aca="false">R98*L98</f>
        <v>0.550438233394235</v>
      </c>
      <c r="AB98" s="16" t="n">
        <f aca="false">S98*L98</f>
        <v>0.535079549497988</v>
      </c>
      <c r="AC98" s="16" t="n">
        <f aca="false">Z98-W98</f>
        <v>0.0107462496015526</v>
      </c>
      <c r="AD98" s="16" t="n">
        <f aca="false">AA98-W98</f>
        <v>0.0544759755888585</v>
      </c>
      <c r="AE98" s="16" t="n">
        <f aca="false">AB98-W98</f>
        <v>0.0391172916926107</v>
      </c>
      <c r="AF98" s="16" t="n">
        <f aca="false">AE98-X98</f>
        <v>0.0173656855443026</v>
      </c>
      <c r="AG98" s="16" t="n">
        <f aca="false">AF98-p_spc_lo*Y98/1000</f>
        <v>-0.0428125691439991</v>
      </c>
      <c r="AH98" s="16" t="n">
        <f aca="false">AF98-p_spc_hi*Y98/1000</f>
        <v>-0.102990823832301</v>
      </c>
      <c r="AI98" s="16" t="n">
        <f aca="false">Q98*J98</f>
        <v>1.33344344054455</v>
      </c>
      <c r="AJ98" s="16" t="n">
        <f aca="false">S98*J98</f>
        <v>1.40810407762628</v>
      </c>
      <c r="AK98" s="16" t="n">
        <f aca="false">T98*J98</f>
        <v>1.30516383632994</v>
      </c>
      <c r="AL98" s="16" t="n">
        <f aca="false">U98*J98</f>
        <v>0.0572410688113371</v>
      </c>
      <c r="AM98" s="16" t="n">
        <f aca="false">AI98-AJ98</f>
        <v>-0.0746606370817318</v>
      </c>
      <c r="AN98" s="16" t="n">
        <f aca="false">J98*Country_Data!$EB$18</f>
        <v>12.3345290555405</v>
      </c>
      <c r="AO98" s="16" t="n">
        <f aca="false">L98*Country_Data!$EB$18</f>
        <v>4.68712104110541</v>
      </c>
    </row>
    <row r="99" customFormat="false" ht="15" hidden="false" customHeight="false" outlineLevel="0" collapsed="false">
      <c r="A99" s="14" t="str">
        <f aca="false">Country_Data!$A$18</f>
        <v>AUS</v>
      </c>
      <c r="B99" s="14" t="str">
        <f aca="false">Country_Data!$E$18</f>
        <v>AE</v>
      </c>
      <c r="C99" s="35" t="s">
        <v>477</v>
      </c>
      <c r="D99" s="37" t="n">
        <f aca="false">IF(Country_Data!$CB$18="","",Country_Data!$CB$18)</f>
        <v>0.687666433492303</v>
      </c>
      <c r="E99" s="40" t="n">
        <f aca="false">Country_Data!$BW$18</f>
        <v>1907.482</v>
      </c>
      <c r="F99" s="41" t="n">
        <f aca="false">Country_Data!$BX$18</f>
        <v>0.943347302884116</v>
      </c>
      <c r="G99" s="42" t="n">
        <f aca="false">IF(D99="","",D99/SUMIFS($D$5:$D$1369,$B$5:$B$1369,B99,$C$5:$C$1369,C99))</f>
        <v>0.0176834159890435</v>
      </c>
      <c r="H99" s="42" t="n">
        <f aca="false">E99/SUMIFS($E$5:$E$1369,$B$5:$B$1369,B99,$C$5:$C$1369,C99)</f>
        <v>0.0241805869671986</v>
      </c>
      <c r="I99" s="43" t="n">
        <f aca="false">IF(G99="",H99,p_beta_alloc*G99+(1-p_beta_alloc)*H99)*F99^p_phi</f>
        <v>0.0203304299287343</v>
      </c>
      <c r="J99" s="16" t="n">
        <f aca="false">INDEX(Sector_Params!$C$19:$E$19,MATCH(B99,Sector_Params!$C$15:$E$15,0))*I99/SUMIFS($I$5:$I$1369,$B$5:$B$1369,B99,$C$5:$C$1369,C99)</f>
        <v>5.97627051327255</v>
      </c>
      <c r="K99" s="28" t="n">
        <f aca="false">INDEX(Sector_Params!$F$8:$H$8,MATCH(B99,Sector_Params!$C$15:$E$15,0))</f>
        <v>0.38</v>
      </c>
      <c r="L99" s="16" t="n">
        <f aca="false">J99*K99</f>
        <v>2.27098279504357</v>
      </c>
      <c r="M99" s="44" t="n">
        <f aca="false">Country_Data!$DW$18+Sector_Params!$E$8</f>
        <v>0.0502</v>
      </c>
      <c r="N99" s="44" t="n">
        <f aca="false">Country_Data!$DX$18+Sector_Params!$E$8</f>
        <v>0.0652</v>
      </c>
      <c r="O99" s="11" t="n">
        <f aca="false">IF(p_use_ibrd=1,p_r_ibrd,p_r_wb)</f>
        <v>0.06</v>
      </c>
      <c r="P99" s="45" t="n">
        <f aca="false">Sector_Params!$D$8</f>
        <v>25</v>
      </c>
      <c r="Q99" s="46" t="n">
        <f aca="false">M99/(1-(1+M99)^-P99)</f>
        <v>0.071094750225976</v>
      </c>
      <c r="R99" s="46" t="n">
        <f aca="false">N99/(1-(1+N99)^-P99)</f>
        <v>0.0821332374103273</v>
      </c>
      <c r="S99" s="46" t="n">
        <f aca="false">O99/(1-(1+O99)^-P99)</f>
        <v>0.078226718212274</v>
      </c>
      <c r="T99" s="37" t="n">
        <f aca="false">Country_Data!$CM$18*Sector_Params!$I$8</f>
        <v>0.165261035071986</v>
      </c>
      <c r="U99" s="37" t="n">
        <f aca="false">Country_Data!$CN$18*Sector_Params!$J$8</f>
        <v>0.0346704092987844</v>
      </c>
      <c r="V99" s="37" t="n">
        <f aca="false">p_a</f>
        <v>0.35</v>
      </c>
      <c r="W99" s="16" t="n">
        <f aca="false">T99*L99</f>
        <v>0.375304967339572</v>
      </c>
      <c r="X99" s="16" t="n">
        <f aca="false">U99*L99</f>
        <v>0.0787359030146578</v>
      </c>
      <c r="Y99" s="16" t="n">
        <f aca="false">V99*L99</f>
        <v>0.794843978265249</v>
      </c>
      <c r="Z99" s="16" t="n">
        <f aca="false">Q99*L99</f>
        <v>0.161454954581111</v>
      </c>
      <c r="AA99" s="16" t="n">
        <f aca="false">R99*L99</f>
        <v>0.186523169060082</v>
      </c>
      <c r="AB99" s="16" t="n">
        <f aca="false">S99*L99</f>
        <v>0.177651531172796</v>
      </c>
      <c r="AC99" s="16" t="n">
        <f aca="false">Z99-W99</f>
        <v>-0.213850012758461</v>
      </c>
      <c r="AD99" s="16" t="n">
        <f aca="false">AA99-W99</f>
        <v>-0.18878179827949</v>
      </c>
      <c r="AE99" s="16" t="n">
        <f aca="false">AB99-W99</f>
        <v>-0.197653436166777</v>
      </c>
      <c r="AF99" s="16" t="n">
        <f aca="false">AE99-X99</f>
        <v>-0.276389339181434</v>
      </c>
      <c r="AG99" s="16" t="n">
        <f aca="false">AF99-p_spc_lo*Y99/1000</f>
        <v>-0.316131538094697</v>
      </c>
      <c r="AH99" s="16" t="n">
        <f aca="false">AF99-p_spc_hi*Y99/1000</f>
        <v>-0.355873737007959</v>
      </c>
      <c r="AI99" s="16" t="n">
        <f aca="false">Q99*J99</f>
        <v>0.424881459423977</v>
      </c>
      <c r="AJ99" s="16" t="n">
        <f aca="false">S99*J99</f>
        <v>0.467504029402094</v>
      </c>
      <c r="AK99" s="16" t="n">
        <f aca="false">T99*J99</f>
        <v>0.987644650893611</v>
      </c>
      <c r="AL99" s="16" t="n">
        <f aca="false">U99*J99</f>
        <v>0.207199744775415</v>
      </c>
      <c r="AM99" s="16" t="n">
        <f aca="false">AI99-AJ99</f>
        <v>-0.0426225699781165</v>
      </c>
      <c r="AN99" s="16" t="n">
        <f aca="false">J99*Country_Data!$EB$18</f>
        <v>6.24417229490201</v>
      </c>
      <c r="AO99" s="16" t="n">
        <f aca="false">L99*Country_Data!$EB$18</f>
        <v>2.37278547206276</v>
      </c>
    </row>
    <row r="100" customFormat="false" ht="15" hidden="false" customHeight="false" outlineLevel="0" collapsed="false">
      <c r="A100" s="14" t="str">
        <f aca="false">Country_Data!$A$18</f>
        <v>AUS</v>
      </c>
      <c r="B100" s="14" t="str">
        <f aca="false">Country_Data!$E$18</f>
        <v>AE</v>
      </c>
      <c r="C100" s="35" t="s">
        <v>481</v>
      </c>
      <c r="D100" s="37" t="n">
        <f aca="false">IF(Country_Data!$CC$18="","",Country_Data!$CC$18)</f>
        <v>2.10582074041614</v>
      </c>
      <c r="E100" s="40" t="n">
        <f aca="false">Country_Data!$BW$18</f>
        <v>1907.482</v>
      </c>
      <c r="F100" s="41" t="n">
        <f aca="false">Country_Data!$BX$18</f>
        <v>0.943347302884116</v>
      </c>
      <c r="G100" s="42" t="n">
        <f aca="false">IF(D100="","",D100/SUMIFS($D$5:$D$1369,$B$5:$B$1369,B100,$C$5:$C$1369,C100))</f>
        <v>0.0383424955731526</v>
      </c>
      <c r="H100" s="42" t="n">
        <f aca="false">E100/SUMIFS($E$5:$E$1369,$B$5:$B$1369,B100,$C$5:$C$1369,C100)</f>
        <v>0.0241805869671986</v>
      </c>
      <c r="I100" s="43" t="n">
        <f aca="false">IF(G100="",H100,p_beta_alloc*G100+(1-p_beta_alloc)*H100)*F100^p_phi</f>
        <v>0.0303631057413145</v>
      </c>
      <c r="J100" s="16" t="n">
        <f aca="false">INDEX(Sector_Params!$C$20:$E$20,MATCH(B100,Sector_Params!$C$15:$E$15,0))*I100/SUMIFS($I$5:$I$1369,$B$5:$B$1369,B100,$C$5:$C$1369,C100)</f>
        <v>5.15618220811415</v>
      </c>
      <c r="K100" s="28" t="n">
        <f aca="false">INDEX(Sector_Params!$F$9:$H$9,MATCH(B100,Sector_Params!$C$15:$E$15,0))</f>
        <v>0.38</v>
      </c>
      <c r="L100" s="16" t="n">
        <f aca="false">J100*K100</f>
        <v>1.95934923908338</v>
      </c>
      <c r="M100" s="44" t="n">
        <f aca="false">Country_Data!$DW$18+Sector_Params!$E$9</f>
        <v>0.0502</v>
      </c>
      <c r="N100" s="44" t="n">
        <f aca="false">Country_Data!$DX$18+Sector_Params!$E$9</f>
        <v>0.0652</v>
      </c>
      <c r="O100" s="11" t="n">
        <f aca="false">IF(p_use_ibrd=1,p_r_ibrd,p_r_wb)</f>
        <v>0.06</v>
      </c>
      <c r="P100" s="45" t="n">
        <f aca="false">Sector_Params!$D$9</f>
        <v>25</v>
      </c>
      <c r="Q100" s="46" t="n">
        <f aca="false">M100/(1-(1+M100)^-P100)</f>
        <v>0.071094750225976</v>
      </c>
      <c r="R100" s="46" t="n">
        <f aca="false">N100/(1-(1+N100)^-P100)</f>
        <v>0.0821332374103273</v>
      </c>
      <c r="S100" s="46" t="n">
        <f aca="false">O100/(1-(1+O100)^-P100)</f>
        <v>0.078226718212274</v>
      </c>
      <c r="T100" s="37" t="n">
        <f aca="false">Country_Data!$CM$18*Sector_Params!$I$9</f>
        <v>0.165261035071986</v>
      </c>
      <c r="U100" s="37" t="n">
        <f aca="false">Country_Data!$CN$18*Sector_Params!$J$9</f>
        <v>0.0346704092987844</v>
      </c>
      <c r="V100" s="37" t="n">
        <f aca="false">p_a</f>
        <v>0.35</v>
      </c>
      <c r="W100" s="16" t="n">
        <f aca="false">T100*L100</f>
        <v>0.323804083318427</v>
      </c>
      <c r="X100" s="16" t="n">
        <f aca="false">U100*L100</f>
        <v>0.0679314400782824</v>
      </c>
      <c r="Y100" s="16" t="n">
        <f aca="false">V100*L100</f>
        <v>0.685772233679182</v>
      </c>
      <c r="Z100" s="16" t="n">
        <f aca="false">Q100*L100</f>
        <v>0.139299444758089</v>
      </c>
      <c r="AA100" s="16" t="n">
        <f aca="false">R100*L100</f>
        <v>0.160927696223379</v>
      </c>
      <c r="AB100" s="16" t="n">
        <f aca="false">S100*L100</f>
        <v>0.153273460805209</v>
      </c>
      <c r="AC100" s="16" t="n">
        <f aca="false">Z100-W100</f>
        <v>-0.184504638560338</v>
      </c>
      <c r="AD100" s="16" t="n">
        <f aca="false">AA100-W100</f>
        <v>-0.162876387095048</v>
      </c>
      <c r="AE100" s="16" t="n">
        <f aca="false">AB100-W100</f>
        <v>-0.170530622513218</v>
      </c>
      <c r="AF100" s="16" t="n">
        <f aca="false">AE100-X100</f>
        <v>-0.238462062591501</v>
      </c>
      <c r="AG100" s="16" t="n">
        <f aca="false">AF100-p_spc_lo*Y100/1000</f>
        <v>-0.27275067427546</v>
      </c>
      <c r="AH100" s="16" t="n">
        <f aca="false">AF100-p_spc_hi*Y100/1000</f>
        <v>-0.307039285959419</v>
      </c>
      <c r="AI100" s="16" t="n">
        <f aca="false">Q100*J100</f>
        <v>0.366577486205497</v>
      </c>
      <c r="AJ100" s="16" t="n">
        <f aca="false">S100*J100</f>
        <v>0.403351212645286</v>
      </c>
      <c r="AK100" s="16" t="n">
        <f aca="false">T100*J100</f>
        <v>0.852116008732703</v>
      </c>
      <c r="AL100" s="16" t="n">
        <f aca="false">U100*J100</f>
        <v>0.178766947574427</v>
      </c>
      <c r="AM100" s="16" t="n">
        <f aca="false">AI100-AJ100</f>
        <v>-0.0367737264397894</v>
      </c>
      <c r="AN100" s="16" t="n">
        <f aca="false">J100*Country_Data!$EB$18</f>
        <v>5.38732141054685</v>
      </c>
      <c r="AO100" s="16" t="n">
        <f aca="false">L100*Country_Data!$EB$18</f>
        <v>2.0471821360078</v>
      </c>
    </row>
    <row r="101" customFormat="false" ht="15" hidden="false" customHeight="false" outlineLevel="0" collapsed="false">
      <c r="A101" s="14" t="str">
        <f aca="false">Country_Data!$A$18</f>
        <v>AUS</v>
      </c>
      <c r="B101" s="14" t="str">
        <f aca="false">Country_Data!$E$18</f>
        <v>AE</v>
      </c>
      <c r="C101" s="35" t="s">
        <v>484</v>
      </c>
      <c r="D101" s="37" t="n">
        <f aca="false">IF(Country_Data!$CD$18="","",Country_Data!$CD$18)</f>
        <v>5.38835948393023</v>
      </c>
      <c r="E101" s="40" t="n">
        <f aca="false">Country_Data!$BW$18</f>
        <v>1907.482</v>
      </c>
      <c r="F101" s="41" t="n">
        <f aca="false">Country_Data!$BX$18</f>
        <v>0.943347302884116</v>
      </c>
      <c r="G101" s="42" t="n">
        <f aca="false">IF(D101="","",D101/SUMIFS($D$5:$D$1369,$B$5:$B$1369,B101,$C$5:$C$1369,C101))</f>
        <v>0.0364570616227505</v>
      </c>
      <c r="H101" s="42" t="n">
        <f aca="false">E101/SUMIFS($E$5:$E$1369,$B$5:$B$1369,B101,$C$5:$C$1369,C101)</f>
        <v>0.0241805869671986</v>
      </c>
      <c r="I101" s="43" t="n">
        <f aca="false">IF(G101="",H101,p_beta_alloc*G101+(1-p_beta_alloc)*H101)*F101^p_phi</f>
        <v>0.0294474818136654</v>
      </c>
      <c r="J101" s="16" t="n">
        <f aca="false">INDEX(Sector_Params!$C$21:$E$21,MATCH(B101,Sector_Params!$C$15:$E$15,0))*I101/SUMIFS($I$5:$I$1369,$B$5:$B$1369,B101,$C$5:$C$1369,C101)</f>
        <v>5.99991663758444</v>
      </c>
      <c r="K101" s="28" t="n">
        <f aca="false">INDEX(Sector_Params!$F$10:$H$10,MATCH(B101,Sector_Params!$C$15:$E$15,0))</f>
        <v>0.38</v>
      </c>
      <c r="L101" s="16" t="n">
        <f aca="false">J101*K101</f>
        <v>2.27996832228209</v>
      </c>
      <c r="M101" s="44" t="n">
        <f aca="false">Country_Data!$DW$18+Sector_Params!$E$10</f>
        <v>0.0502</v>
      </c>
      <c r="N101" s="44" t="n">
        <f aca="false">Country_Data!$DX$18+Sector_Params!$E$10</f>
        <v>0.0652</v>
      </c>
      <c r="O101" s="11" t="n">
        <f aca="false">IF(p_use_ibrd=1,p_r_ibrd,p_r_wb)</f>
        <v>0.06</v>
      </c>
      <c r="P101" s="45" t="n">
        <f aca="false">Sector_Params!$D$10</f>
        <v>20</v>
      </c>
      <c r="Q101" s="46" t="n">
        <f aca="false">M101/(1-(1+M101)^-P101)</f>
        <v>0.0803787190266049</v>
      </c>
      <c r="R101" s="46" t="n">
        <f aca="false">N101/(1-(1+N101)^-P101)</f>
        <v>0.0909006274015216</v>
      </c>
      <c r="S101" s="46" t="n">
        <f aca="false">O101/(1-(1+O101)^-P101)</f>
        <v>0.0871845569768514</v>
      </c>
      <c r="T101" s="37" t="n">
        <f aca="false">0*Sector_Params!$I$10</f>
        <v>0</v>
      </c>
      <c r="U101" s="37" t="n">
        <f aca="false">0*Sector_Params!$J$10</f>
        <v>0</v>
      </c>
      <c r="V101" s="37" t="n">
        <f aca="false">1000*p_r_wb/(1-(1+p_r_wb)^-Sector_Params!$D$10)/p_cpt_fuel</f>
        <v>0.871845569768514</v>
      </c>
      <c r="W101" s="16" t="n">
        <f aca="false">T101*L101</f>
        <v>0</v>
      </c>
      <c r="X101" s="16" t="n">
        <f aca="false">U101*L101</f>
        <v>0</v>
      </c>
      <c r="Y101" s="16" t="n">
        <f aca="false">V101*L101</f>
        <v>1.98778028099419</v>
      </c>
      <c r="Z101" s="16" t="n">
        <f aca="false">Q101*L101</f>
        <v>0.183260933166271</v>
      </c>
      <c r="AA101" s="16" t="n">
        <f aca="false">R101*L101</f>
        <v>0.207250550951036</v>
      </c>
      <c r="AB101" s="16" t="n">
        <f aca="false">S101*L101</f>
        <v>0.198778028099419</v>
      </c>
      <c r="AC101" s="16" t="n">
        <f aca="false">Z101-W101</f>
        <v>0.183260933166271</v>
      </c>
      <c r="AD101" s="16" t="n">
        <f aca="false">AA101-W101</f>
        <v>0.207250550951036</v>
      </c>
      <c r="AE101" s="16" t="n">
        <f aca="false">AB101-W101</f>
        <v>0.198778028099419</v>
      </c>
      <c r="AF101" s="16" t="n">
        <f aca="false">AE101-X101</f>
        <v>0.198778028099419</v>
      </c>
      <c r="AG101" s="16" t="n">
        <f aca="false">AF101-p_spc_lo*Y101/1000</f>
        <v>0.0993890140497094</v>
      </c>
      <c r="AH101" s="16" t="n">
        <f aca="false">AF101-p_spc_hi*Y101/1000</f>
        <v>0</v>
      </c>
      <c r="AI101" s="16" t="n">
        <f aca="false">Q101*J101</f>
        <v>0.482265613595451</v>
      </c>
      <c r="AJ101" s="16" t="n">
        <f aca="false">S101*J101</f>
        <v>0.523100073945839</v>
      </c>
      <c r="AK101" s="16" t="n">
        <f aca="false">T101*J101</f>
        <v>0</v>
      </c>
      <c r="AL101" s="16" t="n">
        <f aca="false">U101*J101</f>
        <v>0</v>
      </c>
      <c r="AM101" s="16" t="n">
        <f aca="false">AI101-AJ101</f>
        <v>-0.0408344603503876</v>
      </c>
      <c r="AN101" s="16" t="n">
        <f aca="false">J101*Country_Data!$EB$18</f>
        <v>6.26887841788994</v>
      </c>
      <c r="AO101" s="16" t="n">
        <f aca="false">L101*Country_Data!$EB$18</f>
        <v>2.38217379879818</v>
      </c>
    </row>
    <row r="102" customFormat="false" ht="15" hidden="false" customHeight="false" outlineLevel="0" collapsed="false">
      <c r="A102" s="14" t="str">
        <f aca="false">Country_Data!$A$18</f>
        <v>AUS</v>
      </c>
      <c r="B102" s="14" t="str">
        <f aca="false">Country_Data!$E$18</f>
        <v>AE</v>
      </c>
      <c r="C102" s="35" t="s">
        <v>488</v>
      </c>
      <c r="D102" s="37" t="n">
        <f aca="false">IF(Country_Data!$CE$18="","",Country_Data!$CE$18)</f>
        <v>130.482</v>
      </c>
      <c r="E102" s="40" t="n">
        <f aca="false">Country_Data!$BW$18</f>
        <v>1907.482</v>
      </c>
      <c r="F102" s="41" t="n">
        <f aca="false">Country_Data!$BX$18</f>
        <v>0.943347302884116</v>
      </c>
      <c r="G102" s="42" t="n">
        <f aca="false">IF(D102="","",D102/SUMIFS($D$5:$D$1369,$B$5:$B$1369,B102,$C$5:$C$1369,C102))</f>
        <v>0.0497970822898674</v>
      </c>
      <c r="H102" s="42" t="n">
        <f aca="false">E102/SUMIFS($E$5:$E$1369,$B$5:$B$1369,B102,$C$5:$C$1369,C102)</f>
        <v>0.0241805869671986</v>
      </c>
      <c r="I102" s="43" t="n">
        <f aca="false">IF(G102="",H102,p_beta_alloc*G102+(1-p_beta_alloc)*H102)*F102^p_phi</f>
        <v>0.035925800566513</v>
      </c>
      <c r="J102" s="16" t="n">
        <f aca="false">INDEX(Sector_Params!$C$22:$E$22,MATCH(B102,Sector_Params!$C$15:$E$15,0))*I102/SUMIFS($I$5:$I$1369,$B$5:$B$1369,B102,$C$5:$C$1369,C102)</f>
        <v>1.39203936469912</v>
      </c>
      <c r="K102" s="28" t="n">
        <f aca="false">INDEX(Sector_Params!$F$11:$H$11,MATCH(B102,Sector_Params!$C$15:$E$15,0))</f>
        <v>0.38</v>
      </c>
      <c r="L102" s="16" t="n">
        <f aca="false">J102*K102</f>
        <v>0.528974958585666</v>
      </c>
      <c r="M102" s="44" t="n">
        <f aca="false">Country_Data!$DW$18+Sector_Params!$E$11</f>
        <v>0.0502</v>
      </c>
      <c r="N102" s="44" t="n">
        <f aca="false">Country_Data!$DX$18+Sector_Params!$E$11</f>
        <v>0.0652</v>
      </c>
      <c r="O102" s="11" t="n">
        <f aca="false">IF(p_use_ibrd=1,p_r_ibrd,p_r_wb)</f>
        <v>0.06</v>
      </c>
      <c r="P102" s="45" t="n">
        <f aca="false">Sector_Params!$D$11</f>
        <v>30</v>
      </c>
      <c r="Q102" s="46" t="n">
        <f aca="false">M102/(1-(1+M102)^-P102)</f>
        <v>0.0651998168929234</v>
      </c>
      <c r="R102" s="46" t="n">
        <f aca="false">N102/(1-(1+N102)^-P102)</f>
        <v>0.0767362868898984</v>
      </c>
      <c r="S102" s="46" t="n">
        <f aca="false">O102/(1-(1+O102)^-P102)</f>
        <v>0.0726489114900472</v>
      </c>
      <c r="T102" s="37" t="n">
        <f aca="false">0*Sector_Params!$I$11</f>
        <v>0</v>
      </c>
      <c r="U102" s="37" t="n">
        <f aca="false">p_c*Sector_Params!$J$11</f>
        <v>0.129</v>
      </c>
      <c r="V102" s="37" t="n">
        <f aca="false">1000*p_r_wb/(1-(1+p_r_wb)^-Sector_Params!$D$11)/p_cpt_afolu</f>
        <v>1.45297822980094</v>
      </c>
      <c r="W102" s="16" t="n">
        <f aca="false">T102*L102</f>
        <v>0</v>
      </c>
      <c r="X102" s="16" t="n">
        <f aca="false">U102*L102</f>
        <v>0.0682377696575509</v>
      </c>
      <c r="Y102" s="16" t="n">
        <f aca="false">V102*L102</f>
        <v>0.768589098934828</v>
      </c>
      <c r="Z102" s="16" t="n">
        <f aca="false">Q102*L102</f>
        <v>0.0344890704407271</v>
      </c>
      <c r="AA102" s="16" t="n">
        <f aca="false">R102*L102</f>
        <v>0.0405915741796018</v>
      </c>
      <c r="AB102" s="16" t="n">
        <f aca="false">S102*L102</f>
        <v>0.0384294549467414</v>
      </c>
      <c r="AC102" s="16" t="n">
        <f aca="false">Z102-W102</f>
        <v>0.0344890704407271</v>
      </c>
      <c r="AD102" s="16" t="n">
        <f aca="false">AA102-W102</f>
        <v>0.0405915741796018</v>
      </c>
      <c r="AE102" s="16" t="n">
        <f aca="false">AB102-W102</f>
        <v>0.0384294549467414</v>
      </c>
      <c r="AF102" s="16" t="n">
        <f aca="false">AE102-X102</f>
        <v>-0.0298083147108095</v>
      </c>
      <c r="AG102" s="16" t="n">
        <f aca="false">AF102-p_spc_lo*Y102/1000</f>
        <v>-0.0682377696575509</v>
      </c>
      <c r="AH102" s="16" t="n">
        <f aca="false">AF102-p_spc_hi*Y102/1000</f>
        <v>-0.106667224604292</v>
      </c>
      <c r="AI102" s="16" t="n">
        <f aca="false">Q102*J102</f>
        <v>0.0907607116861241</v>
      </c>
      <c r="AJ102" s="16" t="n">
        <f aca="false">S102*J102</f>
        <v>0.101130144596688</v>
      </c>
      <c r="AK102" s="16" t="n">
        <f aca="false">T102*J102</f>
        <v>0</v>
      </c>
      <c r="AL102" s="16" t="n">
        <f aca="false">U102*J102</f>
        <v>0.179573078046187</v>
      </c>
      <c r="AM102" s="16" t="n">
        <f aca="false">AI102-AJ102</f>
        <v>-0.0103694329105639</v>
      </c>
      <c r="AN102" s="16" t="n">
        <f aca="false">J102*Country_Data!$EB$18</f>
        <v>1.45444112932356</v>
      </c>
      <c r="AO102" s="16" t="n">
        <f aca="false">L102*Country_Data!$EB$18</f>
        <v>0.552687629142954</v>
      </c>
    </row>
    <row r="103" customFormat="false" ht="15" hidden="false" customHeight="false" outlineLevel="0" collapsed="false">
      <c r="A103" s="14" t="str">
        <f aca="false">Country_Data!$A$19</f>
        <v>ESP</v>
      </c>
      <c r="B103" s="14" t="str">
        <f aca="false">Country_Data!$E$19</f>
        <v>AE</v>
      </c>
      <c r="C103" s="35" t="s">
        <v>466</v>
      </c>
      <c r="D103" s="37" t="n">
        <f aca="false">IF(Country_Data!$BZ$19="","",Country_Data!$BZ$19)</f>
        <v>278.789752513207</v>
      </c>
      <c r="E103" s="40" t="n">
        <f aca="false">Country_Data!$BW$19</f>
        <v>2683.325</v>
      </c>
      <c r="F103" s="41" t="n">
        <f aca="false">Country_Data!$BX$19</f>
        <v>0.64291578545275</v>
      </c>
      <c r="G103" s="42" t="n">
        <f aca="false">IF(D103="","",D103/SUMIFS($D$5:$D$1369,$B$5:$B$1369,B103,$C$5:$C$1369,C103))</f>
        <v>0.0284903744208436</v>
      </c>
      <c r="H103" s="42" t="n">
        <f aca="false">E103/SUMIFS($E$5:$E$1369,$B$5:$B$1369,B103,$C$5:$C$1369,C103)</f>
        <v>0.0340157199510968</v>
      </c>
      <c r="I103" s="43" t="n">
        <f aca="false">IF(G103="",H103,p_beta_alloc*G103+(1-p_beta_alloc)*H103)*F103^p_phi</f>
        <v>0.0250593275138916</v>
      </c>
      <c r="J103" s="16" t="n">
        <f aca="false">INDEX(Sector_Params!$C$16:$E$16,MATCH(B103,Sector_Params!$C$15:$E$15,0))*I103/SUMIFS($I$5:$I$1369,$B$5:$B$1369,B103,$C$5:$C$1369,C103)</f>
        <v>22.4770971453015</v>
      </c>
      <c r="K103" s="28" t="n">
        <f aca="false">INDEX(Sector_Params!$F$5:$H$5,MATCH(B103,Sector_Params!$C$15:$E$15,0))</f>
        <v>0.38</v>
      </c>
      <c r="L103" s="16" t="n">
        <f aca="false">J103*K103</f>
        <v>8.54129691521459</v>
      </c>
      <c r="M103" s="44" t="n">
        <f aca="false">Country_Data!$DW$19+Sector_Params!$E$5</f>
        <v>0.05125</v>
      </c>
      <c r="N103" s="44" t="n">
        <f aca="false">Country_Data!$DX$19+Sector_Params!$E$5</f>
        <v>0.06625</v>
      </c>
      <c r="O103" s="11" t="n">
        <f aca="false">IF(p_use_ibrd=1,p_r_ibrd,p_r_wb)</f>
        <v>0.06</v>
      </c>
      <c r="P103" s="45" t="n">
        <f aca="false">Sector_Params!$D$5</f>
        <v>25</v>
      </c>
      <c r="Q103" s="46" t="n">
        <f aca="false">M103/(1-(1+M103)^-P103)</f>
        <v>0.0718439717909278</v>
      </c>
      <c r="R103" s="46" t="n">
        <f aca="false">N103/(1-(1+N103)^-P103)</f>
        <v>0.0829318998784473</v>
      </c>
      <c r="S103" s="46" t="n">
        <f aca="false">O103/(1-(1+O103)^-P103)</f>
        <v>0.078226718212274</v>
      </c>
      <c r="T103" s="37" t="n">
        <f aca="false">IF(AND(p_eng=1,ISNUMBER(Country_Data!$CZ$19)),Country_Data!$CZ$19,Country_Data!$CM$19)*Sector_Params!$I$5</f>
        <v>0.0473643748571321</v>
      </c>
      <c r="U103" s="37" t="n">
        <f aca="false">IF(AND(p_eng=1,ISNUMBER(Country_Data!$DA$19)),Country_Data!$DA$19,Country_Data!$CN$19)*Sector_Params!$J$5</f>
        <v>0.00811119428494806</v>
      </c>
      <c r="V103" s="37" t="n">
        <f aca="false">IF(AND(p_eng=1,ISNUMBER(Country_Data!$DB$19)),Country_Data!$DB$19,p_a)</f>
        <v>0.28081480123827</v>
      </c>
      <c r="W103" s="16" t="n">
        <f aca="false">T103*L103</f>
        <v>0.40455318885829</v>
      </c>
      <c r="X103" s="16" t="n">
        <f aca="false">U103*L103</f>
        <v>0.0692801187247331</v>
      </c>
      <c r="Y103" s="16" t="n">
        <f aca="false">V103*L103</f>
        <v>2.39852259556303</v>
      </c>
      <c r="Z103" s="16" t="n">
        <f aca="false">Q103*L103</f>
        <v>0.613640694634616</v>
      </c>
      <c r="AA103" s="16" t="n">
        <f aca="false">R103*L103</f>
        <v>0.708345980604667</v>
      </c>
      <c r="AB103" s="16" t="n">
        <f aca="false">S103*L103</f>
        <v>0.668157626953856</v>
      </c>
      <c r="AC103" s="16" t="n">
        <f aca="false">Z103-W103</f>
        <v>0.209087505776326</v>
      </c>
      <c r="AD103" s="16" t="n">
        <f aca="false">AA103-W103</f>
        <v>0.303792791746377</v>
      </c>
      <c r="AE103" s="16" t="n">
        <f aca="false">AB103-W103</f>
        <v>0.263604438095567</v>
      </c>
      <c r="AF103" s="16" t="n">
        <f aca="false">AE103-X103</f>
        <v>0.194324319370833</v>
      </c>
      <c r="AG103" s="16" t="n">
        <f aca="false">AF103-p_spc_lo*Y103/1000</f>
        <v>0.0743981895926818</v>
      </c>
      <c r="AH103" s="16" t="n">
        <f aca="false">AF103-p_spc_hi*Y103/1000</f>
        <v>-0.0455279401854698</v>
      </c>
      <c r="AI103" s="16" t="n">
        <f aca="false">Q103*J103</f>
        <v>1.61484393324899</v>
      </c>
      <c r="AJ103" s="16" t="n">
        <f aca="false">S103*J103</f>
        <v>1.75830954461541</v>
      </c>
      <c r="AK103" s="16" t="n">
        <f aca="false">T103*J103</f>
        <v>1.06461365489024</v>
      </c>
      <c r="AL103" s="16" t="n">
        <f aca="false">U103*J103</f>
        <v>0.182316101907192</v>
      </c>
      <c r="AM103" s="16" t="n">
        <f aca="false">AI103-AJ103</f>
        <v>-0.143465611366423</v>
      </c>
      <c r="AN103" s="16" t="n">
        <f aca="false">J103*Country_Data!$EB$19</f>
        <v>23.4846911552633</v>
      </c>
      <c r="AO103" s="16" t="n">
        <f aca="false">L103*Country_Data!$EB$19</f>
        <v>8.92418263900007</v>
      </c>
    </row>
    <row r="104" customFormat="false" ht="15" hidden="false" customHeight="false" outlineLevel="0" collapsed="false">
      <c r="A104" s="14" t="str">
        <f aca="false">Country_Data!$A$19</f>
        <v>ESP</v>
      </c>
      <c r="B104" s="14" t="str">
        <f aca="false">Country_Data!$E$19</f>
        <v>AE</v>
      </c>
      <c r="C104" s="35" t="s">
        <v>470</v>
      </c>
      <c r="D104" s="37" t="n">
        <f aca="false">IF(Country_Data!$BZ$19="","",Country_Data!$BZ$19)</f>
        <v>278.789752513207</v>
      </c>
      <c r="E104" s="40" t="n">
        <f aca="false">Country_Data!$BW$19</f>
        <v>2683.325</v>
      </c>
      <c r="F104" s="41" t="n">
        <f aca="false">Country_Data!$BX$19</f>
        <v>0.64291578545275</v>
      </c>
      <c r="G104" s="42" t="n">
        <f aca="false">IF(D104="","",D104/SUMIFS($D$5:$D$1369,$B$5:$B$1369,B104,$C$5:$C$1369,C104))</f>
        <v>0.0284903744208436</v>
      </c>
      <c r="H104" s="42" t="n">
        <f aca="false">E104/SUMIFS($E$5:$E$1369,$B$5:$B$1369,B104,$C$5:$C$1369,C104)</f>
        <v>0.0340157199510968</v>
      </c>
      <c r="I104" s="43" t="n">
        <f aca="false">IF(G104="",H104,p_beta_alloc*G104+(1-p_beta_alloc)*H104)*F104^p_phi</f>
        <v>0.0250593275138916</v>
      </c>
      <c r="J104" s="16" t="n">
        <f aca="false">INDEX(Sector_Params!$C$17:$E$17,MATCH(B104,Sector_Params!$C$15:$E$15,0))*I104/SUMIFS($I$5:$I$1369,$B$5:$B$1369,B104,$C$5:$C$1369,C104)</f>
        <v>15.4128666139211</v>
      </c>
      <c r="K104" s="28" t="n">
        <f aca="false">INDEX(Sector_Params!$F$6:$H$6,MATCH(B104,Sector_Params!$C$15:$E$15,0))</f>
        <v>0.38</v>
      </c>
      <c r="L104" s="16" t="n">
        <f aca="false">J104*K104</f>
        <v>5.85688931329</v>
      </c>
      <c r="M104" s="44" t="n">
        <f aca="false">Country_Data!$DW$19+Sector_Params!$E$6</f>
        <v>0.05125</v>
      </c>
      <c r="N104" s="44" t="n">
        <f aca="false">Country_Data!$DX$19+Sector_Params!$E$6</f>
        <v>0.06625</v>
      </c>
      <c r="O104" s="11" t="n">
        <f aca="false">IF(p_use_ibrd=1,p_r_ibrd,p_r_wb)</f>
        <v>0.06</v>
      </c>
      <c r="P104" s="45" t="n">
        <f aca="false">Sector_Params!$D$6</f>
        <v>40</v>
      </c>
      <c r="Q104" s="46" t="n">
        <f aca="false">M104/(1-(1+M104)^-P104)</f>
        <v>0.0592789798693532</v>
      </c>
      <c r="R104" s="46" t="n">
        <f aca="false">N104/(1-(1+N104)^-P104)</f>
        <v>0.0717650743563575</v>
      </c>
      <c r="S104" s="46" t="n">
        <f aca="false">O104/(1-(1+O104)^-P104)</f>
        <v>0.0664615359206755</v>
      </c>
      <c r="T104" s="37" t="n">
        <f aca="false">p_grid_credit*IF(AND(p_eng=1,ISNUMBER(Country_Data!$CZ$19)),Country_Data!$CZ$19,Country_Data!$CM$19)*Sector_Params!$I$6</f>
        <v>0</v>
      </c>
      <c r="U104" s="37" t="n">
        <f aca="false">p_grid_credit*IF(AND(p_eng=1,ISNUMBER(Country_Data!$DA$19)),Country_Data!$DA$19,Country_Data!$CN$19)*Sector_Params!$J$6</f>
        <v>0</v>
      </c>
      <c r="V104" s="37" t="n">
        <f aca="false">p_grid_credit*IF(AND(p_eng=1,ISNUMBER(Country_Data!$DB$19)),Country_Data!$DB$19,p_a)</f>
        <v>0</v>
      </c>
      <c r="W104" s="16" t="n">
        <f aca="false">T104*L104</f>
        <v>0</v>
      </c>
      <c r="X104" s="16" t="n">
        <f aca="false">U104*L104</f>
        <v>0</v>
      </c>
      <c r="Y104" s="16" t="n">
        <f aca="false">V104*L104</f>
        <v>0</v>
      </c>
      <c r="Z104" s="16" t="n">
        <f aca="false">Q104*L104</f>
        <v>0.347190423699548</v>
      </c>
      <c r="AA104" s="16" t="n">
        <f aca="false">R104*L104</f>
        <v>0.420320097065213</v>
      </c>
      <c r="AB104" s="16" t="n">
        <f aca="false">S104*L104</f>
        <v>0.389257859478644</v>
      </c>
      <c r="AC104" s="16" t="n">
        <f aca="false">Z104-W104</f>
        <v>0.347190423699548</v>
      </c>
      <c r="AD104" s="16" t="n">
        <f aca="false">AA104-W104</f>
        <v>0.420320097065213</v>
      </c>
      <c r="AE104" s="16" t="n">
        <f aca="false">AB104-W104</f>
        <v>0.389257859478644</v>
      </c>
      <c r="AF104" s="16" t="n">
        <f aca="false">AE104-X104</f>
        <v>0.389257859478644</v>
      </c>
      <c r="AG104" s="16" t="n">
        <f aca="false">AF104-p_spc_lo*Y104/1000</f>
        <v>0.389257859478644</v>
      </c>
      <c r="AH104" s="16" t="n">
        <f aca="false">AF104-p_spc_hi*Y104/1000</f>
        <v>0.389257859478644</v>
      </c>
      <c r="AI104" s="16" t="n">
        <f aca="false">Q104*J104</f>
        <v>0.913659009735652</v>
      </c>
      <c r="AJ104" s="16" t="n">
        <f aca="false">S104*J104</f>
        <v>1.02436278810169</v>
      </c>
      <c r="AK104" s="16" t="n">
        <f aca="false">T104*J104</f>
        <v>0</v>
      </c>
      <c r="AL104" s="16" t="n">
        <f aca="false">U104*J104</f>
        <v>0</v>
      </c>
      <c r="AM104" s="16" t="n">
        <f aca="false">AI104-AJ104</f>
        <v>-0.110703778366043</v>
      </c>
      <c r="AN104" s="16" t="n">
        <f aca="false">J104*Country_Data!$EB$19</f>
        <v>16.103788220752</v>
      </c>
      <c r="AO104" s="16" t="n">
        <f aca="false">L104*Country_Data!$EB$19</f>
        <v>6.11943952388576</v>
      </c>
    </row>
    <row r="105" customFormat="false" ht="15" hidden="false" customHeight="false" outlineLevel="0" collapsed="false">
      <c r="A105" s="14" t="str">
        <f aca="false">Country_Data!$A$19</f>
        <v>ESP</v>
      </c>
      <c r="B105" s="14" t="str">
        <f aca="false">Country_Data!$E$19</f>
        <v>AE</v>
      </c>
      <c r="C105" s="35" t="s">
        <v>473</v>
      </c>
      <c r="D105" s="37" t="n">
        <f aca="false">IF(Country_Data!$CA$19="","",Country_Data!$CA$19)</f>
        <v>1.6154579364624</v>
      </c>
      <c r="E105" s="40" t="n">
        <f aca="false">Country_Data!$BW$19</f>
        <v>2683.325</v>
      </c>
      <c r="F105" s="41" t="n">
        <f aca="false">Country_Data!$BX$19</f>
        <v>0.64291578545275</v>
      </c>
      <c r="G105" s="42" t="n">
        <f aca="false">IF(D105="","",D105/SUMIFS($D$5:$D$1369,$B$5:$B$1369,B105,$C$5:$C$1369,C105))</f>
        <v>0.0316241560162108</v>
      </c>
      <c r="H105" s="42" t="n">
        <f aca="false">E105/SUMIFS($E$5:$E$1369,$B$5:$B$1369,B105,$C$5:$C$1369,C105)</f>
        <v>0.0340157199510968</v>
      </c>
      <c r="I105" s="43" t="n">
        <f aca="false">IF(G105="",H105,p_beta_alloc*G105+(1-p_beta_alloc)*H105)*F105^p_phi</f>
        <v>0.0263156923555024</v>
      </c>
      <c r="J105" s="16" t="n">
        <f aca="false">INDEX(Sector_Params!$C$18:$E$18,MATCH(B105,Sector_Params!$C$15:$E$15,0))*I105/SUMIFS($I$5:$I$1369,$B$5:$B$1369,B105,$C$5:$C$1369,C105)</f>
        <v>9.91715184254096</v>
      </c>
      <c r="K105" s="28" t="n">
        <f aca="false">INDEX(Sector_Params!$F$7:$H$7,MATCH(B105,Sector_Params!$C$15:$E$15,0))</f>
        <v>0.38</v>
      </c>
      <c r="L105" s="16" t="n">
        <f aca="false">J105*K105</f>
        <v>3.76851770016556</v>
      </c>
      <c r="M105" s="44" t="n">
        <f aca="false">Country_Data!$DW$19+Sector_Params!$E$7</f>
        <v>0.05125</v>
      </c>
      <c r="N105" s="44" t="n">
        <f aca="false">Country_Data!$DX$19+Sector_Params!$E$7</f>
        <v>0.06625</v>
      </c>
      <c r="O105" s="11" t="n">
        <f aca="false">IF(p_use_ibrd=1,p_r_ibrd,p_r_wb)</f>
        <v>0.06</v>
      </c>
      <c r="P105" s="45" t="n">
        <f aca="false">Sector_Params!$D$7</f>
        <v>12</v>
      </c>
      <c r="Q105" s="46" t="n">
        <f aca="false">M105/(1-(1+M105)^-P105)</f>
        <v>0.113622208128805</v>
      </c>
      <c r="R105" s="46" t="n">
        <f aca="false">N105/(1-(1+N105)^-P105)</f>
        <v>0.123397645753908</v>
      </c>
      <c r="S105" s="46" t="n">
        <f aca="false">O105/(1-(1+O105)^-P105)</f>
        <v>0.119277029380664</v>
      </c>
      <c r="T105" s="37" t="n">
        <f aca="false">IF(AND(p_eng=1,ISNUMBER(Country_Data!$DE$19)),Country_Data!$DE$19,Country_Data!$CM$19)*Sector_Params!$I$7</f>
        <v>0.118703295</v>
      </c>
      <c r="U105" s="37" t="n">
        <f aca="false">IF(AND(p_eng=1,ISNUMBER(Country_Data!$DF$19)),Country_Data!$DF$19,Country_Data!$CN$19)*Sector_Params!$J$7</f>
        <v>0.005052375</v>
      </c>
      <c r="V105" s="37" t="n">
        <f aca="false">IF(AND(p_eng=1,ISNUMBER(Country_Data!$DG$19)),Country_Data!$DG$19,p_a)</f>
        <v>0.467369984995832</v>
      </c>
      <c r="W105" s="16" t="n">
        <f aca="false">T105*L105</f>
        <v>0.447335468275474</v>
      </c>
      <c r="X105" s="16" t="n">
        <f aca="false">U105*L105</f>
        <v>0.019039964615374</v>
      </c>
      <c r="Y105" s="16" t="n">
        <f aca="false">V105*L105</f>
        <v>1.76129206098291</v>
      </c>
      <c r="Z105" s="16" t="n">
        <f aca="false">Q105*L105</f>
        <v>0.428187302465299</v>
      </c>
      <c r="AA105" s="16" t="n">
        <f aca="false">R105*L105</f>
        <v>0.465026212182361</v>
      </c>
      <c r="AB105" s="16" t="n">
        <f aca="false">S105*L105</f>
        <v>0.449497596444198</v>
      </c>
      <c r="AC105" s="16" t="n">
        <f aca="false">Z105-W105</f>
        <v>-0.0191481658101757</v>
      </c>
      <c r="AD105" s="16" t="n">
        <f aca="false">AA105-W105</f>
        <v>0.0176907439068863</v>
      </c>
      <c r="AE105" s="16" t="n">
        <f aca="false">AB105-W105</f>
        <v>0.00216212816872408</v>
      </c>
      <c r="AF105" s="16" t="n">
        <f aca="false">AE105-X105</f>
        <v>-0.0168778364466499</v>
      </c>
      <c r="AG105" s="16" t="n">
        <f aca="false">AF105-p_spc_lo*Y105/1000</f>
        <v>-0.104942439495795</v>
      </c>
      <c r="AH105" s="16" t="n">
        <f aca="false">AF105-p_spc_hi*Y105/1000</f>
        <v>-0.193007042544941</v>
      </c>
      <c r="AI105" s="16" t="n">
        <f aca="false">Q105*J105</f>
        <v>1.12680869069815</v>
      </c>
      <c r="AJ105" s="16" t="n">
        <f aca="false">S105*J105</f>
        <v>1.18288841169526</v>
      </c>
      <c r="AK105" s="16" t="n">
        <f aca="false">T105*J105</f>
        <v>1.17719860072493</v>
      </c>
      <c r="AL105" s="16" t="n">
        <f aca="false">U105*J105</f>
        <v>0.0501051700404579</v>
      </c>
      <c r="AM105" s="16" t="n">
        <f aca="false">AI105-AJ105</f>
        <v>-0.0560797209971049</v>
      </c>
      <c r="AN105" s="16" t="n">
        <f aca="false">J105*Country_Data!$EB$19</f>
        <v>10.3617138216893</v>
      </c>
      <c r="AO105" s="16" t="n">
        <f aca="false">L105*Country_Data!$EB$19</f>
        <v>3.93745125224195</v>
      </c>
    </row>
    <row r="106" customFormat="false" ht="15" hidden="false" customHeight="false" outlineLevel="0" collapsed="false">
      <c r="A106" s="14" t="str">
        <f aca="false">Country_Data!$A$19</f>
        <v>ESP</v>
      </c>
      <c r="B106" s="14" t="str">
        <f aca="false">Country_Data!$E$19</f>
        <v>AE</v>
      </c>
      <c r="C106" s="35" t="s">
        <v>477</v>
      </c>
      <c r="D106" s="37" t="n">
        <f aca="false">IF(Country_Data!$CB$19="","",Country_Data!$CB$19)</f>
        <v>0.868339575031246</v>
      </c>
      <c r="E106" s="40" t="n">
        <f aca="false">Country_Data!$BW$19</f>
        <v>2683.325</v>
      </c>
      <c r="F106" s="41" t="n">
        <f aca="false">Country_Data!$BX$19</f>
        <v>0.64291578545275</v>
      </c>
      <c r="G106" s="42" t="n">
        <f aca="false">IF(D106="","",D106/SUMIFS($D$5:$D$1369,$B$5:$B$1369,B106,$C$5:$C$1369,C106))</f>
        <v>0.0223294451745239</v>
      </c>
      <c r="H106" s="42" t="n">
        <f aca="false">E106/SUMIFS($E$5:$E$1369,$B$5:$B$1369,B106,$C$5:$C$1369,C106)</f>
        <v>0.0340157199510968</v>
      </c>
      <c r="I106" s="43" t="n">
        <f aca="false">IF(G106="",H106,p_beta_alloc*G106+(1-p_beta_alloc)*H106)*F106^p_phi</f>
        <v>0.0225893484610531</v>
      </c>
      <c r="J106" s="16" t="n">
        <f aca="false">INDEX(Sector_Params!$C$19:$E$19,MATCH(B106,Sector_Params!$C$15:$E$15,0))*I106/SUMIFS($I$5:$I$1369,$B$5:$B$1369,B106,$C$5:$C$1369,C106)</f>
        <v>6.64029524191351</v>
      </c>
      <c r="K106" s="28" t="n">
        <f aca="false">INDEX(Sector_Params!$F$8:$H$8,MATCH(B106,Sector_Params!$C$15:$E$15,0))</f>
        <v>0.38</v>
      </c>
      <c r="L106" s="16" t="n">
        <f aca="false">J106*K106</f>
        <v>2.52331219192714</v>
      </c>
      <c r="M106" s="44" t="n">
        <f aca="false">Country_Data!$DW$19+Sector_Params!$E$8</f>
        <v>0.05125</v>
      </c>
      <c r="N106" s="44" t="n">
        <f aca="false">Country_Data!$DX$19+Sector_Params!$E$8</f>
        <v>0.06625</v>
      </c>
      <c r="O106" s="11" t="n">
        <f aca="false">IF(p_use_ibrd=1,p_r_ibrd,p_r_wb)</f>
        <v>0.06</v>
      </c>
      <c r="P106" s="45" t="n">
        <f aca="false">Sector_Params!$D$8</f>
        <v>25</v>
      </c>
      <c r="Q106" s="46" t="n">
        <f aca="false">M106/(1-(1+M106)^-P106)</f>
        <v>0.0718439717909278</v>
      </c>
      <c r="R106" s="46" t="n">
        <f aca="false">N106/(1-(1+N106)^-P106)</f>
        <v>0.0829318998784473</v>
      </c>
      <c r="S106" s="46" t="n">
        <f aca="false">O106/(1-(1+O106)^-P106)</f>
        <v>0.078226718212274</v>
      </c>
      <c r="T106" s="37" t="n">
        <f aca="false">Country_Data!$CM$19*Sector_Params!$I$8</f>
        <v>0.201709079988506</v>
      </c>
      <c r="U106" s="37" t="n">
        <f aca="false">Country_Data!$CN$19*Sector_Params!$J$8</f>
        <v>0.03225</v>
      </c>
      <c r="V106" s="37" t="n">
        <f aca="false">p_a</f>
        <v>0.35</v>
      </c>
      <c r="W106" s="16" t="n">
        <f aca="false">T106*L106</f>
        <v>0.508974980757402</v>
      </c>
      <c r="X106" s="16" t="n">
        <f aca="false">U106*L106</f>
        <v>0.0813768181896501</v>
      </c>
      <c r="Y106" s="16" t="n">
        <f aca="false">V106*L106</f>
        <v>0.883159267174497</v>
      </c>
      <c r="Z106" s="16" t="n">
        <f aca="false">Q106*L106</f>
        <v>0.181284769936517</v>
      </c>
      <c r="AA106" s="16" t="n">
        <f aca="false">R106*L106</f>
        <v>0.209263074062967</v>
      </c>
      <c r="AB106" s="16" t="n">
        <f aca="false">S106*L106</f>
        <v>0.197390431799479</v>
      </c>
      <c r="AC106" s="16" t="n">
        <f aca="false">Z106-W106</f>
        <v>-0.327690210820885</v>
      </c>
      <c r="AD106" s="16" t="n">
        <f aca="false">AA106-W106</f>
        <v>-0.299711906694436</v>
      </c>
      <c r="AE106" s="16" t="n">
        <f aca="false">AB106-W106</f>
        <v>-0.311584548957923</v>
      </c>
      <c r="AF106" s="16" t="n">
        <f aca="false">AE106-X106</f>
        <v>-0.392961367147573</v>
      </c>
      <c r="AG106" s="16" t="n">
        <f aca="false">AF106-p_spc_lo*Y106/1000</f>
        <v>-0.437119330506298</v>
      </c>
      <c r="AH106" s="16" t="n">
        <f aca="false">AF106-p_spc_hi*Y106/1000</f>
        <v>-0.481277293865023</v>
      </c>
      <c r="AI106" s="16" t="n">
        <f aca="false">Q106*J106</f>
        <v>0.477065184043467</v>
      </c>
      <c r="AJ106" s="16" t="n">
        <f aca="false">S106*J106</f>
        <v>0.519448504735472</v>
      </c>
      <c r="AK106" s="16" t="n">
        <f aca="false">T106*J106</f>
        <v>1.33940784409843</v>
      </c>
      <c r="AL106" s="16" t="n">
        <f aca="false">U106*J106</f>
        <v>0.214149521551711</v>
      </c>
      <c r="AM106" s="16" t="n">
        <f aca="false">AI106-AJ106</f>
        <v>-0.0423833206920053</v>
      </c>
      <c r="AN106" s="16" t="n">
        <f aca="false">J106*Country_Data!$EB$19</f>
        <v>6.93796364930964</v>
      </c>
      <c r="AO106" s="16" t="n">
        <f aca="false">L106*Country_Data!$EB$19</f>
        <v>2.63642618673766</v>
      </c>
    </row>
    <row r="107" customFormat="false" ht="15" hidden="false" customHeight="false" outlineLevel="0" collapsed="false">
      <c r="A107" s="14" t="str">
        <f aca="false">Country_Data!$A$19</f>
        <v>ESP</v>
      </c>
      <c r="B107" s="14" t="str">
        <f aca="false">Country_Data!$E$19</f>
        <v>AE</v>
      </c>
      <c r="C107" s="35" t="s">
        <v>481</v>
      </c>
      <c r="D107" s="37" t="n">
        <f aca="false">IF(Country_Data!$CC$19="","",Country_Data!$CC$19)</f>
        <v>1.70460473489964</v>
      </c>
      <c r="E107" s="40" t="n">
        <f aca="false">Country_Data!$BW$19</f>
        <v>2683.325</v>
      </c>
      <c r="F107" s="41" t="n">
        <f aca="false">Country_Data!$BX$19</f>
        <v>0.64291578545275</v>
      </c>
      <c r="G107" s="42" t="n">
        <f aca="false">IF(D107="","",D107/SUMIFS($D$5:$D$1369,$B$5:$B$1369,B107,$C$5:$C$1369,C107))</f>
        <v>0.0310372095057571</v>
      </c>
      <c r="H107" s="42" t="n">
        <f aca="false">E107/SUMIFS($E$5:$E$1369,$B$5:$B$1369,B107,$C$5:$C$1369,C107)</f>
        <v>0.0340157199510968</v>
      </c>
      <c r="I107" s="43" t="n">
        <f aca="false">IF(G107="",H107,p_beta_alloc*G107+(1-p_beta_alloc)*H107)*F107^p_phi</f>
        <v>0.0260803795434257</v>
      </c>
      <c r="J107" s="16" t="n">
        <f aca="false">INDEX(Sector_Params!$C$20:$E$20,MATCH(B107,Sector_Params!$C$15:$E$15,0))*I107/SUMIFS($I$5:$I$1369,$B$5:$B$1369,B107,$C$5:$C$1369,C107)</f>
        <v>4.42890098688745</v>
      </c>
      <c r="K107" s="28" t="n">
        <f aca="false">INDEX(Sector_Params!$F$9:$H$9,MATCH(B107,Sector_Params!$C$15:$E$15,0))</f>
        <v>0.38</v>
      </c>
      <c r="L107" s="16" t="n">
        <f aca="false">J107*K107</f>
        <v>1.68298237501723</v>
      </c>
      <c r="M107" s="44" t="n">
        <f aca="false">Country_Data!$DW$19+Sector_Params!$E$9</f>
        <v>0.05125</v>
      </c>
      <c r="N107" s="44" t="n">
        <f aca="false">Country_Data!$DX$19+Sector_Params!$E$9</f>
        <v>0.06625</v>
      </c>
      <c r="O107" s="11" t="n">
        <f aca="false">IF(p_use_ibrd=1,p_r_ibrd,p_r_wb)</f>
        <v>0.06</v>
      </c>
      <c r="P107" s="45" t="n">
        <f aca="false">Sector_Params!$D$9</f>
        <v>25</v>
      </c>
      <c r="Q107" s="46" t="n">
        <f aca="false">M107/(1-(1+M107)^-P107)</f>
        <v>0.0718439717909278</v>
      </c>
      <c r="R107" s="46" t="n">
        <f aca="false">N107/(1-(1+N107)^-P107)</f>
        <v>0.0829318998784473</v>
      </c>
      <c r="S107" s="46" t="n">
        <f aca="false">O107/(1-(1+O107)^-P107)</f>
        <v>0.078226718212274</v>
      </c>
      <c r="T107" s="37" t="n">
        <f aca="false">Country_Data!$CM$19*Sector_Params!$I$9</f>
        <v>0.201709079988506</v>
      </c>
      <c r="U107" s="37" t="n">
        <f aca="false">Country_Data!$CN$19*Sector_Params!$J$9</f>
        <v>0.03225</v>
      </c>
      <c r="V107" s="37" t="n">
        <f aca="false">p_a</f>
        <v>0.35</v>
      </c>
      <c r="W107" s="16" t="n">
        <f aca="false">T107*L107</f>
        <v>0.339472826501596</v>
      </c>
      <c r="X107" s="16" t="n">
        <f aca="false">U107*L107</f>
        <v>0.0542761815943057</v>
      </c>
      <c r="Y107" s="16" t="n">
        <f aca="false">V107*L107</f>
        <v>0.589043831256031</v>
      </c>
      <c r="Z107" s="16" t="n">
        <f aca="false">Q107*L107</f>
        <v>0.120912138275367</v>
      </c>
      <c r="AA107" s="16" t="n">
        <f aca="false">R107*L107</f>
        <v>0.13957292582212</v>
      </c>
      <c r="AB107" s="16" t="n">
        <f aca="false">S107*L107</f>
        <v>0.131654188006696</v>
      </c>
      <c r="AC107" s="16" t="n">
        <f aca="false">Z107-W107</f>
        <v>-0.218560688226229</v>
      </c>
      <c r="AD107" s="16" t="n">
        <f aca="false">AA107-W107</f>
        <v>-0.199899900679476</v>
      </c>
      <c r="AE107" s="16" t="n">
        <f aca="false">AB107-W107</f>
        <v>-0.2078186384949</v>
      </c>
      <c r="AF107" s="16" t="n">
        <f aca="false">AE107-X107</f>
        <v>-0.262094820089205</v>
      </c>
      <c r="AG107" s="16" t="n">
        <f aca="false">AF107-p_spc_lo*Y107/1000</f>
        <v>-0.291547011652007</v>
      </c>
      <c r="AH107" s="16" t="n">
        <f aca="false">AF107-p_spc_hi*Y107/1000</f>
        <v>-0.320999203214808</v>
      </c>
      <c r="AI107" s="16" t="n">
        <f aca="false">Q107*J107</f>
        <v>0.318189837566754</v>
      </c>
      <c r="AJ107" s="16" t="n">
        <f aca="false">S107*J107</f>
        <v>0.346458389491306</v>
      </c>
      <c r="AK107" s="16" t="n">
        <f aca="false">T107*J107</f>
        <v>0.893349543425253</v>
      </c>
      <c r="AL107" s="16" t="n">
        <f aca="false">U107*J107</f>
        <v>0.14283205682712</v>
      </c>
      <c r="AM107" s="16" t="n">
        <f aca="false">AI107-AJ107</f>
        <v>-0.0282685519245522</v>
      </c>
      <c r="AN107" s="16" t="n">
        <f aca="false">J107*Country_Data!$EB$19</f>
        <v>4.62743792767895</v>
      </c>
      <c r="AO107" s="16" t="n">
        <f aca="false">L107*Country_Data!$EB$19</f>
        <v>1.758426412518</v>
      </c>
    </row>
    <row r="108" customFormat="false" ht="15" hidden="false" customHeight="false" outlineLevel="0" collapsed="false">
      <c r="A108" s="14" t="str">
        <f aca="false">Country_Data!$A$19</f>
        <v>ESP</v>
      </c>
      <c r="B108" s="14" t="str">
        <f aca="false">Country_Data!$E$19</f>
        <v>AE</v>
      </c>
      <c r="C108" s="35" t="s">
        <v>484</v>
      </c>
      <c r="D108" s="37" t="n">
        <f aca="false">IF(Country_Data!$CD$19="","",Country_Data!$CD$19)</f>
        <v>3.70264255994557</v>
      </c>
      <c r="E108" s="40" t="n">
        <f aca="false">Country_Data!$BW$19</f>
        <v>2683.325</v>
      </c>
      <c r="F108" s="41" t="n">
        <f aca="false">Country_Data!$BX$19</f>
        <v>0.64291578545275</v>
      </c>
      <c r="G108" s="42" t="n">
        <f aca="false">IF(D108="","",D108/SUMIFS($D$5:$D$1369,$B$5:$B$1369,B108,$C$5:$C$1369,C108))</f>
        <v>0.0250516819409561</v>
      </c>
      <c r="H108" s="42" t="n">
        <f aca="false">E108/SUMIFS($E$5:$E$1369,$B$5:$B$1369,B108,$C$5:$C$1369,C108)</f>
        <v>0.0340157199510968</v>
      </c>
      <c r="I108" s="43" t="n">
        <f aca="false">IF(G108="",H108,p_beta_alloc*G108+(1-p_beta_alloc)*H108)*F108^p_phi</f>
        <v>0.0236807208045954</v>
      </c>
      <c r="J108" s="16" t="n">
        <f aca="false">INDEX(Sector_Params!$C$21:$E$21,MATCH(B108,Sector_Params!$C$15:$E$15,0))*I108/SUMIFS($I$5:$I$1369,$B$5:$B$1369,B108,$C$5:$C$1369,C108)</f>
        <v>4.8249406059417</v>
      </c>
      <c r="K108" s="28" t="n">
        <f aca="false">INDEX(Sector_Params!$F$10:$H$10,MATCH(B108,Sector_Params!$C$15:$E$15,0))</f>
        <v>0.38</v>
      </c>
      <c r="L108" s="16" t="n">
        <f aca="false">J108*K108</f>
        <v>1.83347743025785</v>
      </c>
      <c r="M108" s="44" t="n">
        <f aca="false">Country_Data!$DW$19+Sector_Params!$E$10</f>
        <v>0.05125</v>
      </c>
      <c r="N108" s="44" t="n">
        <f aca="false">Country_Data!$DX$19+Sector_Params!$E$10</f>
        <v>0.06625</v>
      </c>
      <c r="O108" s="11" t="n">
        <f aca="false">IF(p_use_ibrd=1,p_r_ibrd,p_r_wb)</f>
        <v>0.06</v>
      </c>
      <c r="P108" s="45" t="n">
        <f aca="false">Sector_Params!$D$10</f>
        <v>20</v>
      </c>
      <c r="Q108" s="46" t="n">
        <f aca="false">M108/(1-(1+M108)^-P108)</f>
        <v>0.0810952521459551</v>
      </c>
      <c r="R108" s="46" t="n">
        <f aca="false">N108/(1-(1+N108)^-P108)</f>
        <v>0.0916595389449017</v>
      </c>
      <c r="S108" s="46" t="n">
        <f aca="false">O108/(1-(1+O108)^-P108)</f>
        <v>0.0871845569768514</v>
      </c>
      <c r="T108" s="37" t="n">
        <f aca="false">0*Sector_Params!$I$10</f>
        <v>0</v>
      </c>
      <c r="U108" s="37" t="n">
        <f aca="false">0*Sector_Params!$J$10</f>
        <v>0</v>
      </c>
      <c r="V108" s="37" t="n">
        <f aca="false">1000*p_r_wb/(1-(1+p_r_wb)^-Sector_Params!$D$10)/p_cpt_fuel</f>
        <v>0.871845569768514</v>
      </c>
      <c r="W108" s="16" t="n">
        <f aca="false">T108*L108</f>
        <v>0</v>
      </c>
      <c r="X108" s="16" t="n">
        <f aca="false">U108*L108</f>
        <v>0</v>
      </c>
      <c r="Y108" s="16" t="n">
        <f aca="false">V108*L108</f>
        <v>1.59850917484086</v>
      </c>
      <c r="Z108" s="16" t="n">
        <f aca="false">Q108*L108</f>
        <v>0.148686314510678</v>
      </c>
      <c r="AA108" s="16" t="n">
        <f aca="false">R108*L108</f>
        <v>0.168055695923317</v>
      </c>
      <c r="AB108" s="16" t="n">
        <f aca="false">S108*L108</f>
        <v>0.159850917484086</v>
      </c>
      <c r="AC108" s="16" t="n">
        <f aca="false">Z108-W108</f>
        <v>0.148686314510678</v>
      </c>
      <c r="AD108" s="16" t="n">
        <f aca="false">AA108-W108</f>
        <v>0.168055695923317</v>
      </c>
      <c r="AE108" s="16" t="n">
        <f aca="false">AB108-W108</f>
        <v>0.159850917484086</v>
      </c>
      <c r="AF108" s="16" t="n">
        <f aca="false">AE108-X108</f>
        <v>0.159850917484086</v>
      </c>
      <c r="AG108" s="16" t="n">
        <f aca="false">AF108-p_spc_lo*Y108/1000</f>
        <v>0.0799254587420431</v>
      </c>
      <c r="AH108" s="16" t="n">
        <f aca="false">AF108-p_spc_hi*Y108/1000</f>
        <v>0</v>
      </c>
      <c r="AI108" s="16" t="n">
        <f aca="false">Q108*J108</f>
        <v>0.391279775028099</v>
      </c>
      <c r="AJ108" s="16" t="n">
        <f aca="false">S108*J108</f>
        <v>0.420660309168648</v>
      </c>
      <c r="AK108" s="16" t="n">
        <f aca="false">T108*J108</f>
        <v>0</v>
      </c>
      <c r="AL108" s="16" t="n">
        <f aca="false">U108*J108</f>
        <v>0</v>
      </c>
      <c r="AM108" s="16" t="n">
        <f aca="false">AI108-AJ108</f>
        <v>-0.0293805341405488</v>
      </c>
      <c r="AN108" s="16" t="n">
        <f aca="false">J108*Country_Data!$EB$19</f>
        <v>5.04123104689771</v>
      </c>
      <c r="AO108" s="16" t="n">
        <f aca="false">L108*Country_Data!$EB$19</f>
        <v>1.91566779782113</v>
      </c>
    </row>
    <row r="109" customFormat="false" ht="15" hidden="false" customHeight="false" outlineLevel="0" collapsed="false">
      <c r="A109" s="14" t="str">
        <f aca="false">Country_Data!$A$19</f>
        <v>ESP</v>
      </c>
      <c r="B109" s="14" t="str">
        <f aca="false">Country_Data!$E$19</f>
        <v>AE</v>
      </c>
      <c r="C109" s="35" t="s">
        <v>488</v>
      </c>
      <c r="D109" s="37" t="n">
        <f aca="false">IF(Country_Data!$CE$19="","",Country_Data!$CE$19)</f>
        <v>59.559</v>
      </c>
      <c r="E109" s="40" t="n">
        <f aca="false">Country_Data!$BW$19</f>
        <v>2683.325</v>
      </c>
      <c r="F109" s="41" t="n">
        <f aca="false">Country_Data!$BX$19</f>
        <v>0.64291578545275</v>
      </c>
      <c r="G109" s="42" t="n">
        <f aca="false">IF(D109="","",D109/SUMIFS($D$5:$D$1369,$B$5:$B$1369,B109,$C$5:$C$1369,C109))</f>
        <v>0.0227300656343573</v>
      </c>
      <c r="H109" s="42" t="n">
        <f aca="false">E109/SUMIFS($E$5:$E$1369,$B$5:$B$1369,B109,$C$5:$C$1369,C109)</f>
        <v>0.0340157199510968</v>
      </c>
      <c r="I109" s="43" t="n">
        <f aca="false">IF(G109="",H109,p_beta_alloc*G109+(1-p_beta_alloc)*H109)*F109^p_phi</f>
        <v>0.0227499612686938</v>
      </c>
      <c r="J109" s="16" t="n">
        <f aca="false">INDEX(Sector_Params!$C$22:$E$22,MATCH(B109,Sector_Params!$C$15:$E$15,0))*I109/SUMIFS($I$5:$I$1369,$B$5:$B$1369,B109,$C$5:$C$1369,C109)</f>
        <v>0.881506915142239</v>
      </c>
      <c r="K109" s="28" t="n">
        <f aca="false">INDEX(Sector_Params!$F$11:$H$11,MATCH(B109,Sector_Params!$C$15:$E$15,0))</f>
        <v>0.38</v>
      </c>
      <c r="L109" s="16" t="n">
        <f aca="false">J109*K109</f>
        <v>0.334972627754051</v>
      </c>
      <c r="M109" s="44" t="n">
        <f aca="false">Country_Data!$DW$19+Sector_Params!$E$11</f>
        <v>0.05125</v>
      </c>
      <c r="N109" s="44" t="n">
        <f aca="false">Country_Data!$DX$19+Sector_Params!$E$11</f>
        <v>0.06625</v>
      </c>
      <c r="O109" s="11" t="n">
        <f aca="false">IF(p_use_ibrd=1,p_r_ibrd,p_r_wb)</f>
        <v>0.06</v>
      </c>
      <c r="P109" s="45" t="n">
        <f aca="false">Sector_Params!$D$11</f>
        <v>30</v>
      </c>
      <c r="Q109" s="46" t="n">
        <f aca="false">M109/(1-(1+M109)^-P109)</f>
        <v>0.0659812794707161</v>
      </c>
      <c r="R109" s="46" t="n">
        <f aca="false">N109/(1-(1+N109)^-P109)</f>
        <v>0.0775723209152868</v>
      </c>
      <c r="S109" s="46" t="n">
        <f aca="false">O109/(1-(1+O109)^-P109)</f>
        <v>0.0726489114900472</v>
      </c>
      <c r="T109" s="37" t="n">
        <f aca="false">0*Sector_Params!$I$11</f>
        <v>0</v>
      </c>
      <c r="U109" s="37" t="n">
        <f aca="false">p_c*Sector_Params!$J$11</f>
        <v>0.129</v>
      </c>
      <c r="V109" s="37" t="n">
        <f aca="false">1000*p_r_wb/(1-(1+p_r_wb)^-Sector_Params!$D$11)/p_cpt_afolu</f>
        <v>1.45297822980094</v>
      </c>
      <c r="W109" s="16" t="n">
        <f aca="false">T109*L109</f>
        <v>0</v>
      </c>
      <c r="X109" s="16" t="n">
        <f aca="false">U109*L109</f>
        <v>0.0432114689802726</v>
      </c>
      <c r="Y109" s="16" t="n">
        <f aca="false">V109*L109</f>
        <v>0.486707935705852</v>
      </c>
      <c r="Z109" s="16" t="n">
        <f aca="false">Q109*L109</f>
        <v>0.0221019225668802</v>
      </c>
      <c r="AA109" s="16" t="n">
        <f aca="false">R109*L109</f>
        <v>0.0259846041779741</v>
      </c>
      <c r="AB109" s="16" t="n">
        <f aca="false">S109*L109</f>
        <v>0.0243353967852926</v>
      </c>
      <c r="AC109" s="16" t="n">
        <f aca="false">Z109-W109</f>
        <v>0.0221019225668802</v>
      </c>
      <c r="AD109" s="16" t="n">
        <f aca="false">AA109-W109</f>
        <v>0.0259846041779741</v>
      </c>
      <c r="AE109" s="16" t="n">
        <f aca="false">AB109-W109</f>
        <v>0.0243353967852926</v>
      </c>
      <c r="AF109" s="16" t="n">
        <f aca="false">AE109-X109</f>
        <v>-0.01887607219498</v>
      </c>
      <c r="AG109" s="16" t="n">
        <f aca="false">AF109-p_spc_lo*Y109/1000</f>
        <v>-0.0432114689802726</v>
      </c>
      <c r="AH109" s="16" t="n">
        <f aca="false">AF109-p_spc_hi*Y109/1000</f>
        <v>-0.0675468657655652</v>
      </c>
      <c r="AI109" s="16" t="n">
        <f aca="false">Q109*J109</f>
        <v>0.0581629541233689</v>
      </c>
      <c r="AJ109" s="16" t="n">
        <f aca="false">S109*J109</f>
        <v>0.0640405178560331</v>
      </c>
      <c r="AK109" s="16" t="n">
        <f aca="false">T109*J109</f>
        <v>0</v>
      </c>
      <c r="AL109" s="16" t="n">
        <f aca="false">U109*J109</f>
        <v>0.113714392053349</v>
      </c>
      <c r="AM109" s="16" t="n">
        <f aca="false">AI109-AJ109</f>
        <v>-0.00587756373266418</v>
      </c>
      <c r="AN109" s="16" t="n">
        <f aca="false">J109*Country_Data!$EB$19</f>
        <v>0.921022742372754</v>
      </c>
      <c r="AO109" s="16" t="n">
        <f aca="false">L109*Country_Data!$EB$19</f>
        <v>0.349988642101646</v>
      </c>
    </row>
    <row r="110" customFormat="false" ht="15" hidden="false" customHeight="false" outlineLevel="0" collapsed="false">
      <c r="A110" s="14" t="str">
        <f aca="false">Country_Data!$A$20</f>
        <v>IDN</v>
      </c>
      <c r="B110" s="14" t="str">
        <f aca="false">Country_Data!$E$20</f>
        <v>EMDC</v>
      </c>
      <c r="C110" s="35" t="s">
        <v>466</v>
      </c>
      <c r="D110" s="37" t="n">
        <f aca="false">IF(Country_Data!$BZ$20="","",Country_Data!$BZ$20)</f>
        <v>387.734730045799</v>
      </c>
      <c r="E110" s="40" t="n">
        <f aca="false">Country_Data!$BW$20</f>
        <v>4669.746</v>
      </c>
      <c r="F110" s="41" t="n">
        <f aca="false">Country_Data!$BX$20</f>
        <v>0.299010267367861</v>
      </c>
      <c r="G110" s="42" t="n">
        <f aca="false">IF(D110="","",D110/SUMIFS($D$5:$D$1369,$B$5:$B$1369,B110,$C$5:$C$1369,C110))</f>
        <v>0.0442646247620697</v>
      </c>
      <c r="H110" s="42" t="n">
        <f aca="false">E110/SUMIFS($E$5:$E$1369,$B$5:$B$1369,B110,$C$5:$C$1369,C110)</f>
        <v>0.0578426443379438</v>
      </c>
      <c r="I110" s="43" t="n">
        <f aca="false">IF(G110="",H110,p_beta_alloc*G110+(1-p_beta_alloc)*H110)*F110^p_phi</f>
        <v>0.0279170623141513</v>
      </c>
      <c r="J110" s="16" t="n">
        <f aca="false">INDEX(Sector_Params!$C$16:$E$16,MATCH(B110,Sector_Params!$C$15:$E$15,0))*I110/SUMIFS($I$5:$I$1369,$B$5:$B$1369,B110,$C$5:$C$1369,C110)</f>
        <v>27.0020904287976</v>
      </c>
      <c r="K110" s="28" t="n">
        <f aca="false">INDEX(Sector_Params!$F$5:$H$5,MATCH(B110,Sector_Params!$C$15:$E$15,0))</f>
        <v>0.24</v>
      </c>
      <c r="L110" s="16" t="n">
        <f aca="false">J110*K110</f>
        <v>6.48050170291141</v>
      </c>
      <c r="M110" s="44" t="n">
        <f aca="false">Country_Data!$DW$20+Sector_Params!$E$5</f>
        <v>0.0818500000000001</v>
      </c>
      <c r="N110" s="44" t="n">
        <f aca="false">Country_Data!$DX$20+Sector_Params!$E$5</f>
        <v>0.12685</v>
      </c>
      <c r="O110" s="11" t="n">
        <f aca="false">IF(p_use_ibrd=1,p_r_ibrd,p_r_wb)</f>
        <v>0.06</v>
      </c>
      <c r="P110" s="45" t="n">
        <f aca="false">Sector_Params!$D$5</f>
        <v>25</v>
      </c>
      <c r="Q110" s="46" t="n">
        <f aca="false">M110/(1-(1+M110)^-P110)</f>
        <v>0.0951635687366692</v>
      </c>
      <c r="R110" s="46" t="n">
        <f aca="false">N110/(1-(1+N110)^-P110)</f>
        <v>0.133597544382429</v>
      </c>
      <c r="S110" s="46" t="n">
        <f aca="false">O110/(1-(1+O110)^-P110)</f>
        <v>0.078226718212274</v>
      </c>
      <c r="T110" s="37" t="n">
        <f aca="false">IF(AND(p_eng=1,ISNUMBER(Country_Data!$CZ$20)),Country_Data!$CZ$20,Country_Data!$CM$20)*Sector_Params!$I$5</f>
        <v>0.0445676249019191</v>
      </c>
      <c r="U110" s="37" t="n">
        <f aca="false">IF(AND(p_eng=1,ISNUMBER(Country_Data!$DA$20)),Country_Data!$DA$20,Country_Data!$CN$20)*Sector_Params!$J$5</f>
        <v>0.0452612296667713</v>
      </c>
      <c r="V110" s="37" t="n">
        <f aca="false">IF(AND(p_eng=1,ISNUMBER(Country_Data!$DB$20)),Country_Data!$DB$20,p_a)</f>
        <v>1.55356110616991</v>
      </c>
      <c r="W110" s="16" t="n">
        <f aca="false">T110*L110</f>
        <v>0.288820569071604</v>
      </c>
      <c r="X110" s="16" t="n">
        <f aca="false">U110*L110</f>
        <v>0.293315475931376</v>
      </c>
      <c r="Y110" s="16" t="n">
        <f aca="false">V110*L110</f>
        <v>10.0678553941111</v>
      </c>
      <c r="Z110" s="16" t="n">
        <f aca="false">Q110*L110</f>
        <v>0.616707669253112</v>
      </c>
      <c r="AA110" s="16" t="n">
        <f aca="false">R110*L110</f>
        <v>0.865779113875112</v>
      </c>
      <c r="AB110" s="16" t="n">
        <f aca="false">S110*L110</f>
        <v>0.506948380587813</v>
      </c>
      <c r="AC110" s="16" t="n">
        <f aca="false">Z110-W110</f>
        <v>0.327887100181508</v>
      </c>
      <c r="AD110" s="16" t="n">
        <f aca="false">AA110-W110</f>
        <v>0.576958544803508</v>
      </c>
      <c r="AE110" s="16" t="n">
        <f aca="false">AB110-W110</f>
        <v>0.218127811516209</v>
      </c>
      <c r="AF110" s="16" t="n">
        <f aca="false">AE110-X110</f>
        <v>-0.0751876644151669</v>
      </c>
      <c r="AG110" s="16" t="n">
        <f aca="false">AF110-p_spc_lo*Y110/1000</f>
        <v>-0.57858043412072</v>
      </c>
      <c r="AH110" s="16" t="n">
        <f aca="false">AF110-p_spc_hi*Y110/1000</f>
        <v>-1.08197320382627</v>
      </c>
      <c r="AI110" s="16" t="n">
        <f aca="false">Q110*J110</f>
        <v>2.56961528855463</v>
      </c>
      <c r="AJ110" s="16" t="n">
        <f aca="false">S110*J110</f>
        <v>2.11228491911589</v>
      </c>
      <c r="AK110" s="16" t="n">
        <f aca="false">T110*J110</f>
        <v>1.20341903779835</v>
      </c>
      <c r="AL110" s="16" t="n">
        <f aca="false">U110*J110</f>
        <v>1.22214781638073</v>
      </c>
      <c r="AM110" s="16" t="n">
        <f aca="false">AI110-AJ110</f>
        <v>0.457330369438747</v>
      </c>
      <c r="AN110" s="16" t="n">
        <f aca="false">J110*Country_Data!$EB$20</f>
        <v>32.9467366937421</v>
      </c>
      <c r="AO110" s="16" t="n">
        <f aca="false">L110*Country_Data!$EB$20</f>
        <v>7.90721680649811</v>
      </c>
    </row>
    <row r="111" customFormat="false" ht="15" hidden="false" customHeight="false" outlineLevel="0" collapsed="false">
      <c r="A111" s="14" t="str">
        <f aca="false">Country_Data!$A$20</f>
        <v>IDN</v>
      </c>
      <c r="B111" s="14" t="str">
        <f aca="false">Country_Data!$E$20</f>
        <v>EMDC</v>
      </c>
      <c r="C111" s="35" t="s">
        <v>470</v>
      </c>
      <c r="D111" s="37" t="n">
        <f aca="false">IF(Country_Data!$BZ$20="","",Country_Data!$BZ$20)</f>
        <v>387.734730045799</v>
      </c>
      <c r="E111" s="40" t="n">
        <f aca="false">Country_Data!$BW$20</f>
        <v>4669.746</v>
      </c>
      <c r="F111" s="41" t="n">
        <f aca="false">Country_Data!$BX$20</f>
        <v>0.299010267367861</v>
      </c>
      <c r="G111" s="42" t="n">
        <f aca="false">IF(D111="","",D111/SUMIFS($D$5:$D$1369,$B$5:$B$1369,B111,$C$5:$C$1369,C111))</f>
        <v>0.0442646247620697</v>
      </c>
      <c r="H111" s="42" t="n">
        <f aca="false">E111/SUMIFS($E$5:$E$1369,$B$5:$B$1369,B111,$C$5:$C$1369,C111)</f>
        <v>0.0578426443379438</v>
      </c>
      <c r="I111" s="43" t="n">
        <f aca="false">IF(G111="",H111,p_beta_alloc*G111+(1-p_beta_alloc)*H111)*F111^p_phi</f>
        <v>0.0279170623141513</v>
      </c>
      <c r="J111" s="16" t="n">
        <f aca="false">INDEX(Sector_Params!$C$17:$E$17,MATCH(B111,Sector_Params!$C$15:$E$15,0))*I111/SUMIFS($I$5:$I$1369,$B$5:$B$1369,B111,$C$5:$C$1369,C111)</f>
        <v>18.5157191511755</v>
      </c>
      <c r="K111" s="28" t="n">
        <f aca="false">INDEX(Sector_Params!$F$6:$H$6,MATCH(B111,Sector_Params!$C$15:$E$15,0))</f>
        <v>0.24</v>
      </c>
      <c r="L111" s="16" t="n">
        <f aca="false">J111*K111</f>
        <v>4.44377259628211</v>
      </c>
      <c r="M111" s="44" t="n">
        <f aca="false">Country_Data!$DW$20+Sector_Params!$E$6</f>
        <v>0.0818500000000001</v>
      </c>
      <c r="N111" s="44" t="n">
        <f aca="false">Country_Data!$DX$20+Sector_Params!$E$6</f>
        <v>0.12685</v>
      </c>
      <c r="O111" s="11" t="n">
        <f aca="false">IF(p_use_ibrd=1,p_r_ibrd,p_r_wb)</f>
        <v>0.06</v>
      </c>
      <c r="P111" s="45" t="n">
        <f aca="false">Sector_Params!$D$6</f>
        <v>40</v>
      </c>
      <c r="Q111" s="46" t="n">
        <f aca="false">M111/(1-(1+M111)^-P111)</f>
        <v>0.0855263598241927</v>
      </c>
      <c r="R111" s="46" t="n">
        <f aca="false">N111/(1-(1+N111)^-P111)</f>
        <v>0.127927255503873</v>
      </c>
      <c r="S111" s="46" t="n">
        <f aca="false">O111/(1-(1+O111)^-P111)</f>
        <v>0.0664615359206755</v>
      </c>
      <c r="T111" s="37" t="n">
        <f aca="false">p_grid_credit*IF(AND(p_eng=1,ISNUMBER(Country_Data!$CZ$20)),Country_Data!$CZ$20,Country_Data!$CM$20)*Sector_Params!$I$6</f>
        <v>0</v>
      </c>
      <c r="U111" s="37" t="n">
        <f aca="false">p_grid_credit*IF(AND(p_eng=1,ISNUMBER(Country_Data!$DA$20)),Country_Data!$DA$20,Country_Data!$CN$20)*Sector_Params!$J$6</f>
        <v>0</v>
      </c>
      <c r="V111" s="37" t="n">
        <f aca="false">p_grid_credit*IF(AND(p_eng=1,ISNUMBER(Country_Data!$DB$20)),Country_Data!$DB$20,p_a)</f>
        <v>0</v>
      </c>
      <c r="W111" s="16" t="n">
        <f aca="false">T111*L111</f>
        <v>0</v>
      </c>
      <c r="X111" s="16" t="n">
        <f aca="false">U111*L111</f>
        <v>0</v>
      </c>
      <c r="Y111" s="16" t="n">
        <f aca="false">V111*L111</f>
        <v>0</v>
      </c>
      <c r="Z111" s="16" t="n">
        <f aca="false">Q111*L111</f>
        <v>0.380059694046511</v>
      </c>
      <c r="AA111" s="16" t="n">
        <f aca="false">R111*L111</f>
        <v>0.568479632325692</v>
      </c>
      <c r="AB111" s="16" t="n">
        <f aca="false">S111*L111</f>
        <v>0.295339952031117</v>
      </c>
      <c r="AC111" s="16" t="n">
        <f aca="false">Z111-W111</f>
        <v>0.380059694046511</v>
      </c>
      <c r="AD111" s="16" t="n">
        <f aca="false">AA111-W111</f>
        <v>0.568479632325692</v>
      </c>
      <c r="AE111" s="16" t="n">
        <f aca="false">AB111-W111</f>
        <v>0.295339952031117</v>
      </c>
      <c r="AF111" s="16" t="n">
        <f aca="false">AE111-X111</f>
        <v>0.295339952031117</v>
      </c>
      <c r="AG111" s="16" t="n">
        <f aca="false">AF111-p_spc_lo*Y111/1000</f>
        <v>0.295339952031117</v>
      </c>
      <c r="AH111" s="16" t="n">
        <f aca="false">AF111-p_spc_hi*Y111/1000</f>
        <v>0.295339952031117</v>
      </c>
      <c r="AI111" s="16" t="n">
        <f aca="false">Q111*J111</f>
        <v>1.58358205852713</v>
      </c>
      <c r="AJ111" s="16" t="n">
        <f aca="false">S111*J111</f>
        <v>1.23058313346299</v>
      </c>
      <c r="AK111" s="16" t="n">
        <f aca="false">T111*J111</f>
        <v>0</v>
      </c>
      <c r="AL111" s="16" t="n">
        <f aca="false">U111*J111</f>
        <v>0</v>
      </c>
      <c r="AM111" s="16" t="n">
        <f aca="false">AI111-AJ111</f>
        <v>0.352998925064141</v>
      </c>
      <c r="AN111" s="16" t="n">
        <f aca="false">J111*Country_Data!$EB$20</f>
        <v>22.592048018566</v>
      </c>
      <c r="AO111" s="16" t="n">
        <f aca="false">L111*Country_Data!$EB$20</f>
        <v>5.42209152445585</v>
      </c>
    </row>
    <row r="112" customFormat="false" ht="15" hidden="false" customHeight="false" outlineLevel="0" collapsed="false">
      <c r="A112" s="14" t="str">
        <f aca="false">Country_Data!$A$20</f>
        <v>IDN</v>
      </c>
      <c r="B112" s="14" t="str">
        <f aca="false">Country_Data!$E$20</f>
        <v>EMDC</v>
      </c>
      <c r="C112" s="35" t="s">
        <v>473</v>
      </c>
      <c r="D112" s="37" t="n">
        <f aca="false">IF(Country_Data!$CA$20="","",Country_Data!$CA$20)</f>
        <v>2.4323831043321</v>
      </c>
      <c r="E112" s="40" t="n">
        <f aca="false">Country_Data!$BW$20</f>
        <v>4669.746</v>
      </c>
      <c r="F112" s="41" t="n">
        <f aca="false">Country_Data!$BX$20</f>
        <v>0.299010267367861</v>
      </c>
      <c r="G112" s="42" t="n">
        <f aca="false">IF(D112="","",D112/SUMIFS($D$5:$D$1369,$B$5:$B$1369,B112,$C$5:$C$1369,C112))</f>
        <v>0.0561937091708919</v>
      </c>
      <c r="H112" s="42" t="n">
        <f aca="false">E112/SUMIFS($E$5:$E$1369,$B$5:$B$1369,B112,$C$5:$C$1369,C112)</f>
        <v>0.0578426443379438</v>
      </c>
      <c r="I112" s="43" t="n">
        <f aca="false">IF(G112="",H112,p_beta_alloc*G112+(1-p_beta_alloc)*H112)*F112^p_phi</f>
        <v>0.0311785832198339</v>
      </c>
      <c r="J112" s="16" t="n">
        <f aca="false">INDEX(Sector_Params!$C$18:$E$18,MATCH(B112,Sector_Params!$C$15:$E$15,0))*I112/SUMIFS($I$5:$I$1369,$B$5:$B$1369,B112,$C$5:$C$1369,C112)</f>
        <v>12.7668921053821</v>
      </c>
      <c r="K112" s="28" t="n">
        <f aca="false">INDEX(Sector_Params!$F$7:$H$7,MATCH(B112,Sector_Params!$C$15:$E$15,0))</f>
        <v>0.24</v>
      </c>
      <c r="L112" s="16" t="n">
        <f aca="false">J112*K112</f>
        <v>3.06405410529171</v>
      </c>
      <c r="M112" s="44" t="n">
        <f aca="false">Country_Data!$DW$20+Sector_Params!$E$7</f>
        <v>0.0818500000000001</v>
      </c>
      <c r="N112" s="44" t="n">
        <f aca="false">Country_Data!$DX$20+Sector_Params!$E$7</f>
        <v>0.12685</v>
      </c>
      <c r="O112" s="11" t="n">
        <f aca="false">IF(p_use_ibrd=1,p_r_ibrd,p_r_wb)</f>
        <v>0.06</v>
      </c>
      <c r="P112" s="45" t="n">
        <f aca="false">Sector_Params!$D$7</f>
        <v>12</v>
      </c>
      <c r="Q112" s="46" t="n">
        <f aca="false">M112/(1-(1+M112)^-P112)</f>
        <v>0.133969716624077</v>
      </c>
      <c r="R112" s="46" t="n">
        <f aca="false">N112/(1-(1+N112)^-P112)</f>
        <v>0.166593335785745</v>
      </c>
      <c r="S112" s="46" t="n">
        <f aca="false">O112/(1-(1+O112)^-P112)</f>
        <v>0.119277029380664</v>
      </c>
      <c r="T112" s="37" t="n">
        <f aca="false">IF(AND(p_eng=1,ISNUMBER(Country_Data!$DE$20)),Country_Data!$DE$20,Country_Data!$CM$20)*Sector_Params!$I$7</f>
        <v>0.170865</v>
      </c>
      <c r="U112" s="37" t="n">
        <f aca="false">IF(AND(p_eng=1,ISNUMBER(Country_Data!$DF$20)),Country_Data!$DF$20,Country_Data!$CN$20)*Sector_Params!$J$7</f>
        <v>0.014683275</v>
      </c>
      <c r="V112" s="37" t="n">
        <f aca="false">IF(AND(p_eng=1,ISNUMBER(Country_Data!$DG$20)),Country_Data!$DG$20,p_a)</f>
        <v>0.16871860561447</v>
      </c>
      <c r="W112" s="16" t="n">
        <f aca="false">T112*L112</f>
        <v>0.523539604700667</v>
      </c>
      <c r="X112" s="16" t="n">
        <f aca="false">U112*L112</f>
        <v>0.0449903490428771</v>
      </c>
      <c r="Y112" s="16" t="n">
        <f aca="false">V112*L112</f>
        <v>0.516962936172107</v>
      </c>
      <c r="Z112" s="16" t="n">
        <f aca="false">Q112*L112</f>
        <v>0.410490460206771</v>
      </c>
      <c r="AA112" s="16" t="n">
        <f aca="false">R112*L112</f>
        <v>0.510450994428553</v>
      </c>
      <c r="AB112" s="16" t="n">
        <f aca="false">S112*L112</f>
        <v>0.365471271540822</v>
      </c>
      <c r="AC112" s="16" t="n">
        <f aca="false">Z112-W112</f>
        <v>-0.113049144493897</v>
      </c>
      <c r="AD112" s="16" t="n">
        <f aca="false">AA112-W112</f>
        <v>-0.0130886102721148</v>
      </c>
      <c r="AE112" s="16" t="n">
        <f aca="false">AB112-W112</f>
        <v>-0.158068333159846</v>
      </c>
      <c r="AF112" s="16" t="n">
        <f aca="false">AE112-X112</f>
        <v>-0.203058682202723</v>
      </c>
      <c r="AG112" s="16" t="n">
        <f aca="false">AF112-p_spc_lo*Y112/1000</f>
        <v>-0.228906829011328</v>
      </c>
      <c r="AH112" s="16" t="n">
        <f aca="false">AF112-p_spc_hi*Y112/1000</f>
        <v>-0.254754975819934</v>
      </c>
      <c r="AI112" s="16" t="n">
        <f aca="false">Q112*J112</f>
        <v>1.71037691752821</v>
      </c>
      <c r="AJ112" s="16" t="n">
        <f aca="false">S112*J112</f>
        <v>1.52279696475342</v>
      </c>
      <c r="AK112" s="16" t="n">
        <f aca="false">T112*J112</f>
        <v>2.18141501958611</v>
      </c>
      <c r="AL112" s="16" t="n">
        <f aca="false">U112*J112</f>
        <v>0.187459787678654</v>
      </c>
      <c r="AM112" s="16" t="n">
        <f aca="false">AI112-AJ112</f>
        <v>0.187579952774788</v>
      </c>
      <c r="AN112" s="16" t="n">
        <f aca="false">J112*Country_Data!$EB$20</f>
        <v>15.5775877316833</v>
      </c>
      <c r="AO112" s="16" t="n">
        <f aca="false">L112*Country_Data!$EB$20</f>
        <v>3.73862105560399</v>
      </c>
    </row>
    <row r="113" customFormat="false" ht="15" hidden="false" customHeight="false" outlineLevel="0" collapsed="false">
      <c r="A113" s="14" t="str">
        <f aca="false">Country_Data!$A$20</f>
        <v>IDN</v>
      </c>
      <c r="B113" s="14" t="str">
        <f aca="false">Country_Data!$E$20</f>
        <v>EMDC</v>
      </c>
      <c r="C113" s="35" t="s">
        <v>477</v>
      </c>
      <c r="D113" s="37" t="n">
        <f aca="false">IF(Country_Data!$CB$20="","",Country_Data!$CB$20)</f>
        <v>1.1178749038833</v>
      </c>
      <c r="E113" s="40" t="n">
        <f aca="false">Country_Data!$BW$20</f>
        <v>4669.746</v>
      </c>
      <c r="F113" s="41" t="n">
        <f aca="false">Country_Data!$BX$20</f>
        <v>0.299010267367861</v>
      </c>
      <c r="G113" s="42" t="n">
        <f aca="false">IF(D113="","",D113/SUMIFS($D$5:$D$1369,$B$5:$B$1369,B113,$C$5:$C$1369,C113))</f>
        <v>0.0352499996488766</v>
      </c>
      <c r="H113" s="42" t="n">
        <f aca="false">E113/SUMIFS($E$5:$E$1369,$B$5:$B$1369,B113,$C$5:$C$1369,C113)</f>
        <v>0.0578426443379438</v>
      </c>
      <c r="I113" s="43" t="n">
        <f aca="false">IF(G113="",H113,p_beta_alloc*G113+(1-p_beta_alloc)*H113)*F113^p_phi</f>
        <v>0.0254523812660545</v>
      </c>
      <c r="J113" s="16" t="n">
        <f aca="false">INDEX(Sector_Params!$C$19:$E$19,MATCH(B113,Sector_Params!$C$15:$E$15,0))*I113/SUMIFS($I$5:$I$1369,$B$5:$B$1369,B113,$C$5:$C$1369,C113)</f>
        <v>8.19216952204892</v>
      </c>
      <c r="K113" s="28" t="n">
        <f aca="false">INDEX(Sector_Params!$F$8:$H$8,MATCH(B113,Sector_Params!$C$15:$E$15,0))</f>
        <v>0.24</v>
      </c>
      <c r="L113" s="16" t="n">
        <f aca="false">J113*K113</f>
        <v>1.96612068529174</v>
      </c>
      <c r="M113" s="44" t="n">
        <f aca="false">Country_Data!$DW$20+Sector_Params!$E$8</f>
        <v>0.0818500000000001</v>
      </c>
      <c r="N113" s="44" t="n">
        <f aca="false">Country_Data!$DX$20+Sector_Params!$E$8</f>
        <v>0.12685</v>
      </c>
      <c r="O113" s="11" t="n">
        <f aca="false">IF(p_use_ibrd=1,p_r_ibrd,p_r_wb)</f>
        <v>0.06</v>
      </c>
      <c r="P113" s="45" t="n">
        <f aca="false">Sector_Params!$D$8</f>
        <v>25</v>
      </c>
      <c r="Q113" s="46" t="n">
        <f aca="false">M113/(1-(1+M113)^-P113)</f>
        <v>0.0951635687366692</v>
      </c>
      <c r="R113" s="46" t="n">
        <f aca="false">N113/(1-(1+N113)^-P113)</f>
        <v>0.133597544382429</v>
      </c>
      <c r="S113" s="46" t="n">
        <f aca="false">O113/(1-(1+O113)^-P113)</f>
        <v>0.078226718212274</v>
      </c>
      <c r="T113" s="37" t="n">
        <f aca="false">Country_Data!$CM$20*Sector_Params!$I$8</f>
        <v>0.113187190667775</v>
      </c>
      <c r="U113" s="37" t="n">
        <f aca="false">Country_Data!$CN$20*Sector_Params!$J$8</f>
        <v>0.153587206757853</v>
      </c>
      <c r="V113" s="37" t="n">
        <f aca="false">p_a</f>
        <v>0.35</v>
      </c>
      <c r="W113" s="16" t="n">
        <f aca="false">T113*L113</f>
        <v>0.222539676881973</v>
      </c>
      <c r="X113" s="16" t="n">
        <f aca="false">U113*L113</f>
        <v>0.301970984202794</v>
      </c>
      <c r="Y113" s="16" t="n">
        <f aca="false">V113*L113</f>
        <v>0.688142239852109</v>
      </c>
      <c r="Z113" s="16" t="n">
        <f aca="false">Q113*L113</f>
        <v>0.187103060979348</v>
      </c>
      <c r="AA113" s="16" t="n">
        <f aca="false">R113*L113</f>
        <v>0.262668895514474</v>
      </c>
      <c r="AB113" s="16" t="n">
        <f aca="false">S113*L113</f>
        <v>0.15380316881964</v>
      </c>
      <c r="AC113" s="16" t="n">
        <f aca="false">Z113-W113</f>
        <v>-0.0354366159026257</v>
      </c>
      <c r="AD113" s="16" t="n">
        <f aca="false">AA113-W113</f>
        <v>0.0401292186325009</v>
      </c>
      <c r="AE113" s="16" t="n">
        <f aca="false">AB113-W113</f>
        <v>-0.0687365080623334</v>
      </c>
      <c r="AF113" s="16" t="n">
        <f aca="false">AE113-X113</f>
        <v>-0.370707492265128</v>
      </c>
      <c r="AG113" s="16" t="n">
        <f aca="false">AF113-p_spc_lo*Y113/1000</f>
        <v>-0.405114604257733</v>
      </c>
      <c r="AH113" s="16" t="n">
        <f aca="false">AF113-p_spc_hi*Y113/1000</f>
        <v>-0.439521716250339</v>
      </c>
      <c r="AI113" s="16" t="n">
        <f aca="false">Q113*J113</f>
        <v>0.779596087413949</v>
      </c>
      <c r="AJ113" s="16" t="n">
        <f aca="false">S113*J113</f>
        <v>0.6408465367485</v>
      </c>
      <c r="AK113" s="16" t="n">
        <f aca="false">T113*J113</f>
        <v>0.927248653674889</v>
      </c>
      <c r="AL113" s="16" t="n">
        <f aca="false">U113*J113</f>
        <v>1.25821243417831</v>
      </c>
      <c r="AM113" s="16" t="n">
        <f aca="false">AI113-AJ113</f>
        <v>0.138749550665449</v>
      </c>
      <c r="AN113" s="16" t="n">
        <f aca="false">J113*Country_Data!$EB$20</f>
        <v>9.99571692070155</v>
      </c>
      <c r="AO113" s="16" t="n">
        <f aca="false">L113*Country_Data!$EB$20</f>
        <v>2.39897206096837</v>
      </c>
    </row>
    <row r="114" customFormat="false" ht="15" hidden="false" customHeight="false" outlineLevel="0" collapsed="false">
      <c r="A114" s="14" t="str">
        <f aca="false">Country_Data!$A$20</f>
        <v>IDN</v>
      </c>
      <c r="B114" s="14" t="str">
        <f aca="false">Country_Data!$E$20</f>
        <v>EMDC</v>
      </c>
      <c r="C114" s="35" t="s">
        <v>481</v>
      </c>
      <c r="D114" s="37" t="n">
        <f aca="false">IF(Country_Data!$CC$20="","",Country_Data!$CC$20)</f>
        <v>3.76878743942371</v>
      </c>
      <c r="E114" s="40" t="n">
        <f aca="false">Country_Data!$BW$20</f>
        <v>4669.746</v>
      </c>
      <c r="F114" s="41" t="n">
        <f aca="false">Country_Data!$BX$20</f>
        <v>0.299010267367861</v>
      </c>
      <c r="G114" s="42" t="n">
        <f aca="false">IF(D114="","",D114/SUMIFS($D$5:$D$1369,$B$5:$B$1369,B114,$C$5:$C$1369,C114))</f>
        <v>0.0538342390856253</v>
      </c>
      <c r="H114" s="42" t="n">
        <f aca="false">E114/SUMIFS($E$5:$E$1369,$B$5:$B$1369,B114,$C$5:$C$1369,C114)</f>
        <v>0.0578426443379438</v>
      </c>
      <c r="I114" s="43" t="n">
        <f aca="false">IF(G114="",H114,p_beta_alloc*G114+(1-p_beta_alloc)*H114)*F114^p_phi</f>
        <v>0.0305334824941036</v>
      </c>
      <c r="J114" s="16" t="n">
        <f aca="false">INDEX(Sector_Params!$C$20:$E$20,MATCH(B114,Sector_Params!$C$15:$E$15,0))*I114/SUMIFS($I$5:$I$1369,$B$5:$B$1369,B114,$C$5:$C$1369,C114)</f>
        <v>5.57297542888739</v>
      </c>
      <c r="K114" s="28" t="n">
        <f aca="false">INDEX(Sector_Params!$F$9:$H$9,MATCH(B114,Sector_Params!$C$15:$E$15,0))</f>
        <v>0.24</v>
      </c>
      <c r="L114" s="16" t="n">
        <f aca="false">J114*K114</f>
        <v>1.33751410293297</v>
      </c>
      <c r="M114" s="44" t="n">
        <f aca="false">Country_Data!$DW$20+Sector_Params!$E$9</f>
        <v>0.0818500000000001</v>
      </c>
      <c r="N114" s="44" t="n">
        <f aca="false">Country_Data!$DX$20+Sector_Params!$E$9</f>
        <v>0.12685</v>
      </c>
      <c r="O114" s="11" t="n">
        <f aca="false">IF(p_use_ibrd=1,p_r_ibrd,p_r_wb)</f>
        <v>0.06</v>
      </c>
      <c r="P114" s="45" t="n">
        <f aca="false">Sector_Params!$D$9</f>
        <v>25</v>
      </c>
      <c r="Q114" s="46" t="n">
        <f aca="false">M114/(1-(1+M114)^-P114)</f>
        <v>0.0951635687366692</v>
      </c>
      <c r="R114" s="46" t="n">
        <f aca="false">N114/(1-(1+N114)^-P114)</f>
        <v>0.133597544382429</v>
      </c>
      <c r="S114" s="46" t="n">
        <f aca="false">O114/(1-(1+O114)^-P114)</f>
        <v>0.078226718212274</v>
      </c>
      <c r="T114" s="37" t="n">
        <f aca="false">Country_Data!$CM$20*Sector_Params!$I$9</f>
        <v>0.113187190667775</v>
      </c>
      <c r="U114" s="37" t="n">
        <f aca="false">Country_Data!$CN$20*Sector_Params!$J$9</f>
        <v>0.153587206757853</v>
      </c>
      <c r="V114" s="37" t="n">
        <f aca="false">p_a</f>
        <v>0.35</v>
      </c>
      <c r="W114" s="16" t="n">
        <f aca="false">T114*L114</f>
        <v>0.151389463789513</v>
      </c>
      <c r="X114" s="16" t="n">
        <f aca="false">U114*L114</f>
        <v>0.205425055068711</v>
      </c>
      <c r="Y114" s="16" t="n">
        <f aca="false">V114*L114</f>
        <v>0.468129936026541</v>
      </c>
      <c r="Z114" s="16" t="n">
        <f aca="false">Q114*L114</f>
        <v>0.127282615270726</v>
      </c>
      <c r="AA114" s="16" t="n">
        <f aca="false">R114*L114</f>
        <v>0.178688599728712</v>
      </c>
      <c r="AB114" s="16" t="n">
        <f aca="false">S114*L114</f>
        <v>0.10462933883508</v>
      </c>
      <c r="AC114" s="16" t="n">
        <f aca="false">Z114-W114</f>
        <v>-0.0241068485187866</v>
      </c>
      <c r="AD114" s="16" t="n">
        <f aca="false">AA114-W114</f>
        <v>0.0272991359391992</v>
      </c>
      <c r="AE114" s="16" t="n">
        <f aca="false">AB114-W114</f>
        <v>-0.0467601249544329</v>
      </c>
      <c r="AF114" s="16" t="n">
        <f aca="false">AE114-X114</f>
        <v>-0.252185180023144</v>
      </c>
      <c r="AG114" s="16" t="n">
        <f aca="false">AF114-p_spc_lo*Y114/1000</f>
        <v>-0.275591676824471</v>
      </c>
      <c r="AH114" s="16" t="n">
        <f aca="false">AF114-p_spc_hi*Y114/1000</f>
        <v>-0.298998173625798</v>
      </c>
      <c r="AI114" s="16" t="n">
        <f aca="false">Q114*J114</f>
        <v>0.530344230294694</v>
      </c>
      <c r="AJ114" s="16" t="n">
        <f aca="false">S114*J114</f>
        <v>0.435955578479501</v>
      </c>
      <c r="AK114" s="16" t="n">
        <f aca="false">T114*J114</f>
        <v>0.630789432456304</v>
      </c>
      <c r="AL114" s="16" t="n">
        <f aca="false">U114*J114</f>
        <v>0.855937729452963</v>
      </c>
      <c r="AM114" s="16" t="n">
        <f aca="false">AI114-AJ114</f>
        <v>0.094388651815193</v>
      </c>
      <c r="AN114" s="16" t="n">
        <f aca="false">J114*Country_Data!$EB$20</f>
        <v>6.79989405044089</v>
      </c>
      <c r="AO114" s="16" t="n">
        <f aca="false">L114*Country_Data!$EB$20</f>
        <v>1.63197457210581</v>
      </c>
    </row>
    <row r="115" customFormat="false" ht="15" hidden="false" customHeight="false" outlineLevel="0" collapsed="false">
      <c r="A115" s="14" t="str">
        <f aca="false">Country_Data!$A$20</f>
        <v>IDN</v>
      </c>
      <c r="B115" s="14" t="str">
        <f aca="false">Country_Data!$E$20</f>
        <v>EMDC</v>
      </c>
      <c r="C115" s="35" t="s">
        <v>484</v>
      </c>
      <c r="D115" s="37" t="n">
        <f aca="false">IF(Country_Data!$CD$20="","",Country_Data!$CD$20)</f>
        <v>8.49543656072334</v>
      </c>
      <c r="E115" s="40" t="n">
        <f aca="false">Country_Data!$BW$20</f>
        <v>4669.746</v>
      </c>
      <c r="F115" s="41" t="n">
        <f aca="false">Country_Data!$BX$20</f>
        <v>0.299010267367861</v>
      </c>
      <c r="G115" s="42" t="n">
        <f aca="false">IF(D115="","",D115/SUMIFS($D$5:$D$1369,$B$5:$B$1369,B115,$C$5:$C$1369,C115))</f>
        <v>0.0474416213022623</v>
      </c>
      <c r="H115" s="42" t="n">
        <f aca="false">E115/SUMIFS($E$5:$E$1369,$B$5:$B$1369,B115,$C$5:$C$1369,C115)</f>
        <v>0.0578426443379438</v>
      </c>
      <c r="I115" s="43" t="n">
        <f aca="false">IF(G115="",H115,p_beta_alloc*G115+(1-p_beta_alloc)*H115)*F115^p_phi</f>
        <v>0.0287856822583154</v>
      </c>
      <c r="J115" s="16" t="n">
        <f aca="false">INDEX(Sector_Params!$C$21:$E$21,MATCH(B115,Sector_Params!$C$15:$E$15,0))*I115/SUMIFS($I$5:$I$1369,$B$5:$B$1369,B115,$C$5:$C$1369,C115)</f>
        <v>6.38437146677376</v>
      </c>
      <c r="K115" s="28" t="n">
        <f aca="false">INDEX(Sector_Params!$F$10:$H$10,MATCH(B115,Sector_Params!$C$15:$E$15,0))</f>
        <v>0.24</v>
      </c>
      <c r="L115" s="16" t="n">
        <f aca="false">J115*K115</f>
        <v>1.5322491520257</v>
      </c>
      <c r="M115" s="44" t="n">
        <f aca="false">Country_Data!$DW$20+Sector_Params!$E$10</f>
        <v>0.0818500000000001</v>
      </c>
      <c r="N115" s="44" t="n">
        <f aca="false">Country_Data!$DX$20+Sector_Params!$E$10</f>
        <v>0.12685</v>
      </c>
      <c r="O115" s="11" t="n">
        <f aca="false">IF(p_use_ibrd=1,p_r_ibrd,p_r_wb)</f>
        <v>0.06</v>
      </c>
      <c r="P115" s="45" t="n">
        <f aca="false">Sector_Params!$D$10</f>
        <v>20</v>
      </c>
      <c r="Q115" s="46" t="n">
        <f aca="false">M115/(1-(1+M115)^-P115)</f>
        <v>0.103258411966207</v>
      </c>
      <c r="R115" s="46" t="n">
        <f aca="false">N115/(1-(1+N115)^-P115)</f>
        <v>0.139666520390864</v>
      </c>
      <c r="S115" s="46" t="n">
        <f aca="false">O115/(1-(1+O115)^-P115)</f>
        <v>0.0871845569768514</v>
      </c>
      <c r="T115" s="37" t="n">
        <f aca="false">0*Sector_Params!$I$10</f>
        <v>0</v>
      </c>
      <c r="U115" s="37" t="n">
        <f aca="false">0*Sector_Params!$J$10</f>
        <v>0</v>
      </c>
      <c r="V115" s="37" t="n">
        <f aca="false">1000*p_r_wb/(1-(1+p_r_wb)^-Sector_Params!$D$10)/p_cpt_fuel</f>
        <v>0.871845569768514</v>
      </c>
      <c r="W115" s="16" t="n">
        <f aca="false">T115*L115</f>
        <v>0</v>
      </c>
      <c r="X115" s="16" t="n">
        <f aca="false">U115*L115</f>
        <v>0</v>
      </c>
      <c r="Y115" s="16" t="n">
        <f aca="false">V115*L115</f>
        <v>1.33588463497517</v>
      </c>
      <c r="Z115" s="16" t="n">
        <f aca="false">Q115*L115</f>
        <v>0.158217614174741</v>
      </c>
      <c r="AA115" s="16" t="n">
        <f aca="false">R115*L115</f>
        <v>0.214003907435282</v>
      </c>
      <c r="AB115" s="16" t="n">
        <f aca="false">S115*L115</f>
        <v>0.133588463497517</v>
      </c>
      <c r="AC115" s="16" t="n">
        <f aca="false">Z115-W115</f>
        <v>0.158217614174741</v>
      </c>
      <c r="AD115" s="16" t="n">
        <f aca="false">AA115-W115</f>
        <v>0.214003907435282</v>
      </c>
      <c r="AE115" s="16" t="n">
        <f aca="false">AB115-W115</f>
        <v>0.133588463497517</v>
      </c>
      <c r="AF115" s="16" t="n">
        <f aca="false">AE115-X115</f>
        <v>0.133588463497517</v>
      </c>
      <c r="AG115" s="16" t="n">
        <f aca="false">AF115-p_spc_lo*Y115/1000</f>
        <v>0.0667942317487585</v>
      </c>
      <c r="AH115" s="16" t="n">
        <f aca="false">AF115-p_spc_hi*Y115/1000</f>
        <v>0</v>
      </c>
      <c r="AI115" s="16" t="n">
        <f aca="false">Q115*J115</f>
        <v>0.65924005906142</v>
      </c>
      <c r="AJ115" s="16" t="n">
        <f aca="false">S115*J115</f>
        <v>0.556618597906321</v>
      </c>
      <c r="AK115" s="16" t="n">
        <f aca="false">T115*J115</f>
        <v>0</v>
      </c>
      <c r="AL115" s="16" t="n">
        <f aca="false">U115*J115</f>
        <v>0</v>
      </c>
      <c r="AM115" s="16" t="n">
        <f aca="false">AI115-AJ115</f>
        <v>0.102621461155099</v>
      </c>
      <c r="AN115" s="16" t="n">
        <f aca="false">J115*Country_Data!$EB$20</f>
        <v>7.78992301449759</v>
      </c>
      <c r="AO115" s="16" t="n">
        <f aca="false">L115*Country_Data!$EB$20</f>
        <v>1.86958152347942</v>
      </c>
    </row>
    <row r="116" customFormat="false" ht="15" hidden="false" customHeight="false" outlineLevel="0" collapsed="false">
      <c r="A116" s="14" t="str">
        <f aca="false">Country_Data!$A$20</f>
        <v>IDN</v>
      </c>
      <c r="B116" s="14" t="str">
        <f aca="false">Country_Data!$E$20</f>
        <v>EMDC</v>
      </c>
      <c r="C116" s="35" t="s">
        <v>488</v>
      </c>
      <c r="D116" s="37" t="n">
        <f aca="false">IF(Country_Data!$CE$20="","",Country_Data!$CE$20)</f>
        <v>715.832</v>
      </c>
      <c r="E116" s="40" t="n">
        <f aca="false">Country_Data!$BW$20</f>
        <v>4669.746</v>
      </c>
      <c r="F116" s="41" t="n">
        <f aca="false">Country_Data!$BX$20</f>
        <v>0.299010267367861</v>
      </c>
      <c r="G116" s="42" t="n">
        <f aca="false">IF(D116="","",D116/SUMIFS($D$5:$D$1369,$B$5:$B$1369,B116,$C$5:$C$1369,C116))</f>
        <v>0.0586549940962512</v>
      </c>
      <c r="H116" s="42" t="n">
        <f aca="false">E116/SUMIFS($E$5:$E$1369,$B$5:$B$1369,B116,$C$5:$C$1369,C116)</f>
        <v>0.0578426443379438</v>
      </c>
      <c r="I116" s="43" t="n">
        <f aca="false">IF(G116="",H116,p_beta_alloc*G116+(1-p_beta_alloc)*H116)*F116^p_phi</f>
        <v>0.0318515210551103</v>
      </c>
      <c r="J116" s="16" t="n">
        <f aca="false">INDEX(Sector_Params!$C$22:$E$22,MATCH(B116,Sector_Params!$C$15:$E$15,0))*I116/SUMIFS($I$5:$I$1369,$B$5:$B$1369,B116,$C$5:$C$1369,C116)</f>
        <v>19.2003640695513</v>
      </c>
      <c r="K116" s="28" t="n">
        <f aca="false">INDEX(Sector_Params!$F$11:$H$11,MATCH(B116,Sector_Params!$C$15:$E$15,0))</f>
        <v>0.24</v>
      </c>
      <c r="L116" s="16" t="n">
        <f aca="false">J116*K116</f>
        <v>4.60808737669231</v>
      </c>
      <c r="M116" s="44" t="n">
        <f aca="false">Country_Data!$DW$20+Sector_Params!$E$11</f>
        <v>0.0818500000000001</v>
      </c>
      <c r="N116" s="44" t="n">
        <f aca="false">Country_Data!$DX$20+Sector_Params!$E$11</f>
        <v>0.12685</v>
      </c>
      <c r="O116" s="11" t="n">
        <f aca="false">IF(p_use_ibrd=1,p_r_ibrd,p_r_wb)</f>
        <v>0.06</v>
      </c>
      <c r="P116" s="45" t="n">
        <f aca="false">Sector_Params!$D$11</f>
        <v>30</v>
      </c>
      <c r="Q116" s="46" t="n">
        <f aca="false">M116/(1-(1+M116)^-P116)</f>
        <v>0.090382425597369</v>
      </c>
      <c r="R116" s="46" t="n">
        <f aca="false">N116/(1-(1+N116)^-P116)</f>
        <v>0.130477026940435</v>
      </c>
      <c r="S116" s="46" t="n">
        <f aca="false">O116/(1-(1+O116)^-P116)</f>
        <v>0.0726489114900472</v>
      </c>
      <c r="T116" s="37" t="n">
        <f aca="false">0*Sector_Params!$I$11</f>
        <v>0</v>
      </c>
      <c r="U116" s="37" t="n">
        <f aca="false">p_c*Sector_Params!$J$11</f>
        <v>0.129</v>
      </c>
      <c r="V116" s="37" t="n">
        <f aca="false">1000*p_r_wb/(1-(1+p_r_wb)^-Sector_Params!$D$11)/p_cpt_afolu</f>
        <v>1.45297822980094</v>
      </c>
      <c r="W116" s="16" t="n">
        <f aca="false">T116*L116</f>
        <v>0</v>
      </c>
      <c r="X116" s="16" t="n">
        <f aca="false">U116*L116</f>
        <v>0.594443271593308</v>
      </c>
      <c r="Y116" s="16" t="n">
        <f aca="false">V116*L116</f>
        <v>6.69545063935447</v>
      </c>
      <c r="Z116" s="16" t="n">
        <f aca="false">Q116*L116</f>
        <v>0.416490114470068</v>
      </c>
      <c r="AA116" s="16" t="n">
        <f aca="false">R116*L116</f>
        <v>0.601249540792563</v>
      </c>
      <c r="AB116" s="16" t="n">
        <f aca="false">S116*L116</f>
        <v>0.334772531967724</v>
      </c>
      <c r="AC116" s="16" t="n">
        <f aca="false">Z116-W116</f>
        <v>0.416490114470068</v>
      </c>
      <c r="AD116" s="16" t="n">
        <f aca="false">AA116-W116</f>
        <v>0.601249540792563</v>
      </c>
      <c r="AE116" s="16" t="n">
        <f aca="false">AB116-W116</f>
        <v>0.334772531967724</v>
      </c>
      <c r="AF116" s="16" t="n">
        <f aca="false">AE116-X116</f>
        <v>-0.259670739625585</v>
      </c>
      <c r="AG116" s="16" t="n">
        <f aca="false">AF116-p_spc_lo*Y116/1000</f>
        <v>-0.594443271593308</v>
      </c>
      <c r="AH116" s="16" t="n">
        <f aca="false">AF116-p_spc_hi*Y116/1000</f>
        <v>-0.929215803561032</v>
      </c>
      <c r="AI116" s="16" t="n">
        <f aca="false">Q116*J116</f>
        <v>1.73537547695862</v>
      </c>
      <c r="AJ116" s="16" t="n">
        <f aca="false">S116*J116</f>
        <v>1.39488554986551</v>
      </c>
      <c r="AK116" s="16" t="n">
        <f aca="false">T116*J116</f>
        <v>0</v>
      </c>
      <c r="AL116" s="16" t="n">
        <f aca="false">U116*J116</f>
        <v>2.47684696497212</v>
      </c>
      <c r="AM116" s="16" t="n">
        <f aca="false">AI116-AJ116</f>
        <v>0.340489927093101</v>
      </c>
      <c r="AN116" s="16" t="n">
        <f aca="false">J116*Country_Data!$EB$20</f>
        <v>23.4274209654835</v>
      </c>
      <c r="AO116" s="16" t="n">
        <f aca="false">L116*Country_Data!$EB$20</f>
        <v>5.62258103171604</v>
      </c>
    </row>
    <row r="117" customFormat="false" ht="15" hidden="false" customHeight="false" outlineLevel="0" collapsed="false">
      <c r="A117" s="14" t="str">
        <f aca="false">Country_Data!$A$21</f>
        <v>TUR</v>
      </c>
      <c r="B117" s="14" t="str">
        <f aca="false">Country_Data!$E$21</f>
        <v>EMDC</v>
      </c>
      <c r="C117" s="35" t="s">
        <v>466</v>
      </c>
      <c r="D117" s="37" t="n">
        <f aca="false">IF(Country_Data!$BZ$21="","",Country_Data!$BZ$21)</f>
        <v>442.499234088952</v>
      </c>
      <c r="E117" s="40" t="n">
        <f aca="false">Country_Data!$BW$21</f>
        <v>3553.197</v>
      </c>
      <c r="F117" s="41" t="n">
        <f aca="false">Country_Data!$BX$21</f>
        <v>0.382261664636101</v>
      </c>
      <c r="G117" s="42" t="n">
        <f aca="false">IF(D117="","",D117/SUMIFS($D$5:$D$1369,$B$5:$B$1369,B117,$C$5:$C$1369,C117))</f>
        <v>0.0505166574893539</v>
      </c>
      <c r="H117" s="42" t="n">
        <f aca="false">E117/SUMIFS($E$5:$E$1369,$B$5:$B$1369,B117,$C$5:$C$1369,C117)</f>
        <v>0.0440123103769774</v>
      </c>
      <c r="I117" s="43" t="n">
        <f aca="false">IF(G117="",H117,p_beta_alloc*G117+(1-p_beta_alloc)*H117)*F117^p_phi</f>
        <v>0.0292223604710274</v>
      </c>
      <c r="J117" s="16" t="n">
        <f aca="false">INDEX(Sector_Params!$C$16:$E$16,MATCH(B117,Sector_Params!$C$15:$E$15,0))*I117/SUMIFS($I$5:$I$1369,$B$5:$B$1369,B117,$C$5:$C$1369,C117)</f>
        <v>28.2646078982895</v>
      </c>
      <c r="K117" s="28" t="n">
        <f aca="false">INDEX(Sector_Params!$F$5:$H$5,MATCH(B117,Sector_Params!$C$15:$E$15,0))</f>
        <v>0.24</v>
      </c>
      <c r="L117" s="16" t="n">
        <f aca="false">J117*K117</f>
        <v>6.78350589558948</v>
      </c>
      <c r="M117" s="44" t="n">
        <f aca="false">Country_Data!$DW$21+Sector_Params!$E$5</f>
        <v>0.0842</v>
      </c>
      <c r="N117" s="44" t="n">
        <f aca="false">Country_Data!$DX$21+Sector_Params!$E$5</f>
        <v>0.1292</v>
      </c>
      <c r="O117" s="11" t="n">
        <f aca="false">IF(p_use_ibrd=1,p_r_ibrd,p_r_wb)</f>
        <v>0.06</v>
      </c>
      <c r="P117" s="45" t="n">
        <f aca="false">Sector_Params!$D$5</f>
        <v>25</v>
      </c>
      <c r="Q117" s="46" t="n">
        <f aca="false">M117/(1-(1+M117)^-P117)</f>
        <v>0.0970621931311953</v>
      </c>
      <c r="R117" s="46" t="n">
        <f aca="false">N117/(1-(1+N117)^-P117)</f>
        <v>0.135706208552237</v>
      </c>
      <c r="S117" s="46" t="n">
        <f aca="false">O117/(1-(1+O117)^-P117)</f>
        <v>0.078226718212274</v>
      </c>
      <c r="T117" s="37" t="n">
        <f aca="false">IF(AND(p_eng=1,ISNUMBER(Country_Data!$CZ$21)),Country_Data!$CZ$21,Country_Data!$CM$21)*Sector_Params!$I$5</f>
        <v>0.0291903250139543</v>
      </c>
      <c r="U117" s="37" t="n">
        <f aca="false">IF(AND(p_eng=1,ISNUMBER(Country_Data!$DA$21)),Country_Data!$DA$21,Country_Data!$CN$21)*Sector_Params!$J$5</f>
        <v>0.025232175327768</v>
      </c>
      <c r="V117" s="37" t="n">
        <f aca="false">IF(AND(p_eng=1,ISNUMBER(Country_Data!$DB$21)),Country_Data!$DB$21,p_a)</f>
        <v>0.966737931785905</v>
      </c>
      <c r="W117" s="16" t="n">
        <f aca="false">T117*L117</f>
        <v>0.198012741826332</v>
      </c>
      <c r="X117" s="16" t="n">
        <f aca="false">U117*L117</f>
        <v>0.171162610094462</v>
      </c>
      <c r="Y117" s="16" t="n">
        <f aca="false">V117*L117</f>
        <v>6.55787245975966</v>
      </c>
      <c r="Z117" s="16" t="n">
        <f aca="false">Q117*L117</f>
        <v>0.658421959344308</v>
      </c>
      <c r="AA117" s="16" t="n">
        <f aca="false">R117*L117</f>
        <v>0.920563865782193</v>
      </c>
      <c r="AB117" s="16" t="n">
        <f aca="false">S117*L117</f>
        <v>0.530651404185577</v>
      </c>
      <c r="AC117" s="16" t="n">
        <f aca="false">Z117-W117</f>
        <v>0.460409217517976</v>
      </c>
      <c r="AD117" s="16" t="n">
        <f aca="false">AA117-W117</f>
        <v>0.722551123955861</v>
      </c>
      <c r="AE117" s="16" t="n">
        <f aca="false">AB117-W117</f>
        <v>0.332638662359245</v>
      </c>
      <c r="AF117" s="16" t="n">
        <f aca="false">AE117-X117</f>
        <v>0.161476052264783</v>
      </c>
      <c r="AG117" s="16" t="n">
        <f aca="false">AF117-p_spc_lo*Y117/1000</f>
        <v>-0.1664175707232</v>
      </c>
      <c r="AH117" s="16" t="n">
        <f aca="false">AF117-p_spc_hi*Y117/1000</f>
        <v>-0.494311193711183</v>
      </c>
      <c r="AI117" s="16" t="n">
        <f aca="false">Q117*J117</f>
        <v>2.74342483060128</v>
      </c>
      <c r="AJ117" s="16" t="n">
        <f aca="false">S117*J117</f>
        <v>2.2110475174399</v>
      </c>
      <c r="AK117" s="16" t="n">
        <f aca="false">T117*J117</f>
        <v>0.82505309094305</v>
      </c>
      <c r="AL117" s="16" t="n">
        <f aca="false">U117*J117</f>
        <v>0.713177542060257</v>
      </c>
      <c r="AM117" s="16" t="n">
        <f aca="false">AI117-AJ117</f>
        <v>0.532377313161378</v>
      </c>
      <c r="AN117" s="16" t="n">
        <f aca="false">J117*Country_Data!$EB$21</f>
        <v>32.4462211215981</v>
      </c>
      <c r="AO117" s="16" t="n">
        <f aca="false">L117*Country_Data!$EB$21</f>
        <v>7.78709306918354</v>
      </c>
    </row>
    <row r="118" customFormat="false" ht="15" hidden="false" customHeight="false" outlineLevel="0" collapsed="false">
      <c r="A118" s="14" t="str">
        <f aca="false">Country_Data!$A$21</f>
        <v>TUR</v>
      </c>
      <c r="B118" s="14" t="str">
        <f aca="false">Country_Data!$E$21</f>
        <v>EMDC</v>
      </c>
      <c r="C118" s="35" t="s">
        <v>470</v>
      </c>
      <c r="D118" s="37" t="n">
        <f aca="false">IF(Country_Data!$BZ$21="","",Country_Data!$BZ$21)</f>
        <v>442.499234088952</v>
      </c>
      <c r="E118" s="40" t="n">
        <f aca="false">Country_Data!$BW$21</f>
        <v>3553.197</v>
      </c>
      <c r="F118" s="41" t="n">
        <f aca="false">Country_Data!$BX$21</f>
        <v>0.382261664636101</v>
      </c>
      <c r="G118" s="42" t="n">
        <f aca="false">IF(D118="","",D118/SUMIFS($D$5:$D$1369,$B$5:$B$1369,B118,$C$5:$C$1369,C118))</f>
        <v>0.0505166574893539</v>
      </c>
      <c r="H118" s="42" t="n">
        <f aca="false">E118/SUMIFS($E$5:$E$1369,$B$5:$B$1369,B118,$C$5:$C$1369,C118)</f>
        <v>0.0440123103769774</v>
      </c>
      <c r="I118" s="43" t="n">
        <f aca="false">IF(G118="",H118,p_beta_alloc*G118+(1-p_beta_alloc)*H118)*F118^p_phi</f>
        <v>0.0292223604710274</v>
      </c>
      <c r="J118" s="16" t="n">
        <f aca="false">INDEX(Sector_Params!$C$17:$E$17,MATCH(B118,Sector_Params!$C$15:$E$15,0))*I118/SUMIFS($I$5:$I$1369,$B$5:$B$1369,B118,$C$5:$C$1369,C118)</f>
        <v>19.3814454159699</v>
      </c>
      <c r="K118" s="28" t="n">
        <f aca="false">INDEX(Sector_Params!$F$6:$H$6,MATCH(B118,Sector_Params!$C$15:$E$15,0))</f>
        <v>0.24</v>
      </c>
      <c r="L118" s="16" t="n">
        <f aca="false">J118*K118</f>
        <v>4.65154689983278</v>
      </c>
      <c r="M118" s="44" t="n">
        <f aca="false">Country_Data!$DW$21+Sector_Params!$E$6</f>
        <v>0.0842</v>
      </c>
      <c r="N118" s="44" t="n">
        <f aca="false">Country_Data!$DX$21+Sector_Params!$E$6</f>
        <v>0.1292</v>
      </c>
      <c r="O118" s="11" t="n">
        <f aca="false">IF(p_use_ibrd=1,p_r_ibrd,p_r_wb)</f>
        <v>0.06</v>
      </c>
      <c r="P118" s="45" t="n">
        <f aca="false">Sector_Params!$D$6</f>
        <v>40</v>
      </c>
      <c r="Q118" s="46" t="n">
        <f aca="false">M118/(1-(1+M118)^-P118)</f>
        <v>0.0876546068381162</v>
      </c>
      <c r="R118" s="46" t="n">
        <f aca="false">N118/(1-(1+N118)^-P118)</f>
        <v>0.130208801132843</v>
      </c>
      <c r="S118" s="46" t="n">
        <f aca="false">O118/(1-(1+O118)^-P118)</f>
        <v>0.0664615359206755</v>
      </c>
      <c r="T118" s="37" t="n">
        <f aca="false">p_grid_credit*IF(AND(p_eng=1,ISNUMBER(Country_Data!$CZ$21)),Country_Data!$CZ$21,Country_Data!$CM$21)*Sector_Params!$I$6</f>
        <v>0</v>
      </c>
      <c r="U118" s="37" t="n">
        <f aca="false">p_grid_credit*IF(AND(p_eng=1,ISNUMBER(Country_Data!$DA$21)),Country_Data!$DA$21,Country_Data!$CN$21)*Sector_Params!$J$6</f>
        <v>0</v>
      </c>
      <c r="V118" s="37" t="n">
        <f aca="false">p_grid_credit*IF(AND(p_eng=1,ISNUMBER(Country_Data!$DB$21)),Country_Data!$DB$21,p_a)</f>
        <v>0</v>
      </c>
      <c r="W118" s="16" t="n">
        <f aca="false">T118*L118</f>
        <v>0</v>
      </c>
      <c r="X118" s="16" t="n">
        <f aca="false">U118*L118</f>
        <v>0</v>
      </c>
      <c r="Y118" s="16" t="n">
        <f aca="false">V118*L118</f>
        <v>0</v>
      </c>
      <c r="Z118" s="16" t="n">
        <f aca="false">Q118*L118</f>
        <v>0.407729514693901</v>
      </c>
      <c r="AA118" s="16" t="n">
        <f aca="false">R118*L118</f>
        <v>0.605672345240417</v>
      </c>
      <c r="AB118" s="16" t="n">
        <f aca="false">S118*L118</f>
        <v>0.309148951369943</v>
      </c>
      <c r="AC118" s="16" t="n">
        <f aca="false">Z118-W118</f>
        <v>0.407729514693901</v>
      </c>
      <c r="AD118" s="16" t="n">
        <f aca="false">AA118-W118</f>
        <v>0.605672345240417</v>
      </c>
      <c r="AE118" s="16" t="n">
        <f aca="false">AB118-W118</f>
        <v>0.309148951369943</v>
      </c>
      <c r="AF118" s="16" t="n">
        <f aca="false">AE118-X118</f>
        <v>0.309148951369943</v>
      </c>
      <c r="AG118" s="16" t="n">
        <f aca="false">AF118-p_spc_lo*Y118/1000</f>
        <v>0.309148951369943</v>
      </c>
      <c r="AH118" s="16" t="n">
        <f aca="false">AF118-p_spc_hi*Y118/1000</f>
        <v>0.309148951369943</v>
      </c>
      <c r="AI118" s="16" t="n">
        <f aca="false">Q118*J118</f>
        <v>1.69887297789125</v>
      </c>
      <c r="AJ118" s="16" t="n">
        <f aca="false">S118*J118</f>
        <v>1.2881206307081</v>
      </c>
      <c r="AK118" s="16" t="n">
        <f aca="false">T118*J118</f>
        <v>0</v>
      </c>
      <c r="AL118" s="16" t="n">
        <f aca="false">U118*J118</f>
        <v>0</v>
      </c>
      <c r="AM118" s="16" t="n">
        <f aca="false">AI118-AJ118</f>
        <v>0.410752347183157</v>
      </c>
      <c r="AN118" s="16" t="n">
        <f aca="false">J118*Country_Data!$EB$21</f>
        <v>22.2488373405244</v>
      </c>
      <c r="AO118" s="16" t="n">
        <f aca="false">L118*Country_Data!$EB$21</f>
        <v>5.33972096172585</v>
      </c>
    </row>
    <row r="119" customFormat="false" ht="15" hidden="false" customHeight="false" outlineLevel="0" collapsed="false">
      <c r="A119" s="14" t="str">
        <f aca="false">Country_Data!$A$21</f>
        <v>TUR</v>
      </c>
      <c r="B119" s="14" t="str">
        <f aca="false">Country_Data!$E$21</f>
        <v>EMDC</v>
      </c>
      <c r="C119" s="35" t="s">
        <v>473</v>
      </c>
      <c r="D119" s="37" t="n">
        <f aca="false">IF(Country_Data!$CA$21="","",Country_Data!$CA$21)</f>
        <v>1.44147585675484</v>
      </c>
      <c r="E119" s="40" t="n">
        <f aca="false">Country_Data!$BW$21</f>
        <v>3553.197</v>
      </c>
      <c r="F119" s="41" t="n">
        <f aca="false">Country_Data!$BX$21</f>
        <v>0.382261664636101</v>
      </c>
      <c r="G119" s="42" t="n">
        <f aca="false">IF(D119="","",D119/SUMIFS($D$5:$D$1369,$B$5:$B$1369,B119,$C$5:$C$1369,C119))</f>
        <v>0.0333014461936849</v>
      </c>
      <c r="H119" s="42" t="n">
        <f aca="false">E119/SUMIFS($E$5:$E$1369,$B$5:$B$1369,B119,$C$5:$C$1369,C119)</f>
        <v>0.0440123103769774</v>
      </c>
      <c r="I119" s="43" t="n">
        <f aca="false">IF(G119="",H119,p_beta_alloc*G119+(1-p_beta_alloc)*H119)*F119^p_phi</f>
        <v>0.0239005091758952</v>
      </c>
      <c r="J119" s="16" t="n">
        <f aca="false">INDEX(Sector_Params!$C$18:$E$18,MATCH(B119,Sector_Params!$C$15:$E$15,0))*I119/SUMIFS($I$5:$I$1369,$B$5:$B$1369,B119,$C$5:$C$1369,C119)</f>
        <v>9.78669299245903</v>
      </c>
      <c r="K119" s="28" t="n">
        <f aca="false">INDEX(Sector_Params!$F$7:$H$7,MATCH(B119,Sector_Params!$C$15:$E$15,0))</f>
        <v>0.24</v>
      </c>
      <c r="L119" s="16" t="n">
        <f aca="false">J119*K119</f>
        <v>2.34880631819017</v>
      </c>
      <c r="M119" s="44" t="n">
        <f aca="false">Country_Data!$DW$21+Sector_Params!$E$7</f>
        <v>0.0842</v>
      </c>
      <c r="N119" s="44" t="n">
        <f aca="false">Country_Data!$DX$21+Sector_Params!$E$7</f>
        <v>0.1292</v>
      </c>
      <c r="O119" s="11" t="n">
        <f aca="false">IF(p_use_ibrd=1,p_r_ibrd,p_r_wb)</f>
        <v>0.06</v>
      </c>
      <c r="P119" s="45" t="n">
        <f aca="false">Sector_Params!$D$7</f>
        <v>12</v>
      </c>
      <c r="Q119" s="46" t="n">
        <f aca="false">M119/(1-(1+M119)^-P119)</f>
        <v>0.135596900033154</v>
      </c>
      <c r="R119" s="46" t="n">
        <f aca="false">N119/(1-(1+N119)^-P119)</f>
        <v>0.168377136026938</v>
      </c>
      <c r="S119" s="46" t="n">
        <f aca="false">O119/(1-(1+O119)^-P119)</f>
        <v>0.119277029380664</v>
      </c>
      <c r="T119" s="37" t="n">
        <f aca="false">IF(AND(p_eng=1,ISNUMBER(Country_Data!$DE$21)),Country_Data!$DE$21,Country_Data!$CM$21)*Sector_Params!$I$7</f>
        <v>0.19750356</v>
      </c>
      <c r="U119" s="37" t="n">
        <f aca="false">IF(AND(p_eng=1,ISNUMBER(Country_Data!$DF$21)),Country_Data!$DF$21,Country_Data!$CN$21)*Sector_Params!$J$7</f>
        <v>0.008300475</v>
      </c>
      <c r="V119" s="37" t="n">
        <f aca="false">IF(AND(p_eng=1,ISNUMBER(Country_Data!$DG$21)),Country_Data!$DG$21,p_a)</f>
        <v>0.30641733614989</v>
      </c>
      <c r="W119" s="16" t="n">
        <f aca="false">T119*L119</f>
        <v>0.463897609593051</v>
      </c>
      <c r="X119" s="16" t="n">
        <f aca="false">U119*L119</f>
        <v>0.0194962081239795</v>
      </c>
      <c r="Y119" s="16" t="n">
        <f aca="false">V119*L119</f>
        <v>0.719714975151861</v>
      </c>
      <c r="Z119" s="16" t="n">
        <f aca="false">Q119*L119</f>
        <v>0.318490855524873</v>
      </c>
      <c r="AA119" s="16" t="n">
        <f aca="false">R119*L119</f>
        <v>0.395485280938836</v>
      </c>
      <c r="AB119" s="16" t="n">
        <f aca="false">S119*L119</f>
        <v>0.280158640224257</v>
      </c>
      <c r="AC119" s="16" t="n">
        <f aca="false">Z119-W119</f>
        <v>-0.145406754068178</v>
      </c>
      <c r="AD119" s="16" t="n">
        <f aca="false">AA119-W119</f>
        <v>-0.0684123286542145</v>
      </c>
      <c r="AE119" s="16" t="n">
        <f aca="false">AB119-W119</f>
        <v>-0.183738969368794</v>
      </c>
      <c r="AF119" s="16" t="n">
        <f aca="false">AE119-X119</f>
        <v>-0.203235177492774</v>
      </c>
      <c r="AG119" s="16" t="n">
        <f aca="false">AF119-p_spc_lo*Y119/1000</f>
        <v>-0.239220926250367</v>
      </c>
      <c r="AH119" s="16" t="n">
        <f aca="false">AF119-p_spc_hi*Y119/1000</f>
        <v>-0.27520667500796</v>
      </c>
      <c r="AI119" s="16" t="n">
        <f aca="false">Q119*J119</f>
        <v>1.32704523135364</v>
      </c>
      <c r="AJ119" s="16" t="n">
        <f aca="false">S119*J119</f>
        <v>1.16732766760107</v>
      </c>
      <c r="AK119" s="16" t="n">
        <f aca="false">T119*J119</f>
        <v>1.93290670663771</v>
      </c>
      <c r="AL119" s="16" t="n">
        <f aca="false">U119*J119</f>
        <v>0.0812342005165813</v>
      </c>
      <c r="AM119" s="16" t="n">
        <f aca="false">AI119-AJ119</f>
        <v>0.159717563752566</v>
      </c>
      <c r="AN119" s="16" t="n">
        <f aca="false">J119*Country_Data!$EB$21</f>
        <v>11.2345872981927</v>
      </c>
      <c r="AO119" s="16" t="n">
        <f aca="false">L119*Country_Data!$EB$21</f>
        <v>2.69630095156625</v>
      </c>
    </row>
    <row r="120" customFormat="false" ht="15" hidden="false" customHeight="false" outlineLevel="0" collapsed="false">
      <c r="A120" s="14" t="str">
        <f aca="false">Country_Data!$A$21</f>
        <v>TUR</v>
      </c>
      <c r="B120" s="14" t="str">
        <f aca="false">Country_Data!$E$21</f>
        <v>EMDC</v>
      </c>
      <c r="C120" s="35" t="s">
        <v>477</v>
      </c>
      <c r="D120" s="37" t="n">
        <f aca="false">IF(Country_Data!$CB$21="","",Country_Data!$CB$21)</f>
        <v>1.93827924146134</v>
      </c>
      <c r="E120" s="40" t="n">
        <f aca="false">Country_Data!$BW$21</f>
        <v>3553.197</v>
      </c>
      <c r="F120" s="41" t="n">
        <f aca="false">Country_Data!$BX$21</f>
        <v>0.382261664636101</v>
      </c>
      <c r="G120" s="42" t="n">
        <f aca="false">IF(D120="","",D120/SUMIFS($D$5:$D$1369,$B$5:$B$1369,B120,$C$5:$C$1369,C120))</f>
        <v>0.0611198465441797</v>
      </c>
      <c r="H120" s="42" t="n">
        <f aca="false">E120/SUMIFS($E$5:$E$1369,$B$5:$B$1369,B120,$C$5:$C$1369,C120)</f>
        <v>0.0440123103769774</v>
      </c>
      <c r="I120" s="43" t="n">
        <f aca="false">IF(G120="",H120,p_beta_alloc*G120+(1-p_beta_alloc)*H120)*F120^p_phi</f>
        <v>0.032500193919296</v>
      </c>
      <c r="J120" s="16" t="n">
        <f aca="false">INDEX(Sector_Params!$C$19:$E$19,MATCH(B120,Sector_Params!$C$15:$E$15,0))*I120/SUMIFS($I$5:$I$1369,$B$5:$B$1369,B120,$C$5:$C$1369,C120)</f>
        <v>10.4605968024464</v>
      </c>
      <c r="K120" s="28" t="n">
        <f aca="false">INDEX(Sector_Params!$F$8:$H$8,MATCH(B120,Sector_Params!$C$15:$E$15,0))</f>
        <v>0.24</v>
      </c>
      <c r="L120" s="16" t="n">
        <f aca="false">J120*K120</f>
        <v>2.51054323258714</v>
      </c>
      <c r="M120" s="44" t="n">
        <f aca="false">Country_Data!$DW$21+Sector_Params!$E$8</f>
        <v>0.0842</v>
      </c>
      <c r="N120" s="44" t="n">
        <f aca="false">Country_Data!$DX$21+Sector_Params!$E$8</f>
        <v>0.1292</v>
      </c>
      <c r="O120" s="11" t="n">
        <f aca="false">IF(p_use_ibrd=1,p_r_ibrd,p_r_wb)</f>
        <v>0.06</v>
      </c>
      <c r="P120" s="45" t="n">
        <f aca="false">Sector_Params!$D$8</f>
        <v>25</v>
      </c>
      <c r="Q120" s="46" t="n">
        <f aca="false">M120/(1-(1+M120)^-P120)</f>
        <v>0.0970621931311953</v>
      </c>
      <c r="R120" s="46" t="n">
        <f aca="false">N120/(1-(1+N120)^-P120)</f>
        <v>0.135706208552237</v>
      </c>
      <c r="S120" s="46" t="n">
        <f aca="false">O120/(1-(1+O120)^-P120)</f>
        <v>0.078226718212274</v>
      </c>
      <c r="T120" s="37" t="n">
        <f aca="false">Country_Data!$CM$21*Sector_Params!$I$8</f>
        <v>0.0992518144762692</v>
      </c>
      <c r="U120" s="37" t="n">
        <f aca="false">Country_Data!$CN$21*Sector_Params!$J$8</f>
        <v>0.273711491427903</v>
      </c>
      <c r="V120" s="37" t="n">
        <f aca="false">p_a</f>
        <v>0.35</v>
      </c>
      <c r="W120" s="16" t="n">
        <f aca="false">T120*L120</f>
        <v>0.249175971155392</v>
      </c>
      <c r="X120" s="16" t="n">
        <f aca="false">U120*L120</f>
        <v>0.687164532485655</v>
      </c>
      <c r="Y120" s="16" t="n">
        <f aca="false">V120*L120</f>
        <v>0.878690131405499</v>
      </c>
      <c r="Z120" s="16" t="n">
        <f aca="false">Q120*L120</f>
        <v>0.243678832105588</v>
      </c>
      <c r="AA120" s="16" t="n">
        <f aca="false">R120*L120</f>
        <v>0.340696303500877</v>
      </c>
      <c r="AB120" s="16" t="n">
        <f aca="false">S120*L120</f>
        <v>0.196391558015326</v>
      </c>
      <c r="AC120" s="16" t="n">
        <f aca="false">Z120-W120</f>
        <v>-0.00549713904980353</v>
      </c>
      <c r="AD120" s="16" t="n">
        <f aca="false">AA120-W120</f>
        <v>0.091520332345485</v>
      </c>
      <c r="AE120" s="16" t="n">
        <f aca="false">AB120-W120</f>
        <v>-0.0527844131400664</v>
      </c>
      <c r="AF120" s="16" t="n">
        <f aca="false">AE120-X120</f>
        <v>-0.739948945625722</v>
      </c>
      <c r="AG120" s="16" t="n">
        <f aca="false">AF120-p_spc_lo*Y120/1000</f>
        <v>-0.783883452195997</v>
      </c>
      <c r="AH120" s="16" t="n">
        <f aca="false">AF120-p_spc_hi*Y120/1000</f>
        <v>-0.827817958766272</v>
      </c>
      <c r="AI120" s="16" t="n">
        <f aca="false">Q120*J120</f>
        <v>1.01532846710662</v>
      </c>
      <c r="AJ120" s="16" t="n">
        <f aca="false">S120*J120</f>
        <v>0.81829815839719</v>
      </c>
      <c r="AK120" s="16" t="n">
        <f aca="false">T120*J120</f>
        <v>1.03823321314747</v>
      </c>
      <c r="AL120" s="16" t="n">
        <f aca="false">U120*J120</f>
        <v>2.86318555202356</v>
      </c>
      <c r="AM120" s="16" t="n">
        <f aca="false">AI120-AJ120</f>
        <v>0.197030308709428</v>
      </c>
      <c r="AN120" s="16" t="n">
        <f aca="false">J120*Country_Data!$EB$21</f>
        <v>12.0081919458221</v>
      </c>
      <c r="AO120" s="16" t="n">
        <f aca="false">L120*Country_Data!$EB$21</f>
        <v>2.88196606699729</v>
      </c>
    </row>
    <row r="121" customFormat="false" ht="15" hidden="false" customHeight="false" outlineLevel="0" collapsed="false">
      <c r="A121" s="14" t="str">
        <f aca="false">Country_Data!$A$21</f>
        <v>TUR</v>
      </c>
      <c r="B121" s="14" t="str">
        <f aca="false">Country_Data!$E$21</f>
        <v>EMDC</v>
      </c>
      <c r="C121" s="35" t="s">
        <v>481</v>
      </c>
      <c r="D121" s="37" t="n">
        <f aca="false">IF(Country_Data!$CC$21="","",Country_Data!$CC$21)</f>
        <v>2.60608363285191</v>
      </c>
      <c r="E121" s="40" t="n">
        <f aca="false">Country_Data!$BW$21</f>
        <v>3553.197</v>
      </c>
      <c r="F121" s="41" t="n">
        <f aca="false">Country_Data!$BX$21</f>
        <v>0.382261664636101</v>
      </c>
      <c r="G121" s="42" t="n">
        <f aca="false">IF(D121="","",D121/SUMIFS($D$5:$D$1369,$B$5:$B$1369,B121,$C$5:$C$1369,C121))</f>
        <v>0.0372259066405554</v>
      </c>
      <c r="H121" s="42" t="n">
        <f aca="false">E121/SUMIFS($E$5:$E$1369,$B$5:$B$1369,B121,$C$5:$C$1369,C121)</f>
        <v>0.0440123103769774</v>
      </c>
      <c r="I121" s="43" t="n">
        <f aca="false">IF(G121="",H121,p_beta_alloc*G121+(1-p_beta_alloc)*H121)*F121^p_phi</f>
        <v>0.0251137034000711</v>
      </c>
      <c r="J121" s="16" t="n">
        <f aca="false">INDEX(Sector_Params!$C$20:$E$20,MATCH(B121,Sector_Params!$C$15:$E$15,0))*I121/SUMIFS($I$5:$I$1369,$B$5:$B$1369,B121,$C$5:$C$1369,C121)</f>
        <v>4.58375660241145</v>
      </c>
      <c r="K121" s="28" t="n">
        <f aca="false">INDEX(Sector_Params!$F$9:$H$9,MATCH(B121,Sector_Params!$C$15:$E$15,0))</f>
        <v>0.24</v>
      </c>
      <c r="L121" s="16" t="n">
        <f aca="false">J121*K121</f>
        <v>1.10010158457875</v>
      </c>
      <c r="M121" s="44" t="n">
        <f aca="false">Country_Data!$DW$21+Sector_Params!$E$9</f>
        <v>0.0842</v>
      </c>
      <c r="N121" s="44" t="n">
        <f aca="false">Country_Data!$DX$21+Sector_Params!$E$9</f>
        <v>0.1292</v>
      </c>
      <c r="O121" s="11" t="n">
        <f aca="false">IF(p_use_ibrd=1,p_r_ibrd,p_r_wb)</f>
        <v>0.06</v>
      </c>
      <c r="P121" s="45" t="n">
        <f aca="false">Sector_Params!$D$9</f>
        <v>25</v>
      </c>
      <c r="Q121" s="46" t="n">
        <f aca="false">M121/(1-(1+M121)^-P121)</f>
        <v>0.0970621931311953</v>
      </c>
      <c r="R121" s="46" t="n">
        <f aca="false">N121/(1-(1+N121)^-P121)</f>
        <v>0.135706208552237</v>
      </c>
      <c r="S121" s="46" t="n">
        <f aca="false">O121/(1-(1+O121)^-P121)</f>
        <v>0.078226718212274</v>
      </c>
      <c r="T121" s="37" t="n">
        <f aca="false">Country_Data!$CM$21*Sector_Params!$I$9</f>
        <v>0.0992518144762692</v>
      </c>
      <c r="U121" s="37" t="n">
        <f aca="false">Country_Data!$CN$21*Sector_Params!$J$9</f>
        <v>0.273711491427903</v>
      </c>
      <c r="V121" s="37" t="n">
        <f aca="false">p_a</f>
        <v>0.35</v>
      </c>
      <c r="W121" s="16" t="n">
        <f aca="false">T121*L121</f>
        <v>0.10918707837766</v>
      </c>
      <c r="X121" s="16" t="n">
        <f aca="false">U121*L121</f>
        <v>0.301110445437249</v>
      </c>
      <c r="Y121" s="16" t="n">
        <f aca="false">V121*L121</f>
        <v>0.385035554602562</v>
      </c>
      <c r="Z121" s="16" t="n">
        <f aca="false">Q121*L121</f>
        <v>0.106778272466316</v>
      </c>
      <c r="AA121" s="16" t="n">
        <f aca="false">R121*L121</f>
        <v>0.14929061506549</v>
      </c>
      <c r="AB121" s="16" t="n">
        <f aca="false">S121*L121</f>
        <v>0.0860573366617178</v>
      </c>
      <c r="AC121" s="16" t="n">
        <f aca="false">Z121-W121</f>
        <v>-0.00240880591134321</v>
      </c>
      <c r="AD121" s="16" t="n">
        <f aca="false">AA121-W121</f>
        <v>0.04010353668783</v>
      </c>
      <c r="AE121" s="16" t="n">
        <f aca="false">AB121-W121</f>
        <v>-0.0231297417159419</v>
      </c>
      <c r="AF121" s="16" t="n">
        <f aca="false">AE121-X121</f>
        <v>-0.324240187153191</v>
      </c>
      <c r="AG121" s="16" t="n">
        <f aca="false">AF121-p_spc_lo*Y121/1000</f>
        <v>-0.343491964883319</v>
      </c>
      <c r="AH121" s="16" t="n">
        <f aca="false">AF121-p_spc_hi*Y121/1000</f>
        <v>-0.362743742613447</v>
      </c>
      <c r="AI121" s="16" t="n">
        <f aca="false">Q121*J121</f>
        <v>0.444909468609652</v>
      </c>
      <c r="AJ121" s="16" t="n">
        <f aca="false">S121*J121</f>
        <v>0.358572236090491</v>
      </c>
      <c r="AK121" s="16" t="n">
        <f aca="false">T121*J121</f>
        <v>0.454946159906915</v>
      </c>
      <c r="AL121" s="16" t="n">
        <f aca="false">U121*J121</f>
        <v>1.25462685598854</v>
      </c>
      <c r="AM121" s="16" t="n">
        <f aca="false">AI121-AJ121</f>
        <v>0.0863372325191611</v>
      </c>
      <c r="AN121" s="16" t="n">
        <f aca="false">J121*Country_Data!$EB$21</f>
        <v>5.26190141482301</v>
      </c>
      <c r="AO121" s="16" t="n">
        <f aca="false">L121*Country_Data!$EB$21</f>
        <v>1.26285633955752</v>
      </c>
    </row>
    <row r="122" customFormat="false" ht="15" hidden="false" customHeight="false" outlineLevel="0" collapsed="false">
      <c r="A122" s="14" t="str">
        <f aca="false">Country_Data!$A$21</f>
        <v>TUR</v>
      </c>
      <c r="B122" s="14" t="str">
        <f aca="false">Country_Data!$E$21</f>
        <v>EMDC</v>
      </c>
      <c r="C122" s="35" t="s">
        <v>484</v>
      </c>
      <c r="D122" s="37" t="n">
        <f aca="false">IF(Country_Data!$CD$21="","",Country_Data!$CD$21)</f>
        <v>6.66546954769921</v>
      </c>
      <c r="E122" s="40" t="n">
        <f aca="false">Country_Data!$BW$21</f>
        <v>3553.197</v>
      </c>
      <c r="F122" s="41" t="n">
        <f aca="false">Country_Data!$BX$21</f>
        <v>0.382261664636101</v>
      </c>
      <c r="G122" s="42" t="n">
        <f aca="false">IF(D122="","",D122/SUMIFS($D$5:$D$1369,$B$5:$B$1369,B122,$C$5:$C$1369,C122))</f>
        <v>0.0372224169792144</v>
      </c>
      <c r="H122" s="42" t="n">
        <f aca="false">E122/SUMIFS($E$5:$E$1369,$B$5:$B$1369,B122,$C$5:$C$1369,C122)</f>
        <v>0.0440123103769774</v>
      </c>
      <c r="I122" s="43" t="n">
        <f aca="false">IF(G122="",H122,p_beta_alloc*G122+(1-p_beta_alloc)*H122)*F122^p_phi</f>
        <v>0.0251126246181492</v>
      </c>
      <c r="J122" s="16" t="n">
        <f aca="false">INDEX(Sector_Params!$C$21:$E$21,MATCH(B122,Sector_Params!$C$15:$E$15,0))*I122/SUMIFS($I$5:$I$1369,$B$5:$B$1369,B122,$C$5:$C$1369,C122)</f>
        <v>5.56972465092773</v>
      </c>
      <c r="K122" s="28" t="n">
        <f aca="false">INDEX(Sector_Params!$F$10:$H$10,MATCH(B122,Sector_Params!$C$15:$E$15,0))</f>
        <v>0.24</v>
      </c>
      <c r="L122" s="16" t="n">
        <f aca="false">J122*K122</f>
        <v>1.33673391622266</v>
      </c>
      <c r="M122" s="44" t="n">
        <f aca="false">Country_Data!$DW$21+Sector_Params!$E$10</f>
        <v>0.0842</v>
      </c>
      <c r="N122" s="44" t="n">
        <f aca="false">Country_Data!$DX$21+Sector_Params!$E$10</f>
        <v>0.1292</v>
      </c>
      <c r="O122" s="11" t="n">
        <f aca="false">IF(p_use_ibrd=1,p_r_ibrd,p_r_wb)</f>
        <v>0.06</v>
      </c>
      <c r="P122" s="45" t="n">
        <f aca="false">Sector_Params!$D$10</f>
        <v>20</v>
      </c>
      <c r="Q122" s="46" t="n">
        <f aca="false">M122/(1-(1+M122)^-P122)</f>
        <v>0.105056106893437</v>
      </c>
      <c r="R122" s="46" t="n">
        <f aca="false">N122/(1-(1+N122)^-P122)</f>
        <v>0.14166981269766</v>
      </c>
      <c r="S122" s="46" t="n">
        <f aca="false">O122/(1-(1+O122)^-P122)</f>
        <v>0.0871845569768514</v>
      </c>
      <c r="T122" s="37" t="n">
        <f aca="false">0*Sector_Params!$I$10</f>
        <v>0</v>
      </c>
      <c r="U122" s="37" t="n">
        <f aca="false">0*Sector_Params!$J$10</f>
        <v>0</v>
      </c>
      <c r="V122" s="37" t="n">
        <f aca="false">1000*p_r_wb/(1-(1+p_r_wb)^-Sector_Params!$D$10)/p_cpt_fuel</f>
        <v>0.871845569768514</v>
      </c>
      <c r="W122" s="16" t="n">
        <f aca="false">T122*L122</f>
        <v>0</v>
      </c>
      <c r="X122" s="16" t="n">
        <f aca="false">U122*L122</f>
        <v>0</v>
      </c>
      <c r="Y122" s="16" t="n">
        <f aca="false">V122*L122</f>
        <v>1.16542554281804</v>
      </c>
      <c r="Z122" s="16" t="n">
        <f aca="false">Q122*L122</f>
        <v>0.14043206119077</v>
      </c>
      <c r="AA122" s="16" t="n">
        <f aca="false">R122*L122</f>
        <v>0.189374843537873</v>
      </c>
      <c r="AB122" s="16" t="n">
        <f aca="false">S122*L122</f>
        <v>0.116542554281804</v>
      </c>
      <c r="AC122" s="16" t="n">
        <f aca="false">Z122-W122</f>
        <v>0.14043206119077</v>
      </c>
      <c r="AD122" s="16" t="n">
        <f aca="false">AA122-W122</f>
        <v>0.189374843537873</v>
      </c>
      <c r="AE122" s="16" t="n">
        <f aca="false">AB122-W122</f>
        <v>0.116542554281804</v>
      </c>
      <c r="AF122" s="16" t="n">
        <f aca="false">AE122-X122</f>
        <v>0.116542554281804</v>
      </c>
      <c r="AG122" s="16" t="n">
        <f aca="false">AF122-p_spc_lo*Y122/1000</f>
        <v>0.0582712771409019</v>
      </c>
      <c r="AH122" s="16" t="n">
        <f aca="false">AF122-p_spc_hi*Y122/1000</f>
        <v>0</v>
      </c>
      <c r="AI122" s="16" t="n">
        <f aca="false">Q122*J122</f>
        <v>0.585133588294877</v>
      </c>
      <c r="AJ122" s="16" t="n">
        <f aca="false">S122*J122</f>
        <v>0.485593976174183</v>
      </c>
      <c r="AK122" s="16" t="n">
        <f aca="false">T122*J122</f>
        <v>0</v>
      </c>
      <c r="AL122" s="16" t="n">
        <f aca="false">U122*J122</f>
        <v>0</v>
      </c>
      <c r="AM122" s="16" t="n">
        <f aca="false">AI122-AJ122</f>
        <v>0.0995396121206945</v>
      </c>
      <c r="AN122" s="16" t="n">
        <f aca="false">J122*Country_Data!$EB$21</f>
        <v>6.3937387088732</v>
      </c>
      <c r="AO122" s="16" t="n">
        <f aca="false">L122*Country_Data!$EB$21</f>
        <v>1.53449729012957</v>
      </c>
    </row>
    <row r="123" customFormat="false" ht="15" hidden="false" customHeight="false" outlineLevel="0" collapsed="false">
      <c r="A123" s="14" t="str">
        <f aca="false">Country_Data!$A$21</f>
        <v>TUR</v>
      </c>
      <c r="B123" s="14" t="str">
        <f aca="false">Country_Data!$E$21</f>
        <v>EMDC</v>
      </c>
      <c r="C123" s="35" t="s">
        <v>488</v>
      </c>
      <c r="D123" s="37" t="n">
        <f aca="false">IF(Country_Data!$CE$21="","",Country_Data!$CE$21)</f>
        <v>120.462</v>
      </c>
      <c r="E123" s="40" t="n">
        <f aca="false">Country_Data!$BW$21</f>
        <v>3553.197</v>
      </c>
      <c r="F123" s="41" t="n">
        <f aca="false">Country_Data!$BX$21</f>
        <v>0.382261664636101</v>
      </c>
      <c r="G123" s="42" t="n">
        <f aca="false">IF(D123="","",D123/SUMIFS($D$5:$D$1369,$B$5:$B$1369,B123,$C$5:$C$1369,C123))</f>
        <v>0.00987060916363422</v>
      </c>
      <c r="H123" s="42" t="n">
        <f aca="false">E123/SUMIFS($E$5:$E$1369,$B$5:$B$1369,B123,$C$5:$C$1369,C123)</f>
        <v>0.0440123103769774</v>
      </c>
      <c r="I123" s="43" t="n">
        <f aca="false">IF(G123="",H123,p_beta_alloc*G123+(1-p_beta_alloc)*H123)*F123^p_phi</f>
        <v>0.0166571806885024</v>
      </c>
      <c r="J123" s="16" t="n">
        <f aca="false">INDEX(Sector_Params!$C$22:$E$22,MATCH(B123,Sector_Params!$C$15:$E$15,0))*I123/SUMIFS($I$5:$I$1369,$B$5:$B$1369,B123,$C$5:$C$1369,C123)</f>
        <v>10.0410882431071</v>
      </c>
      <c r="K123" s="28" t="n">
        <f aca="false">INDEX(Sector_Params!$F$11:$H$11,MATCH(B123,Sector_Params!$C$15:$E$15,0))</f>
        <v>0.24</v>
      </c>
      <c r="L123" s="16" t="n">
        <f aca="false">J123*K123</f>
        <v>2.4098611783457</v>
      </c>
      <c r="M123" s="44" t="n">
        <f aca="false">Country_Data!$DW$21+Sector_Params!$E$11</f>
        <v>0.0842</v>
      </c>
      <c r="N123" s="44" t="n">
        <f aca="false">Country_Data!$DX$21+Sector_Params!$E$11</f>
        <v>0.1292</v>
      </c>
      <c r="O123" s="11" t="n">
        <f aca="false">IF(p_use_ibrd=1,p_r_ibrd,p_r_wb)</f>
        <v>0.06</v>
      </c>
      <c r="P123" s="45" t="n">
        <f aca="false">Sector_Params!$D$11</f>
        <v>30</v>
      </c>
      <c r="Q123" s="46" t="n">
        <f aca="false">M123/(1-(1+M123)^-P123)</f>
        <v>0.0923705530790218</v>
      </c>
      <c r="R123" s="46" t="n">
        <f aca="false">N123/(1-(1+N123)^-P123)</f>
        <v>0.132664402318121</v>
      </c>
      <c r="S123" s="46" t="n">
        <f aca="false">O123/(1-(1+O123)^-P123)</f>
        <v>0.0726489114900472</v>
      </c>
      <c r="T123" s="37" t="n">
        <f aca="false">0*Sector_Params!$I$11</f>
        <v>0</v>
      </c>
      <c r="U123" s="37" t="n">
        <f aca="false">p_c*Sector_Params!$J$11</f>
        <v>0.129</v>
      </c>
      <c r="V123" s="37" t="n">
        <f aca="false">1000*p_r_wb/(1-(1+p_r_wb)^-Sector_Params!$D$11)/p_cpt_afolu</f>
        <v>1.45297822980094</v>
      </c>
      <c r="W123" s="16" t="n">
        <f aca="false">T123*L123</f>
        <v>0</v>
      </c>
      <c r="X123" s="16" t="n">
        <f aca="false">U123*L123</f>
        <v>0.310872092006595</v>
      </c>
      <c r="Y123" s="16" t="n">
        <f aca="false">V123*L123</f>
        <v>3.50147582897875</v>
      </c>
      <c r="Z123" s="16" t="n">
        <f aca="false">Q123*L123</f>
        <v>0.222600209887456</v>
      </c>
      <c r="AA123" s="16" t="n">
        <f aca="false">R123*L123</f>
        <v>0.319702792894876</v>
      </c>
      <c r="AB123" s="16" t="n">
        <f aca="false">S123*L123</f>
        <v>0.175073791448938</v>
      </c>
      <c r="AC123" s="16" t="n">
        <f aca="false">Z123-W123</f>
        <v>0.222600209887456</v>
      </c>
      <c r="AD123" s="16" t="n">
        <f aca="false">AA123-W123</f>
        <v>0.319702792894876</v>
      </c>
      <c r="AE123" s="16" t="n">
        <f aca="false">AB123-W123</f>
        <v>0.175073791448938</v>
      </c>
      <c r="AF123" s="16" t="n">
        <f aca="false">AE123-X123</f>
        <v>-0.135798300557658</v>
      </c>
      <c r="AG123" s="16" t="n">
        <f aca="false">AF123-p_spc_lo*Y123/1000</f>
        <v>-0.310872092006595</v>
      </c>
      <c r="AH123" s="16" t="n">
        <f aca="false">AF123-p_spc_hi*Y123/1000</f>
        <v>-0.485945883455533</v>
      </c>
      <c r="AI123" s="16" t="n">
        <f aca="false">Q123*J123</f>
        <v>0.927500874531065</v>
      </c>
      <c r="AJ123" s="16" t="n">
        <f aca="false">S123*J123</f>
        <v>0.72947413103724</v>
      </c>
      <c r="AK123" s="16" t="n">
        <f aca="false">T123*J123</f>
        <v>0</v>
      </c>
      <c r="AL123" s="16" t="n">
        <f aca="false">U123*J123</f>
        <v>1.29530038336081</v>
      </c>
      <c r="AM123" s="16" t="n">
        <f aca="false">AI123-AJ123</f>
        <v>0.198026743493824</v>
      </c>
      <c r="AN123" s="16" t="n">
        <f aca="false">J123*Country_Data!$EB$21</f>
        <v>11.5266191064709</v>
      </c>
      <c r="AO123" s="16" t="n">
        <f aca="false">L123*Country_Data!$EB$21</f>
        <v>2.76638858555301</v>
      </c>
    </row>
    <row r="124" customFormat="false" ht="15" hidden="false" customHeight="false" outlineLevel="0" collapsed="false">
      <c r="A124" s="14" t="str">
        <f aca="false">Country_Data!$A$22</f>
        <v>SAU</v>
      </c>
      <c r="B124" s="14" t="str">
        <f aca="false">Country_Data!$E$22</f>
        <v>EMDC</v>
      </c>
      <c r="C124" s="35" t="s">
        <v>466</v>
      </c>
      <c r="D124" s="37" t="n">
        <f aca="false">IF(Country_Data!$BZ$22="","",Country_Data!$BZ$22)</f>
        <v>346.997340262748</v>
      </c>
      <c r="E124" s="40" t="n">
        <f aca="false">Country_Data!$BW$22</f>
        <v>2539.368</v>
      </c>
      <c r="F124" s="41" t="n">
        <f aca="false">Country_Data!$BX$22</f>
        <v>0.493879185687147</v>
      </c>
      <c r="G124" s="42" t="n">
        <f aca="false">IF(D124="","",D124/SUMIFS($D$5:$D$1369,$B$5:$B$1369,B124,$C$5:$C$1369,C124))</f>
        <v>0.0396139573526274</v>
      </c>
      <c r="H124" s="42" t="n">
        <f aca="false">E124/SUMIFS($E$5:$E$1369,$B$5:$B$1369,B124,$C$5:$C$1369,C124)</f>
        <v>0.0314543360746293</v>
      </c>
      <c r="I124" s="43" t="n">
        <f aca="false">IF(G124="",H124,p_beta_alloc*G124+(1-p_beta_alloc)*H124)*F124^p_phi</f>
        <v>0.0249721682789853</v>
      </c>
      <c r="J124" s="16" t="n">
        <f aca="false">INDEX(Sector_Params!$C$16:$E$16,MATCH(B124,Sector_Params!$C$15:$E$15,0))*I124/SUMIFS($I$5:$I$1369,$B$5:$B$1369,B124,$C$5:$C$1369,C124)</f>
        <v>24.1537142584843</v>
      </c>
      <c r="K124" s="28" t="n">
        <f aca="false">INDEX(Sector_Params!$F$5:$H$5,MATCH(B124,Sector_Params!$C$15:$E$15,0))</f>
        <v>0.24</v>
      </c>
      <c r="L124" s="16" t="n">
        <f aca="false">J124*K124</f>
        <v>5.79689142203624</v>
      </c>
      <c r="M124" s="44" t="n">
        <f aca="false">Country_Data!$DW$22+Sector_Params!$E$5</f>
        <v>0.042</v>
      </c>
      <c r="N124" s="44" t="n">
        <f aca="false">Country_Data!$DX$22+Sector_Params!$E$5</f>
        <v>0.087</v>
      </c>
      <c r="O124" s="11" t="n">
        <f aca="false">IF(p_use_ibrd=1,p_r_ibrd,p_r_wb)</f>
        <v>0.06</v>
      </c>
      <c r="P124" s="45" t="n">
        <f aca="false">Sector_Params!$D$5</f>
        <v>25</v>
      </c>
      <c r="Q124" s="46" t="n">
        <f aca="false">M124/(1-(1+M124)^-P124)</f>
        <v>0.0653722446165817</v>
      </c>
      <c r="R124" s="46" t="n">
        <f aca="false">N124/(1-(1+N124)^-P124)</f>
        <v>0.0993422841013619</v>
      </c>
      <c r="S124" s="46" t="n">
        <f aca="false">O124/(1-(1+O124)^-P124)</f>
        <v>0.078226718212274</v>
      </c>
      <c r="T124" s="37" t="n">
        <f aca="false">IF(AND(p_eng=1,ISNUMBER(Country_Data!$CZ$22)),Country_Data!$CZ$22,Country_Data!$CM$22)*Sector_Params!$I$5</f>
        <v>0.153131142091662</v>
      </c>
      <c r="U124" s="37" t="n">
        <f aca="false">IF(AND(p_eng=1,ISNUMBER(Country_Data!$DA$22)),Country_Data!$DA$22,Country_Data!$CN$22)*Sector_Params!$J$5</f>
        <v>0.0586632465926097</v>
      </c>
      <c r="V124" s="37" t="n">
        <f aca="false">IF(AND(p_eng=1,ISNUMBER(Country_Data!$DB$22)),Country_Data!$DB$22,p_a)</f>
        <v>1.25851821220599</v>
      </c>
      <c r="W124" s="16" t="n">
        <f aca="false">T124*L124</f>
        <v>0.887684604037767</v>
      </c>
      <c r="X124" s="16" t="n">
        <f aca="false">U124*L124</f>
        <v>0.340064470961496</v>
      </c>
      <c r="Y124" s="16" t="n">
        <f aca="false">V124*L124</f>
        <v>7.2954934288133</v>
      </c>
      <c r="Z124" s="16" t="n">
        <f aca="false">Q124*L124</f>
        <v>0.378955804057117</v>
      </c>
      <c r="AA124" s="16" t="n">
        <f aca="false">R124*L124</f>
        <v>0.575876434552672</v>
      </c>
      <c r="AB124" s="16" t="n">
        <f aca="false">S124*L124</f>
        <v>0.453471791778777</v>
      </c>
      <c r="AC124" s="16" t="n">
        <f aca="false">Z124-W124</f>
        <v>-0.50872879998065</v>
      </c>
      <c r="AD124" s="16" t="n">
        <f aca="false">AA124-W124</f>
        <v>-0.311808169485095</v>
      </c>
      <c r="AE124" s="16" t="n">
        <f aca="false">AB124-W124</f>
        <v>-0.43421281225899</v>
      </c>
      <c r="AF124" s="16" t="n">
        <f aca="false">AE124-X124</f>
        <v>-0.774277283220486</v>
      </c>
      <c r="AG124" s="16" t="n">
        <f aca="false">AF124-p_spc_lo*Y124/1000</f>
        <v>-1.13905195466115</v>
      </c>
      <c r="AH124" s="16" t="n">
        <f aca="false">AF124-p_spc_hi*Y124/1000</f>
        <v>-1.50382662610182</v>
      </c>
      <c r="AI124" s="16" t="n">
        <f aca="false">Q124*J124</f>
        <v>1.57898251690466</v>
      </c>
      <c r="AJ124" s="16" t="n">
        <f aca="false">S124*J124</f>
        <v>1.88946579907824</v>
      </c>
      <c r="AK124" s="16" t="n">
        <f aca="false">T124*J124</f>
        <v>3.69868585015736</v>
      </c>
      <c r="AL124" s="16" t="n">
        <f aca="false">U124*J124</f>
        <v>1.4169352956729</v>
      </c>
      <c r="AM124" s="16" t="n">
        <f aca="false">AI124-AJ124</f>
        <v>-0.310483282173582</v>
      </c>
      <c r="AN124" s="16" t="n">
        <f aca="false">J124*Country_Data!$EB$22</f>
        <v>27.7271404775478</v>
      </c>
      <c r="AO124" s="16" t="n">
        <f aca="false">L124*Country_Data!$EB$22</f>
        <v>6.65451371461147</v>
      </c>
    </row>
    <row r="125" customFormat="false" ht="15" hidden="false" customHeight="false" outlineLevel="0" collapsed="false">
      <c r="A125" s="14" t="str">
        <f aca="false">Country_Data!$A$22</f>
        <v>SAU</v>
      </c>
      <c r="B125" s="14" t="str">
        <f aca="false">Country_Data!$E$22</f>
        <v>EMDC</v>
      </c>
      <c r="C125" s="35" t="s">
        <v>470</v>
      </c>
      <c r="D125" s="37" t="n">
        <f aca="false">IF(Country_Data!$BZ$22="","",Country_Data!$BZ$22)</f>
        <v>346.997340262748</v>
      </c>
      <c r="E125" s="40" t="n">
        <f aca="false">Country_Data!$BW$22</f>
        <v>2539.368</v>
      </c>
      <c r="F125" s="41" t="n">
        <f aca="false">Country_Data!$BX$22</f>
        <v>0.493879185687147</v>
      </c>
      <c r="G125" s="42" t="n">
        <f aca="false">IF(D125="","",D125/SUMIFS($D$5:$D$1369,$B$5:$B$1369,B125,$C$5:$C$1369,C125))</f>
        <v>0.0396139573526274</v>
      </c>
      <c r="H125" s="42" t="n">
        <f aca="false">E125/SUMIFS($E$5:$E$1369,$B$5:$B$1369,B125,$C$5:$C$1369,C125)</f>
        <v>0.0314543360746293</v>
      </c>
      <c r="I125" s="43" t="n">
        <f aca="false">IF(G125="",H125,p_beta_alloc*G125+(1-p_beta_alloc)*H125)*F125^p_phi</f>
        <v>0.0249721682789853</v>
      </c>
      <c r="J125" s="16" t="n">
        <f aca="false">INDEX(Sector_Params!$C$17:$E$17,MATCH(B125,Sector_Params!$C$15:$E$15,0))*I125/SUMIFS($I$5:$I$1369,$B$5:$B$1369,B125,$C$5:$C$1369,C125)</f>
        <v>16.5625469201035</v>
      </c>
      <c r="K125" s="28" t="n">
        <f aca="false">INDEX(Sector_Params!$F$6:$H$6,MATCH(B125,Sector_Params!$C$15:$E$15,0))</f>
        <v>0.24</v>
      </c>
      <c r="L125" s="16" t="n">
        <f aca="false">J125*K125</f>
        <v>3.97501126082485</v>
      </c>
      <c r="M125" s="44" t="n">
        <f aca="false">Country_Data!$DW$22+Sector_Params!$E$6</f>
        <v>0.042</v>
      </c>
      <c r="N125" s="44" t="n">
        <f aca="false">Country_Data!$DX$22+Sector_Params!$E$6</f>
        <v>0.087</v>
      </c>
      <c r="O125" s="11" t="n">
        <f aca="false">IF(p_use_ibrd=1,p_r_ibrd,p_r_wb)</f>
        <v>0.06</v>
      </c>
      <c r="P125" s="45" t="n">
        <f aca="false">Sector_Params!$D$6</f>
        <v>40</v>
      </c>
      <c r="Q125" s="46" t="n">
        <f aca="false">M125/(1-(1+M125)^-P125)</f>
        <v>0.0520369876382827</v>
      </c>
      <c r="R125" s="46" t="n">
        <f aca="false">N125/(1-(1+N125)^-P125)</f>
        <v>0.0902066900491399</v>
      </c>
      <c r="S125" s="46" t="n">
        <f aca="false">O125/(1-(1+O125)^-P125)</f>
        <v>0.0664615359206755</v>
      </c>
      <c r="T125" s="37" t="n">
        <f aca="false">p_grid_credit*IF(AND(p_eng=1,ISNUMBER(Country_Data!$CZ$22)),Country_Data!$CZ$22,Country_Data!$CM$22)*Sector_Params!$I$6</f>
        <v>0</v>
      </c>
      <c r="U125" s="37" t="n">
        <f aca="false">p_grid_credit*IF(AND(p_eng=1,ISNUMBER(Country_Data!$DA$22)),Country_Data!$DA$22,Country_Data!$CN$22)*Sector_Params!$J$6</f>
        <v>0</v>
      </c>
      <c r="V125" s="37" t="n">
        <f aca="false">p_grid_credit*IF(AND(p_eng=1,ISNUMBER(Country_Data!$DB$22)),Country_Data!$DB$22,p_a)</f>
        <v>0</v>
      </c>
      <c r="W125" s="16" t="n">
        <f aca="false">T125*L125</f>
        <v>0</v>
      </c>
      <c r="X125" s="16" t="n">
        <f aca="false">U125*L125</f>
        <v>0</v>
      </c>
      <c r="Y125" s="16" t="n">
        <f aca="false">V125*L125</f>
        <v>0</v>
      </c>
      <c r="Z125" s="16" t="n">
        <f aca="false">Q125*L125</f>
        <v>0.206847611841578</v>
      </c>
      <c r="AA125" s="16" t="n">
        <f aca="false">R125*L125</f>
        <v>0.358572608747068</v>
      </c>
      <c r="AB125" s="16" t="n">
        <f aca="false">S125*L125</f>
        <v>0.2641853536964</v>
      </c>
      <c r="AC125" s="16" t="n">
        <f aca="false">Z125-W125</f>
        <v>0.206847611841578</v>
      </c>
      <c r="AD125" s="16" t="n">
        <f aca="false">AA125-W125</f>
        <v>0.358572608747068</v>
      </c>
      <c r="AE125" s="16" t="n">
        <f aca="false">AB125-W125</f>
        <v>0.2641853536964</v>
      </c>
      <c r="AF125" s="16" t="n">
        <f aca="false">AE125-X125</f>
        <v>0.2641853536964</v>
      </c>
      <c r="AG125" s="16" t="n">
        <f aca="false">AF125-p_spc_lo*Y125/1000</f>
        <v>0.2641853536964</v>
      </c>
      <c r="AH125" s="16" t="n">
        <f aca="false">AF125-p_spc_hi*Y125/1000</f>
        <v>0.2641853536964</v>
      </c>
      <c r="AI125" s="16" t="n">
        <f aca="false">Q125*J125</f>
        <v>0.861865049339906</v>
      </c>
      <c r="AJ125" s="16" t="n">
        <f aca="false">S125*J125</f>
        <v>1.10077230706834</v>
      </c>
      <c r="AK125" s="16" t="n">
        <f aca="false">T125*J125</f>
        <v>0</v>
      </c>
      <c r="AL125" s="16" t="n">
        <f aca="false">U125*J125</f>
        <v>0</v>
      </c>
      <c r="AM125" s="16" t="n">
        <f aca="false">AI125-AJ125</f>
        <v>-0.238907257728429</v>
      </c>
      <c r="AN125" s="16" t="n">
        <f aca="false">J125*Country_Data!$EB$22</f>
        <v>19.0128963274613</v>
      </c>
      <c r="AO125" s="16" t="n">
        <f aca="false">L125*Country_Data!$EB$22</f>
        <v>4.56309511859072</v>
      </c>
    </row>
    <row r="126" customFormat="false" ht="15" hidden="false" customHeight="false" outlineLevel="0" collapsed="false">
      <c r="A126" s="14" t="str">
        <f aca="false">Country_Data!$A$22</f>
        <v>SAU</v>
      </c>
      <c r="B126" s="14" t="str">
        <f aca="false">Country_Data!$E$22</f>
        <v>EMDC</v>
      </c>
      <c r="C126" s="35" t="s">
        <v>473</v>
      </c>
      <c r="D126" s="37" t="n">
        <f aca="false">IF(Country_Data!$CA$22="","",Country_Data!$CA$22)</f>
        <v>1.94917327516934</v>
      </c>
      <c r="E126" s="40" t="n">
        <f aca="false">Country_Data!$BW$22</f>
        <v>2539.368</v>
      </c>
      <c r="F126" s="41" t="n">
        <f aca="false">Country_Data!$BX$22</f>
        <v>0.493879185687147</v>
      </c>
      <c r="G126" s="42" t="n">
        <f aca="false">IF(D126="","",D126/SUMIFS($D$5:$D$1369,$B$5:$B$1369,B126,$C$5:$C$1369,C126))</f>
        <v>0.0450304378259593</v>
      </c>
      <c r="H126" s="42" t="n">
        <f aca="false">E126/SUMIFS($E$5:$E$1369,$B$5:$B$1369,B126,$C$5:$C$1369,C126)</f>
        <v>0.0314543360746293</v>
      </c>
      <c r="I126" s="43" t="n">
        <f aca="false">IF(G126="",H126,p_beta_alloc*G126+(1-p_beta_alloc)*H126)*F126^p_phi</f>
        <v>0.0268754257702931</v>
      </c>
      <c r="J126" s="16" t="n">
        <f aca="false">INDEX(Sector_Params!$C$18:$E$18,MATCH(B126,Sector_Params!$C$15:$E$15,0))*I126/SUMIFS($I$5:$I$1369,$B$5:$B$1369,B126,$C$5:$C$1369,C126)</f>
        <v>11.0048509477258</v>
      </c>
      <c r="K126" s="28" t="n">
        <f aca="false">INDEX(Sector_Params!$F$7:$H$7,MATCH(B126,Sector_Params!$C$15:$E$15,0))</f>
        <v>0.24</v>
      </c>
      <c r="L126" s="16" t="n">
        <f aca="false">J126*K126</f>
        <v>2.64116422745419</v>
      </c>
      <c r="M126" s="44" t="n">
        <f aca="false">Country_Data!$DW$22+Sector_Params!$E$7</f>
        <v>0.042</v>
      </c>
      <c r="N126" s="44" t="n">
        <f aca="false">Country_Data!$DX$22+Sector_Params!$E$7</f>
        <v>0.087</v>
      </c>
      <c r="O126" s="11" t="n">
        <f aca="false">IF(p_use_ibrd=1,p_r_ibrd,p_r_wb)</f>
        <v>0.06</v>
      </c>
      <c r="P126" s="45" t="n">
        <f aca="false">Sector_Params!$D$7</f>
        <v>12</v>
      </c>
      <c r="Q126" s="46" t="n">
        <f aca="false">M126/(1-(1+M126)^-P126)</f>
        <v>0.107792316407809</v>
      </c>
      <c r="R126" s="46" t="n">
        <f aca="false">N126/(1-(1+N126)^-P126)</f>
        <v>0.137547222378699</v>
      </c>
      <c r="S126" s="46" t="n">
        <f aca="false">O126/(1-(1+O126)^-P126)</f>
        <v>0.119277029380664</v>
      </c>
      <c r="T126" s="37" t="n">
        <f aca="false">IF(AND(p_eng=1,ISNUMBER(Country_Data!$DE$22)),Country_Data!$DE$22,Country_Data!$CM$22)*Sector_Params!$I$7</f>
        <v>0.163926</v>
      </c>
      <c r="U126" s="37" t="n">
        <f aca="false">IF(AND(p_eng=1,ISNUMBER(Country_Data!$DF$22)),Country_Data!$DF$22,Country_Data!$CN$22)*Sector_Params!$J$7</f>
        <v>0.0157788</v>
      </c>
      <c r="V126" s="37" t="n">
        <f aca="false">IF(AND(p_eng=1,ISNUMBER(Country_Data!$DG$22)),Country_Data!$DG$22,p_a)</f>
        <v>0.237950758886152</v>
      </c>
      <c r="W126" s="16" t="n">
        <f aca="false">T126*L126</f>
        <v>0.432955487149656</v>
      </c>
      <c r="X126" s="16" t="n">
        <f aca="false">U126*L126</f>
        <v>0.0416744021121542</v>
      </c>
      <c r="Y126" s="16" t="n">
        <f aca="false">V126*L126</f>
        <v>0.628467032265682</v>
      </c>
      <c r="Z126" s="16" t="n">
        <f aca="false">Q126*L126</f>
        <v>0.284697210090729</v>
      </c>
      <c r="AA126" s="16" t="n">
        <f aca="false">R126*L126</f>
        <v>0.363284803332306</v>
      </c>
      <c r="AB126" s="16" t="n">
        <f aca="false">S126*L126</f>
        <v>0.315030223157211</v>
      </c>
      <c r="AC126" s="16" t="n">
        <f aca="false">Z126-W126</f>
        <v>-0.148258277058927</v>
      </c>
      <c r="AD126" s="16" t="n">
        <f aca="false">AA126-W126</f>
        <v>-0.06967068381735</v>
      </c>
      <c r="AE126" s="16" t="n">
        <f aca="false">AB126-W126</f>
        <v>-0.117925263992445</v>
      </c>
      <c r="AF126" s="16" t="n">
        <f aca="false">AE126-X126</f>
        <v>-0.159599666104599</v>
      </c>
      <c r="AG126" s="16" t="n">
        <f aca="false">AF126-p_spc_lo*Y126/1000</f>
        <v>-0.191023017717883</v>
      </c>
      <c r="AH126" s="16" t="n">
        <f aca="false">AF126-p_spc_hi*Y126/1000</f>
        <v>-0.222446369331167</v>
      </c>
      <c r="AI126" s="16" t="n">
        <f aca="false">Q126*J126</f>
        <v>1.18623837537804</v>
      </c>
      <c r="AJ126" s="16" t="n">
        <f aca="false">S126*J126</f>
        <v>1.31262592982171</v>
      </c>
      <c r="AK126" s="16" t="n">
        <f aca="false">T126*J126</f>
        <v>1.8039811964569</v>
      </c>
      <c r="AL126" s="16" t="n">
        <f aca="false">U126*J126</f>
        <v>0.173643342133976</v>
      </c>
      <c r="AM126" s="16" t="n">
        <f aca="false">AI126-AJ126</f>
        <v>-0.126387554443675</v>
      </c>
      <c r="AN126" s="16" t="n">
        <f aca="false">J126*Country_Data!$EB$22</f>
        <v>12.6329658824578</v>
      </c>
      <c r="AO126" s="16" t="n">
        <f aca="false">L126*Country_Data!$EB$22</f>
        <v>3.03191181178988</v>
      </c>
    </row>
    <row r="127" customFormat="false" ht="15" hidden="false" customHeight="false" outlineLevel="0" collapsed="false">
      <c r="A127" s="14" t="str">
        <f aca="false">Country_Data!$A$22</f>
        <v>SAU</v>
      </c>
      <c r="B127" s="14" t="str">
        <f aca="false">Country_Data!$E$22</f>
        <v>EMDC</v>
      </c>
      <c r="C127" s="35" t="s">
        <v>477</v>
      </c>
      <c r="D127" s="37" t="n">
        <f aca="false">IF(Country_Data!$CB$22="","",Country_Data!$CB$22)</f>
        <v>0.680188203086356</v>
      </c>
      <c r="E127" s="40" t="n">
        <f aca="false">Country_Data!$BW$22</f>
        <v>2539.368</v>
      </c>
      <c r="F127" s="41" t="n">
        <f aca="false">Country_Data!$BX$22</f>
        <v>0.493879185687147</v>
      </c>
      <c r="G127" s="42" t="n">
        <f aca="false">IF(D127="","",D127/SUMIFS($D$5:$D$1369,$B$5:$B$1369,B127,$C$5:$C$1369,C127))</f>
        <v>0.0214484052166065</v>
      </c>
      <c r="H127" s="42" t="n">
        <f aca="false">E127/SUMIFS($E$5:$E$1369,$B$5:$B$1369,B127,$C$5:$C$1369,C127)</f>
        <v>0.0314543360746293</v>
      </c>
      <c r="I127" s="43" t="n">
        <f aca="false">IF(G127="",H127,p_beta_alloc*G127+(1-p_beta_alloc)*H127)*F127^p_phi</f>
        <v>0.0185891076629918</v>
      </c>
      <c r="J127" s="16" t="n">
        <f aca="false">INDEX(Sector_Params!$C$19:$E$19,MATCH(B127,Sector_Params!$C$15:$E$15,0))*I127/SUMIFS($I$5:$I$1369,$B$5:$B$1369,B127,$C$5:$C$1369,C127)</f>
        <v>5.98313845950234</v>
      </c>
      <c r="K127" s="28" t="n">
        <f aca="false">INDEX(Sector_Params!$F$8:$H$8,MATCH(B127,Sector_Params!$C$15:$E$15,0))</f>
        <v>0.24</v>
      </c>
      <c r="L127" s="16" t="n">
        <f aca="false">J127*K127</f>
        <v>1.43595323028056</v>
      </c>
      <c r="M127" s="44" t="n">
        <f aca="false">Country_Data!$DW$22+Sector_Params!$E$8</f>
        <v>0.042</v>
      </c>
      <c r="N127" s="44" t="n">
        <f aca="false">Country_Data!$DX$22+Sector_Params!$E$8</f>
        <v>0.087</v>
      </c>
      <c r="O127" s="11" t="n">
        <f aca="false">IF(p_use_ibrd=1,p_r_ibrd,p_r_wb)</f>
        <v>0.06</v>
      </c>
      <c r="P127" s="45" t="n">
        <f aca="false">Sector_Params!$D$8</f>
        <v>25</v>
      </c>
      <c r="Q127" s="46" t="n">
        <f aca="false">M127/(1-(1+M127)^-P127)</f>
        <v>0.0653722446165817</v>
      </c>
      <c r="R127" s="46" t="n">
        <f aca="false">N127/(1-(1+N127)^-P127)</f>
        <v>0.0993422841013619</v>
      </c>
      <c r="S127" s="46" t="n">
        <f aca="false">O127/(1-(1+O127)^-P127)</f>
        <v>0.078226718212274</v>
      </c>
      <c r="T127" s="37" t="n">
        <f aca="false">Country_Data!$CM$22*Sector_Params!$I$8</f>
        <v>0.119882359313996</v>
      </c>
      <c r="U127" s="37" t="n">
        <f aca="false">Country_Data!$CN$22*Sector_Params!$J$8</f>
        <v>0.0723048108597642</v>
      </c>
      <c r="V127" s="37" t="n">
        <f aca="false">p_a</f>
        <v>0.35</v>
      </c>
      <c r="W127" s="16" t="n">
        <f aca="false">T127*L127</f>
        <v>0.172145461110587</v>
      </c>
      <c r="X127" s="16" t="n">
        <f aca="false">U127*L127</f>
        <v>0.103826326718903</v>
      </c>
      <c r="Y127" s="16" t="n">
        <f aca="false">V127*L127</f>
        <v>0.502583630598196</v>
      </c>
      <c r="Z127" s="16" t="n">
        <f aca="false">Q127*L127</f>
        <v>0.0938714858278715</v>
      </c>
      <c r="AA127" s="16" t="n">
        <f aca="false">R127*L127</f>
        <v>0.1426508737588</v>
      </c>
      <c r="AB127" s="16" t="n">
        <f aca="false">S127*L127</f>
        <v>0.112329908711162</v>
      </c>
      <c r="AC127" s="16" t="n">
        <f aca="false">Z127-W127</f>
        <v>-0.0782739752827153</v>
      </c>
      <c r="AD127" s="16" t="n">
        <f aca="false">AA127-W127</f>
        <v>-0.029494587351787</v>
      </c>
      <c r="AE127" s="16" t="n">
        <f aca="false">AB127-W127</f>
        <v>-0.0598155523994249</v>
      </c>
      <c r="AF127" s="16" t="n">
        <f aca="false">AE127-X127</f>
        <v>-0.163641879118328</v>
      </c>
      <c r="AG127" s="16" t="n">
        <f aca="false">AF127-p_spc_lo*Y127/1000</f>
        <v>-0.188771060648238</v>
      </c>
      <c r="AH127" s="16" t="n">
        <f aca="false">AF127-p_spc_hi*Y127/1000</f>
        <v>-0.213900242178148</v>
      </c>
      <c r="AI127" s="16" t="n">
        <f aca="false">Q127*J127</f>
        <v>0.391131190949465</v>
      </c>
      <c r="AJ127" s="16" t="n">
        <f aca="false">S127*J127</f>
        <v>0.468041286296508</v>
      </c>
      <c r="AK127" s="16" t="n">
        <f aca="false">T127*J127</f>
        <v>0.717272754627445</v>
      </c>
      <c r="AL127" s="16" t="n">
        <f aca="false">U127*J127</f>
        <v>0.432609694662097</v>
      </c>
      <c r="AM127" s="16" t="n">
        <f aca="false">AI127-AJ127</f>
        <v>-0.0769100953470436</v>
      </c>
      <c r="AN127" s="16" t="n">
        <f aca="false">J127*Country_Data!$EB$22</f>
        <v>6.86831510830542</v>
      </c>
      <c r="AO127" s="16" t="n">
        <f aca="false">L127*Country_Data!$EB$22</f>
        <v>1.6483956259933</v>
      </c>
    </row>
    <row r="128" customFormat="false" ht="15" hidden="false" customHeight="false" outlineLevel="0" collapsed="false">
      <c r="A128" s="14" t="str">
        <f aca="false">Country_Data!$A$22</f>
        <v>SAU</v>
      </c>
      <c r="B128" s="14" t="str">
        <f aca="false">Country_Data!$E$22</f>
        <v>EMDC</v>
      </c>
      <c r="C128" s="35" t="s">
        <v>481</v>
      </c>
      <c r="D128" s="37" t="n">
        <f aca="false">IF(Country_Data!$CC$22="","",Country_Data!$CC$22)</f>
        <v>2.61536533738819</v>
      </c>
      <c r="E128" s="40" t="n">
        <f aca="false">Country_Data!$BW$22</f>
        <v>2539.368</v>
      </c>
      <c r="F128" s="41" t="n">
        <f aca="false">Country_Data!$BX$22</f>
        <v>0.493879185687147</v>
      </c>
      <c r="G128" s="42" t="n">
        <f aca="false">IF(D128="","",D128/SUMIFS($D$5:$D$1369,$B$5:$B$1369,B128,$C$5:$C$1369,C128))</f>
        <v>0.0373584886736786</v>
      </c>
      <c r="H128" s="42" t="n">
        <f aca="false">E128/SUMIFS($E$5:$E$1369,$B$5:$B$1369,B128,$C$5:$C$1369,C128)</f>
        <v>0.0314543360746293</v>
      </c>
      <c r="I128" s="43" t="n">
        <f aca="false">IF(G128="",H128,p_beta_alloc*G128+(1-p_beta_alloc)*H128)*F128^p_phi</f>
        <v>0.0241796356222621</v>
      </c>
      <c r="J128" s="16" t="n">
        <f aca="false">INDEX(Sector_Params!$C$20:$E$20,MATCH(B128,Sector_Params!$C$15:$E$15,0))*I128/SUMIFS($I$5:$I$1369,$B$5:$B$1369,B128,$C$5:$C$1369,C128)</f>
        <v>4.41327042299677</v>
      </c>
      <c r="K128" s="28" t="n">
        <f aca="false">INDEX(Sector_Params!$F$9:$H$9,MATCH(B128,Sector_Params!$C$15:$E$15,0))</f>
        <v>0.24</v>
      </c>
      <c r="L128" s="16" t="n">
        <f aca="false">J128*K128</f>
        <v>1.05918490151922</v>
      </c>
      <c r="M128" s="44" t="n">
        <f aca="false">Country_Data!$DW$22+Sector_Params!$E$9</f>
        <v>0.042</v>
      </c>
      <c r="N128" s="44" t="n">
        <f aca="false">Country_Data!$DX$22+Sector_Params!$E$9</f>
        <v>0.087</v>
      </c>
      <c r="O128" s="11" t="n">
        <f aca="false">IF(p_use_ibrd=1,p_r_ibrd,p_r_wb)</f>
        <v>0.06</v>
      </c>
      <c r="P128" s="45" t="n">
        <f aca="false">Sector_Params!$D$9</f>
        <v>25</v>
      </c>
      <c r="Q128" s="46" t="n">
        <f aca="false">M128/(1-(1+M128)^-P128)</f>
        <v>0.0653722446165817</v>
      </c>
      <c r="R128" s="46" t="n">
        <f aca="false">N128/(1-(1+N128)^-P128)</f>
        <v>0.0993422841013619</v>
      </c>
      <c r="S128" s="46" t="n">
        <f aca="false">O128/(1-(1+O128)^-P128)</f>
        <v>0.078226718212274</v>
      </c>
      <c r="T128" s="37" t="n">
        <f aca="false">Country_Data!$CM$22*Sector_Params!$I$9</f>
        <v>0.119882359313996</v>
      </c>
      <c r="U128" s="37" t="n">
        <f aca="false">Country_Data!$CN$22*Sector_Params!$J$9</f>
        <v>0.0723048108597642</v>
      </c>
      <c r="V128" s="37" t="n">
        <f aca="false">p_a</f>
        <v>0.35</v>
      </c>
      <c r="W128" s="16" t="n">
        <f aca="false">T128*L128</f>
        <v>0.126977584943887</v>
      </c>
      <c r="X128" s="16" t="n">
        <f aca="false">U128*L128</f>
        <v>0.0765841639698655</v>
      </c>
      <c r="Y128" s="16" t="n">
        <f aca="false">V128*L128</f>
        <v>0.370714715531729</v>
      </c>
      <c r="Z128" s="16" t="n">
        <f aca="false">Q128*L128</f>
        <v>0.0692412944763047</v>
      </c>
      <c r="AA128" s="16" t="n">
        <f aca="false">R128*L128</f>
        <v>0.105221847402596</v>
      </c>
      <c r="AB128" s="16" t="n">
        <f aca="false">S128*L128</f>
        <v>0.0828565588258395</v>
      </c>
      <c r="AC128" s="16" t="n">
        <f aca="false">Z128-W128</f>
        <v>-0.057736290467582</v>
      </c>
      <c r="AD128" s="16" t="n">
        <f aca="false">AA128-W128</f>
        <v>-0.0217557375412908</v>
      </c>
      <c r="AE128" s="16" t="n">
        <f aca="false">AB128-W128</f>
        <v>-0.0441210261180472</v>
      </c>
      <c r="AF128" s="16" t="n">
        <f aca="false">AE128-X128</f>
        <v>-0.120705190087913</v>
      </c>
      <c r="AG128" s="16" t="n">
        <f aca="false">AF128-p_spc_lo*Y128/1000</f>
        <v>-0.139240925864499</v>
      </c>
      <c r="AH128" s="16" t="n">
        <f aca="false">AF128-p_spc_hi*Y128/1000</f>
        <v>-0.157776661641086</v>
      </c>
      <c r="AI128" s="16" t="n">
        <f aca="false">Q128*J128</f>
        <v>0.28850539365127</v>
      </c>
      <c r="AJ128" s="16" t="n">
        <f aca="false">S128*J128</f>
        <v>0.345235661774331</v>
      </c>
      <c r="AK128" s="16" t="n">
        <f aca="false">T128*J128</f>
        <v>0.529073270599528</v>
      </c>
      <c r="AL128" s="16" t="n">
        <f aca="false">U128*J128</f>
        <v>0.319100683207773</v>
      </c>
      <c r="AM128" s="16" t="n">
        <f aca="false">AI128-AJ128</f>
        <v>-0.0567302681230615</v>
      </c>
      <c r="AN128" s="16" t="n">
        <f aca="false">J128*Country_Data!$EB$22</f>
        <v>5.06619262256341</v>
      </c>
      <c r="AO128" s="16" t="n">
        <f aca="false">L128*Country_Data!$EB$22</f>
        <v>1.21588622941522</v>
      </c>
    </row>
    <row r="129" customFormat="false" ht="15" hidden="false" customHeight="false" outlineLevel="0" collapsed="false">
      <c r="A129" s="14" t="str">
        <f aca="false">Country_Data!$A$22</f>
        <v>SAU</v>
      </c>
      <c r="B129" s="14" t="str">
        <f aca="false">Country_Data!$E$22</f>
        <v>EMDC</v>
      </c>
      <c r="C129" s="35" t="s">
        <v>484</v>
      </c>
      <c r="D129" s="37" t="n">
        <f aca="false">IF(Country_Data!$CD$22="","",Country_Data!$CD$22)</f>
        <v>7.67419833428535</v>
      </c>
      <c r="E129" s="40" t="n">
        <f aca="false">Country_Data!$BW$22</f>
        <v>2539.368</v>
      </c>
      <c r="F129" s="41" t="n">
        <f aca="false">Country_Data!$BX$22</f>
        <v>0.493879185687147</v>
      </c>
      <c r="G129" s="42" t="n">
        <f aca="false">IF(D129="","",D129/SUMIFS($D$5:$D$1369,$B$5:$B$1369,B129,$C$5:$C$1369,C129))</f>
        <v>0.0428555270316348</v>
      </c>
      <c r="H129" s="42" t="n">
        <f aca="false">E129/SUMIFS($E$5:$E$1369,$B$5:$B$1369,B129,$C$5:$C$1369,C129)</f>
        <v>0.0314543360746293</v>
      </c>
      <c r="I129" s="43" t="n">
        <f aca="false">IF(G129="",H129,p_beta_alloc*G129+(1-p_beta_alloc)*H129)*F129^p_phi</f>
        <v>0.0261111997599521</v>
      </c>
      <c r="J129" s="16" t="n">
        <f aca="false">INDEX(Sector_Params!$C$21:$E$21,MATCH(B129,Sector_Params!$C$15:$E$15,0))*I129/SUMIFS($I$5:$I$1369,$B$5:$B$1369,B129,$C$5:$C$1369,C129)</f>
        <v>5.7911984581332</v>
      </c>
      <c r="K129" s="28" t="n">
        <f aca="false">INDEX(Sector_Params!$F$10:$H$10,MATCH(B129,Sector_Params!$C$15:$E$15,0))</f>
        <v>0.24</v>
      </c>
      <c r="L129" s="16" t="n">
        <f aca="false">J129*K129</f>
        <v>1.38988762995197</v>
      </c>
      <c r="M129" s="44" t="n">
        <f aca="false">Country_Data!$DW$22+Sector_Params!$E$10</f>
        <v>0.042</v>
      </c>
      <c r="N129" s="44" t="n">
        <f aca="false">Country_Data!$DX$22+Sector_Params!$E$10</f>
        <v>0.087</v>
      </c>
      <c r="O129" s="11" t="n">
        <f aca="false">IF(p_use_ibrd=1,p_r_ibrd,p_r_wb)</f>
        <v>0.06</v>
      </c>
      <c r="P129" s="45" t="n">
        <f aca="false">Sector_Params!$D$10</f>
        <v>20</v>
      </c>
      <c r="Q129" s="46" t="n">
        <f aca="false">M129/(1-(1+M129)^-P129)</f>
        <v>0.0748907532286382</v>
      </c>
      <c r="R129" s="46" t="n">
        <f aca="false">N129/(1-(1+N129)^-P129)</f>
        <v>0.107214479304256</v>
      </c>
      <c r="S129" s="46" t="n">
        <f aca="false">O129/(1-(1+O129)^-P129)</f>
        <v>0.0871845569768514</v>
      </c>
      <c r="T129" s="37" t="n">
        <f aca="false">0*Sector_Params!$I$10</f>
        <v>0</v>
      </c>
      <c r="U129" s="37" t="n">
        <f aca="false">0*Sector_Params!$J$10</f>
        <v>0</v>
      </c>
      <c r="V129" s="37" t="n">
        <f aca="false">1000*p_r_wb/(1-(1+p_r_wb)^-Sector_Params!$D$10)/p_cpt_fuel</f>
        <v>0.871845569768514</v>
      </c>
      <c r="W129" s="16" t="n">
        <f aca="false">T129*L129</f>
        <v>0</v>
      </c>
      <c r="X129" s="16" t="n">
        <f aca="false">U129*L129</f>
        <v>0</v>
      </c>
      <c r="Y129" s="16" t="n">
        <f aca="false">V129*L129</f>
        <v>1.21176737264968</v>
      </c>
      <c r="Z129" s="16" t="n">
        <f aca="false">Q129*L129</f>
        <v>0.10408973151027</v>
      </c>
      <c r="AA129" s="16" t="n">
        <f aca="false">R129*L129</f>
        <v>0.149016078536726</v>
      </c>
      <c r="AB129" s="16" t="n">
        <f aca="false">S129*L129</f>
        <v>0.121176737264968</v>
      </c>
      <c r="AC129" s="16" t="n">
        <f aca="false">Z129-W129</f>
        <v>0.10408973151027</v>
      </c>
      <c r="AD129" s="16" t="n">
        <f aca="false">AA129-W129</f>
        <v>0.149016078536726</v>
      </c>
      <c r="AE129" s="16" t="n">
        <f aca="false">AB129-W129</f>
        <v>0.121176737264968</v>
      </c>
      <c r="AF129" s="16" t="n">
        <f aca="false">AE129-X129</f>
        <v>0.121176737264968</v>
      </c>
      <c r="AG129" s="16" t="n">
        <f aca="false">AF129-p_spc_lo*Y129/1000</f>
        <v>0.0605883686324841</v>
      </c>
      <c r="AH129" s="16" t="n">
        <f aca="false">AF129-p_spc_hi*Y129/1000</f>
        <v>0</v>
      </c>
      <c r="AI129" s="16" t="n">
        <f aca="false">Q129*J129</f>
        <v>0.433707214626123</v>
      </c>
      <c r="AJ129" s="16" t="n">
        <f aca="false">S129*J129</f>
        <v>0.504903071937368</v>
      </c>
      <c r="AK129" s="16" t="n">
        <f aca="false">T129*J129</f>
        <v>0</v>
      </c>
      <c r="AL129" s="16" t="n">
        <f aca="false">U129*J129</f>
        <v>0</v>
      </c>
      <c r="AM129" s="16" t="n">
        <f aca="false">AI129-AJ129</f>
        <v>-0.0711958573112443</v>
      </c>
      <c r="AN129" s="16" t="n">
        <f aca="false">J129*Country_Data!$EB$22</f>
        <v>6.647978503994</v>
      </c>
      <c r="AO129" s="16" t="n">
        <f aca="false">L129*Country_Data!$EB$22</f>
        <v>1.59551484095856</v>
      </c>
    </row>
    <row r="130" customFormat="false" ht="15" hidden="false" customHeight="false" outlineLevel="0" collapsed="false">
      <c r="A130" s="14" t="str">
        <f aca="false">Country_Data!$A$22</f>
        <v>SAU</v>
      </c>
      <c r="B130" s="14" t="str">
        <f aca="false">Country_Data!$E$22</f>
        <v>EMDC</v>
      </c>
      <c r="C130" s="35" t="s">
        <v>488</v>
      </c>
      <c r="D130" s="37" t="n">
        <f aca="false">IF(Country_Data!$CE$22="","",Country_Data!$CE$22)</f>
        <v>205.694</v>
      </c>
      <c r="E130" s="40" t="n">
        <f aca="false">Country_Data!$BW$22</f>
        <v>2539.368</v>
      </c>
      <c r="F130" s="41" t="n">
        <f aca="false">Country_Data!$BX$22</f>
        <v>0.493879185687147</v>
      </c>
      <c r="G130" s="42" t="n">
        <f aca="false">IF(D130="","",D130/SUMIFS($D$5:$D$1369,$B$5:$B$1369,B130,$C$5:$C$1369,C130))</f>
        <v>0.016854485906797</v>
      </c>
      <c r="H130" s="42" t="n">
        <f aca="false">E130/SUMIFS($E$5:$E$1369,$B$5:$B$1369,B130,$C$5:$C$1369,C130)</f>
        <v>0.0314543360746293</v>
      </c>
      <c r="I130" s="43" t="n">
        <f aca="false">IF(G130="",H130,p_beta_alloc*G130+(1-p_beta_alloc)*H130)*F130^p_phi</f>
        <v>0.0169748839278733</v>
      </c>
      <c r="J130" s="16" t="n">
        <f aca="false">INDEX(Sector_Params!$C$22:$E$22,MATCH(B130,Sector_Params!$C$15:$E$15,0))*I130/SUMIFS($I$5:$I$1369,$B$5:$B$1369,B130,$C$5:$C$1369,C130)</f>
        <v>10.2326024207642</v>
      </c>
      <c r="K130" s="28" t="n">
        <f aca="false">INDEX(Sector_Params!$F$11:$H$11,MATCH(B130,Sector_Params!$C$15:$E$15,0))</f>
        <v>0.24</v>
      </c>
      <c r="L130" s="16" t="n">
        <f aca="false">J130*K130</f>
        <v>2.4558245809834</v>
      </c>
      <c r="M130" s="44" t="n">
        <f aca="false">Country_Data!$DW$22+Sector_Params!$E$11</f>
        <v>0.042</v>
      </c>
      <c r="N130" s="44" t="n">
        <f aca="false">Country_Data!$DX$22+Sector_Params!$E$11</f>
        <v>0.087</v>
      </c>
      <c r="O130" s="11" t="n">
        <f aca="false">IF(p_use_ibrd=1,p_r_ibrd,p_r_wb)</f>
        <v>0.06</v>
      </c>
      <c r="P130" s="45" t="n">
        <f aca="false">Sector_Params!$D$11</f>
        <v>30</v>
      </c>
      <c r="Q130" s="46" t="n">
        <f aca="false">M130/(1-(1+M130)^-P130)</f>
        <v>0.0592425881271941</v>
      </c>
      <c r="R130" s="46" t="n">
        <f aca="false">N130/(1-(1+N130)^-P130)</f>
        <v>0.0947576067564851</v>
      </c>
      <c r="S130" s="46" t="n">
        <f aca="false">O130/(1-(1+O130)^-P130)</f>
        <v>0.0726489114900472</v>
      </c>
      <c r="T130" s="37" t="n">
        <f aca="false">0*Sector_Params!$I$11</f>
        <v>0</v>
      </c>
      <c r="U130" s="37" t="n">
        <f aca="false">p_c*Sector_Params!$J$11</f>
        <v>0.129</v>
      </c>
      <c r="V130" s="37" t="n">
        <f aca="false">1000*p_r_wb/(1-(1+p_r_wb)^-Sector_Params!$D$11)/p_cpt_afolu</f>
        <v>1.45297822980094</v>
      </c>
      <c r="W130" s="16" t="n">
        <f aca="false">T130*L130</f>
        <v>0</v>
      </c>
      <c r="X130" s="16" t="n">
        <f aca="false">U130*L130</f>
        <v>0.316801370946859</v>
      </c>
      <c r="Y130" s="16" t="n">
        <f aca="false">V130*L130</f>
        <v>3.56825965237891</v>
      </c>
      <c r="Z130" s="16" t="n">
        <f aca="false">Q130*L130</f>
        <v>0.145489404163839</v>
      </c>
      <c r="AA130" s="16" t="n">
        <f aca="false">R130*L130</f>
        <v>0.232708059907735</v>
      </c>
      <c r="AB130" s="16" t="n">
        <f aca="false">S130*L130</f>
        <v>0.178412982618945</v>
      </c>
      <c r="AC130" s="16" t="n">
        <f aca="false">Z130-W130</f>
        <v>0.145489404163839</v>
      </c>
      <c r="AD130" s="16" t="n">
        <f aca="false">AA130-W130</f>
        <v>0.232708059907735</v>
      </c>
      <c r="AE130" s="16" t="n">
        <f aca="false">AB130-W130</f>
        <v>0.178412982618945</v>
      </c>
      <c r="AF130" s="16" t="n">
        <f aca="false">AE130-X130</f>
        <v>-0.138388388327913</v>
      </c>
      <c r="AG130" s="16" t="n">
        <f aca="false">AF130-p_spc_lo*Y130/1000</f>
        <v>-0.316801370946859</v>
      </c>
      <c r="AH130" s="16" t="n">
        <f aca="false">AF130-p_spc_hi*Y130/1000</f>
        <v>-0.495214353565804</v>
      </c>
      <c r="AI130" s="16" t="n">
        <f aca="false">Q130*J130</f>
        <v>0.606205850682661</v>
      </c>
      <c r="AJ130" s="16" t="n">
        <f aca="false">S130*J130</f>
        <v>0.743387427578939</v>
      </c>
      <c r="AK130" s="16" t="n">
        <f aca="false">T130*J130</f>
        <v>0</v>
      </c>
      <c r="AL130" s="16" t="n">
        <f aca="false">U130*J130</f>
        <v>1.32000571227858</v>
      </c>
      <c r="AM130" s="16" t="n">
        <f aca="false">AI130-AJ130</f>
        <v>-0.137181576896278</v>
      </c>
      <c r="AN130" s="16" t="n">
        <f aca="false">J130*Country_Data!$EB$22</f>
        <v>11.7464668884937</v>
      </c>
      <c r="AO130" s="16" t="n">
        <f aca="false">L130*Country_Data!$EB$22</f>
        <v>2.81915205323848</v>
      </c>
    </row>
    <row r="131" customFormat="false" ht="15" hidden="false" customHeight="false" outlineLevel="0" collapsed="false">
      <c r="A131" s="14" t="str">
        <f aca="false">Country_Data!$A$23</f>
        <v>NLD</v>
      </c>
      <c r="B131" s="14" t="str">
        <f aca="false">Country_Data!$E$23</f>
        <v>AE</v>
      </c>
      <c r="C131" s="35" t="s">
        <v>466</v>
      </c>
      <c r="D131" s="37" t="n">
        <f aca="false">IF(Country_Data!$BZ$23="","",Country_Data!$BZ$23)</f>
        <v>84.7584986462938</v>
      </c>
      <c r="E131" s="40" t="n">
        <f aca="false">Country_Data!$BW$23</f>
        <v>1459.737</v>
      </c>
      <c r="F131" s="41" t="n">
        <f aca="false">Country_Data!$BX$23</f>
        <v>0.832041662299442</v>
      </c>
      <c r="G131" s="42" t="n">
        <f aca="false">IF(D131="","",D131/SUMIFS($D$5:$D$1369,$B$5:$B$1369,B131,$C$5:$C$1369,C131))</f>
        <v>0.00866172927811282</v>
      </c>
      <c r="H131" s="42" t="n">
        <f aca="false">E131/SUMIFS($E$5:$E$1369,$B$5:$B$1369,B131,$C$5:$C$1369,C131)</f>
        <v>0.0185046556023792</v>
      </c>
      <c r="I131" s="43" t="n">
        <f aca="false">IF(G131="",H131,p_beta_alloc*G131+(1-p_beta_alloc)*H131)*F131^p_phi</f>
        <v>0.0123900879762376</v>
      </c>
      <c r="J131" s="16" t="n">
        <f aca="false">INDEX(Sector_Params!$C$16:$E$16,MATCH(B131,Sector_Params!$C$15:$E$15,0))*I131/SUMIFS($I$5:$I$1369,$B$5:$B$1369,B131,$C$5:$C$1369,C131)</f>
        <v>11.1133553335118</v>
      </c>
      <c r="K131" s="28" t="n">
        <f aca="false">INDEX(Sector_Params!$F$5:$H$5,MATCH(B131,Sector_Params!$C$15:$E$15,0))</f>
        <v>0.38</v>
      </c>
      <c r="L131" s="16" t="n">
        <f aca="false">J131*K131</f>
        <v>4.22307502673448</v>
      </c>
      <c r="M131" s="44" t="n">
        <f aca="false">Country_Data!$DW$23+Sector_Params!$E$5</f>
        <v>0.02327</v>
      </c>
      <c r="N131" s="44" t="n">
        <f aca="false">Country_Data!$DX$23+Sector_Params!$E$5</f>
        <v>0.03827</v>
      </c>
      <c r="O131" s="11" t="n">
        <f aca="false">IF(p_use_ibrd=1,p_r_ibrd,p_r_wb)</f>
        <v>0.06</v>
      </c>
      <c r="P131" s="45" t="n">
        <f aca="false">Sector_Params!$D$5</f>
        <v>25</v>
      </c>
      <c r="Q131" s="46" t="n">
        <f aca="false">M131/(1-(1+M131)^-P131)</f>
        <v>0.0532077015647745</v>
      </c>
      <c r="R131" s="46" t="n">
        <f aca="false">N131/(1-(1+N131)^-P131)</f>
        <v>0.0628468180482977</v>
      </c>
      <c r="S131" s="46" t="n">
        <f aca="false">O131/(1-(1+O131)^-P131)</f>
        <v>0.078226718212274</v>
      </c>
      <c r="T131" s="37" t="n">
        <f aca="false">IF(AND(p_eng=1,ISNUMBER(Country_Data!$CZ$23)),Country_Data!$CZ$23,Country_Data!$CM$23)*Sector_Params!$I$5</f>
        <v>0.0842985302959998</v>
      </c>
      <c r="U131" s="37" t="n">
        <f aca="false">IF(AND(p_eng=1,ISNUMBER(Country_Data!$DA$23)),Country_Data!$DA$23,Country_Data!$CN$23)*Sector_Params!$J$5</f>
        <v>0.00814289207175886</v>
      </c>
      <c r="V131" s="37" t="n">
        <f aca="false">IF(AND(p_eng=1,ISNUMBER(Country_Data!$DB$23)),Country_Data!$DB$23,p_a)</f>
        <v>0.564368056752794</v>
      </c>
      <c r="W131" s="16" t="n">
        <f aca="false">T131*L131</f>
        <v>0.355999018083456</v>
      </c>
      <c r="X131" s="16" t="n">
        <f aca="false">U131*L131</f>
        <v>0.034388044153639</v>
      </c>
      <c r="Y131" s="16" t="n">
        <f aca="false">V131*L131</f>
        <v>2.38336864635939</v>
      </c>
      <c r="Z131" s="16" t="n">
        <f aca="false">Q131*L131</f>
        <v>0.22470011570814</v>
      </c>
      <c r="AA131" s="16" t="n">
        <f aca="false">R131*L131</f>
        <v>0.265406827809492</v>
      </c>
      <c r="AB131" s="16" t="n">
        <f aca="false">S131*L131</f>
        <v>0.330357300105649</v>
      </c>
      <c r="AC131" s="16" t="n">
        <f aca="false">Z131-W131</f>
        <v>-0.131298902375316</v>
      </c>
      <c r="AD131" s="16" t="n">
        <f aca="false">AA131-W131</f>
        <v>-0.0905921902739646</v>
      </c>
      <c r="AE131" s="16" t="n">
        <f aca="false">AB131-W131</f>
        <v>-0.0256417179778071</v>
      </c>
      <c r="AF131" s="16" t="n">
        <f aca="false">AE131-X131</f>
        <v>-0.0600297621314461</v>
      </c>
      <c r="AG131" s="16" t="n">
        <f aca="false">AF131-p_spc_lo*Y131/1000</f>
        <v>-0.179198194449416</v>
      </c>
      <c r="AH131" s="16" t="n">
        <f aca="false">AF131-p_spc_hi*Y131/1000</f>
        <v>-0.298366626767385</v>
      </c>
      <c r="AI131" s="16" t="n">
        <f aca="false">Q131*J131</f>
        <v>0.59131609396879</v>
      </c>
      <c r="AJ131" s="16" t="n">
        <f aca="false">S131*J131</f>
        <v>0.869361316067498</v>
      </c>
      <c r="AK131" s="16" t="n">
        <f aca="false">T131*J131</f>
        <v>0.936839521272254</v>
      </c>
      <c r="AL131" s="16" t="n">
        <f aca="false">U131*J131</f>
        <v>0.0904948530358921</v>
      </c>
      <c r="AM131" s="16" t="n">
        <f aca="false">AI131-AJ131</f>
        <v>-0.278045222098708</v>
      </c>
      <c r="AN131" s="16" t="n">
        <f aca="false">J131*Country_Data!$EB$23</f>
        <v>11.6115402277727</v>
      </c>
      <c r="AO131" s="16" t="n">
        <f aca="false">L131*Country_Data!$EB$23</f>
        <v>4.41238528655361</v>
      </c>
    </row>
    <row r="132" customFormat="false" ht="15" hidden="false" customHeight="false" outlineLevel="0" collapsed="false">
      <c r="A132" s="14" t="str">
        <f aca="false">Country_Data!$A$23</f>
        <v>NLD</v>
      </c>
      <c r="B132" s="14" t="str">
        <f aca="false">Country_Data!$E$23</f>
        <v>AE</v>
      </c>
      <c r="C132" s="35" t="s">
        <v>470</v>
      </c>
      <c r="D132" s="37" t="n">
        <f aca="false">IF(Country_Data!$BZ$23="","",Country_Data!$BZ$23)</f>
        <v>84.7584986462938</v>
      </c>
      <c r="E132" s="40" t="n">
        <f aca="false">Country_Data!$BW$23</f>
        <v>1459.737</v>
      </c>
      <c r="F132" s="41" t="n">
        <f aca="false">Country_Data!$BX$23</f>
        <v>0.832041662299442</v>
      </c>
      <c r="G132" s="42" t="n">
        <f aca="false">IF(D132="","",D132/SUMIFS($D$5:$D$1369,$B$5:$B$1369,B132,$C$5:$C$1369,C132))</f>
        <v>0.00866172927811282</v>
      </c>
      <c r="H132" s="42" t="n">
        <f aca="false">E132/SUMIFS($E$5:$E$1369,$B$5:$B$1369,B132,$C$5:$C$1369,C132)</f>
        <v>0.0185046556023792</v>
      </c>
      <c r="I132" s="43" t="n">
        <f aca="false">IF(G132="",H132,p_beta_alloc*G132+(1-p_beta_alloc)*H132)*F132^p_phi</f>
        <v>0.0123900879762376</v>
      </c>
      <c r="J132" s="16" t="n">
        <f aca="false">INDEX(Sector_Params!$C$17:$E$17,MATCH(B132,Sector_Params!$C$15:$E$15,0))*I132/SUMIFS($I$5:$I$1369,$B$5:$B$1369,B132,$C$5:$C$1369,C132)</f>
        <v>7.62058651440808</v>
      </c>
      <c r="K132" s="28" t="n">
        <f aca="false">INDEX(Sector_Params!$F$6:$H$6,MATCH(B132,Sector_Params!$C$15:$E$15,0))</f>
        <v>0.38</v>
      </c>
      <c r="L132" s="16" t="n">
        <f aca="false">J132*K132</f>
        <v>2.89582287547507</v>
      </c>
      <c r="M132" s="44" t="n">
        <f aca="false">Country_Data!$DW$23+Sector_Params!$E$6</f>
        <v>0.02327</v>
      </c>
      <c r="N132" s="44" t="n">
        <f aca="false">Country_Data!$DX$23+Sector_Params!$E$6</f>
        <v>0.03827</v>
      </c>
      <c r="O132" s="11" t="n">
        <f aca="false">IF(p_use_ibrd=1,p_r_ibrd,p_r_wb)</f>
        <v>0.06</v>
      </c>
      <c r="P132" s="45" t="n">
        <f aca="false">Sector_Params!$D$6</f>
        <v>40</v>
      </c>
      <c r="Q132" s="46" t="n">
        <f aca="false">M132/(1-(1+M132)^-P132)</f>
        <v>0.0386843746296446</v>
      </c>
      <c r="R132" s="46" t="n">
        <f aca="false">N132/(1-(1+N132)^-P132)</f>
        <v>0.049230229125129</v>
      </c>
      <c r="S132" s="46" t="n">
        <f aca="false">O132/(1-(1+O132)^-P132)</f>
        <v>0.0664615359206755</v>
      </c>
      <c r="T132" s="37" t="n">
        <f aca="false">p_grid_credit*IF(AND(p_eng=1,ISNUMBER(Country_Data!$CZ$23)),Country_Data!$CZ$23,Country_Data!$CM$23)*Sector_Params!$I$6</f>
        <v>0</v>
      </c>
      <c r="U132" s="37" t="n">
        <f aca="false">p_grid_credit*IF(AND(p_eng=1,ISNUMBER(Country_Data!$DA$23)),Country_Data!$DA$23,Country_Data!$CN$23)*Sector_Params!$J$6</f>
        <v>0</v>
      </c>
      <c r="V132" s="37" t="n">
        <f aca="false">p_grid_credit*IF(AND(p_eng=1,ISNUMBER(Country_Data!$DB$23)),Country_Data!$DB$23,p_a)</f>
        <v>0</v>
      </c>
      <c r="W132" s="16" t="n">
        <f aca="false">T132*L132</f>
        <v>0</v>
      </c>
      <c r="X132" s="16" t="n">
        <f aca="false">U132*L132</f>
        <v>0</v>
      </c>
      <c r="Y132" s="16" t="n">
        <f aca="false">V132*L132</f>
        <v>0</v>
      </c>
      <c r="Z132" s="16" t="n">
        <f aca="false">Q132*L132</f>
        <v>0.112023096975972</v>
      </c>
      <c r="AA132" s="16" t="n">
        <f aca="false">R132*L132</f>
        <v>0.142562023665428</v>
      </c>
      <c r="AB132" s="16" t="n">
        <f aca="false">S132*L132</f>
        <v>0.1924608360583</v>
      </c>
      <c r="AC132" s="16" t="n">
        <f aca="false">Z132-W132</f>
        <v>0.112023096975972</v>
      </c>
      <c r="AD132" s="16" t="n">
        <f aca="false">AA132-W132</f>
        <v>0.142562023665428</v>
      </c>
      <c r="AE132" s="16" t="n">
        <f aca="false">AB132-W132</f>
        <v>0.1924608360583</v>
      </c>
      <c r="AF132" s="16" t="n">
        <f aca="false">AE132-X132</f>
        <v>0.1924608360583</v>
      </c>
      <c r="AG132" s="16" t="n">
        <f aca="false">AF132-p_spc_lo*Y132/1000</f>
        <v>0.1924608360583</v>
      </c>
      <c r="AH132" s="16" t="n">
        <f aca="false">AF132-p_spc_hi*Y132/1000</f>
        <v>0.1924608360583</v>
      </c>
      <c r="AI132" s="16" t="n">
        <f aca="false">Q132*J132</f>
        <v>0.29479762362098</v>
      </c>
      <c r="AJ132" s="16" t="n">
        <f aca="false">S132*J132</f>
        <v>0.506475884363948</v>
      </c>
      <c r="AK132" s="16" t="n">
        <f aca="false">T132*J132</f>
        <v>0</v>
      </c>
      <c r="AL132" s="16" t="n">
        <f aca="false">U132*J132</f>
        <v>0</v>
      </c>
      <c r="AM132" s="16" t="n">
        <f aca="false">AI132-AJ132</f>
        <v>-0.211678260742968</v>
      </c>
      <c r="AN132" s="16" t="n">
        <f aca="false">J132*Country_Data!$EB$23</f>
        <v>7.96219901332982</v>
      </c>
      <c r="AO132" s="16" t="n">
        <f aca="false">L132*Country_Data!$EB$23</f>
        <v>3.02563562506533</v>
      </c>
    </row>
    <row r="133" customFormat="false" ht="15" hidden="false" customHeight="false" outlineLevel="0" collapsed="false">
      <c r="A133" s="14" t="str">
        <f aca="false">Country_Data!$A$23</f>
        <v>NLD</v>
      </c>
      <c r="B133" s="14" t="str">
        <f aca="false">Country_Data!$E$23</f>
        <v>AE</v>
      </c>
      <c r="C133" s="35" t="s">
        <v>473</v>
      </c>
      <c r="D133" s="37" t="n">
        <f aca="false">IF(Country_Data!$CA$23="","",Country_Data!$CA$23)</f>
        <v>0.398392039176981</v>
      </c>
      <c r="E133" s="40" t="n">
        <f aca="false">Country_Data!$BW$23</f>
        <v>1459.737</v>
      </c>
      <c r="F133" s="41" t="n">
        <f aca="false">Country_Data!$BX$23</f>
        <v>0.832041662299442</v>
      </c>
      <c r="G133" s="42" t="n">
        <f aca="false">IF(D133="","",D133/SUMIFS($D$5:$D$1369,$B$5:$B$1369,B133,$C$5:$C$1369,C133))</f>
        <v>0.00779891058639301</v>
      </c>
      <c r="H133" s="42" t="n">
        <f aca="false">E133/SUMIFS($E$5:$E$1369,$B$5:$B$1369,B133,$C$5:$C$1369,C133)</f>
        <v>0.0185046556023792</v>
      </c>
      <c r="I133" s="43" t="n">
        <f aca="false">IF(G133="",H133,p_beta_alloc*G133+(1-p_beta_alloc)*H133)*F133^p_phi</f>
        <v>0.0119965722565356</v>
      </c>
      <c r="J133" s="16" t="n">
        <f aca="false">INDEX(Sector_Params!$C$18:$E$18,MATCH(B133,Sector_Params!$C$15:$E$15,0))*I133/SUMIFS($I$5:$I$1369,$B$5:$B$1369,B133,$C$5:$C$1369,C133)</f>
        <v>4.52094617351769</v>
      </c>
      <c r="K133" s="28" t="n">
        <f aca="false">INDEX(Sector_Params!$F$7:$H$7,MATCH(B133,Sector_Params!$C$15:$E$15,0))</f>
        <v>0.38</v>
      </c>
      <c r="L133" s="16" t="n">
        <f aca="false">J133*K133</f>
        <v>1.71795954593672</v>
      </c>
      <c r="M133" s="44" t="n">
        <f aca="false">Country_Data!$DW$23+Sector_Params!$E$7</f>
        <v>0.02327</v>
      </c>
      <c r="N133" s="44" t="n">
        <f aca="false">Country_Data!$DX$23+Sector_Params!$E$7</f>
        <v>0.03827</v>
      </c>
      <c r="O133" s="11" t="n">
        <f aca="false">IF(p_use_ibrd=1,p_r_ibrd,p_r_wb)</f>
        <v>0.06</v>
      </c>
      <c r="P133" s="45" t="n">
        <f aca="false">Sector_Params!$D$7</f>
        <v>12</v>
      </c>
      <c r="Q133" s="46" t="n">
        <f aca="false">M133/(1-(1+M133)^-P133)</f>
        <v>0.0964688095391225</v>
      </c>
      <c r="R133" s="46" t="n">
        <f aca="false">N133/(1-(1+N133)^-P133)</f>
        <v>0.105485357102036</v>
      </c>
      <c r="S133" s="46" t="n">
        <f aca="false">O133/(1-(1+O133)^-P133)</f>
        <v>0.119277029380664</v>
      </c>
      <c r="T133" s="37" t="n">
        <f aca="false">IF(AND(p_eng=1,ISNUMBER(Country_Data!$DE$23)),Country_Data!$DE$23,Country_Data!$CM$23)*Sector_Params!$I$7</f>
        <v>0.054253485</v>
      </c>
      <c r="U133" s="37" t="n">
        <f aca="false">IF(AND(p_eng=1,ISNUMBER(Country_Data!$DF$23)),Country_Data!$DF$23,Country_Data!$CN$23)*Sector_Params!$J$7</f>
        <v>0.0140364</v>
      </c>
      <c r="V133" s="37" t="n">
        <f aca="false">IF(AND(p_eng=1,ISNUMBER(Country_Data!$DG$23)),Country_Data!$DG$23,p_a)</f>
        <v>0.400833888556694</v>
      </c>
      <c r="W133" s="16" t="n">
        <f aca="false">T133*L133</f>
        <v>0.0932052924560847</v>
      </c>
      <c r="X133" s="16" t="n">
        <f aca="false">U133*L133</f>
        <v>0.0241139673705862</v>
      </c>
      <c r="Y133" s="16" t="n">
        <f aca="false">V133*L133</f>
        <v>0.688616405180908</v>
      </c>
      <c r="Z133" s="16" t="n">
        <f aca="false">Q133*L133</f>
        <v>0.165729512232887</v>
      </c>
      <c r="AA133" s="16" t="n">
        <f aca="false">R133*L133</f>
        <v>0.181219576189986</v>
      </c>
      <c r="AB133" s="16" t="n">
        <f aca="false">S133*L133</f>
        <v>0.204913111235486</v>
      </c>
      <c r="AC133" s="16" t="n">
        <f aca="false">Z133-W133</f>
        <v>0.0725242197768022</v>
      </c>
      <c r="AD133" s="16" t="n">
        <f aca="false">AA133-W133</f>
        <v>0.0880142837339018</v>
      </c>
      <c r="AE133" s="16" t="n">
        <f aca="false">AB133-W133</f>
        <v>0.111707818779401</v>
      </c>
      <c r="AF133" s="16" t="n">
        <f aca="false">AE133-X133</f>
        <v>0.0875938514088148</v>
      </c>
      <c r="AG133" s="16" t="n">
        <f aca="false">AF133-p_spc_lo*Y133/1000</f>
        <v>0.0531630311497694</v>
      </c>
      <c r="AH133" s="16" t="n">
        <f aca="false">AF133-p_spc_hi*Y133/1000</f>
        <v>0.018732210890724</v>
      </c>
      <c r="AI133" s="16" t="n">
        <f aca="false">Q133*J133</f>
        <v>0.436130295349702</v>
      </c>
      <c r="AJ133" s="16" t="n">
        <f aca="false">S133*J133</f>
        <v>0.539245029567067</v>
      </c>
      <c r="AK133" s="16" t="n">
        <f aca="false">T133*J133</f>
        <v>0.245277085410749</v>
      </c>
      <c r="AL133" s="16" t="n">
        <f aca="false">U133*J133</f>
        <v>0.0634578088699637</v>
      </c>
      <c r="AM133" s="16" t="n">
        <f aca="false">AI133-AJ133</f>
        <v>-0.103114734217365</v>
      </c>
      <c r="AN133" s="16" t="n">
        <f aca="false">J133*Country_Data!$EB$23</f>
        <v>4.72360927784779</v>
      </c>
      <c r="AO133" s="16" t="n">
        <f aca="false">L133*Country_Data!$EB$23</f>
        <v>1.79497152558216</v>
      </c>
    </row>
    <row r="134" customFormat="false" ht="15" hidden="false" customHeight="false" outlineLevel="0" collapsed="false">
      <c r="A134" s="14" t="str">
        <f aca="false">Country_Data!$A$23</f>
        <v>NLD</v>
      </c>
      <c r="B134" s="14" t="str">
        <f aca="false">Country_Data!$E$23</f>
        <v>AE</v>
      </c>
      <c r="C134" s="35" t="s">
        <v>477</v>
      </c>
      <c r="D134" s="37" t="n">
        <f aca="false">IF(Country_Data!$CB$23="","",Country_Data!$CB$23)</f>
        <v>0.669281244638578</v>
      </c>
      <c r="E134" s="40" t="n">
        <f aca="false">Country_Data!$BW$23</f>
        <v>1459.737</v>
      </c>
      <c r="F134" s="41" t="n">
        <f aca="false">Country_Data!$BX$23</f>
        <v>0.832041662299442</v>
      </c>
      <c r="G134" s="42" t="n">
        <f aca="false">IF(D134="","",D134/SUMIFS($D$5:$D$1369,$B$5:$B$1369,B134,$C$5:$C$1369,C134))</f>
        <v>0.0172106388885437</v>
      </c>
      <c r="H134" s="42" t="n">
        <f aca="false">E134/SUMIFS($E$5:$E$1369,$B$5:$B$1369,B134,$C$5:$C$1369,C134)</f>
        <v>0.0185046556023792</v>
      </c>
      <c r="I134" s="43" t="n">
        <f aca="false">IF(G134="",H134,p_beta_alloc*G134+(1-p_beta_alloc)*H134)*F134^p_phi</f>
        <v>0.0162890882532382</v>
      </c>
      <c r="J134" s="16" t="n">
        <f aca="false">INDEX(Sector_Params!$C$19:$E$19,MATCH(B134,Sector_Params!$C$15:$E$15,0))*I134/SUMIFS($I$5:$I$1369,$B$5:$B$1369,B134,$C$5:$C$1369,C134)</f>
        <v>4.78829017178498</v>
      </c>
      <c r="K134" s="28" t="n">
        <f aca="false">INDEX(Sector_Params!$F$8:$H$8,MATCH(B134,Sector_Params!$C$15:$E$15,0))</f>
        <v>0.38</v>
      </c>
      <c r="L134" s="16" t="n">
        <f aca="false">J134*K134</f>
        <v>1.81955026527829</v>
      </c>
      <c r="M134" s="44" t="n">
        <f aca="false">Country_Data!$DW$23+Sector_Params!$E$8</f>
        <v>0.02327</v>
      </c>
      <c r="N134" s="44" t="n">
        <f aca="false">Country_Data!$DX$23+Sector_Params!$E$8</f>
        <v>0.03827</v>
      </c>
      <c r="O134" s="11" t="n">
        <f aca="false">IF(p_use_ibrd=1,p_r_ibrd,p_r_wb)</f>
        <v>0.06</v>
      </c>
      <c r="P134" s="45" t="n">
        <f aca="false">Sector_Params!$D$8</f>
        <v>25</v>
      </c>
      <c r="Q134" s="46" t="n">
        <f aca="false">M134/(1-(1+M134)^-P134)</f>
        <v>0.0532077015647745</v>
      </c>
      <c r="R134" s="46" t="n">
        <f aca="false">N134/(1-(1+N134)^-P134)</f>
        <v>0.0628468180482977</v>
      </c>
      <c r="S134" s="46" t="n">
        <f aca="false">O134/(1-(1+O134)^-P134)</f>
        <v>0.078226718212274</v>
      </c>
      <c r="T134" s="37" t="n">
        <f aca="false">Country_Data!$CM$23*Sector_Params!$I$8</f>
        <v>0.233591556355596</v>
      </c>
      <c r="U134" s="37" t="n">
        <f aca="false">Country_Data!$CN$23*Sector_Params!$J$8</f>
        <v>0.03225</v>
      </c>
      <c r="V134" s="37" t="n">
        <f aca="false">p_a</f>
        <v>0.35</v>
      </c>
      <c r="W134" s="16" t="n">
        <f aca="false">T134*L134</f>
        <v>0.425031578333593</v>
      </c>
      <c r="X134" s="16" t="n">
        <f aca="false">U134*L134</f>
        <v>0.0586804960552249</v>
      </c>
      <c r="Y134" s="16" t="n">
        <f aca="false">V134*L134</f>
        <v>0.636842592847402</v>
      </c>
      <c r="Z134" s="16" t="n">
        <f aca="false">Q134*L134</f>
        <v>0.0968140874970336</v>
      </c>
      <c r="AA134" s="16" t="n">
        <f aca="false">R134*L134</f>
        <v>0.114352944451677</v>
      </c>
      <c r="AB134" s="16" t="n">
        <f aca="false">S134*L134</f>
        <v>0.142337445874993</v>
      </c>
      <c r="AC134" s="16" t="n">
        <f aca="false">Z134-W134</f>
        <v>-0.32821749083656</v>
      </c>
      <c r="AD134" s="16" t="n">
        <f aca="false">AA134-W134</f>
        <v>-0.310678633881917</v>
      </c>
      <c r="AE134" s="16" t="n">
        <f aca="false">AB134-W134</f>
        <v>-0.2826941324586</v>
      </c>
      <c r="AF134" s="16" t="n">
        <f aca="false">AE134-X134</f>
        <v>-0.341374628513825</v>
      </c>
      <c r="AG134" s="16" t="n">
        <f aca="false">AF134-p_spc_lo*Y134/1000</f>
        <v>-0.373216758156195</v>
      </c>
      <c r="AH134" s="16" t="n">
        <f aca="false">AF134-p_spc_hi*Y134/1000</f>
        <v>-0.405058887798565</v>
      </c>
      <c r="AI134" s="16" t="n">
        <f aca="false">Q134*J134</f>
        <v>0.254773914465878</v>
      </c>
      <c r="AJ134" s="16" t="n">
        <f aca="false">S134*J134</f>
        <v>0.374572225986824</v>
      </c>
      <c r="AK134" s="16" t="n">
        <f aca="false">T134*J134</f>
        <v>1.11850415350946</v>
      </c>
      <c r="AL134" s="16" t="n">
        <f aca="false">U134*J134</f>
        <v>0.154422358040066</v>
      </c>
      <c r="AM134" s="16" t="n">
        <f aca="false">AI134-AJ134</f>
        <v>-0.119798311520946</v>
      </c>
      <c r="AN134" s="16" t="n">
        <f aca="false">J134*Country_Data!$EB$23</f>
        <v>5.0029376622443</v>
      </c>
      <c r="AO134" s="16" t="n">
        <f aca="false">L134*Country_Data!$EB$23</f>
        <v>1.90111631165284</v>
      </c>
    </row>
    <row r="135" customFormat="false" ht="15" hidden="false" customHeight="false" outlineLevel="0" collapsed="false">
      <c r="A135" s="14" t="str">
        <f aca="false">Country_Data!$A$23</f>
        <v>NLD</v>
      </c>
      <c r="B135" s="14" t="str">
        <f aca="false">Country_Data!$E$23</f>
        <v>AE</v>
      </c>
      <c r="C135" s="35" t="s">
        <v>481</v>
      </c>
      <c r="D135" s="37" t="n">
        <f aca="false">IF(Country_Data!$CC$23="","",Country_Data!$CC$23)</f>
        <v>0.75187906481455</v>
      </c>
      <c r="E135" s="40" t="n">
        <f aca="false">Country_Data!$BW$23</f>
        <v>1459.737</v>
      </c>
      <c r="F135" s="41" t="n">
        <f aca="false">Country_Data!$BX$23</f>
        <v>0.832041662299442</v>
      </c>
      <c r="G135" s="42" t="n">
        <f aca="false">IF(D135="","",D135/SUMIFS($D$5:$D$1369,$B$5:$B$1369,B135,$C$5:$C$1369,C135))</f>
        <v>0.0136901110151005</v>
      </c>
      <c r="H135" s="42" t="n">
        <f aca="false">E135/SUMIFS($E$5:$E$1369,$B$5:$B$1369,B135,$C$5:$C$1369,C135)</f>
        <v>0.0185046556023792</v>
      </c>
      <c r="I135" s="43" t="n">
        <f aca="false">IF(G135="",H135,p_beta_alloc*G135+(1-p_beta_alloc)*H135)*F135^p_phi</f>
        <v>0.0146834403075639</v>
      </c>
      <c r="J135" s="16" t="n">
        <f aca="false">INDEX(Sector_Params!$C$20:$E$20,MATCH(B135,Sector_Params!$C$15:$E$15,0))*I135/SUMIFS($I$5:$I$1369,$B$5:$B$1369,B135,$C$5:$C$1369,C135)</f>
        <v>2.49350294771557</v>
      </c>
      <c r="K135" s="28" t="n">
        <f aca="false">INDEX(Sector_Params!$F$9:$H$9,MATCH(B135,Sector_Params!$C$15:$E$15,0))</f>
        <v>0.38</v>
      </c>
      <c r="L135" s="16" t="n">
        <f aca="false">J135*K135</f>
        <v>0.947531120131916</v>
      </c>
      <c r="M135" s="44" t="n">
        <f aca="false">Country_Data!$DW$23+Sector_Params!$E$9</f>
        <v>0.02327</v>
      </c>
      <c r="N135" s="44" t="n">
        <f aca="false">Country_Data!$DX$23+Sector_Params!$E$9</f>
        <v>0.03827</v>
      </c>
      <c r="O135" s="11" t="n">
        <f aca="false">IF(p_use_ibrd=1,p_r_ibrd,p_r_wb)</f>
        <v>0.06</v>
      </c>
      <c r="P135" s="45" t="n">
        <f aca="false">Sector_Params!$D$9</f>
        <v>25</v>
      </c>
      <c r="Q135" s="46" t="n">
        <f aca="false">M135/(1-(1+M135)^-P135)</f>
        <v>0.0532077015647745</v>
      </c>
      <c r="R135" s="46" t="n">
        <f aca="false">N135/(1-(1+N135)^-P135)</f>
        <v>0.0628468180482977</v>
      </c>
      <c r="S135" s="46" t="n">
        <f aca="false">O135/(1-(1+O135)^-P135)</f>
        <v>0.078226718212274</v>
      </c>
      <c r="T135" s="37" t="n">
        <f aca="false">Country_Data!$CM$23*Sector_Params!$I$9</f>
        <v>0.233591556355596</v>
      </c>
      <c r="U135" s="37" t="n">
        <f aca="false">Country_Data!$CN$23*Sector_Params!$J$9</f>
        <v>0.03225</v>
      </c>
      <c r="V135" s="37" t="n">
        <f aca="false">p_a</f>
        <v>0.35</v>
      </c>
      <c r="W135" s="16" t="n">
        <f aca="false">T135*L135</f>
        <v>0.221335269046975</v>
      </c>
      <c r="X135" s="16" t="n">
        <f aca="false">U135*L135</f>
        <v>0.0305578786242543</v>
      </c>
      <c r="Y135" s="16" t="n">
        <f aca="false">V135*L135</f>
        <v>0.331635892046171</v>
      </c>
      <c r="Z135" s="16" t="n">
        <f aca="false">Q135*L135</f>
        <v>0.0504159530633155</v>
      </c>
      <c r="AA135" s="16" t="n">
        <f aca="false">R135*L135</f>
        <v>0.0595493159020303</v>
      </c>
      <c r="AB135" s="16" t="n">
        <f aca="false">S135*L135</f>
        <v>0.0741222499319197</v>
      </c>
      <c r="AC135" s="16" t="n">
        <f aca="false">Z135-W135</f>
        <v>-0.17091931598366</v>
      </c>
      <c r="AD135" s="16" t="n">
        <f aca="false">AA135-W135</f>
        <v>-0.161785953144945</v>
      </c>
      <c r="AE135" s="16" t="n">
        <f aca="false">AB135-W135</f>
        <v>-0.147213019115056</v>
      </c>
      <c r="AF135" s="16" t="n">
        <f aca="false">AE135-X135</f>
        <v>-0.17777089773931</v>
      </c>
      <c r="AG135" s="16" t="n">
        <f aca="false">AF135-p_spc_lo*Y135/1000</f>
        <v>-0.194352692341618</v>
      </c>
      <c r="AH135" s="16" t="n">
        <f aca="false">AF135-p_spc_hi*Y135/1000</f>
        <v>-0.210934486943927</v>
      </c>
      <c r="AI135" s="16" t="n">
        <f aca="false">Q135*J135</f>
        <v>0.132673560692935</v>
      </c>
      <c r="AJ135" s="16" t="n">
        <f aca="false">S135*J135</f>
        <v>0.19505855245242</v>
      </c>
      <c r="AK135" s="16" t="n">
        <f aca="false">T135*J135</f>
        <v>0.582461234334146</v>
      </c>
      <c r="AL135" s="16" t="n">
        <f aca="false">U135*J135</f>
        <v>0.0804154700638271</v>
      </c>
      <c r="AM135" s="16" t="n">
        <f aca="false">AI135-AJ135</f>
        <v>-0.0623849917594848</v>
      </c>
      <c r="AN135" s="16" t="n">
        <f aca="false">J135*Country_Data!$EB$23</f>
        <v>2.60528066606144</v>
      </c>
      <c r="AO135" s="16" t="n">
        <f aca="false">L135*Country_Data!$EB$23</f>
        <v>0.990006653103347</v>
      </c>
    </row>
    <row r="136" customFormat="false" ht="15" hidden="false" customHeight="false" outlineLevel="0" collapsed="false">
      <c r="A136" s="14" t="str">
        <f aca="false">Country_Data!$A$23</f>
        <v>NLD</v>
      </c>
      <c r="B136" s="14" t="str">
        <f aca="false">Country_Data!$E$23</f>
        <v>AE</v>
      </c>
      <c r="C136" s="35" t="s">
        <v>484</v>
      </c>
      <c r="D136" s="37" t="n">
        <f aca="false">IF(Country_Data!$CD$23="","",Country_Data!$CD$23)</f>
        <v>1.74486910537153</v>
      </c>
      <c r="E136" s="40" t="n">
        <f aca="false">Country_Data!$BW$23</f>
        <v>1459.737</v>
      </c>
      <c r="F136" s="41" t="n">
        <f aca="false">Country_Data!$BX$23</f>
        <v>0.832041662299442</v>
      </c>
      <c r="G136" s="42" t="n">
        <f aca="false">IF(D136="","",D136/SUMIFS($D$5:$D$1369,$B$5:$B$1369,B136,$C$5:$C$1369,C136))</f>
        <v>0.0118055969888194</v>
      </c>
      <c r="H136" s="42" t="n">
        <f aca="false">E136/SUMIFS($E$5:$E$1369,$B$5:$B$1369,B136,$C$5:$C$1369,C136)</f>
        <v>0.0185046556023792</v>
      </c>
      <c r="I136" s="43" t="n">
        <f aca="false">IF(G136="",H136,p_beta_alloc*G136+(1-p_beta_alloc)*H136)*F136^p_phi</f>
        <v>0.0138239481564812</v>
      </c>
      <c r="J136" s="16" t="n">
        <f aca="false">INDEX(Sector_Params!$C$21:$E$21,MATCH(B136,Sector_Params!$C$15:$E$15,0))*I136/SUMIFS($I$5:$I$1369,$B$5:$B$1369,B136,$C$5:$C$1369,C136)</f>
        <v>2.81662578369216</v>
      </c>
      <c r="K136" s="28" t="n">
        <f aca="false">INDEX(Sector_Params!$F$10:$H$10,MATCH(B136,Sector_Params!$C$15:$E$15,0))</f>
        <v>0.38</v>
      </c>
      <c r="L136" s="16" t="n">
        <f aca="false">J136*K136</f>
        <v>1.07031779780302</v>
      </c>
      <c r="M136" s="44" t="n">
        <f aca="false">Country_Data!$DW$23+Sector_Params!$E$10</f>
        <v>0.02327</v>
      </c>
      <c r="N136" s="44" t="n">
        <f aca="false">Country_Data!$DX$23+Sector_Params!$E$10</f>
        <v>0.03827</v>
      </c>
      <c r="O136" s="11" t="n">
        <f aca="false">IF(p_use_ibrd=1,p_r_ibrd,p_r_wb)</f>
        <v>0.06</v>
      </c>
      <c r="P136" s="45" t="n">
        <f aca="false">Sector_Params!$D$10</f>
        <v>20</v>
      </c>
      <c r="Q136" s="46" t="n">
        <f aca="false">M136/(1-(1+M136)^-P136)</f>
        <v>0.0631035360168599</v>
      </c>
      <c r="R136" s="46" t="n">
        <f aca="false">N136/(1-(1+N136)^-P136)</f>
        <v>0.0724589740566576</v>
      </c>
      <c r="S136" s="46" t="n">
        <f aca="false">O136/(1-(1+O136)^-P136)</f>
        <v>0.0871845569768514</v>
      </c>
      <c r="T136" s="37" t="n">
        <f aca="false">0*Sector_Params!$I$10</f>
        <v>0</v>
      </c>
      <c r="U136" s="37" t="n">
        <f aca="false">0*Sector_Params!$J$10</f>
        <v>0</v>
      </c>
      <c r="V136" s="37" t="n">
        <f aca="false">1000*p_r_wb/(1-(1+p_r_wb)^-Sector_Params!$D$10)/p_cpt_fuel</f>
        <v>0.871845569768514</v>
      </c>
      <c r="W136" s="16" t="n">
        <f aca="false">T136*L136</f>
        <v>0</v>
      </c>
      <c r="X136" s="16" t="n">
        <f aca="false">U136*L136</f>
        <v>0</v>
      </c>
      <c r="Y136" s="16" t="n">
        <f aca="false">V136*L136</f>
        <v>0.933151830258956</v>
      </c>
      <c r="Z136" s="16" t="n">
        <f aca="false">Q136*L136</f>
        <v>0.0675408377031491</v>
      </c>
      <c r="AA136" s="16" t="n">
        <f aca="false">R136*L136</f>
        <v>0.077554129543388</v>
      </c>
      <c r="AB136" s="16" t="n">
        <f aca="false">S136*L136</f>
        <v>0.0933151830258956</v>
      </c>
      <c r="AC136" s="16" t="n">
        <f aca="false">Z136-W136</f>
        <v>0.0675408377031491</v>
      </c>
      <c r="AD136" s="16" t="n">
        <f aca="false">AA136-W136</f>
        <v>0.077554129543388</v>
      </c>
      <c r="AE136" s="16" t="n">
        <f aca="false">AB136-W136</f>
        <v>0.0933151830258956</v>
      </c>
      <c r="AF136" s="16" t="n">
        <f aca="false">AE136-X136</f>
        <v>0.0933151830258956</v>
      </c>
      <c r="AG136" s="16" t="n">
        <f aca="false">AF136-p_spc_lo*Y136/1000</f>
        <v>0.0466575915129478</v>
      </c>
      <c r="AH136" s="16" t="n">
        <f aca="false">AF136-p_spc_hi*Y136/1000</f>
        <v>0</v>
      </c>
      <c r="AI136" s="16" t="n">
        <f aca="false">Q136*J136</f>
        <v>0.177739046587234</v>
      </c>
      <c r="AJ136" s="16" t="n">
        <f aca="false">S136*J136</f>
        <v>0.245566271120778</v>
      </c>
      <c r="AK136" s="16" t="n">
        <f aca="false">T136*J136</f>
        <v>0</v>
      </c>
      <c r="AL136" s="16" t="n">
        <f aca="false">U136*J136</f>
        <v>0</v>
      </c>
      <c r="AM136" s="16" t="n">
        <f aca="false">AI136-AJ136</f>
        <v>-0.0678272245335436</v>
      </c>
      <c r="AN136" s="16" t="n">
        <f aca="false">J136*Country_Data!$EB$23</f>
        <v>2.94288831882319</v>
      </c>
      <c r="AO136" s="16" t="n">
        <f aca="false">L136*Country_Data!$EB$23</f>
        <v>1.11829756115281</v>
      </c>
    </row>
    <row r="137" customFormat="false" ht="15" hidden="false" customHeight="false" outlineLevel="0" collapsed="false">
      <c r="A137" s="14" t="str">
        <f aca="false">Country_Data!$A$23</f>
        <v>NLD</v>
      </c>
      <c r="B137" s="14" t="str">
        <f aca="false">Country_Data!$E$23</f>
        <v>AE</v>
      </c>
      <c r="C137" s="35" t="s">
        <v>488</v>
      </c>
      <c r="D137" s="37" t="n">
        <f aca="false">IF(Country_Data!$CE$23="","",Country_Data!$CE$23)</f>
        <v>32.209</v>
      </c>
      <c r="E137" s="40" t="n">
        <f aca="false">Country_Data!$BW$23</f>
        <v>1459.737</v>
      </c>
      <c r="F137" s="41" t="n">
        <f aca="false">Country_Data!$BX$23</f>
        <v>0.832041662299442</v>
      </c>
      <c r="G137" s="42" t="n">
        <f aca="false">IF(D137="","",D137/SUMIFS($D$5:$D$1369,$B$5:$B$1369,B137,$C$5:$C$1369,C137))</f>
        <v>0.0122922259275175</v>
      </c>
      <c r="H137" s="42" t="n">
        <f aca="false">E137/SUMIFS($E$5:$E$1369,$B$5:$B$1369,B137,$C$5:$C$1369,C137)</f>
        <v>0.0185046556023792</v>
      </c>
      <c r="I137" s="43" t="n">
        <f aca="false">IF(G137="",H137,p_beta_alloc*G137+(1-p_beta_alloc)*H137)*F137^p_phi</f>
        <v>0.0140458906559627</v>
      </c>
      <c r="J137" s="16" t="n">
        <f aca="false">INDEX(Sector_Params!$C$22:$E$22,MATCH(B137,Sector_Params!$C$15:$E$15,0))*I137/SUMIFS($I$5:$I$1369,$B$5:$B$1369,B137,$C$5:$C$1369,C137)</f>
        <v>0.544244871291323</v>
      </c>
      <c r="K137" s="28" t="n">
        <f aca="false">INDEX(Sector_Params!$F$11:$H$11,MATCH(B137,Sector_Params!$C$15:$E$15,0))</f>
        <v>0.38</v>
      </c>
      <c r="L137" s="16" t="n">
        <f aca="false">J137*K137</f>
        <v>0.206813051090703</v>
      </c>
      <c r="M137" s="44" t="n">
        <f aca="false">Country_Data!$DW$23+Sector_Params!$E$11</f>
        <v>0.02327</v>
      </c>
      <c r="N137" s="44" t="n">
        <f aca="false">Country_Data!$DX$23+Sector_Params!$E$11</f>
        <v>0.03827</v>
      </c>
      <c r="O137" s="11" t="n">
        <f aca="false">IF(p_use_ibrd=1,p_r_ibrd,p_r_wb)</f>
        <v>0.06</v>
      </c>
      <c r="P137" s="45" t="n">
        <f aca="false">Sector_Params!$D$11</f>
        <v>30</v>
      </c>
      <c r="Q137" s="46" t="n">
        <f aca="false">M137/(1-(1+M137)^-P137)</f>
        <v>0.0466823986140248</v>
      </c>
      <c r="R137" s="46" t="n">
        <f aca="false">N137/(1-(1+N137)^-P137)</f>
        <v>0.0566215396661871</v>
      </c>
      <c r="S137" s="46" t="n">
        <f aca="false">O137/(1-(1+O137)^-P137)</f>
        <v>0.0726489114900472</v>
      </c>
      <c r="T137" s="37" t="n">
        <f aca="false">0*Sector_Params!$I$11</f>
        <v>0</v>
      </c>
      <c r="U137" s="37" t="n">
        <f aca="false">p_c*Sector_Params!$J$11</f>
        <v>0.129</v>
      </c>
      <c r="V137" s="37" t="n">
        <f aca="false">1000*p_r_wb/(1-(1+p_r_wb)^-Sector_Params!$D$11)/p_cpt_afolu</f>
        <v>1.45297822980094</v>
      </c>
      <c r="W137" s="16" t="n">
        <f aca="false">T137*L137</f>
        <v>0</v>
      </c>
      <c r="X137" s="16" t="n">
        <f aca="false">U137*L137</f>
        <v>0.0266788835907006</v>
      </c>
      <c r="Y137" s="16" t="n">
        <f aca="false">V137*L137</f>
        <v>0.300494860873501</v>
      </c>
      <c r="Z137" s="16" t="n">
        <f aca="false">Q137*L137</f>
        <v>0.00965452928959886</v>
      </c>
      <c r="AA137" s="16" t="n">
        <f aca="false">R137*L137</f>
        <v>0.0117100733758174</v>
      </c>
      <c r="AB137" s="16" t="n">
        <f aca="false">S137*L137</f>
        <v>0.0150247430436751</v>
      </c>
      <c r="AC137" s="16" t="n">
        <f aca="false">Z137-W137</f>
        <v>0.00965452928959886</v>
      </c>
      <c r="AD137" s="16" t="n">
        <f aca="false">AA137-W137</f>
        <v>0.0117100733758174</v>
      </c>
      <c r="AE137" s="16" t="n">
        <f aca="false">AB137-W137</f>
        <v>0.0150247430436751</v>
      </c>
      <c r="AF137" s="16" t="n">
        <f aca="false">AE137-X137</f>
        <v>-0.0116541405470256</v>
      </c>
      <c r="AG137" s="16" t="n">
        <f aca="false">AF137-p_spc_lo*Y137/1000</f>
        <v>-0.0266788835907006</v>
      </c>
      <c r="AH137" s="16" t="n">
        <f aca="false">AF137-p_spc_hi*Y137/1000</f>
        <v>-0.0417036266343757</v>
      </c>
      <c r="AI137" s="16" t="n">
        <f aca="false">Q137*J137</f>
        <v>0.0254066560252601</v>
      </c>
      <c r="AJ137" s="16" t="n">
        <f aca="false">S137*J137</f>
        <v>0.0395387974833554</v>
      </c>
      <c r="AK137" s="16" t="n">
        <f aca="false">T137*J137</f>
        <v>0</v>
      </c>
      <c r="AL137" s="16" t="n">
        <f aca="false">U137*J137</f>
        <v>0.0702075883965806</v>
      </c>
      <c r="AM137" s="16" t="n">
        <f aca="false">AI137-AJ137</f>
        <v>-0.0141321414580953</v>
      </c>
      <c r="AN137" s="16" t="n">
        <f aca="false">J137*Country_Data!$EB$23</f>
        <v>0.568642055176796</v>
      </c>
      <c r="AO137" s="16" t="n">
        <f aca="false">L137*Country_Data!$EB$23</f>
        <v>0.216083980967182</v>
      </c>
    </row>
    <row r="138" customFormat="false" ht="15" hidden="false" customHeight="false" outlineLevel="0" collapsed="false">
      <c r="A138" s="14" t="str">
        <f aca="false">Country_Data!$A$24</f>
        <v>CHE</v>
      </c>
      <c r="B138" s="14" t="str">
        <f aca="false">Country_Data!$E$24</f>
        <v>AE</v>
      </c>
      <c r="C138" s="35" t="s">
        <v>466</v>
      </c>
      <c r="D138" s="37" t="n">
        <f aca="false">IF(Country_Data!$BZ$24="","",Country_Data!$BZ$24)</f>
        <v>51.0974460530328</v>
      </c>
      <c r="E138" s="40" t="n">
        <f aca="false">Country_Data!$BW$24</f>
        <v>884.806</v>
      </c>
      <c r="F138" s="41" t="n">
        <f aca="false">Country_Data!$BX$24</f>
        <v>1.09650024977227</v>
      </c>
      <c r="G138" s="42" t="n">
        <f aca="false">IF(D138="","",D138/SUMIFS($D$5:$D$1369,$B$5:$B$1369,B138,$C$5:$C$1369,C138))</f>
        <v>0.00522180373158011</v>
      </c>
      <c r="H138" s="42" t="n">
        <f aca="false">E138/SUMIFS($E$5:$E$1369,$B$5:$B$1369,B138,$C$5:$C$1369,C138)</f>
        <v>0.0112164248114001</v>
      </c>
      <c r="I138" s="43" t="n">
        <f aca="false">IF(G138="",H138,p_beta_alloc*G138+(1-p_beta_alloc)*H138)*F138^p_phi</f>
        <v>0.00860655574453229</v>
      </c>
      <c r="J138" s="16" t="n">
        <f aca="false">INDEX(Sector_Params!$C$16:$E$16,MATCH(B138,Sector_Params!$C$15:$E$15,0))*I138/SUMIFS($I$5:$I$1369,$B$5:$B$1369,B138,$C$5:$C$1369,C138)</f>
        <v>7.71969596746227</v>
      </c>
      <c r="K138" s="28" t="n">
        <f aca="false">INDEX(Sector_Params!$F$5:$H$5,MATCH(B138,Sector_Params!$C$15:$E$15,0))</f>
        <v>0.38</v>
      </c>
      <c r="L138" s="16" t="n">
        <f aca="false">J138*K138</f>
        <v>2.93348446763566</v>
      </c>
      <c r="M138" s="44" t="n">
        <f aca="false">Country_Data!$DW$24+Sector_Params!$E$5</f>
        <v>0.0397</v>
      </c>
      <c r="N138" s="44" t="n">
        <f aca="false">Country_Data!$DX$24+Sector_Params!$E$5</f>
        <v>0.0547</v>
      </c>
      <c r="O138" s="11" t="n">
        <f aca="false">IF(p_use_ibrd=1,p_r_ibrd,p_r_wb)</f>
        <v>0.06</v>
      </c>
      <c r="P138" s="45" t="n">
        <f aca="false">Sector_Params!$D$5</f>
        <v>25</v>
      </c>
      <c r="Q138" s="46" t="n">
        <f aca="false">M138/(1-(1+M138)^-P138)</f>
        <v>0.0638091465303044</v>
      </c>
      <c r="R138" s="46" t="n">
        <f aca="false">N138/(1-(1+N138)^-P138)</f>
        <v>0.0743312396942033</v>
      </c>
      <c r="S138" s="46" t="n">
        <f aca="false">O138/(1-(1+O138)^-P138)</f>
        <v>0.078226718212274</v>
      </c>
      <c r="T138" s="37" t="n">
        <f aca="false">IF(AND(p_eng=1,ISNUMBER(Country_Data!$CZ$24)),Country_Data!$CZ$24,Country_Data!$CM$24)*Sector_Params!$I$5</f>
        <v>-0.0059633509758251</v>
      </c>
      <c r="U138" s="37" t="n">
        <f aca="false">IF(AND(p_eng=1,ISNUMBER(Country_Data!$DA$24)),Country_Data!$DA$24,Country_Data!$CN$24)*Sector_Params!$J$5</f>
        <v>0.000777474904450482</v>
      </c>
      <c r="V138" s="37" t="n">
        <f aca="false">IF(AND(p_eng=1,ISNUMBER(Country_Data!$DB$24)),Country_Data!$DB$24,p_a)</f>
        <v>0.0394009306709202</v>
      </c>
      <c r="W138" s="16" t="n">
        <f aca="false">T138*L138</f>
        <v>-0.0174933974626429</v>
      </c>
      <c r="X138" s="16" t="n">
        <f aca="false">U138*L138</f>
        <v>0.00228071055618201</v>
      </c>
      <c r="Y138" s="16" t="n">
        <f aca="false">V138*L138</f>
        <v>0.115582018133534</v>
      </c>
      <c r="Z138" s="16" t="n">
        <f aca="false">Q138*L138</f>
        <v>0.187183140239736</v>
      </c>
      <c r="AA138" s="16" t="n">
        <f aca="false">R138*L138</f>
        <v>0.218049537103049</v>
      </c>
      <c r="AB138" s="16" t="n">
        <f aca="false">S138*L138</f>
        <v>0.229476862829817</v>
      </c>
      <c r="AC138" s="16" t="n">
        <f aca="false">Z138-W138</f>
        <v>0.204676537702379</v>
      </c>
      <c r="AD138" s="16" t="n">
        <f aca="false">AA138-W138</f>
        <v>0.235542934565692</v>
      </c>
      <c r="AE138" s="16" t="n">
        <f aca="false">AB138-W138</f>
        <v>0.24697026029246</v>
      </c>
      <c r="AF138" s="16" t="n">
        <f aca="false">AE138-X138</f>
        <v>0.244689549736278</v>
      </c>
      <c r="AG138" s="16" t="n">
        <f aca="false">AF138-p_spc_lo*Y138/1000</f>
        <v>0.238910448829602</v>
      </c>
      <c r="AH138" s="16" t="n">
        <f aca="false">AF138-p_spc_hi*Y138/1000</f>
        <v>0.233131347922925</v>
      </c>
      <c r="AI138" s="16" t="n">
        <f aca="false">Q138*J138</f>
        <v>0.4925872111572</v>
      </c>
      <c r="AJ138" s="16" t="n">
        <f aca="false">S138*J138</f>
        <v>0.603886481131099</v>
      </c>
      <c r="AK138" s="16" t="n">
        <f aca="false">T138*J138</f>
        <v>-0.0460352564806392</v>
      </c>
      <c r="AL138" s="16" t="n">
        <f aca="false">U138*J138</f>
        <v>0.0060018698846895</v>
      </c>
      <c r="AM138" s="16" t="n">
        <f aca="false">AI138-AJ138</f>
        <v>-0.111299269973898</v>
      </c>
      <c r="AN138" s="16" t="n">
        <f aca="false">J138*Country_Data!$EB$24</f>
        <v>8.06575130393472</v>
      </c>
      <c r="AO138" s="16" t="n">
        <f aca="false">L138*Country_Data!$EB$24</f>
        <v>3.06498549549519</v>
      </c>
    </row>
    <row r="139" customFormat="false" ht="15" hidden="false" customHeight="false" outlineLevel="0" collapsed="false">
      <c r="A139" s="14" t="str">
        <f aca="false">Country_Data!$A$24</f>
        <v>CHE</v>
      </c>
      <c r="B139" s="14" t="str">
        <f aca="false">Country_Data!$E$24</f>
        <v>AE</v>
      </c>
      <c r="C139" s="35" t="s">
        <v>470</v>
      </c>
      <c r="D139" s="37" t="n">
        <f aca="false">IF(Country_Data!$BZ$24="","",Country_Data!$BZ$24)</f>
        <v>51.0974460530328</v>
      </c>
      <c r="E139" s="40" t="n">
        <f aca="false">Country_Data!$BW$24</f>
        <v>884.806</v>
      </c>
      <c r="F139" s="41" t="n">
        <f aca="false">Country_Data!$BX$24</f>
        <v>1.09650024977227</v>
      </c>
      <c r="G139" s="42" t="n">
        <f aca="false">IF(D139="","",D139/SUMIFS($D$5:$D$1369,$B$5:$B$1369,B139,$C$5:$C$1369,C139))</f>
        <v>0.00522180373158011</v>
      </c>
      <c r="H139" s="42" t="n">
        <f aca="false">E139/SUMIFS($E$5:$E$1369,$B$5:$B$1369,B139,$C$5:$C$1369,C139)</f>
        <v>0.0112164248114001</v>
      </c>
      <c r="I139" s="43" t="n">
        <f aca="false">IF(G139="",H139,p_beta_alloc*G139+(1-p_beta_alloc)*H139)*F139^p_phi</f>
        <v>0.00860655574453229</v>
      </c>
      <c r="J139" s="16" t="n">
        <f aca="false">INDEX(Sector_Params!$C$17:$E$17,MATCH(B139,Sector_Params!$C$15:$E$15,0))*I139/SUMIFS($I$5:$I$1369,$B$5:$B$1369,B139,$C$5:$C$1369,C139)</f>
        <v>5.29350580625984</v>
      </c>
      <c r="K139" s="28" t="n">
        <f aca="false">INDEX(Sector_Params!$F$6:$H$6,MATCH(B139,Sector_Params!$C$15:$E$15,0))</f>
        <v>0.38</v>
      </c>
      <c r="L139" s="16" t="n">
        <f aca="false">J139*K139</f>
        <v>2.01153220637874</v>
      </c>
      <c r="M139" s="44" t="n">
        <f aca="false">Country_Data!$DW$24+Sector_Params!$E$6</f>
        <v>0.0397</v>
      </c>
      <c r="N139" s="44" t="n">
        <f aca="false">Country_Data!$DX$24+Sector_Params!$E$6</f>
        <v>0.0547</v>
      </c>
      <c r="O139" s="11" t="n">
        <f aca="false">IF(p_use_ibrd=1,p_r_ibrd,p_r_wb)</f>
        <v>0.06</v>
      </c>
      <c r="P139" s="45" t="n">
        <f aca="false">Sector_Params!$D$6</f>
        <v>40</v>
      </c>
      <c r="Q139" s="46" t="n">
        <f aca="false">M139/(1-(1+M139)^-P139)</f>
        <v>0.0502981559006608</v>
      </c>
      <c r="R139" s="46" t="n">
        <f aca="false">N139/(1-(1+N139)^-P139)</f>
        <v>0.0620749395497689</v>
      </c>
      <c r="S139" s="46" t="n">
        <f aca="false">O139/(1-(1+O139)^-P139)</f>
        <v>0.0664615359206755</v>
      </c>
      <c r="T139" s="37" t="n">
        <f aca="false">p_grid_credit*IF(AND(p_eng=1,ISNUMBER(Country_Data!$CZ$24)),Country_Data!$CZ$24,Country_Data!$CM$24)*Sector_Params!$I$6</f>
        <v>-0</v>
      </c>
      <c r="U139" s="37" t="n">
        <f aca="false">p_grid_credit*IF(AND(p_eng=1,ISNUMBER(Country_Data!$DA$24)),Country_Data!$DA$24,Country_Data!$CN$24)*Sector_Params!$J$6</f>
        <v>0</v>
      </c>
      <c r="V139" s="37" t="n">
        <f aca="false">p_grid_credit*IF(AND(p_eng=1,ISNUMBER(Country_Data!$DB$24)),Country_Data!$DB$24,p_a)</f>
        <v>0</v>
      </c>
      <c r="W139" s="16" t="n">
        <f aca="false">T139*L139</f>
        <v>-0</v>
      </c>
      <c r="X139" s="16" t="n">
        <f aca="false">U139*L139</f>
        <v>0</v>
      </c>
      <c r="Y139" s="16" t="n">
        <f aca="false">V139*L139</f>
        <v>0</v>
      </c>
      <c r="Z139" s="16" t="n">
        <f aca="false">Q139*L139</f>
        <v>0.101176360515638</v>
      </c>
      <c r="AA139" s="16" t="n">
        <f aca="false">R139*L139</f>
        <v>0.124865740113374</v>
      </c>
      <c r="AB139" s="16" t="n">
        <f aca="false">S139*L139</f>
        <v>0.133689519989836</v>
      </c>
      <c r="AC139" s="16" t="n">
        <f aca="false">Z139-W139</f>
        <v>0.101176360515638</v>
      </c>
      <c r="AD139" s="16" t="n">
        <f aca="false">AA139-W139</f>
        <v>0.124865740113374</v>
      </c>
      <c r="AE139" s="16" t="n">
        <f aca="false">AB139-W139</f>
        <v>0.133689519989836</v>
      </c>
      <c r="AF139" s="16" t="n">
        <f aca="false">AE139-X139</f>
        <v>0.133689519989836</v>
      </c>
      <c r="AG139" s="16" t="n">
        <f aca="false">AF139-p_spc_lo*Y139/1000</f>
        <v>0.133689519989836</v>
      </c>
      <c r="AH139" s="16" t="n">
        <f aca="false">AF139-p_spc_hi*Y139/1000</f>
        <v>0.133689519989836</v>
      </c>
      <c r="AI139" s="16" t="n">
        <f aca="false">Q139*J139</f>
        <v>0.266253580304311</v>
      </c>
      <c r="AJ139" s="16" t="n">
        <f aca="false">S139*J139</f>
        <v>0.351814526289043</v>
      </c>
      <c r="AK139" s="16" t="n">
        <f aca="false">T139*J139</f>
        <v>-0</v>
      </c>
      <c r="AL139" s="16" t="n">
        <f aca="false">U139*J139</f>
        <v>0</v>
      </c>
      <c r="AM139" s="16" t="n">
        <f aca="false">AI139-AJ139</f>
        <v>-0.0855609459847321</v>
      </c>
      <c r="AN139" s="16" t="n">
        <f aca="false">J139*Country_Data!$EB$24</f>
        <v>5.53080089412666</v>
      </c>
      <c r="AO139" s="16" t="n">
        <f aca="false">L139*Country_Data!$EB$24</f>
        <v>2.10170433976813</v>
      </c>
    </row>
    <row r="140" customFormat="false" ht="15" hidden="false" customHeight="false" outlineLevel="0" collapsed="false">
      <c r="A140" s="14" t="str">
        <f aca="false">Country_Data!$A$24</f>
        <v>CHE</v>
      </c>
      <c r="B140" s="14" t="str">
        <f aca="false">Country_Data!$E$24</f>
        <v>AE</v>
      </c>
      <c r="C140" s="35" t="s">
        <v>473</v>
      </c>
      <c r="D140" s="37" t="n">
        <f aca="false">IF(Country_Data!$CA$24="","",Country_Data!$CA$24)</f>
        <v>0.31527640261408</v>
      </c>
      <c r="E140" s="40" t="n">
        <f aca="false">Country_Data!$BW$24</f>
        <v>884.806</v>
      </c>
      <c r="F140" s="41" t="n">
        <f aca="false">Country_Data!$BX$24</f>
        <v>1.09650024977227</v>
      </c>
      <c r="G140" s="42" t="n">
        <f aca="false">IF(D140="","",D140/SUMIFS($D$5:$D$1369,$B$5:$B$1369,B140,$C$5:$C$1369,C140))</f>
        <v>0.00617184138284088</v>
      </c>
      <c r="H140" s="42" t="n">
        <f aca="false">E140/SUMIFS($E$5:$E$1369,$B$5:$B$1369,B140,$C$5:$C$1369,C140)</f>
        <v>0.0112164248114001</v>
      </c>
      <c r="I140" s="43" t="n">
        <f aca="false">IF(G140="",H140,p_beta_alloc*G140+(1-p_beta_alloc)*H140)*F140^p_phi</f>
        <v>0.00910396651988448</v>
      </c>
      <c r="J140" s="16" t="n">
        <f aca="false">INDEX(Sector_Params!$C$18:$E$18,MATCH(B140,Sector_Params!$C$15:$E$15,0))*I140/SUMIFS($I$5:$I$1369,$B$5:$B$1369,B140,$C$5:$C$1369,C140)</f>
        <v>3.43085855874225</v>
      </c>
      <c r="K140" s="28" t="n">
        <f aca="false">INDEX(Sector_Params!$F$7:$H$7,MATCH(B140,Sector_Params!$C$15:$E$15,0))</f>
        <v>0.38</v>
      </c>
      <c r="L140" s="16" t="n">
        <f aca="false">J140*K140</f>
        <v>1.30372625232206</v>
      </c>
      <c r="M140" s="44" t="n">
        <f aca="false">Country_Data!$DW$24+Sector_Params!$E$7</f>
        <v>0.0397</v>
      </c>
      <c r="N140" s="44" t="n">
        <f aca="false">Country_Data!$DX$24+Sector_Params!$E$7</f>
        <v>0.0547</v>
      </c>
      <c r="O140" s="11" t="n">
        <f aca="false">IF(p_use_ibrd=1,p_r_ibrd,p_r_wb)</f>
        <v>0.06</v>
      </c>
      <c r="P140" s="45" t="n">
        <f aca="false">Sector_Params!$D$7</f>
        <v>12</v>
      </c>
      <c r="Q140" s="46" t="n">
        <f aca="false">M140/(1-(1+M140)^-P140)</f>
        <v>0.106366782181335</v>
      </c>
      <c r="R140" s="46" t="n">
        <f aca="false">N140/(1-(1+N140)^-P140)</f>
        <v>0.115835755485506</v>
      </c>
      <c r="S140" s="46" t="n">
        <f aca="false">O140/(1-(1+O140)^-P140)</f>
        <v>0.119277029380664</v>
      </c>
      <c r="T140" s="37" t="n">
        <f aca="false">IF(AND(p_eng=1,ISNUMBER(Country_Data!$DE$24)),Country_Data!$DE$24,Country_Data!$CM$24)*Sector_Params!$I$7</f>
        <v>0.02201706</v>
      </c>
      <c r="U140" s="37" t="n">
        <f aca="false">IF(AND(p_eng=1,ISNUMBER(Country_Data!$DF$24)),Country_Data!$DF$24,Country_Data!$CN$24)*Sector_Params!$J$7</f>
        <v>0.012539025</v>
      </c>
      <c r="V140" s="37" t="n">
        <f aca="false">IF(AND(p_eng=1,ISNUMBER(Country_Data!$DG$24)),Country_Data!$DG$24,p_a)</f>
        <v>0.524018026453399</v>
      </c>
      <c r="W140" s="16" t="n">
        <f aca="false">T140*L140</f>
        <v>0.0287042191209499</v>
      </c>
      <c r="X140" s="16" t="n">
        <f aca="false">U140*L140</f>
        <v>0.0163474560710226</v>
      </c>
      <c r="Y140" s="16" t="n">
        <f aca="false">V140*L140</f>
        <v>0.68317605777729</v>
      </c>
      <c r="Z140" s="16" t="n">
        <f aca="false">Q140*L140</f>
        <v>0.138673166304828</v>
      </c>
      <c r="AA140" s="16" t="n">
        <f aca="false">R140*L140</f>
        <v>0.151018115384013</v>
      </c>
      <c r="AB140" s="16" t="n">
        <f aca="false">S140*L140</f>
        <v>0.15550459450256</v>
      </c>
      <c r="AC140" s="16" t="n">
        <f aca="false">Z140-W140</f>
        <v>0.109968947183879</v>
      </c>
      <c r="AD140" s="16" t="n">
        <f aca="false">AA140-W140</f>
        <v>0.122313896263063</v>
      </c>
      <c r="AE140" s="16" t="n">
        <f aca="false">AB140-W140</f>
        <v>0.126800375381611</v>
      </c>
      <c r="AF140" s="16" t="n">
        <f aca="false">AE140-X140</f>
        <v>0.110452919310588</v>
      </c>
      <c r="AG140" s="16" t="n">
        <f aca="false">AF140-p_spc_lo*Y140/1000</f>
        <v>0.0762941164217234</v>
      </c>
      <c r="AH140" s="16" t="n">
        <f aca="false">AF140-p_spc_hi*Y140/1000</f>
        <v>0.0421353135328589</v>
      </c>
      <c r="AI140" s="16" t="n">
        <f aca="false">Q140*J140</f>
        <v>0.364929385012706</v>
      </c>
      <c r="AJ140" s="16" t="n">
        <f aca="false">S140*J140</f>
        <v>0.409222617112001</v>
      </c>
      <c r="AK140" s="16" t="n">
        <f aca="false">T140*J140</f>
        <v>0.0755374187393417</v>
      </c>
      <c r="AL140" s="16" t="n">
        <f aca="false">U140*J140</f>
        <v>0.0430196212395331</v>
      </c>
      <c r="AM140" s="16" t="n">
        <f aca="false">AI140-AJ140</f>
        <v>-0.0442932320992945</v>
      </c>
      <c r="AN140" s="16" t="n">
        <f aca="false">J140*Country_Data!$EB$24</f>
        <v>3.58465566654794</v>
      </c>
      <c r="AO140" s="16" t="n">
        <f aca="false">L140*Country_Data!$EB$24</f>
        <v>1.36216915328822</v>
      </c>
    </row>
    <row r="141" customFormat="false" ht="15" hidden="false" customHeight="false" outlineLevel="0" collapsed="false">
      <c r="A141" s="14" t="str">
        <f aca="false">Country_Data!$A$24</f>
        <v>CHE</v>
      </c>
      <c r="B141" s="14" t="str">
        <f aca="false">Country_Data!$E$24</f>
        <v>AE</v>
      </c>
      <c r="C141" s="35" t="s">
        <v>477</v>
      </c>
      <c r="D141" s="37" t="n">
        <f aca="false">IF(Country_Data!$CB$24="","",Country_Data!$CB$24)</f>
        <v>0.165858622098924</v>
      </c>
      <c r="E141" s="40" t="n">
        <f aca="false">Country_Data!$BW$24</f>
        <v>884.806</v>
      </c>
      <c r="F141" s="41" t="n">
        <f aca="false">Country_Data!$BX$24</f>
        <v>1.09650024977227</v>
      </c>
      <c r="G141" s="42" t="n">
        <f aca="false">IF(D141="","",D141/SUMIFS($D$5:$D$1369,$B$5:$B$1369,B141,$C$5:$C$1369,C141))</f>
        <v>0.00426507223138682</v>
      </c>
      <c r="H141" s="42" t="n">
        <f aca="false">E141/SUMIFS($E$5:$E$1369,$B$5:$B$1369,B141,$C$5:$C$1369,C141)</f>
        <v>0.0112164248114001</v>
      </c>
      <c r="I141" s="43" t="n">
        <f aca="false">IF(G141="",H141,p_beta_alloc*G141+(1-p_beta_alloc)*H141)*F141^p_phi</f>
        <v>0.00810564027377861</v>
      </c>
      <c r="J141" s="16" t="n">
        <f aca="false">INDEX(Sector_Params!$C$19:$E$19,MATCH(B141,Sector_Params!$C$15:$E$15,0))*I141/SUMIFS($I$5:$I$1369,$B$5:$B$1369,B141,$C$5:$C$1369,C141)</f>
        <v>2.38270902923268</v>
      </c>
      <c r="K141" s="28" t="n">
        <f aca="false">INDEX(Sector_Params!$F$8:$H$8,MATCH(B141,Sector_Params!$C$15:$E$15,0))</f>
        <v>0.38</v>
      </c>
      <c r="L141" s="16" t="n">
        <f aca="false">J141*K141</f>
        <v>0.905429431108419</v>
      </c>
      <c r="M141" s="44" t="n">
        <f aca="false">Country_Data!$DW$24+Sector_Params!$E$8</f>
        <v>0.0397</v>
      </c>
      <c r="N141" s="44" t="n">
        <f aca="false">Country_Data!$DX$24+Sector_Params!$E$8</f>
        <v>0.0547</v>
      </c>
      <c r="O141" s="11" t="n">
        <f aca="false">IF(p_use_ibrd=1,p_r_ibrd,p_r_wb)</f>
        <v>0.06</v>
      </c>
      <c r="P141" s="45" t="n">
        <f aca="false">Sector_Params!$D$8</f>
        <v>25</v>
      </c>
      <c r="Q141" s="46" t="n">
        <f aca="false">M141/(1-(1+M141)^-P141)</f>
        <v>0.0638091465303044</v>
      </c>
      <c r="R141" s="46" t="n">
        <f aca="false">N141/(1-(1+N141)^-P141)</f>
        <v>0.0743312396942033</v>
      </c>
      <c r="S141" s="46" t="n">
        <f aca="false">O141/(1-(1+O141)^-P141)</f>
        <v>0.078226718212274</v>
      </c>
      <c r="T141" s="37" t="n">
        <f aca="false">Country_Data!$CM$24*Sector_Params!$I$8</f>
        <v>0.302247544888756</v>
      </c>
      <c r="U141" s="37" t="n">
        <f aca="false">Country_Data!$CN$24*Sector_Params!$J$8</f>
        <v>0.03225</v>
      </c>
      <c r="V141" s="37" t="n">
        <f aca="false">p_a</f>
        <v>0.35</v>
      </c>
      <c r="W141" s="16" t="n">
        <f aca="false">T141*L141</f>
        <v>0.273663822622542</v>
      </c>
      <c r="X141" s="16" t="n">
        <f aca="false">U141*L141</f>
        <v>0.0292000991532465</v>
      </c>
      <c r="Y141" s="16" t="n">
        <f aca="false">V141*L141</f>
        <v>0.316900300887947</v>
      </c>
      <c r="Z141" s="16" t="n">
        <f aca="false">Q141*L141</f>
        <v>0.0577746792424473</v>
      </c>
      <c r="AA141" s="16" t="n">
        <f aca="false">R141*L141</f>
        <v>0.067301692069906</v>
      </c>
      <c r="AB141" s="16" t="n">
        <f aca="false">S141*L141</f>
        <v>0.0708287729684178</v>
      </c>
      <c r="AC141" s="16" t="n">
        <f aca="false">Z141-W141</f>
        <v>-0.215889143380095</v>
      </c>
      <c r="AD141" s="16" t="n">
        <f aca="false">AA141-W141</f>
        <v>-0.206362130552636</v>
      </c>
      <c r="AE141" s="16" t="n">
        <f aca="false">AB141-W141</f>
        <v>-0.202835049654125</v>
      </c>
      <c r="AF141" s="16" t="n">
        <f aca="false">AE141-X141</f>
        <v>-0.232035148807371</v>
      </c>
      <c r="AG141" s="16" t="n">
        <f aca="false">AF141-p_spc_lo*Y141/1000</f>
        <v>-0.247880163851768</v>
      </c>
      <c r="AH141" s="16" t="n">
        <f aca="false">AF141-p_spc_hi*Y141/1000</f>
        <v>-0.263725178896166</v>
      </c>
      <c r="AI141" s="16" t="n">
        <f aca="false">Q141*J141</f>
        <v>0.152038629585388</v>
      </c>
      <c r="AJ141" s="16" t="n">
        <f aca="false">S141*J141</f>
        <v>0.186391507811626</v>
      </c>
      <c r="AK141" s="16" t="n">
        <f aca="false">T141*J141</f>
        <v>0.720167954269848</v>
      </c>
      <c r="AL141" s="16" t="n">
        <f aca="false">U141*J141</f>
        <v>0.076842366192754</v>
      </c>
      <c r="AM141" s="16" t="n">
        <f aca="false">AI141-AJ141</f>
        <v>-0.0343528782262382</v>
      </c>
      <c r="AN141" s="16" t="n">
        <f aca="false">J141*Country_Data!$EB$24</f>
        <v>2.48952012364656</v>
      </c>
      <c r="AO141" s="16" t="n">
        <f aca="false">L141*Country_Data!$EB$24</f>
        <v>0.946017646985693</v>
      </c>
    </row>
    <row r="142" customFormat="false" ht="15" hidden="false" customHeight="false" outlineLevel="0" collapsed="false">
      <c r="A142" s="14" t="str">
        <f aca="false">Country_Data!$A$24</f>
        <v>CHE</v>
      </c>
      <c r="B142" s="14" t="str">
        <f aca="false">Country_Data!$E$24</f>
        <v>AE</v>
      </c>
      <c r="C142" s="35" t="s">
        <v>481</v>
      </c>
      <c r="D142" s="37" t="n">
        <f aca="false">IF(Country_Data!$CC$24="","",Country_Data!$CC$24)</f>
        <v>0.161688692861672</v>
      </c>
      <c r="E142" s="40" t="n">
        <f aca="false">Country_Data!$BW$24</f>
        <v>884.806</v>
      </c>
      <c r="F142" s="41" t="n">
        <f aca="false">Country_Data!$BX$24</f>
        <v>1.09650024977227</v>
      </c>
      <c r="G142" s="42" t="n">
        <f aca="false">IF(D142="","",D142/SUMIFS($D$5:$D$1369,$B$5:$B$1369,B142,$C$5:$C$1369,C142))</f>
        <v>0.00294400557050852</v>
      </c>
      <c r="H142" s="42" t="n">
        <f aca="false">E142/SUMIFS($E$5:$E$1369,$B$5:$B$1369,B142,$C$5:$C$1369,C142)</f>
        <v>0.0112164248114001</v>
      </c>
      <c r="I142" s="43" t="n">
        <f aca="false">IF(G142="",H142,p_beta_alloc*G142+(1-p_beta_alloc)*H142)*F142^p_phi</f>
        <v>0.00741397001080811</v>
      </c>
      <c r="J142" s="16" t="n">
        <f aca="false">INDEX(Sector_Params!$C$20:$E$20,MATCH(B142,Sector_Params!$C$15:$E$15,0))*I142/SUMIFS($I$5:$I$1369,$B$5:$B$1369,B142,$C$5:$C$1369,C142)</f>
        <v>1.2590207532428</v>
      </c>
      <c r="K142" s="28" t="n">
        <f aca="false">INDEX(Sector_Params!$F$9:$H$9,MATCH(B142,Sector_Params!$C$15:$E$15,0))</f>
        <v>0.38</v>
      </c>
      <c r="L142" s="16" t="n">
        <f aca="false">J142*K142</f>
        <v>0.478427886232265</v>
      </c>
      <c r="M142" s="44" t="n">
        <f aca="false">Country_Data!$DW$24+Sector_Params!$E$9</f>
        <v>0.0397</v>
      </c>
      <c r="N142" s="44" t="n">
        <f aca="false">Country_Data!$DX$24+Sector_Params!$E$9</f>
        <v>0.0547</v>
      </c>
      <c r="O142" s="11" t="n">
        <f aca="false">IF(p_use_ibrd=1,p_r_ibrd,p_r_wb)</f>
        <v>0.06</v>
      </c>
      <c r="P142" s="45" t="n">
        <f aca="false">Sector_Params!$D$9</f>
        <v>25</v>
      </c>
      <c r="Q142" s="46" t="n">
        <f aca="false">M142/(1-(1+M142)^-P142)</f>
        <v>0.0638091465303044</v>
      </c>
      <c r="R142" s="46" t="n">
        <f aca="false">N142/(1-(1+N142)^-P142)</f>
        <v>0.0743312396942033</v>
      </c>
      <c r="S142" s="46" t="n">
        <f aca="false">O142/(1-(1+O142)^-P142)</f>
        <v>0.078226718212274</v>
      </c>
      <c r="T142" s="37" t="n">
        <f aca="false">Country_Data!$CM$24*Sector_Params!$I$9</f>
        <v>0.302247544888756</v>
      </c>
      <c r="U142" s="37" t="n">
        <f aca="false">Country_Data!$CN$24*Sector_Params!$J$9</f>
        <v>0.03225</v>
      </c>
      <c r="V142" s="37" t="n">
        <f aca="false">p_a</f>
        <v>0.35</v>
      </c>
      <c r="W142" s="16" t="n">
        <f aca="false">T142*L142</f>
        <v>0.144603654020019</v>
      </c>
      <c r="X142" s="16" t="n">
        <f aca="false">U142*L142</f>
        <v>0.0154292993309905</v>
      </c>
      <c r="Y142" s="16" t="n">
        <f aca="false">V142*L142</f>
        <v>0.167449760181293</v>
      </c>
      <c r="Z142" s="16" t="n">
        <f aca="false">Q142*L142</f>
        <v>0.0305280750967784</v>
      </c>
      <c r="AA142" s="16" t="n">
        <f aca="false">R142*L142</f>
        <v>0.0355621378879215</v>
      </c>
      <c r="AB142" s="16" t="n">
        <f aca="false">S142*L142</f>
        <v>0.0374258434411853</v>
      </c>
      <c r="AC142" s="16" t="n">
        <f aca="false">Z142-W142</f>
        <v>-0.114075578923241</v>
      </c>
      <c r="AD142" s="16" t="n">
        <f aca="false">AA142-W142</f>
        <v>-0.109041516132097</v>
      </c>
      <c r="AE142" s="16" t="n">
        <f aca="false">AB142-W142</f>
        <v>-0.107177810578834</v>
      </c>
      <c r="AF142" s="16" t="n">
        <f aca="false">AE142-X142</f>
        <v>-0.122607109909824</v>
      </c>
      <c r="AG142" s="16" t="n">
        <f aca="false">AF142-p_spc_lo*Y142/1000</f>
        <v>-0.130979597918889</v>
      </c>
      <c r="AH142" s="16" t="n">
        <f aca="false">AF142-p_spc_hi*Y142/1000</f>
        <v>-0.139352085927954</v>
      </c>
      <c r="AI142" s="16" t="n">
        <f aca="false">Q142*J142</f>
        <v>0.0803370397283643</v>
      </c>
      <c r="AJ142" s="16" t="n">
        <f aca="false">S142*J142</f>
        <v>0.0984890616873296</v>
      </c>
      <c r="AK142" s="16" t="n">
        <f aca="false">T142*J142</f>
        <v>0.380535931631629</v>
      </c>
      <c r="AL142" s="16" t="n">
        <f aca="false">U142*J142</f>
        <v>0.0406034192920804</v>
      </c>
      <c r="AM142" s="16" t="n">
        <f aca="false">AI142-AJ142</f>
        <v>-0.0181520219589654</v>
      </c>
      <c r="AN142" s="16" t="n">
        <f aca="false">J142*Country_Data!$EB$24</f>
        <v>1.31545961459507</v>
      </c>
      <c r="AO142" s="16" t="n">
        <f aca="false">L142*Country_Data!$EB$24</f>
        <v>0.499874653546125</v>
      </c>
    </row>
    <row r="143" customFormat="false" ht="15" hidden="false" customHeight="false" outlineLevel="0" collapsed="false">
      <c r="A143" s="14" t="str">
        <f aca="false">Country_Data!$A$24</f>
        <v>CHE</v>
      </c>
      <c r="B143" s="14" t="str">
        <f aca="false">Country_Data!$E$24</f>
        <v>AE</v>
      </c>
      <c r="C143" s="35" t="s">
        <v>484</v>
      </c>
      <c r="D143" s="37" t="n">
        <f aca="false">IF(Country_Data!$CD$24="","",Country_Data!$CD$24)</f>
        <v>0.469762698287224</v>
      </c>
      <c r="E143" s="40" t="n">
        <f aca="false">Country_Data!$BW$24</f>
        <v>884.806</v>
      </c>
      <c r="F143" s="41" t="n">
        <f aca="false">Country_Data!$BX$24</f>
        <v>1.09650024977227</v>
      </c>
      <c r="G143" s="42" t="n">
        <f aca="false">IF(D143="","",D143/SUMIFS($D$5:$D$1369,$B$5:$B$1369,B143,$C$5:$C$1369,C143))</f>
        <v>0.00317836396970218</v>
      </c>
      <c r="H143" s="42" t="n">
        <f aca="false">E143/SUMIFS($E$5:$E$1369,$B$5:$B$1369,B143,$C$5:$C$1369,C143)</f>
        <v>0.0112164248114001</v>
      </c>
      <c r="I143" s="43" t="n">
        <f aca="false">IF(G143="",H143,p_beta_alloc*G143+(1-p_beta_alloc)*H143)*F143^p_phi</f>
        <v>0.00753667292989612</v>
      </c>
      <c r="J143" s="16" t="n">
        <f aca="false">INDEX(Sector_Params!$C$21:$E$21,MATCH(B143,Sector_Params!$C$15:$E$15,0))*I143/SUMIFS($I$5:$I$1369,$B$5:$B$1369,B143,$C$5:$C$1369,C143)</f>
        <v>1.53559511778462</v>
      </c>
      <c r="K143" s="28" t="n">
        <f aca="false">INDEX(Sector_Params!$F$10:$H$10,MATCH(B143,Sector_Params!$C$15:$E$15,0))</f>
        <v>0.38</v>
      </c>
      <c r="L143" s="16" t="n">
        <f aca="false">J143*K143</f>
        <v>0.583526144758155</v>
      </c>
      <c r="M143" s="44" t="n">
        <f aca="false">Country_Data!$DW$24+Sector_Params!$E$10</f>
        <v>0.0397</v>
      </c>
      <c r="N143" s="44" t="n">
        <f aca="false">Country_Data!$DX$24+Sector_Params!$E$10</f>
        <v>0.0547</v>
      </c>
      <c r="O143" s="11" t="n">
        <f aca="false">IF(p_use_ibrd=1,p_r_ibrd,p_r_wb)</f>
        <v>0.06</v>
      </c>
      <c r="P143" s="45" t="n">
        <f aca="false">Sector_Params!$D$10</f>
        <v>20</v>
      </c>
      <c r="Q143" s="46" t="n">
        <f aca="false">M143/(1-(1+M143)^-P143)</f>
        <v>0.0733864147728873</v>
      </c>
      <c r="R143" s="46" t="n">
        <f aca="false">N143/(1-(1+N143)^-P143)</f>
        <v>0.0834711758247567</v>
      </c>
      <c r="S143" s="46" t="n">
        <f aca="false">O143/(1-(1+O143)^-P143)</f>
        <v>0.0871845569768514</v>
      </c>
      <c r="T143" s="37" t="n">
        <f aca="false">0*Sector_Params!$I$10</f>
        <v>0</v>
      </c>
      <c r="U143" s="37" t="n">
        <f aca="false">0*Sector_Params!$J$10</f>
        <v>0</v>
      </c>
      <c r="V143" s="37" t="n">
        <f aca="false">1000*p_r_wb/(1-(1+p_r_wb)^-Sector_Params!$D$10)/p_cpt_fuel</f>
        <v>0.871845569768514</v>
      </c>
      <c r="W143" s="16" t="n">
        <f aca="false">T143*L143</f>
        <v>0</v>
      </c>
      <c r="X143" s="16" t="n">
        <f aca="false">U143*L143</f>
        <v>0</v>
      </c>
      <c r="Y143" s="16" t="n">
        <f aca="false">V143*L143</f>
        <v>0.508744684151498</v>
      </c>
      <c r="Z143" s="16" t="n">
        <f aca="false">Q143*L143</f>
        <v>0.0428228916900459</v>
      </c>
      <c r="AA143" s="16" t="n">
        <f aca="false">R143*L143</f>
        <v>0.0487076134274504</v>
      </c>
      <c r="AB143" s="16" t="n">
        <f aca="false">S143*L143</f>
        <v>0.0508744684151498</v>
      </c>
      <c r="AC143" s="16" t="n">
        <f aca="false">Z143-W143</f>
        <v>0.0428228916900459</v>
      </c>
      <c r="AD143" s="16" t="n">
        <f aca="false">AA143-W143</f>
        <v>0.0487076134274504</v>
      </c>
      <c r="AE143" s="16" t="n">
        <f aca="false">AB143-W143</f>
        <v>0.0508744684151498</v>
      </c>
      <c r="AF143" s="16" t="n">
        <f aca="false">AE143-X143</f>
        <v>0.0508744684151498</v>
      </c>
      <c r="AG143" s="16" t="n">
        <f aca="false">AF143-p_spc_lo*Y143/1000</f>
        <v>0.0254372342075749</v>
      </c>
      <c r="AH143" s="16" t="n">
        <f aca="false">AF143-p_spc_hi*Y143/1000</f>
        <v>0</v>
      </c>
      <c r="AI143" s="16" t="n">
        <f aca="false">Q143*J143</f>
        <v>0.112691820236963</v>
      </c>
      <c r="AJ143" s="16" t="n">
        <f aca="false">S143*J143</f>
        <v>0.133880180039868</v>
      </c>
      <c r="AK143" s="16" t="n">
        <f aca="false">T143*J143</f>
        <v>0</v>
      </c>
      <c r="AL143" s="16" t="n">
        <f aca="false">U143*J143</f>
        <v>0</v>
      </c>
      <c r="AM143" s="16" t="n">
        <f aca="false">AI143-AJ143</f>
        <v>-0.0211883598029052</v>
      </c>
      <c r="AN143" s="16" t="n">
        <f aca="false">J143*Country_Data!$EB$24</f>
        <v>1.604432140306</v>
      </c>
      <c r="AO143" s="16" t="n">
        <f aca="false">L143*Country_Data!$EB$24</f>
        <v>0.60968421331628</v>
      </c>
    </row>
    <row r="144" customFormat="false" ht="15" hidden="false" customHeight="false" outlineLevel="0" collapsed="false">
      <c r="A144" s="14" t="str">
        <f aca="false">Country_Data!$A$24</f>
        <v>CHE</v>
      </c>
      <c r="B144" s="14" t="str">
        <f aca="false">Country_Data!$E$24</f>
        <v>AE</v>
      </c>
      <c r="C144" s="35" t="s">
        <v>488</v>
      </c>
      <c r="D144" s="37" t="n">
        <f aca="false">IF(Country_Data!$CE$24="","",Country_Data!$CE$24)</f>
        <v>9.619</v>
      </c>
      <c r="E144" s="40" t="n">
        <f aca="false">Country_Data!$BW$24</f>
        <v>884.806</v>
      </c>
      <c r="F144" s="41" t="n">
        <f aca="false">Country_Data!$BX$24</f>
        <v>1.09650024977227</v>
      </c>
      <c r="G144" s="42" t="n">
        <f aca="false">IF(D144="","",D144/SUMIFS($D$5:$D$1369,$B$5:$B$1369,B144,$C$5:$C$1369,C144))</f>
        <v>0.00367099013309295</v>
      </c>
      <c r="H144" s="42" t="n">
        <f aca="false">E144/SUMIFS($E$5:$E$1369,$B$5:$B$1369,B144,$C$5:$C$1369,C144)</f>
        <v>0.0112164248114001</v>
      </c>
      <c r="I144" s="43" t="n">
        <f aca="false">IF(G144="",H144,p_beta_alloc*G144+(1-p_beta_alloc)*H144)*F144^p_phi</f>
        <v>0.00779459698329106</v>
      </c>
      <c r="J144" s="16" t="n">
        <f aca="false">INDEX(Sector_Params!$C$22:$E$22,MATCH(B144,Sector_Params!$C$15:$E$15,0))*I144/SUMIFS($I$5:$I$1369,$B$5:$B$1369,B144,$C$5:$C$1369,C144)</f>
        <v>0.302022102823228</v>
      </c>
      <c r="K144" s="28" t="n">
        <f aca="false">INDEX(Sector_Params!$F$11:$H$11,MATCH(B144,Sector_Params!$C$15:$E$15,0))</f>
        <v>0.38</v>
      </c>
      <c r="L144" s="16" t="n">
        <f aca="false">J144*K144</f>
        <v>0.114768399072827</v>
      </c>
      <c r="M144" s="44" t="n">
        <f aca="false">Country_Data!$DW$24+Sector_Params!$E$11</f>
        <v>0.0397</v>
      </c>
      <c r="N144" s="44" t="n">
        <f aca="false">Country_Data!$DX$24+Sector_Params!$E$11</f>
        <v>0.0547</v>
      </c>
      <c r="O144" s="11" t="n">
        <f aca="false">IF(p_use_ibrd=1,p_r_ibrd,p_r_wb)</f>
        <v>0.06</v>
      </c>
      <c r="P144" s="45" t="n">
        <f aca="false">Sector_Params!$D$11</f>
        <v>30</v>
      </c>
      <c r="Q144" s="46" t="n">
        <f aca="false">M144/(1-(1+M144)^-P144)</f>
        <v>0.0576196364549178</v>
      </c>
      <c r="R144" s="46" t="n">
        <f aca="false">N144/(1-(1+N144)^-P144)</f>
        <v>0.068577581424071</v>
      </c>
      <c r="S144" s="46" t="n">
        <f aca="false">O144/(1-(1+O144)^-P144)</f>
        <v>0.0726489114900472</v>
      </c>
      <c r="T144" s="37" t="n">
        <f aca="false">0*Sector_Params!$I$11</f>
        <v>0</v>
      </c>
      <c r="U144" s="37" t="n">
        <f aca="false">p_c*Sector_Params!$J$11</f>
        <v>0.129</v>
      </c>
      <c r="V144" s="37" t="n">
        <f aca="false">1000*p_r_wb/(1-(1+p_r_wb)^-Sector_Params!$D$11)/p_cpt_afolu</f>
        <v>1.45297822980094</v>
      </c>
      <c r="W144" s="16" t="n">
        <f aca="false">T144*L144</f>
        <v>0</v>
      </c>
      <c r="X144" s="16" t="n">
        <f aca="false">U144*L144</f>
        <v>0.0148051234803947</v>
      </c>
      <c r="Y144" s="16" t="n">
        <f aca="false">V144*L144</f>
        <v>0.166755985321924</v>
      </c>
      <c r="Z144" s="16" t="n">
        <f aca="false">Q144*L144</f>
        <v>0.0066129134310892</v>
      </c>
      <c r="AA144" s="16" t="n">
        <f aca="false">R144*L144</f>
        <v>0.00787053923232705</v>
      </c>
      <c r="AB144" s="16" t="n">
        <f aca="false">S144*L144</f>
        <v>0.00833779926609621</v>
      </c>
      <c r="AC144" s="16" t="n">
        <f aca="false">Z144-W144</f>
        <v>0.0066129134310892</v>
      </c>
      <c r="AD144" s="16" t="n">
        <f aca="false">AA144-W144</f>
        <v>0.00787053923232705</v>
      </c>
      <c r="AE144" s="16" t="n">
        <f aca="false">AB144-W144</f>
        <v>0.00833779926609621</v>
      </c>
      <c r="AF144" s="16" t="n">
        <f aca="false">AE144-X144</f>
        <v>-0.00646732421429845</v>
      </c>
      <c r="AG144" s="16" t="n">
        <f aca="false">AF144-p_spc_lo*Y144/1000</f>
        <v>-0.0148051234803947</v>
      </c>
      <c r="AH144" s="16" t="n">
        <f aca="false">AF144-p_spc_hi*Y144/1000</f>
        <v>-0.0231429227464909</v>
      </c>
      <c r="AI144" s="16" t="n">
        <f aca="false">Q144*J144</f>
        <v>0.0174024037660242</v>
      </c>
      <c r="AJ144" s="16" t="n">
        <f aca="false">S144*J144</f>
        <v>0.0219415770160427</v>
      </c>
      <c r="AK144" s="16" t="n">
        <f aca="false">T144*J144</f>
        <v>0</v>
      </c>
      <c r="AL144" s="16" t="n">
        <f aca="false">U144*J144</f>
        <v>0.0389608512641965</v>
      </c>
      <c r="AM144" s="16" t="n">
        <f aca="false">AI144-AJ144</f>
        <v>-0.00453917325001844</v>
      </c>
      <c r="AN144" s="16" t="n">
        <f aca="false">J144*Country_Data!$EB$24</f>
        <v>0.315561024673925</v>
      </c>
      <c r="AO144" s="16" t="n">
        <f aca="false">L144*Country_Data!$EB$24</f>
        <v>0.119913189376091</v>
      </c>
    </row>
    <row r="145" customFormat="false" ht="15" hidden="false" customHeight="false" outlineLevel="0" collapsed="false">
      <c r="A145" s="14" t="str">
        <f aca="false">Country_Data!$A$25</f>
        <v>POL</v>
      </c>
      <c r="B145" s="14" t="str">
        <f aca="false">Country_Data!$E$25</f>
        <v>EMDC</v>
      </c>
      <c r="C145" s="35" t="s">
        <v>466</v>
      </c>
      <c r="D145" s="37" t="n">
        <f aca="false">IF(Country_Data!$BZ$25="","",Country_Data!$BZ$25)</f>
        <v>202.330470357963</v>
      </c>
      <c r="E145" s="40" t="n">
        <f aca="false">Country_Data!$BW$25</f>
        <v>1911.834</v>
      </c>
      <c r="F145" s="41" t="n">
        <f aca="false">Country_Data!$BX$25</f>
        <v>0.47997001831749</v>
      </c>
      <c r="G145" s="42" t="n">
        <f aca="false">IF(D145="","",D145/SUMIFS($D$5:$D$1369,$B$5:$B$1369,B145,$C$5:$C$1369,C145))</f>
        <v>0.0230984785584475</v>
      </c>
      <c r="H145" s="42" t="n">
        <f aca="false">E145/SUMIFS($E$5:$E$1369,$B$5:$B$1369,B145,$C$5:$C$1369,C145)</f>
        <v>0.0236812739055161</v>
      </c>
      <c r="I145" s="43" t="n">
        <f aca="false">IF(G145="",H145,p_beta_alloc*G145+(1-p_beta_alloc)*H145)*F145^p_phi</f>
        <v>0.0162044755022404</v>
      </c>
      <c r="J145" s="16" t="n">
        <f aca="false">INDEX(Sector_Params!$C$16:$E$16,MATCH(B145,Sector_Params!$C$15:$E$15,0))*I145/SUMIFS($I$5:$I$1369,$B$5:$B$1369,B145,$C$5:$C$1369,C145)</f>
        <v>15.6733795246404</v>
      </c>
      <c r="K145" s="28" t="n">
        <f aca="false">INDEX(Sector_Params!$F$5:$H$5,MATCH(B145,Sector_Params!$C$15:$E$15,0))</f>
        <v>0.24</v>
      </c>
      <c r="L145" s="16" t="n">
        <f aca="false">J145*K145</f>
        <v>3.7616110859137</v>
      </c>
      <c r="M145" s="44" t="n">
        <f aca="false">Country_Data!$DW$25+Sector_Params!$E$5</f>
        <v>0.05799</v>
      </c>
      <c r="N145" s="44" t="n">
        <f aca="false">Country_Data!$DX$25+Sector_Params!$E$5</f>
        <v>0.10299</v>
      </c>
      <c r="O145" s="11" t="n">
        <f aca="false">IF(p_use_ibrd=1,p_r_ibrd,p_r_wb)</f>
        <v>0.06</v>
      </c>
      <c r="P145" s="45" t="n">
        <f aca="false">Sector_Params!$D$5</f>
        <v>25</v>
      </c>
      <c r="Q145" s="46" t="n">
        <f aca="false">M145/(1-(1+M145)^-P145)</f>
        <v>0.0767389403591054</v>
      </c>
      <c r="R145" s="46" t="n">
        <f aca="false">N145/(1-(1+N145)^-P145)</f>
        <v>0.112710166780426</v>
      </c>
      <c r="S145" s="46" t="n">
        <f aca="false">O145/(1-(1+O145)^-P145)</f>
        <v>0.078226718212274</v>
      </c>
      <c r="T145" s="37" t="n">
        <f aca="false">IF(AND(p_eng=1,ISNUMBER(Country_Data!$CZ$25)),Country_Data!$CZ$25,Country_Data!$CM$25)*Sector_Params!$I$5</f>
        <v>0.1276228182074</v>
      </c>
      <c r="U145" s="37" t="n">
        <f aca="false">IF(AND(p_eng=1,ISNUMBER(Country_Data!$DA$25)),Country_Data!$DA$25,Country_Data!$CN$25)*Sector_Params!$J$5</f>
        <v>0.0709291623866136</v>
      </c>
      <c r="V145" s="37" t="n">
        <f aca="false">IF(AND(p_eng=1,ISNUMBER(Country_Data!$DB$25)),Country_Data!$DB$25,p_a)</f>
        <v>1.31139136300696</v>
      </c>
      <c r="W145" s="16" t="n">
        <f aca="false">T145*L145</f>
        <v>0.480067407784507</v>
      </c>
      <c r="X145" s="16" t="n">
        <f aca="false">U145*L145</f>
        <v>0.266807923548059</v>
      </c>
      <c r="Y145" s="16" t="n">
        <f aca="false">V145*L145</f>
        <v>4.93294428905845</v>
      </c>
      <c r="Z145" s="16" t="n">
        <f aca="false">Q145*L145</f>
        <v>0.288662048776081</v>
      </c>
      <c r="AA145" s="16" t="n">
        <f aca="false">R145*L145</f>
        <v>0.423971812856431</v>
      </c>
      <c r="AB145" s="16" t="n">
        <f aca="false">S145*L145</f>
        <v>0.294258490441937</v>
      </c>
      <c r="AC145" s="16" t="n">
        <f aca="false">Z145-W145</f>
        <v>-0.191405359008425</v>
      </c>
      <c r="AD145" s="16" t="n">
        <f aca="false">AA145-W145</f>
        <v>-0.0560955949280755</v>
      </c>
      <c r="AE145" s="16" t="n">
        <f aca="false">AB145-W145</f>
        <v>-0.18580891734257</v>
      </c>
      <c r="AF145" s="16" t="n">
        <f aca="false">AE145-X145</f>
        <v>-0.452616840890628</v>
      </c>
      <c r="AG145" s="16" t="n">
        <f aca="false">AF145-p_spc_lo*Y145/1000</f>
        <v>-0.699264055343551</v>
      </c>
      <c r="AH145" s="16" t="n">
        <f aca="false">AF145-p_spc_hi*Y145/1000</f>
        <v>-0.945911269796473</v>
      </c>
      <c r="AI145" s="16" t="n">
        <f aca="false">Q145*J145</f>
        <v>1.20275853656701</v>
      </c>
      <c r="AJ145" s="16" t="n">
        <f aca="false">S145*J145</f>
        <v>1.22607704350807</v>
      </c>
      <c r="AK145" s="16" t="n">
        <f aca="false">T145*J145</f>
        <v>2.00028086576878</v>
      </c>
      <c r="AL145" s="16" t="n">
        <f aca="false">U145*J145</f>
        <v>1.11169968145025</v>
      </c>
      <c r="AM145" s="16" t="n">
        <f aca="false">AI145-AJ145</f>
        <v>-0.0233185069410653</v>
      </c>
      <c r="AN145" s="16" t="n">
        <f aca="false">J145*Country_Data!$EB$25</f>
        <v>17.9921808789708</v>
      </c>
      <c r="AO145" s="16" t="n">
        <f aca="false">L145*Country_Data!$EB$25</f>
        <v>4.31812341095299</v>
      </c>
    </row>
    <row r="146" customFormat="false" ht="15" hidden="false" customHeight="false" outlineLevel="0" collapsed="false">
      <c r="A146" s="14" t="str">
        <f aca="false">Country_Data!$A$25</f>
        <v>POL</v>
      </c>
      <c r="B146" s="14" t="str">
        <f aca="false">Country_Data!$E$25</f>
        <v>EMDC</v>
      </c>
      <c r="C146" s="35" t="s">
        <v>470</v>
      </c>
      <c r="D146" s="37" t="n">
        <f aca="false">IF(Country_Data!$BZ$25="","",Country_Data!$BZ$25)</f>
        <v>202.330470357963</v>
      </c>
      <c r="E146" s="40" t="n">
        <f aca="false">Country_Data!$BW$25</f>
        <v>1911.834</v>
      </c>
      <c r="F146" s="41" t="n">
        <f aca="false">Country_Data!$BX$25</f>
        <v>0.47997001831749</v>
      </c>
      <c r="G146" s="42" t="n">
        <f aca="false">IF(D146="","",D146/SUMIFS($D$5:$D$1369,$B$5:$B$1369,B146,$C$5:$C$1369,C146))</f>
        <v>0.0230984785584475</v>
      </c>
      <c r="H146" s="42" t="n">
        <f aca="false">E146/SUMIFS($E$5:$E$1369,$B$5:$B$1369,B146,$C$5:$C$1369,C146)</f>
        <v>0.0236812739055161</v>
      </c>
      <c r="I146" s="43" t="n">
        <f aca="false">IF(G146="",H146,p_beta_alloc*G146+(1-p_beta_alloc)*H146)*F146^p_phi</f>
        <v>0.0162044755022404</v>
      </c>
      <c r="J146" s="16" t="n">
        <f aca="false">INDEX(Sector_Params!$C$17:$E$17,MATCH(B146,Sector_Params!$C$15:$E$15,0))*I146/SUMIFS($I$5:$I$1369,$B$5:$B$1369,B146,$C$5:$C$1369,C146)</f>
        <v>10.7474602454677</v>
      </c>
      <c r="K146" s="28" t="n">
        <f aca="false">INDEX(Sector_Params!$F$6:$H$6,MATCH(B146,Sector_Params!$C$15:$E$15,0))</f>
        <v>0.24</v>
      </c>
      <c r="L146" s="16" t="n">
        <f aca="false">J146*K146</f>
        <v>2.57939045891225</v>
      </c>
      <c r="M146" s="44" t="n">
        <f aca="false">Country_Data!$DW$25+Sector_Params!$E$6</f>
        <v>0.05799</v>
      </c>
      <c r="N146" s="44" t="n">
        <f aca="false">Country_Data!$DX$25+Sector_Params!$E$6</f>
        <v>0.10299</v>
      </c>
      <c r="O146" s="11" t="n">
        <f aca="false">IF(p_use_ibrd=1,p_r_ibrd,p_r_wb)</f>
        <v>0.06</v>
      </c>
      <c r="P146" s="45" t="n">
        <f aca="false">Sector_Params!$D$6</f>
        <v>40</v>
      </c>
      <c r="Q146" s="46" t="n">
        <f aca="false">M146/(1-(1+M146)^-P146)</f>
        <v>0.0647853931129816</v>
      </c>
      <c r="R146" s="46" t="n">
        <f aca="false">N146/(1-(1+N146)^-P146)</f>
        <v>0.105072700851577</v>
      </c>
      <c r="S146" s="46" t="n">
        <f aca="false">O146/(1-(1+O146)^-P146)</f>
        <v>0.0664615359206755</v>
      </c>
      <c r="T146" s="37" t="n">
        <f aca="false">p_grid_credit*IF(AND(p_eng=1,ISNUMBER(Country_Data!$CZ$25)),Country_Data!$CZ$25,Country_Data!$CM$25)*Sector_Params!$I$6</f>
        <v>0</v>
      </c>
      <c r="U146" s="37" t="n">
        <f aca="false">p_grid_credit*IF(AND(p_eng=1,ISNUMBER(Country_Data!$DA$25)),Country_Data!$DA$25,Country_Data!$CN$25)*Sector_Params!$J$6</f>
        <v>0</v>
      </c>
      <c r="V146" s="37" t="n">
        <f aca="false">p_grid_credit*IF(AND(p_eng=1,ISNUMBER(Country_Data!$DB$25)),Country_Data!$DB$25,p_a)</f>
        <v>0</v>
      </c>
      <c r="W146" s="16" t="n">
        <f aca="false">T146*L146</f>
        <v>0</v>
      </c>
      <c r="X146" s="16" t="n">
        <f aca="false">U146*L146</f>
        <v>0</v>
      </c>
      <c r="Y146" s="16" t="n">
        <f aca="false">V146*L146</f>
        <v>0</v>
      </c>
      <c r="Z146" s="16" t="n">
        <f aca="false">Q146*L146</f>
        <v>0.167106824872504</v>
      </c>
      <c r="AA146" s="16" t="n">
        <f aca="false">R146*L146</f>
        <v>0.2710235220687</v>
      </c>
      <c r="AB146" s="16" t="n">
        <f aca="false">S146*L146</f>
        <v>0.171430251638444</v>
      </c>
      <c r="AC146" s="16" t="n">
        <f aca="false">Z146-W146</f>
        <v>0.167106824872504</v>
      </c>
      <c r="AD146" s="16" t="n">
        <f aca="false">AA146-W146</f>
        <v>0.2710235220687</v>
      </c>
      <c r="AE146" s="16" t="n">
        <f aca="false">AB146-W146</f>
        <v>0.171430251638444</v>
      </c>
      <c r="AF146" s="16" t="n">
        <f aca="false">AE146-X146</f>
        <v>0.171430251638444</v>
      </c>
      <c r="AG146" s="16" t="n">
        <f aca="false">AF146-p_spc_lo*Y146/1000</f>
        <v>0.171430251638444</v>
      </c>
      <c r="AH146" s="16" t="n">
        <f aca="false">AF146-p_spc_hi*Y146/1000</f>
        <v>0.171430251638444</v>
      </c>
      <c r="AI146" s="16" t="n">
        <f aca="false">Q146*J146</f>
        <v>0.696278436968767</v>
      </c>
      <c r="AJ146" s="16" t="n">
        <f aca="false">S146*J146</f>
        <v>0.714292715160185</v>
      </c>
      <c r="AK146" s="16" t="n">
        <f aca="false">T146*J146</f>
        <v>0</v>
      </c>
      <c r="AL146" s="16" t="n">
        <f aca="false">U146*J146</f>
        <v>0</v>
      </c>
      <c r="AM146" s="16" t="n">
        <f aca="false">AI146-AJ146</f>
        <v>-0.0180142781914173</v>
      </c>
      <c r="AN146" s="16" t="n">
        <f aca="false">J146*Country_Data!$EB$25</f>
        <v>12.3374954598657</v>
      </c>
      <c r="AO146" s="16" t="n">
        <f aca="false">L146*Country_Data!$EB$25</f>
        <v>2.96099891036776</v>
      </c>
    </row>
    <row r="147" customFormat="false" ht="15" hidden="false" customHeight="false" outlineLevel="0" collapsed="false">
      <c r="A147" s="14" t="str">
        <f aca="false">Country_Data!$A$25</f>
        <v>POL</v>
      </c>
      <c r="B147" s="14" t="str">
        <f aca="false">Country_Data!$E$25</f>
        <v>EMDC</v>
      </c>
      <c r="C147" s="35" t="s">
        <v>473</v>
      </c>
      <c r="D147" s="37" t="n">
        <f aca="false">IF(Country_Data!$CA$25="","",Country_Data!$CA$25)</f>
        <v>1.05585196188735</v>
      </c>
      <c r="E147" s="40" t="n">
        <f aca="false">Country_Data!$BW$25</f>
        <v>1911.834</v>
      </c>
      <c r="F147" s="41" t="n">
        <f aca="false">Country_Data!$BX$25</f>
        <v>0.47997001831749</v>
      </c>
      <c r="G147" s="42" t="n">
        <f aca="false">IF(D147="","",D147/SUMIFS($D$5:$D$1369,$B$5:$B$1369,B147,$C$5:$C$1369,C147))</f>
        <v>0.0243926369855726</v>
      </c>
      <c r="H147" s="42" t="n">
        <f aca="false">E147/SUMIFS($E$5:$E$1369,$B$5:$B$1369,B147,$C$5:$C$1369,C147)</f>
        <v>0.0236812739055161</v>
      </c>
      <c r="I147" s="43" t="n">
        <f aca="false">IF(G147="",H147,p_beta_alloc*G147+(1-p_beta_alloc)*H147)*F147^p_phi</f>
        <v>0.0166527711306647</v>
      </c>
      <c r="J147" s="16" t="n">
        <f aca="false">INDEX(Sector_Params!$C$18:$E$18,MATCH(B147,Sector_Params!$C$15:$E$15,0))*I147/SUMIFS($I$5:$I$1369,$B$5:$B$1369,B147,$C$5:$C$1369,C147)</f>
        <v>6.81891575322039</v>
      </c>
      <c r="K147" s="28" t="n">
        <f aca="false">INDEX(Sector_Params!$F$7:$H$7,MATCH(B147,Sector_Params!$C$15:$E$15,0))</f>
        <v>0.24</v>
      </c>
      <c r="L147" s="16" t="n">
        <f aca="false">J147*K147</f>
        <v>1.63653978077289</v>
      </c>
      <c r="M147" s="44" t="n">
        <f aca="false">Country_Data!$DW$25+Sector_Params!$E$7</f>
        <v>0.05799</v>
      </c>
      <c r="N147" s="44" t="n">
        <f aca="false">Country_Data!$DX$25+Sector_Params!$E$7</f>
        <v>0.10299</v>
      </c>
      <c r="O147" s="11" t="n">
        <f aca="false">IF(p_use_ibrd=1,p_r_ibrd,p_r_wb)</f>
        <v>0.06</v>
      </c>
      <c r="P147" s="45" t="n">
        <f aca="false">Sector_Params!$D$7</f>
        <v>12</v>
      </c>
      <c r="Q147" s="46" t="n">
        <f aca="false">M147/(1-(1+M147)^-P147)</f>
        <v>0.117966169101364</v>
      </c>
      <c r="R147" s="46" t="n">
        <f aca="false">N147/(1-(1+N147)^-P147)</f>
        <v>0.148919645494846</v>
      </c>
      <c r="S147" s="46" t="n">
        <f aca="false">O147/(1-(1+O147)^-P147)</f>
        <v>0.119277029380664</v>
      </c>
      <c r="T147" s="37" t="n">
        <f aca="false">IF(AND(p_eng=1,ISNUMBER(Country_Data!$DE$25)),Country_Data!$DE$25,Country_Data!$CM$25)*Sector_Params!$I$7</f>
        <v>0.25734924</v>
      </c>
      <c r="U147" s="37" t="n">
        <f aca="false">IF(AND(p_eng=1,ISNUMBER(Country_Data!$DF$25)),Country_Data!$DF$25,Country_Data!$CN$25)*Sector_Params!$J$7</f>
        <v>0.0208188</v>
      </c>
      <c r="V147" s="37" t="n">
        <f aca="false">IF(AND(p_eng=1,ISNUMBER(Country_Data!$DG$25)),Country_Data!$DG$25,p_a)</f>
        <v>0.225544013443041</v>
      </c>
      <c r="W147" s="16" t="n">
        <f aca="false">T147*L147</f>
        <v>0.421162268811671</v>
      </c>
      <c r="X147" s="16" t="n">
        <f aca="false">U147*L147</f>
        <v>0.0340707943879547</v>
      </c>
      <c r="Y147" s="16" t="n">
        <f aca="false">V147*L147</f>
        <v>0.369111750314713</v>
      </c>
      <c r="Z147" s="16" t="n">
        <f aca="false">Q147*L147</f>
        <v>0.193056328519765</v>
      </c>
      <c r="AA147" s="16" t="n">
        <f aca="false">R147*L147</f>
        <v>0.243712923990912</v>
      </c>
      <c r="AB147" s="16" t="n">
        <f aca="false">S147*L147</f>
        <v>0.195201603513873</v>
      </c>
      <c r="AC147" s="16" t="n">
        <f aca="false">Z147-W147</f>
        <v>-0.228105940291906</v>
      </c>
      <c r="AD147" s="16" t="n">
        <f aca="false">AA147-W147</f>
        <v>-0.177449344820759</v>
      </c>
      <c r="AE147" s="16" t="n">
        <f aca="false">AB147-W147</f>
        <v>-0.225960665297798</v>
      </c>
      <c r="AF147" s="16" t="n">
        <f aca="false">AE147-X147</f>
        <v>-0.260031459685752</v>
      </c>
      <c r="AG147" s="16" t="n">
        <f aca="false">AF147-p_spc_lo*Y147/1000</f>
        <v>-0.278487047201488</v>
      </c>
      <c r="AH147" s="16" t="n">
        <f aca="false">AF147-p_spc_hi*Y147/1000</f>
        <v>-0.296942634717224</v>
      </c>
      <c r="AI147" s="16" t="n">
        <f aca="false">Q147*J147</f>
        <v>0.804401368832353</v>
      </c>
      <c r="AJ147" s="16" t="n">
        <f aca="false">S147*J147</f>
        <v>0.813340014641138</v>
      </c>
      <c r="AK147" s="16" t="n">
        <f aca="false">T147*J147</f>
        <v>1.75484278671529</v>
      </c>
      <c r="AL147" s="16" t="n">
        <f aca="false">U147*J147</f>
        <v>0.141961643283145</v>
      </c>
      <c r="AM147" s="16" t="n">
        <f aca="false">AI147-AJ147</f>
        <v>-0.00893864580878523</v>
      </c>
      <c r="AN147" s="16" t="n">
        <f aca="false">J147*Country_Data!$EB$25</f>
        <v>7.82774164547765</v>
      </c>
      <c r="AO147" s="16" t="n">
        <f aca="false">L147*Country_Data!$EB$25</f>
        <v>1.87865799491464</v>
      </c>
    </row>
    <row r="148" customFormat="false" ht="15" hidden="false" customHeight="false" outlineLevel="0" collapsed="false">
      <c r="A148" s="14" t="str">
        <f aca="false">Country_Data!$A$25</f>
        <v>POL</v>
      </c>
      <c r="B148" s="14" t="str">
        <f aca="false">Country_Data!$E$25</f>
        <v>EMDC</v>
      </c>
      <c r="C148" s="35" t="s">
        <v>477</v>
      </c>
      <c r="D148" s="37" t="n">
        <f aca="false">IF(Country_Data!$CB$25="","",Country_Data!$CB$25)</f>
        <v>0.918246043001159</v>
      </c>
      <c r="E148" s="40" t="n">
        <f aca="false">Country_Data!$BW$25</f>
        <v>1911.834</v>
      </c>
      <c r="F148" s="41" t="n">
        <f aca="false">Country_Data!$BX$25</f>
        <v>0.47997001831749</v>
      </c>
      <c r="G148" s="42" t="n">
        <f aca="false">IF(D148="","",D148/SUMIFS($D$5:$D$1369,$B$5:$B$1369,B148,$C$5:$C$1369,C148))</f>
        <v>0.0289550937953181</v>
      </c>
      <c r="H148" s="42" t="n">
        <f aca="false">E148/SUMIFS($E$5:$E$1369,$B$5:$B$1369,B148,$C$5:$C$1369,C148)</f>
        <v>0.0236812739055161</v>
      </c>
      <c r="I148" s="43" t="n">
        <f aca="false">IF(G148="",H148,p_beta_alloc*G148+(1-p_beta_alloc)*H148)*F148^p_phi</f>
        <v>0.0182332031703704</v>
      </c>
      <c r="J148" s="16" t="n">
        <f aca="false">INDEX(Sector_Params!$C$19:$E$19,MATCH(B148,Sector_Params!$C$15:$E$15,0))*I148/SUMIFS($I$5:$I$1369,$B$5:$B$1369,B148,$C$5:$C$1369,C148)</f>
        <v>5.86858611539215</v>
      </c>
      <c r="K148" s="28" t="n">
        <f aca="false">INDEX(Sector_Params!$F$8:$H$8,MATCH(B148,Sector_Params!$C$15:$E$15,0))</f>
        <v>0.24</v>
      </c>
      <c r="L148" s="16" t="n">
        <f aca="false">J148*K148</f>
        <v>1.40846066769411</v>
      </c>
      <c r="M148" s="44" t="n">
        <f aca="false">Country_Data!$DW$25+Sector_Params!$E$8</f>
        <v>0.05799</v>
      </c>
      <c r="N148" s="44" t="n">
        <f aca="false">Country_Data!$DX$25+Sector_Params!$E$8</f>
        <v>0.10299</v>
      </c>
      <c r="O148" s="11" t="n">
        <f aca="false">IF(p_use_ibrd=1,p_r_ibrd,p_r_wb)</f>
        <v>0.06</v>
      </c>
      <c r="P148" s="45" t="n">
        <f aca="false">Sector_Params!$D$8</f>
        <v>25</v>
      </c>
      <c r="Q148" s="46" t="n">
        <f aca="false">M148/(1-(1+M148)^-P148)</f>
        <v>0.0767389403591054</v>
      </c>
      <c r="R148" s="46" t="n">
        <f aca="false">N148/(1-(1+N148)^-P148)</f>
        <v>0.112710166780426</v>
      </c>
      <c r="S148" s="46" t="n">
        <f aca="false">O148/(1-(1+O148)^-P148)</f>
        <v>0.078226718212274</v>
      </c>
      <c r="T148" s="37" t="n">
        <f aca="false">Country_Data!$CM$25*Sector_Params!$I$8</f>
        <v>0.158067082859587</v>
      </c>
      <c r="U148" s="37" t="n">
        <f aca="false">Country_Data!$CN$25*Sector_Params!$J$8</f>
        <v>0.266129861763703</v>
      </c>
      <c r="V148" s="37" t="n">
        <f aca="false">p_a</f>
        <v>0.35</v>
      </c>
      <c r="W148" s="16" t="n">
        <f aca="false">T148*L148</f>
        <v>0.222631269064875</v>
      </c>
      <c r="X148" s="16" t="n">
        <f aca="false">U148*L148</f>
        <v>0.374833442793047</v>
      </c>
      <c r="Y148" s="16" t="n">
        <f aca="false">V148*L148</f>
        <v>0.49296123369294</v>
      </c>
      <c r="Z148" s="16" t="n">
        <f aca="false">Q148*L148</f>
        <v>0.108083779176324</v>
      </c>
      <c r="AA148" s="16" t="n">
        <f aca="false">R148*L148</f>
        <v>0.158747836759473</v>
      </c>
      <c r="AB148" s="16" t="n">
        <f aca="false">S148*L148</f>
        <v>0.110179255764779</v>
      </c>
      <c r="AC148" s="16" t="n">
        <f aca="false">Z148-W148</f>
        <v>-0.114547489888551</v>
      </c>
      <c r="AD148" s="16" t="n">
        <f aca="false">AA148-W148</f>
        <v>-0.0638834323054019</v>
      </c>
      <c r="AE148" s="16" t="n">
        <f aca="false">AB148-W148</f>
        <v>-0.112452013300096</v>
      </c>
      <c r="AF148" s="16" t="n">
        <f aca="false">AE148-X148</f>
        <v>-0.487285456093143</v>
      </c>
      <c r="AG148" s="16" t="n">
        <f aca="false">AF148-p_spc_lo*Y148/1000</f>
        <v>-0.51193351777779</v>
      </c>
      <c r="AH148" s="16" t="n">
        <f aca="false">AF148-p_spc_hi*Y148/1000</f>
        <v>-0.536581579462437</v>
      </c>
      <c r="AI148" s="16" t="n">
        <f aca="false">Q148*J148</f>
        <v>0.450349079901352</v>
      </c>
      <c r="AJ148" s="16" t="n">
        <f aca="false">S148*J148</f>
        <v>0.459080232353245</v>
      </c>
      <c r="AK148" s="16" t="n">
        <f aca="false">T148*J148</f>
        <v>0.927630287770313</v>
      </c>
      <c r="AL148" s="16" t="n">
        <f aca="false">U148*J148</f>
        <v>1.5618060116377</v>
      </c>
      <c r="AM148" s="16" t="n">
        <f aca="false">AI148-AJ148</f>
        <v>-0.00873115245189277</v>
      </c>
      <c r="AN148" s="16" t="n">
        <f aca="false">J148*Country_Data!$EB$25</f>
        <v>6.7368152941077</v>
      </c>
      <c r="AO148" s="16" t="n">
        <f aca="false">L148*Country_Data!$EB$25</f>
        <v>1.61683567058585</v>
      </c>
    </row>
    <row r="149" customFormat="false" ht="15" hidden="false" customHeight="false" outlineLevel="0" collapsed="false">
      <c r="A149" s="14" t="str">
        <f aca="false">Country_Data!$A$25</f>
        <v>POL</v>
      </c>
      <c r="B149" s="14" t="str">
        <f aca="false">Country_Data!$E$25</f>
        <v>EMDC</v>
      </c>
      <c r="C149" s="35" t="s">
        <v>481</v>
      </c>
      <c r="D149" s="37" t="n">
        <f aca="false">IF(Country_Data!$CC$25="","",Country_Data!$CC$25)</f>
        <v>1.26514797695287</v>
      </c>
      <c r="E149" s="40" t="n">
        <f aca="false">Country_Data!$BW$25</f>
        <v>1911.834</v>
      </c>
      <c r="F149" s="41" t="n">
        <f aca="false">Country_Data!$BX$25</f>
        <v>0.47997001831749</v>
      </c>
      <c r="G149" s="42" t="n">
        <f aca="false">IF(D149="","",D149/SUMIFS($D$5:$D$1369,$B$5:$B$1369,B149,$C$5:$C$1369,C149))</f>
        <v>0.0180716688761812</v>
      </c>
      <c r="H149" s="42" t="n">
        <f aca="false">E149/SUMIFS($E$5:$E$1369,$B$5:$B$1369,B149,$C$5:$C$1369,C149)</f>
        <v>0.0236812739055161</v>
      </c>
      <c r="I149" s="43" t="n">
        <f aca="false">IF(G149="",H149,p_beta_alloc*G149+(1-p_beta_alloc)*H149)*F149^p_phi</f>
        <v>0.0144631919327418</v>
      </c>
      <c r="J149" s="16" t="n">
        <f aca="false">INDEX(Sector_Params!$C$20:$E$20,MATCH(B149,Sector_Params!$C$15:$E$15,0))*I149/SUMIFS($I$5:$I$1369,$B$5:$B$1369,B149,$C$5:$C$1369,C149)</f>
        <v>2.63982378295755</v>
      </c>
      <c r="K149" s="28" t="n">
        <f aca="false">INDEX(Sector_Params!$F$9:$H$9,MATCH(B149,Sector_Params!$C$15:$E$15,0))</f>
        <v>0.24</v>
      </c>
      <c r="L149" s="16" t="n">
        <f aca="false">J149*K149</f>
        <v>0.633557707909811</v>
      </c>
      <c r="M149" s="44" t="n">
        <f aca="false">Country_Data!$DW$25+Sector_Params!$E$9</f>
        <v>0.05799</v>
      </c>
      <c r="N149" s="44" t="n">
        <f aca="false">Country_Data!$DX$25+Sector_Params!$E$9</f>
        <v>0.10299</v>
      </c>
      <c r="O149" s="11" t="n">
        <f aca="false">IF(p_use_ibrd=1,p_r_ibrd,p_r_wb)</f>
        <v>0.06</v>
      </c>
      <c r="P149" s="45" t="n">
        <f aca="false">Sector_Params!$D$9</f>
        <v>25</v>
      </c>
      <c r="Q149" s="46" t="n">
        <f aca="false">M149/(1-(1+M149)^-P149)</f>
        <v>0.0767389403591054</v>
      </c>
      <c r="R149" s="46" t="n">
        <f aca="false">N149/(1-(1+N149)^-P149)</f>
        <v>0.112710166780426</v>
      </c>
      <c r="S149" s="46" t="n">
        <f aca="false">O149/(1-(1+O149)^-P149)</f>
        <v>0.078226718212274</v>
      </c>
      <c r="T149" s="37" t="n">
        <f aca="false">Country_Data!$CM$25*Sector_Params!$I$9</f>
        <v>0.158067082859587</v>
      </c>
      <c r="U149" s="37" t="n">
        <f aca="false">Country_Data!$CN$25*Sector_Params!$J$9</f>
        <v>0.266129861763703</v>
      </c>
      <c r="V149" s="37" t="n">
        <f aca="false">p_a</f>
        <v>0.35</v>
      </c>
      <c r="W149" s="16" t="n">
        <f aca="false">T149*L149</f>
        <v>0.10014461871251</v>
      </c>
      <c r="X149" s="16" t="n">
        <f aca="false">U149*L149</f>
        <v>0.168608625225366</v>
      </c>
      <c r="Y149" s="16" t="n">
        <f aca="false">V149*L149</f>
        <v>0.221745197768434</v>
      </c>
      <c r="Z149" s="16" t="n">
        <f aca="false">Q149*L149</f>
        <v>0.0486185471613425</v>
      </c>
      <c r="AA149" s="16" t="n">
        <f aca="false">R149*L149</f>
        <v>0.071408394923539</v>
      </c>
      <c r="AB149" s="16" t="n">
        <f aca="false">S149*L149</f>
        <v>0.049561140287875</v>
      </c>
      <c r="AC149" s="16" t="n">
        <f aca="false">Z149-W149</f>
        <v>-0.0515260715511677</v>
      </c>
      <c r="AD149" s="16" t="n">
        <f aca="false">AA149-W149</f>
        <v>-0.0287362237889713</v>
      </c>
      <c r="AE149" s="16" t="n">
        <f aca="false">AB149-W149</f>
        <v>-0.0505834784246353</v>
      </c>
      <c r="AF149" s="16" t="n">
        <f aca="false">AE149-X149</f>
        <v>-0.219192103650002</v>
      </c>
      <c r="AG149" s="16" t="n">
        <f aca="false">AF149-p_spc_lo*Y149/1000</f>
        <v>-0.230279363538423</v>
      </c>
      <c r="AH149" s="16" t="n">
        <f aca="false">AF149-p_spc_hi*Y149/1000</f>
        <v>-0.241366623426845</v>
      </c>
      <c r="AI149" s="16" t="n">
        <f aca="false">Q149*J149</f>
        <v>0.202577279838927</v>
      </c>
      <c r="AJ149" s="16" t="n">
        <f aca="false">S149*J149</f>
        <v>0.206504751199479</v>
      </c>
      <c r="AK149" s="16" t="n">
        <f aca="false">T149*J149</f>
        <v>0.417269244635459</v>
      </c>
      <c r="AL149" s="16" t="n">
        <f aca="false">U149*J149</f>
        <v>0.702535938439026</v>
      </c>
      <c r="AM149" s="16" t="n">
        <f aca="false">AI149-AJ149</f>
        <v>-0.0039274713605518</v>
      </c>
      <c r="AN149" s="16" t="n">
        <f aca="false">J149*Country_Data!$EB$25</f>
        <v>3.03037305495675</v>
      </c>
      <c r="AO149" s="16" t="n">
        <f aca="false">L149*Country_Data!$EB$25</f>
        <v>0.727289533189619</v>
      </c>
    </row>
    <row r="150" customFormat="false" ht="15" hidden="false" customHeight="false" outlineLevel="0" collapsed="false">
      <c r="A150" s="14" t="str">
        <f aca="false">Country_Data!$A$25</f>
        <v>POL</v>
      </c>
      <c r="B150" s="14" t="str">
        <f aca="false">Country_Data!$E$25</f>
        <v>EMDC</v>
      </c>
      <c r="C150" s="35" t="s">
        <v>484</v>
      </c>
      <c r="D150" s="37" t="n">
        <f aca="false">IF(Country_Data!$CD$25="","",Country_Data!$CD$25)</f>
        <v>4.01258888839055</v>
      </c>
      <c r="E150" s="40" t="n">
        <f aca="false">Country_Data!$BW$25</f>
        <v>1911.834</v>
      </c>
      <c r="F150" s="41" t="n">
        <f aca="false">Country_Data!$BX$25</f>
        <v>0.47997001831749</v>
      </c>
      <c r="G150" s="42" t="n">
        <f aca="false">IF(D150="","",D150/SUMIFS($D$5:$D$1369,$B$5:$B$1369,B150,$C$5:$C$1369,C150))</f>
        <v>0.0224077622290527</v>
      </c>
      <c r="H150" s="42" t="n">
        <f aca="false">E150/SUMIFS($E$5:$E$1369,$B$5:$B$1369,B150,$C$5:$C$1369,C150)</f>
        <v>0.0236812739055161</v>
      </c>
      <c r="I150" s="43" t="n">
        <f aca="false">IF(G150="",H150,p_beta_alloc*G150+(1-p_beta_alloc)*H150)*F150^p_phi</f>
        <v>0.0159652118197894</v>
      </c>
      <c r="J150" s="16" t="n">
        <f aca="false">INDEX(Sector_Params!$C$21:$E$21,MATCH(B150,Sector_Params!$C$15:$E$15,0))*I150/SUMIFS($I$5:$I$1369,$B$5:$B$1369,B150,$C$5:$C$1369,C150)</f>
        <v>3.54092155567438</v>
      </c>
      <c r="K150" s="28" t="n">
        <f aca="false">INDEX(Sector_Params!$F$10:$H$10,MATCH(B150,Sector_Params!$C$15:$E$15,0))</f>
        <v>0.24</v>
      </c>
      <c r="L150" s="16" t="n">
        <f aca="false">J150*K150</f>
        <v>0.849821173361851</v>
      </c>
      <c r="M150" s="44" t="n">
        <f aca="false">Country_Data!$DW$25+Sector_Params!$E$10</f>
        <v>0.05799</v>
      </c>
      <c r="N150" s="44" t="n">
        <f aca="false">Country_Data!$DX$25+Sector_Params!$E$10</f>
        <v>0.10299</v>
      </c>
      <c r="O150" s="11" t="n">
        <f aca="false">IF(p_use_ibrd=1,p_r_ibrd,p_r_wb)</f>
        <v>0.06</v>
      </c>
      <c r="P150" s="45" t="n">
        <f aca="false">Sector_Params!$D$10</f>
        <v>20</v>
      </c>
      <c r="Q150" s="46" t="n">
        <f aca="false">M150/(1-(1+M150)^-P150)</f>
        <v>0.0857673428360592</v>
      </c>
      <c r="R150" s="46" t="n">
        <f aca="false">N150/(1-(1+N150)^-P150)</f>
        <v>0.119865773674393</v>
      </c>
      <c r="S150" s="46" t="n">
        <f aca="false">O150/(1-(1+O150)^-P150)</f>
        <v>0.0871845569768514</v>
      </c>
      <c r="T150" s="37" t="n">
        <f aca="false">0*Sector_Params!$I$10</f>
        <v>0</v>
      </c>
      <c r="U150" s="37" t="n">
        <f aca="false">0*Sector_Params!$J$10</f>
        <v>0</v>
      </c>
      <c r="V150" s="37" t="n">
        <f aca="false">1000*p_r_wb/(1-(1+p_r_wb)^-Sector_Params!$D$10)/p_cpt_fuel</f>
        <v>0.871845569768514</v>
      </c>
      <c r="W150" s="16" t="n">
        <f aca="false">T150*L150</f>
        <v>0</v>
      </c>
      <c r="X150" s="16" t="n">
        <f aca="false">U150*L150</f>
        <v>0</v>
      </c>
      <c r="Y150" s="16" t="n">
        <f aca="false">V150*L150</f>
        <v>0.74091282509101</v>
      </c>
      <c r="Z150" s="16" t="n">
        <f aca="false">Q150*L150</f>
        <v>0.072886903925068</v>
      </c>
      <c r="AA150" s="16" t="n">
        <f aca="false">R150*L150</f>
        <v>0.101864472429899</v>
      </c>
      <c r="AB150" s="16" t="n">
        <f aca="false">S150*L150</f>
        <v>0.074091282509101</v>
      </c>
      <c r="AC150" s="16" t="n">
        <f aca="false">Z150-W150</f>
        <v>0.072886903925068</v>
      </c>
      <c r="AD150" s="16" t="n">
        <f aca="false">AA150-W150</f>
        <v>0.101864472429899</v>
      </c>
      <c r="AE150" s="16" t="n">
        <f aca="false">AB150-W150</f>
        <v>0.074091282509101</v>
      </c>
      <c r="AF150" s="16" t="n">
        <f aca="false">AE150-X150</f>
        <v>0.074091282509101</v>
      </c>
      <c r="AG150" s="16" t="n">
        <f aca="false">AF150-p_spc_lo*Y150/1000</f>
        <v>0.0370456412545505</v>
      </c>
      <c r="AH150" s="16" t="n">
        <f aca="false">AF150-p_spc_hi*Y150/1000</f>
        <v>0</v>
      </c>
      <c r="AI150" s="16" t="n">
        <f aca="false">Q150*J150</f>
        <v>0.303695433021117</v>
      </c>
      <c r="AJ150" s="16" t="n">
        <f aca="false">S150*J150</f>
        <v>0.308713677121254</v>
      </c>
      <c r="AK150" s="16" t="n">
        <f aca="false">T150*J150</f>
        <v>0</v>
      </c>
      <c r="AL150" s="16" t="n">
        <f aca="false">U150*J150</f>
        <v>0</v>
      </c>
      <c r="AM150" s="16" t="n">
        <f aca="false">AI150-AJ150</f>
        <v>-0.00501824410013763</v>
      </c>
      <c r="AN150" s="16" t="n">
        <f aca="false">J150*Country_Data!$EB$25</f>
        <v>4.06478392281525</v>
      </c>
      <c r="AO150" s="16" t="n">
        <f aca="false">L150*Country_Data!$EB$25</f>
        <v>0.975548141475659</v>
      </c>
    </row>
    <row r="151" customFormat="false" ht="15" hidden="false" customHeight="false" outlineLevel="0" collapsed="false">
      <c r="A151" s="14" t="str">
        <f aca="false">Country_Data!$A$25</f>
        <v>POL</v>
      </c>
      <c r="B151" s="14" t="str">
        <f aca="false">Country_Data!$E$25</f>
        <v>EMDC</v>
      </c>
      <c r="C151" s="35" t="s">
        <v>488</v>
      </c>
      <c r="D151" s="37" t="n">
        <f aca="false">IF(Country_Data!$CE$25="","",Country_Data!$CE$25)</f>
        <v>70.2</v>
      </c>
      <c r="E151" s="40" t="n">
        <f aca="false">Country_Data!$BW$25</f>
        <v>1911.834</v>
      </c>
      <c r="F151" s="41" t="n">
        <f aca="false">Country_Data!$BX$25</f>
        <v>0.47997001831749</v>
      </c>
      <c r="G151" s="42" t="n">
        <f aca="false">IF(D151="","",D151/SUMIFS($D$5:$D$1369,$B$5:$B$1369,B151,$C$5:$C$1369,C151))</f>
        <v>0.00575216054263686</v>
      </c>
      <c r="H151" s="42" t="n">
        <f aca="false">E151/SUMIFS($E$5:$E$1369,$B$5:$B$1369,B151,$C$5:$C$1369,C151)</f>
        <v>0.0236812739055161</v>
      </c>
      <c r="I151" s="43" t="n">
        <f aca="false">IF(G151="",H151,p_beta_alloc*G151+(1-p_beta_alloc)*H151)*F151^p_phi</f>
        <v>0.0101957223443906</v>
      </c>
      <c r="J151" s="16" t="n">
        <f aca="false">INDEX(Sector_Params!$C$22:$E$22,MATCH(B151,Sector_Params!$C$15:$E$15,0))*I151/SUMIFS($I$5:$I$1369,$B$5:$B$1369,B151,$C$5:$C$1369,C151)</f>
        <v>6.14606695314948</v>
      </c>
      <c r="K151" s="28" t="n">
        <f aca="false">INDEX(Sector_Params!$F$11:$H$11,MATCH(B151,Sector_Params!$C$15:$E$15,0))</f>
        <v>0.24</v>
      </c>
      <c r="L151" s="16" t="n">
        <f aca="false">J151*K151</f>
        <v>1.47505606875588</v>
      </c>
      <c r="M151" s="44" t="n">
        <f aca="false">Country_Data!$DW$25+Sector_Params!$E$11</f>
        <v>0.05799</v>
      </c>
      <c r="N151" s="44" t="n">
        <f aca="false">Country_Data!$DX$25+Sector_Params!$E$11</f>
        <v>0.10299</v>
      </c>
      <c r="O151" s="11" t="n">
        <f aca="false">IF(p_use_ibrd=1,p_r_ibrd,p_r_wb)</f>
        <v>0.06</v>
      </c>
      <c r="P151" s="45" t="n">
        <f aca="false">Sector_Params!$D$11</f>
        <v>30</v>
      </c>
      <c r="Q151" s="46" t="n">
        <f aca="false">M151/(1-(1+M151)^-P151)</f>
        <v>0.0710933408694862</v>
      </c>
      <c r="R151" s="46" t="n">
        <f aca="false">N151/(1-(1+N151)^-P151)</f>
        <v>0.108734051423246</v>
      </c>
      <c r="S151" s="46" t="n">
        <f aca="false">O151/(1-(1+O151)^-P151)</f>
        <v>0.0726489114900472</v>
      </c>
      <c r="T151" s="37" t="n">
        <f aca="false">0*Sector_Params!$I$11</f>
        <v>0</v>
      </c>
      <c r="U151" s="37" t="n">
        <f aca="false">p_c*Sector_Params!$J$11</f>
        <v>0.129</v>
      </c>
      <c r="V151" s="37" t="n">
        <f aca="false">1000*p_r_wb/(1-(1+p_r_wb)^-Sector_Params!$D$11)/p_cpt_afolu</f>
        <v>1.45297822980094</v>
      </c>
      <c r="W151" s="16" t="n">
        <f aca="false">T151*L151</f>
        <v>0</v>
      </c>
      <c r="X151" s="16" t="n">
        <f aca="false">U151*L151</f>
        <v>0.190282232869508</v>
      </c>
      <c r="Y151" s="16" t="n">
        <f aca="false">V151*L151</f>
        <v>2.14322435563805</v>
      </c>
      <c r="Z151" s="16" t="n">
        <f aca="false">Q151*L151</f>
        <v>0.104866663897666</v>
      </c>
      <c r="AA151" s="16" t="n">
        <f aca="false">R151*L151</f>
        <v>0.160388822432273</v>
      </c>
      <c r="AB151" s="16" t="n">
        <f aca="false">S151*L151</f>
        <v>0.107161217781903</v>
      </c>
      <c r="AC151" s="16" t="n">
        <f aca="false">Z151-W151</f>
        <v>0.104866663897666</v>
      </c>
      <c r="AD151" s="16" t="n">
        <f aca="false">AA151-W151</f>
        <v>0.160388822432273</v>
      </c>
      <c r="AE151" s="16" t="n">
        <f aca="false">AB151-W151</f>
        <v>0.107161217781903</v>
      </c>
      <c r="AF151" s="16" t="n">
        <f aca="false">AE151-X151</f>
        <v>-0.0831210150876054</v>
      </c>
      <c r="AG151" s="16" t="n">
        <f aca="false">AF151-p_spc_lo*Y151/1000</f>
        <v>-0.190282232869508</v>
      </c>
      <c r="AH151" s="16" t="n">
        <f aca="false">AF151-p_spc_hi*Y151/1000</f>
        <v>-0.297443450651411</v>
      </c>
      <c r="AI151" s="16" t="n">
        <f aca="false">Q151*J151</f>
        <v>0.436944432906941</v>
      </c>
      <c r="AJ151" s="16" t="n">
        <f aca="false">S151*J151</f>
        <v>0.446505074091261</v>
      </c>
      <c r="AK151" s="16" t="n">
        <f aca="false">T151*J151</f>
        <v>0</v>
      </c>
      <c r="AL151" s="16" t="n">
        <f aca="false">U151*J151</f>
        <v>0.792842636956283</v>
      </c>
      <c r="AM151" s="16" t="n">
        <f aca="false">AI151-AJ151</f>
        <v>-0.00956064118432032</v>
      </c>
      <c r="AN151" s="16" t="n">
        <f aca="false">J151*Country_Data!$EB$25</f>
        <v>7.05534809142365</v>
      </c>
      <c r="AO151" s="16" t="n">
        <f aca="false">L151*Country_Data!$EB$25</f>
        <v>1.69328354194168</v>
      </c>
    </row>
    <row r="152" customFormat="false" ht="15" hidden="false" customHeight="false" outlineLevel="0" collapsed="false">
      <c r="A152" s="14" t="str">
        <f aca="false">Country_Data!$A$26</f>
        <v>TWN</v>
      </c>
      <c r="B152" s="14" t="str">
        <f aca="false">Country_Data!$E$26</f>
        <v>AE</v>
      </c>
      <c r="C152" s="35" t="s">
        <v>466</v>
      </c>
      <c r="D152" s="37" t="str">
        <f aca="false">IF(Country_Data!$BZ$26="","",Country_Data!$BZ$26)</f>
        <v/>
      </c>
      <c r="E152" s="40" t="n">
        <f aca="false">Country_Data!$BW$26</f>
        <v>1881.151</v>
      </c>
      <c r="F152" s="41" t="n">
        <f aca="false">Country_Data!$BX$26</f>
        <v>0.426066275381402</v>
      </c>
      <c r="G152" s="42" t="str">
        <f aca="false">IF(D152="","",D152/SUMIFS($D$5:$D$1369,$B$5:$B$1369,B152,$C$5:$C$1369,C152))</f>
        <v/>
      </c>
      <c r="H152" s="42" t="n">
        <f aca="false">E152/SUMIFS($E$5:$E$1369,$B$5:$B$1369,B152,$C$5:$C$1369,C152)</f>
        <v>0.0238467966428687</v>
      </c>
      <c r="I152" s="43" t="n">
        <f aca="false">IF(G152="",H152,p_beta_alloc*G152+(1-p_beta_alloc)*H152)*F152^p_phi</f>
        <v>0.0155656989986235</v>
      </c>
      <c r="J152" s="16" t="n">
        <f aca="false">INDEX(Sector_Params!$C$16:$E$16,MATCH(B152,Sector_Params!$C$15:$E$15,0))*I152/SUMIFS($I$5:$I$1369,$B$5:$B$1369,B152,$C$5:$C$1369,C152)</f>
        <v>13.961736536331</v>
      </c>
      <c r="K152" s="28" t="n">
        <f aca="false">INDEX(Sector_Params!$F$5:$H$5,MATCH(B152,Sector_Params!$C$15:$E$15,0))</f>
        <v>0.38</v>
      </c>
      <c r="L152" s="16" t="n">
        <f aca="false">J152*K152</f>
        <v>5.30545988380576</v>
      </c>
      <c r="M152" s="44" t="n">
        <f aca="false">Country_Data!$DW$26+Sector_Params!$E$5</f>
        <v>0.055</v>
      </c>
      <c r="N152" s="44" t="n">
        <f aca="false">Country_Data!$DX$26+Sector_Params!$E$5</f>
        <v>0.07</v>
      </c>
      <c r="O152" s="11" t="n">
        <f aca="false">IF(p_use_ibrd=1,p_r_ibrd,p_r_wb)</f>
        <v>0.06</v>
      </c>
      <c r="P152" s="45" t="n">
        <f aca="false">Sector_Params!$D$5</f>
        <v>25</v>
      </c>
      <c r="Q152" s="46" t="n">
        <f aca="false">M152/(1-(1+M152)^-P152)</f>
        <v>0.0745493529464385</v>
      </c>
      <c r="R152" s="46" t="n">
        <f aca="false">N152/(1-(1+N152)^-P152)</f>
        <v>0.0858105172206656</v>
      </c>
      <c r="S152" s="46" t="n">
        <f aca="false">O152/(1-(1+O152)^-P152)</f>
        <v>0.078226718212274</v>
      </c>
      <c r="T152" s="37" t="n">
        <f aca="false">IF(AND(p_eng=1,ISNUMBER(Country_Data!$CZ$26)),Country_Data!$CZ$26,Country_Data!$CM$26)*Sector_Params!$I$5</f>
        <v>0.133</v>
      </c>
      <c r="U152" s="37" t="n">
        <f aca="false">IF(AND(p_eng=1,ISNUMBER(Country_Data!$DA$26)),Country_Data!$DA$26,Country_Data!$CN$26)*Sector_Params!$J$5</f>
        <v>0.129</v>
      </c>
      <c r="V152" s="37" t="n">
        <f aca="false">IF(AND(p_eng=1,ISNUMBER(Country_Data!$DB$26)),Country_Data!$DB$26,p_a)</f>
        <v>0.35</v>
      </c>
      <c r="W152" s="16" t="n">
        <f aca="false">T152*L152</f>
        <v>0.705626164546166</v>
      </c>
      <c r="X152" s="16" t="n">
        <f aca="false">U152*L152</f>
        <v>0.684404325010943</v>
      </c>
      <c r="Y152" s="16" t="n">
        <f aca="false">V152*L152</f>
        <v>1.85691095933202</v>
      </c>
      <c r="Z152" s="16" t="n">
        <f aca="false">Q152*L152</f>
        <v>0.395518601421007</v>
      </c>
      <c r="AA152" s="16" t="n">
        <f aca="false">R152*L152</f>
        <v>0.455264256722865</v>
      </c>
      <c r="AB152" s="16" t="n">
        <f aca="false">S152*L152</f>
        <v>0.415028715316997</v>
      </c>
      <c r="AC152" s="16" t="n">
        <f aca="false">Z152-W152</f>
        <v>-0.31010756312516</v>
      </c>
      <c r="AD152" s="16" t="n">
        <f aca="false">AA152-W152</f>
        <v>-0.250361907823302</v>
      </c>
      <c r="AE152" s="16" t="n">
        <f aca="false">AB152-W152</f>
        <v>-0.290597449229169</v>
      </c>
      <c r="AF152" s="16" t="n">
        <f aca="false">AE152-X152</f>
        <v>-0.975001774240113</v>
      </c>
      <c r="AG152" s="16" t="n">
        <f aca="false">AF152-p_spc_lo*Y152/1000</f>
        <v>-1.06784732220671</v>
      </c>
      <c r="AH152" s="16" t="n">
        <f aca="false">AF152-p_spc_hi*Y152/1000</f>
        <v>-1.16069287017331</v>
      </c>
      <c r="AI152" s="16" t="n">
        <f aca="false">Q152*J152</f>
        <v>1.04083842479212</v>
      </c>
      <c r="AJ152" s="16" t="n">
        <f aca="false">S152*J152</f>
        <v>1.09218082978157</v>
      </c>
      <c r="AK152" s="16" t="n">
        <f aca="false">T152*J152</f>
        <v>1.85691095933202</v>
      </c>
      <c r="AL152" s="16" t="n">
        <f aca="false">U152*J152</f>
        <v>1.80106401318669</v>
      </c>
      <c r="AM152" s="16" t="n">
        <f aca="false">AI152-AJ152</f>
        <v>-0.0513424049894486</v>
      </c>
      <c r="AN152" s="16" t="n">
        <f aca="false">J152*Country_Data!$EB$26</f>
        <v>14.5876074845113</v>
      </c>
      <c r="AO152" s="16" t="n">
        <f aca="false">L152*Country_Data!$EB$26</f>
        <v>5.5432908441143</v>
      </c>
    </row>
    <row r="153" customFormat="false" ht="15" hidden="false" customHeight="false" outlineLevel="0" collapsed="false">
      <c r="A153" s="14" t="str">
        <f aca="false">Country_Data!$A$26</f>
        <v>TWN</v>
      </c>
      <c r="B153" s="14" t="str">
        <f aca="false">Country_Data!$E$26</f>
        <v>AE</v>
      </c>
      <c r="C153" s="35" t="s">
        <v>470</v>
      </c>
      <c r="D153" s="37" t="str">
        <f aca="false">IF(Country_Data!$BZ$26="","",Country_Data!$BZ$26)</f>
        <v/>
      </c>
      <c r="E153" s="40" t="n">
        <f aca="false">Country_Data!$BW$26</f>
        <v>1881.151</v>
      </c>
      <c r="F153" s="41" t="n">
        <f aca="false">Country_Data!$BX$26</f>
        <v>0.426066275381402</v>
      </c>
      <c r="G153" s="42" t="str">
        <f aca="false">IF(D153="","",D153/SUMIFS($D$5:$D$1369,$B$5:$B$1369,B153,$C$5:$C$1369,C153))</f>
        <v/>
      </c>
      <c r="H153" s="42" t="n">
        <f aca="false">E153/SUMIFS($E$5:$E$1369,$B$5:$B$1369,B153,$C$5:$C$1369,C153)</f>
        <v>0.0238467966428687</v>
      </c>
      <c r="I153" s="43" t="n">
        <f aca="false">IF(G153="",H153,p_beta_alloc*G153+(1-p_beta_alloc)*H153)*F153^p_phi</f>
        <v>0.0155656989986235</v>
      </c>
      <c r="J153" s="16" t="n">
        <f aca="false">INDEX(Sector_Params!$C$17:$E$17,MATCH(B153,Sector_Params!$C$15:$E$15,0))*I153/SUMIFS($I$5:$I$1369,$B$5:$B$1369,B153,$C$5:$C$1369,C153)</f>
        <v>9.57376219634122</v>
      </c>
      <c r="K153" s="28" t="n">
        <f aca="false">INDEX(Sector_Params!$F$6:$H$6,MATCH(B153,Sector_Params!$C$15:$E$15,0))</f>
        <v>0.38</v>
      </c>
      <c r="L153" s="16" t="n">
        <f aca="false">J153*K153</f>
        <v>3.63802963460966</v>
      </c>
      <c r="M153" s="44" t="n">
        <f aca="false">Country_Data!$DW$26+Sector_Params!$E$6</f>
        <v>0.055</v>
      </c>
      <c r="N153" s="44" t="n">
        <f aca="false">Country_Data!$DX$26+Sector_Params!$E$6</f>
        <v>0.07</v>
      </c>
      <c r="O153" s="11" t="n">
        <f aca="false">IF(p_use_ibrd=1,p_r_ibrd,p_r_wb)</f>
        <v>0.06</v>
      </c>
      <c r="P153" s="45" t="n">
        <f aca="false">Sector_Params!$D$6</f>
        <v>40</v>
      </c>
      <c r="Q153" s="46" t="n">
        <f aca="false">M153/(1-(1+M153)^-P153)</f>
        <v>0.062320343360638</v>
      </c>
      <c r="R153" s="46" t="n">
        <f aca="false">N153/(1-(1+N153)^-P153)</f>
        <v>0.0750091388736103</v>
      </c>
      <c r="S153" s="46" t="n">
        <f aca="false">O153/(1-(1+O153)^-P153)</f>
        <v>0.0664615359206755</v>
      </c>
      <c r="T153" s="37" t="n">
        <f aca="false">p_grid_credit*IF(AND(p_eng=1,ISNUMBER(Country_Data!$CZ$26)),Country_Data!$CZ$26,Country_Data!$CM$26)*Sector_Params!$I$6</f>
        <v>0</v>
      </c>
      <c r="U153" s="37" t="n">
        <f aca="false">p_grid_credit*IF(AND(p_eng=1,ISNUMBER(Country_Data!$DA$26)),Country_Data!$DA$26,Country_Data!$CN$26)*Sector_Params!$J$6</f>
        <v>0</v>
      </c>
      <c r="V153" s="37" t="n">
        <f aca="false">p_grid_credit*IF(AND(p_eng=1,ISNUMBER(Country_Data!$DB$26)),Country_Data!$DB$26,p_a)</f>
        <v>0</v>
      </c>
      <c r="W153" s="16" t="n">
        <f aca="false">T153*L153</f>
        <v>0</v>
      </c>
      <c r="X153" s="16" t="n">
        <f aca="false">U153*L153</f>
        <v>0</v>
      </c>
      <c r="Y153" s="16" t="n">
        <f aca="false">V153*L153</f>
        <v>0</v>
      </c>
      <c r="Z153" s="16" t="n">
        <f aca="false">Q153*L153</f>
        <v>0.226723255985051</v>
      </c>
      <c r="AA153" s="16" t="n">
        <f aca="false">R153*L153</f>
        <v>0.272885470088746</v>
      </c>
      <c r="AB153" s="16" t="n">
        <f aca="false">S153*L153</f>
        <v>0.241789037241092</v>
      </c>
      <c r="AC153" s="16" t="n">
        <f aca="false">Z153-W153</f>
        <v>0.226723255985051</v>
      </c>
      <c r="AD153" s="16" t="n">
        <f aca="false">AA153-W153</f>
        <v>0.272885470088746</v>
      </c>
      <c r="AE153" s="16" t="n">
        <f aca="false">AB153-W153</f>
        <v>0.241789037241092</v>
      </c>
      <c r="AF153" s="16" t="n">
        <f aca="false">AE153-X153</f>
        <v>0.241789037241092</v>
      </c>
      <c r="AG153" s="16" t="n">
        <f aca="false">AF153-p_spc_lo*Y153/1000</f>
        <v>0.241789037241092</v>
      </c>
      <c r="AH153" s="16" t="n">
        <f aca="false">AF153-p_spc_hi*Y153/1000</f>
        <v>0.241789037241092</v>
      </c>
      <c r="AI153" s="16" t="n">
        <f aca="false">Q153*J153</f>
        <v>0.59664014732908</v>
      </c>
      <c r="AJ153" s="16" t="n">
        <f aca="false">S153*J153</f>
        <v>0.636286940108137</v>
      </c>
      <c r="AK153" s="16" t="n">
        <f aca="false">T153*J153</f>
        <v>0</v>
      </c>
      <c r="AL153" s="16" t="n">
        <f aca="false">U153*J153</f>
        <v>0</v>
      </c>
      <c r="AM153" s="16" t="n">
        <f aca="false">AI153-AJ153</f>
        <v>-0.039646792779057</v>
      </c>
      <c r="AN153" s="16" t="n">
        <f aca="false">J153*Country_Data!$EB$26</f>
        <v>10.002930846522</v>
      </c>
      <c r="AO153" s="16" t="n">
        <f aca="false">L153*Country_Data!$EB$26</f>
        <v>3.80111372167837</v>
      </c>
    </row>
    <row r="154" customFormat="false" ht="15" hidden="false" customHeight="false" outlineLevel="0" collapsed="false">
      <c r="A154" s="14" t="str">
        <f aca="false">Country_Data!$A$26</f>
        <v>TWN</v>
      </c>
      <c r="B154" s="14" t="str">
        <f aca="false">Country_Data!$E$26</f>
        <v>AE</v>
      </c>
      <c r="C154" s="35" t="s">
        <v>473</v>
      </c>
      <c r="D154" s="37" t="str">
        <f aca="false">IF(Country_Data!$CA$26="","",Country_Data!$CA$26)</f>
        <v/>
      </c>
      <c r="E154" s="40" t="n">
        <f aca="false">Country_Data!$BW$26</f>
        <v>1881.151</v>
      </c>
      <c r="F154" s="41" t="n">
        <f aca="false">Country_Data!$BX$26</f>
        <v>0.426066275381402</v>
      </c>
      <c r="G154" s="42" t="str">
        <f aca="false">IF(D154="","",D154/SUMIFS($D$5:$D$1369,$B$5:$B$1369,B154,$C$5:$C$1369,C154))</f>
        <v/>
      </c>
      <c r="H154" s="42" t="n">
        <f aca="false">E154/SUMIFS($E$5:$E$1369,$B$5:$B$1369,B154,$C$5:$C$1369,C154)</f>
        <v>0.0238467966428687</v>
      </c>
      <c r="I154" s="43" t="n">
        <f aca="false">IF(G154="",H154,p_beta_alloc*G154+(1-p_beta_alloc)*H154)*F154^p_phi</f>
        <v>0.0155656989986235</v>
      </c>
      <c r="J154" s="16" t="n">
        <f aca="false">INDEX(Sector_Params!$C$18:$E$18,MATCH(B154,Sector_Params!$C$15:$E$15,0))*I154/SUMIFS($I$5:$I$1369,$B$5:$B$1369,B154,$C$5:$C$1369,C154)</f>
        <v>5.86598286753265</v>
      </c>
      <c r="K154" s="28" t="n">
        <f aca="false">INDEX(Sector_Params!$F$7:$H$7,MATCH(B154,Sector_Params!$C$15:$E$15,0))</f>
        <v>0.38</v>
      </c>
      <c r="L154" s="16" t="n">
        <f aca="false">J154*K154</f>
        <v>2.22907348966241</v>
      </c>
      <c r="M154" s="44" t="n">
        <f aca="false">Country_Data!$DW$26+Sector_Params!$E$7</f>
        <v>0.055</v>
      </c>
      <c r="N154" s="44" t="n">
        <f aca="false">Country_Data!$DX$26+Sector_Params!$E$7</f>
        <v>0.07</v>
      </c>
      <c r="O154" s="11" t="n">
        <f aca="false">IF(p_use_ibrd=1,p_r_ibrd,p_r_wb)</f>
        <v>0.06</v>
      </c>
      <c r="P154" s="45" t="n">
        <f aca="false">Sector_Params!$D$7</f>
        <v>12</v>
      </c>
      <c r="Q154" s="46" t="n">
        <f aca="false">M154/(1-(1+M154)^-P154)</f>
        <v>0.116029231191614</v>
      </c>
      <c r="R154" s="46" t="n">
        <f aca="false">N154/(1-(1+N154)^-P154)</f>
        <v>0.12590198865502</v>
      </c>
      <c r="S154" s="46" t="n">
        <f aca="false">O154/(1-(1+O154)^-P154)</f>
        <v>0.119277029380664</v>
      </c>
      <c r="T154" s="37" t="n">
        <f aca="false">IF(AND(p_eng=1,ISNUMBER(Country_Data!$DE$26)),Country_Data!$DE$26,Country_Data!$CM$26)*Sector_Params!$I$7</f>
        <v>0.133</v>
      </c>
      <c r="U154" s="37" t="n">
        <f aca="false">IF(AND(p_eng=1,ISNUMBER(Country_Data!$DF$26)),Country_Data!$DF$26,Country_Data!$CN$26)*Sector_Params!$J$7</f>
        <v>0.129</v>
      </c>
      <c r="V154" s="37" t="n">
        <f aca="false">IF(AND(p_eng=1,ISNUMBER(Country_Data!$DG$26)),Country_Data!$DG$26,p_a)</f>
        <v>0.35</v>
      </c>
      <c r="W154" s="16" t="n">
        <f aca="false">T154*L154</f>
        <v>0.2964667741251</v>
      </c>
      <c r="X154" s="16" t="n">
        <f aca="false">U154*L154</f>
        <v>0.287550480166451</v>
      </c>
      <c r="Y154" s="16" t="n">
        <f aca="false">V154*L154</f>
        <v>0.780175721381843</v>
      </c>
      <c r="Z154" s="16" t="n">
        <f aca="false">Q154*L154</f>
        <v>0.258637683275138</v>
      </c>
      <c r="AA154" s="16" t="n">
        <f aca="false">R154*L154</f>
        <v>0.280644785206683</v>
      </c>
      <c r="AB154" s="16" t="n">
        <f aca="false">S154*L154</f>
        <v>0.265877264118121</v>
      </c>
      <c r="AC154" s="16" t="n">
        <f aca="false">Z154-W154</f>
        <v>-0.037829090849962</v>
      </c>
      <c r="AD154" s="16" t="n">
        <f aca="false">AA154-W154</f>
        <v>-0.015821988918417</v>
      </c>
      <c r="AE154" s="16" t="n">
        <f aca="false">AB154-W154</f>
        <v>-0.030589510006979</v>
      </c>
      <c r="AF154" s="16" t="n">
        <f aca="false">AE154-X154</f>
        <v>-0.31813999017343</v>
      </c>
      <c r="AG154" s="16" t="n">
        <f aca="false">AF154-p_spc_lo*Y154/1000</f>
        <v>-0.357148776242522</v>
      </c>
      <c r="AH154" s="16" t="n">
        <f aca="false">AF154-p_spc_hi*Y154/1000</f>
        <v>-0.396157562311614</v>
      </c>
      <c r="AI154" s="16" t="n">
        <f aca="false">Q154*J154</f>
        <v>0.680625482302996</v>
      </c>
      <c r="AJ154" s="16" t="n">
        <f aca="false">S154*J154</f>
        <v>0.699677010837161</v>
      </c>
      <c r="AK154" s="16" t="n">
        <f aca="false">T154*J154</f>
        <v>0.780175721381843</v>
      </c>
      <c r="AL154" s="16" t="n">
        <f aca="false">U154*J154</f>
        <v>0.756711789911712</v>
      </c>
      <c r="AM154" s="16" t="n">
        <f aca="false">AI154-AJ154</f>
        <v>-0.0190515285341658</v>
      </c>
      <c r="AN154" s="16" t="n">
        <f aca="false">J154*Country_Data!$EB$26</f>
        <v>6.12894072021515</v>
      </c>
      <c r="AO154" s="16" t="n">
        <f aca="false">L154*Country_Data!$EB$26</f>
        <v>2.32899747368176</v>
      </c>
    </row>
    <row r="155" customFormat="false" ht="15" hidden="false" customHeight="false" outlineLevel="0" collapsed="false">
      <c r="A155" s="14" t="str">
        <f aca="false">Country_Data!$A$26</f>
        <v>TWN</v>
      </c>
      <c r="B155" s="14" t="str">
        <f aca="false">Country_Data!$E$26</f>
        <v>AE</v>
      </c>
      <c r="C155" s="35" t="s">
        <v>477</v>
      </c>
      <c r="D155" s="37" t="str">
        <f aca="false">IF(Country_Data!$CB$26="","",Country_Data!$CB$26)</f>
        <v/>
      </c>
      <c r="E155" s="40" t="n">
        <f aca="false">Country_Data!$BW$26</f>
        <v>1881.151</v>
      </c>
      <c r="F155" s="41" t="n">
        <f aca="false">Country_Data!$BX$26</f>
        <v>0.426066275381402</v>
      </c>
      <c r="G155" s="42" t="str">
        <f aca="false">IF(D155="","",D155/SUMIFS($D$5:$D$1369,$B$5:$B$1369,B155,$C$5:$C$1369,C155))</f>
        <v/>
      </c>
      <c r="H155" s="42" t="n">
        <f aca="false">E155/SUMIFS($E$5:$E$1369,$B$5:$B$1369,B155,$C$5:$C$1369,C155)</f>
        <v>0.0238467966428687</v>
      </c>
      <c r="I155" s="43" t="n">
        <f aca="false">IF(G155="",H155,p_beta_alloc*G155+(1-p_beta_alloc)*H155)*F155^p_phi</f>
        <v>0.0155656989986235</v>
      </c>
      <c r="J155" s="16" t="n">
        <f aca="false">INDEX(Sector_Params!$C$19:$E$19,MATCH(B155,Sector_Params!$C$15:$E$15,0))*I155/SUMIFS($I$5:$I$1369,$B$5:$B$1369,B155,$C$5:$C$1369,C155)</f>
        <v>4.57564489634683</v>
      </c>
      <c r="K155" s="28" t="n">
        <f aca="false">INDEX(Sector_Params!$F$8:$H$8,MATCH(B155,Sector_Params!$C$15:$E$15,0))</f>
        <v>0.38</v>
      </c>
      <c r="L155" s="16" t="n">
        <f aca="false">J155*K155</f>
        <v>1.73874506061179</v>
      </c>
      <c r="M155" s="44" t="n">
        <f aca="false">Country_Data!$DW$26+Sector_Params!$E$8</f>
        <v>0.055</v>
      </c>
      <c r="N155" s="44" t="n">
        <f aca="false">Country_Data!$DX$26+Sector_Params!$E$8</f>
        <v>0.07</v>
      </c>
      <c r="O155" s="11" t="n">
        <f aca="false">IF(p_use_ibrd=1,p_r_ibrd,p_r_wb)</f>
        <v>0.06</v>
      </c>
      <c r="P155" s="45" t="n">
        <f aca="false">Sector_Params!$D$8</f>
        <v>25</v>
      </c>
      <c r="Q155" s="46" t="n">
        <f aca="false">M155/(1-(1+M155)^-P155)</f>
        <v>0.0745493529464385</v>
      </c>
      <c r="R155" s="46" t="n">
        <f aca="false">N155/(1-(1+N155)^-P155)</f>
        <v>0.0858105172206656</v>
      </c>
      <c r="S155" s="46" t="n">
        <f aca="false">O155/(1-(1+O155)^-P155)</f>
        <v>0.078226718212274</v>
      </c>
      <c r="T155" s="37" t="n">
        <f aca="false">Country_Data!$CM$26*Sector_Params!$I$8</f>
        <v>0.133</v>
      </c>
      <c r="U155" s="37" t="n">
        <f aca="false">Country_Data!$CN$26*Sector_Params!$J$8</f>
        <v>0.129</v>
      </c>
      <c r="V155" s="37" t="n">
        <f aca="false">p_a</f>
        <v>0.35</v>
      </c>
      <c r="W155" s="16" t="n">
        <f aca="false">T155*L155</f>
        <v>0.231253093061369</v>
      </c>
      <c r="X155" s="16" t="n">
        <f aca="false">U155*L155</f>
        <v>0.224298112818921</v>
      </c>
      <c r="Y155" s="16" t="n">
        <f aca="false">V155*L155</f>
        <v>0.608560771214128</v>
      </c>
      <c r="Z155" s="16" t="n">
        <f aca="false">Q155*L155</f>
        <v>0.129622319207425</v>
      </c>
      <c r="AA155" s="16" t="n">
        <f aca="false">R155*L155</f>
        <v>0.149202612965976</v>
      </c>
      <c r="AB155" s="16" t="n">
        <f aca="false">S155*L155</f>
        <v>0.136016319899462</v>
      </c>
      <c r="AC155" s="16" t="n">
        <f aca="false">Z155-W155</f>
        <v>-0.101630773853943</v>
      </c>
      <c r="AD155" s="16" t="n">
        <f aca="false">AA155-W155</f>
        <v>-0.082050480095393</v>
      </c>
      <c r="AE155" s="16" t="n">
        <f aca="false">AB155-W155</f>
        <v>-0.0952367731619066</v>
      </c>
      <c r="AF155" s="16" t="n">
        <f aca="false">AE155-X155</f>
        <v>-0.319534885980828</v>
      </c>
      <c r="AG155" s="16" t="n">
        <f aca="false">AF155-p_spc_lo*Y155/1000</f>
        <v>-0.349962924541534</v>
      </c>
      <c r="AH155" s="16" t="n">
        <f aca="false">AF155-p_spc_hi*Y155/1000</f>
        <v>-0.380390963102241</v>
      </c>
      <c r="AI155" s="16" t="n">
        <f aca="false">Q155*J155</f>
        <v>0.34111136633533</v>
      </c>
      <c r="AJ155" s="16" t="n">
        <f aca="false">S155*J155</f>
        <v>0.357937683945953</v>
      </c>
      <c r="AK155" s="16" t="n">
        <f aca="false">T155*J155</f>
        <v>0.608560771214128</v>
      </c>
      <c r="AL155" s="16" t="n">
        <f aca="false">U155*J155</f>
        <v>0.590258191628741</v>
      </c>
      <c r="AM155" s="16" t="n">
        <f aca="false">AI155-AJ155</f>
        <v>-0.016826317610623</v>
      </c>
      <c r="AN155" s="16" t="n">
        <f aca="false">J155*Country_Data!$EB$26</f>
        <v>4.78076001238996</v>
      </c>
      <c r="AO155" s="16" t="n">
        <f aca="false">L155*Country_Data!$EB$26</f>
        <v>1.81668880470818</v>
      </c>
    </row>
    <row r="156" customFormat="false" ht="15" hidden="false" customHeight="false" outlineLevel="0" collapsed="false">
      <c r="A156" s="14" t="str">
        <f aca="false">Country_Data!$A$26</f>
        <v>TWN</v>
      </c>
      <c r="B156" s="14" t="str">
        <f aca="false">Country_Data!$E$26</f>
        <v>AE</v>
      </c>
      <c r="C156" s="35" t="s">
        <v>481</v>
      </c>
      <c r="D156" s="37" t="str">
        <f aca="false">IF(Country_Data!$CC$26="","",Country_Data!$CC$26)</f>
        <v/>
      </c>
      <c r="E156" s="40" t="n">
        <f aca="false">Country_Data!$BW$26</f>
        <v>1881.151</v>
      </c>
      <c r="F156" s="41" t="n">
        <f aca="false">Country_Data!$BX$26</f>
        <v>0.426066275381402</v>
      </c>
      <c r="G156" s="42" t="str">
        <f aca="false">IF(D156="","",D156/SUMIFS($D$5:$D$1369,$B$5:$B$1369,B156,$C$5:$C$1369,C156))</f>
        <v/>
      </c>
      <c r="H156" s="42" t="n">
        <f aca="false">E156/SUMIFS($E$5:$E$1369,$B$5:$B$1369,B156,$C$5:$C$1369,C156)</f>
        <v>0.0238467966428687</v>
      </c>
      <c r="I156" s="43" t="n">
        <f aca="false">IF(G156="",H156,p_beta_alloc*G156+(1-p_beta_alloc)*H156)*F156^p_phi</f>
        <v>0.0155656989986235</v>
      </c>
      <c r="J156" s="16" t="n">
        <f aca="false">INDEX(Sector_Params!$C$20:$E$20,MATCH(B156,Sector_Params!$C$15:$E$15,0))*I156/SUMIFS($I$5:$I$1369,$B$5:$B$1369,B156,$C$5:$C$1369,C156)</f>
        <v>2.64332578219609</v>
      </c>
      <c r="K156" s="28" t="n">
        <f aca="false">INDEX(Sector_Params!$F$9:$H$9,MATCH(B156,Sector_Params!$C$15:$E$15,0))</f>
        <v>0.38</v>
      </c>
      <c r="L156" s="16" t="n">
        <f aca="false">J156*K156</f>
        <v>1.00446379723452</v>
      </c>
      <c r="M156" s="44" t="n">
        <f aca="false">Country_Data!$DW$26+Sector_Params!$E$9</f>
        <v>0.055</v>
      </c>
      <c r="N156" s="44" t="n">
        <f aca="false">Country_Data!$DX$26+Sector_Params!$E$9</f>
        <v>0.07</v>
      </c>
      <c r="O156" s="11" t="n">
        <f aca="false">IF(p_use_ibrd=1,p_r_ibrd,p_r_wb)</f>
        <v>0.06</v>
      </c>
      <c r="P156" s="45" t="n">
        <f aca="false">Sector_Params!$D$9</f>
        <v>25</v>
      </c>
      <c r="Q156" s="46" t="n">
        <f aca="false">M156/(1-(1+M156)^-P156)</f>
        <v>0.0745493529464385</v>
      </c>
      <c r="R156" s="46" t="n">
        <f aca="false">N156/(1-(1+N156)^-P156)</f>
        <v>0.0858105172206656</v>
      </c>
      <c r="S156" s="46" t="n">
        <f aca="false">O156/(1-(1+O156)^-P156)</f>
        <v>0.078226718212274</v>
      </c>
      <c r="T156" s="37" t="n">
        <f aca="false">Country_Data!$CM$26*Sector_Params!$I$9</f>
        <v>0.133</v>
      </c>
      <c r="U156" s="37" t="n">
        <f aca="false">Country_Data!$CN$26*Sector_Params!$J$9</f>
        <v>0.129</v>
      </c>
      <c r="V156" s="37" t="n">
        <f aca="false">p_a</f>
        <v>0.35</v>
      </c>
      <c r="W156" s="16" t="n">
        <f aca="false">T156*L156</f>
        <v>0.133593685032191</v>
      </c>
      <c r="X156" s="16" t="n">
        <f aca="false">U156*L156</f>
        <v>0.129575829843253</v>
      </c>
      <c r="Y156" s="16" t="n">
        <f aca="false">V156*L156</f>
        <v>0.351562329032081</v>
      </c>
      <c r="Z156" s="16" t="n">
        <f aca="false">Q156*L156</f>
        <v>0.0748821261419558</v>
      </c>
      <c r="AA156" s="16" t="n">
        <f aca="false">R156*L156</f>
        <v>0.0861935579701276</v>
      </c>
      <c r="AB156" s="16" t="n">
        <f aca="false">S156*L156</f>
        <v>0.0785759064206952</v>
      </c>
      <c r="AC156" s="16" t="n">
        <f aca="false">Z156-W156</f>
        <v>-0.0587115588902348</v>
      </c>
      <c r="AD156" s="16" t="n">
        <f aca="false">AA156-W156</f>
        <v>-0.047400127062063</v>
      </c>
      <c r="AE156" s="16" t="n">
        <f aca="false">AB156-W156</f>
        <v>-0.0550177786114955</v>
      </c>
      <c r="AF156" s="16" t="n">
        <f aca="false">AE156-X156</f>
        <v>-0.184593608454748</v>
      </c>
      <c r="AG156" s="16" t="n">
        <f aca="false">AF156-p_spc_lo*Y156/1000</f>
        <v>-0.202171724906352</v>
      </c>
      <c r="AH156" s="16" t="n">
        <f aca="false">AF156-p_spc_hi*Y156/1000</f>
        <v>-0.219749841357956</v>
      </c>
      <c r="AI156" s="16" t="n">
        <f aca="false">Q156*J156</f>
        <v>0.197058226689357</v>
      </c>
      <c r="AJ156" s="16" t="n">
        <f aca="false">S156*J156</f>
        <v>0.206778701107092</v>
      </c>
      <c r="AK156" s="16" t="n">
        <f aca="false">T156*J156</f>
        <v>0.351562329032081</v>
      </c>
      <c r="AL156" s="16" t="n">
        <f aca="false">U156*J156</f>
        <v>0.340989025903296</v>
      </c>
      <c r="AM156" s="16" t="n">
        <f aca="false">AI156-AJ156</f>
        <v>-0.00972047441773519</v>
      </c>
      <c r="AN156" s="16" t="n">
        <f aca="false">J156*Country_Data!$EB$26</f>
        <v>2.7618196965704</v>
      </c>
      <c r="AO156" s="16" t="n">
        <f aca="false">L156*Country_Data!$EB$26</f>
        <v>1.04949148469675</v>
      </c>
    </row>
    <row r="157" customFormat="false" ht="15" hidden="false" customHeight="false" outlineLevel="0" collapsed="false">
      <c r="A157" s="14" t="str">
        <f aca="false">Country_Data!$A$26</f>
        <v>TWN</v>
      </c>
      <c r="B157" s="14" t="str">
        <f aca="false">Country_Data!$E$26</f>
        <v>AE</v>
      </c>
      <c r="C157" s="35" t="s">
        <v>484</v>
      </c>
      <c r="D157" s="37" t="str">
        <f aca="false">IF(Country_Data!$CD$26="","",Country_Data!$CD$26)</f>
        <v/>
      </c>
      <c r="E157" s="40" t="n">
        <f aca="false">Country_Data!$BW$26</f>
        <v>1881.151</v>
      </c>
      <c r="F157" s="41" t="n">
        <f aca="false">Country_Data!$BX$26</f>
        <v>0.426066275381402</v>
      </c>
      <c r="G157" s="42" t="str">
        <f aca="false">IF(D157="","",D157/SUMIFS($D$5:$D$1369,$B$5:$B$1369,B157,$C$5:$C$1369,C157))</f>
        <v/>
      </c>
      <c r="H157" s="42" t="n">
        <f aca="false">E157/SUMIFS($E$5:$E$1369,$B$5:$B$1369,B157,$C$5:$C$1369,C157)</f>
        <v>0.0238467966428687</v>
      </c>
      <c r="I157" s="43" t="n">
        <f aca="false">IF(G157="",H157,p_beta_alloc*G157+(1-p_beta_alloc)*H157)*F157^p_phi</f>
        <v>0.0155656989986235</v>
      </c>
      <c r="J157" s="16" t="n">
        <f aca="false">INDEX(Sector_Params!$C$21:$E$21,MATCH(B157,Sector_Params!$C$15:$E$15,0))*I157/SUMIFS($I$5:$I$1369,$B$5:$B$1369,B157,$C$5:$C$1369,C157)</f>
        <v>3.17150705749422</v>
      </c>
      <c r="K157" s="28" t="n">
        <f aca="false">INDEX(Sector_Params!$F$10:$H$10,MATCH(B157,Sector_Params!$C$15:$E$15,0))</f>
        <v>0.38</v>
      </c>
      <c r="L157" s="16" t="n">
        <f aca="false">J157*K157</f>
        <v>1.2051726818478</v>
      </c>
      <c r="M157" s="44" t="n">
        <f aca="false">Country_Data!$DW$26+Sector_Params!$E$10</f>
        <v>0.055</v>
      </c>
      <c r="N157" s="44" t="n">
        <f aca="false">Country_Data!$DX$26+Sector_Params!$E$10</f>
        <v>0.07</v>
      </c>
      <c r="O157" s="11" t="n">
        <f aca="false">IF(p_use_ibrd=1,p_r_ibrd,p_r_wb)</f>
        <v>0.06</v>
      </c>
      <c r="P157" s="45" t="n">
        <f aca="false">Sector_Params!$D$10</f>
        <v>20</v>
      </c>
      <c r="Q157" s="46" t="n">
        <f aca="false">M157/(1-(1+M157)^-P157)</f>
        <v>0.0836793300349332</v>
      </c>
      <c r="R157" s="46" t="n">
        <f aca="false">N157/(1-(1+N157)^-P157)</f>
        <v>0.0943929257432557</v>
      </c>
      <c r="S157" s="46" t="n">
        <f aca="false">O157/(1-(1+O157)^-P157)</f>
        <v>0.0871845569768514</v>
      </c>
      <c r="T157" s="37" t="n">
        <f aca="false">0*Sector_Params!$I$10</f>
        <v>0</v>
      </c>
      <c r="U157" s="37" t="n">
        <f aca="false">0*Sector_Params!$J$10</f>
        <v>0</v>
      </c>
      <c r="V157" s="37" t="n">
        <f aca="false">1000*p_r_wb/(1-(1+p_r_wb)^-Sector_Params!$D$10)/p_cpt_fuel</f>
        <v>0.871845569768514</v>
      </c>
      <c r="W157" s="16" t="n">
        <f aca="false">T157*L157</f>
        <v>0</v>
      </c>
      <c r="X157" s="16" t="n">
        <f aca="false">U157*L157</f>
        <v>0</v>
      </c>
      <c r="Y157" s="16" t="n">
        <f aca="false">V157*L157</f>
        <v>1.05072446347505</v>
      </c>
      <c r="Z157" s="16" t="n">
        <f aca="false">Q157*L157</f>
        <v>0.100848042593428</v>
      </c>
      <c r="AA157" s="16" t="n">
        <f aca="false">R157*L157</f>
        <v>0.11375977546546</v>
      </c>
      <c r="AB157" s="16" t="n">
        <f aca="false">S157*L157</f>
        <v>0.105072446347505</v>
      </c>
      <c r="AC157" s="16" t="n">
        <f aca="false">Z157-W157</f>
        <v>0.100848042593428</v>
      </c>
      <c r="AD157" s="16" t="n">
        <f aca="false">AA157-W157</f>
        <v>0.11375977546546</v>
      </c>
      <c r="AE157" s="16" t="n">
        <f aca="false">AB157-W157</f>
        <v>0.105072446347505</v>
      </c>
      <c r="AF157" s="16" t="n">
        <f aca="false">AE157-X157</f>
        <v>0.105072446347505</v>
      </c>
      <c r="AG157" s="16" t="n">
        <f aca="false">AF157-p_spc_lo*Y157/1000</f>
        <v>0.0525362231737524</v>
      </c>
      <c r="AH157" s="16" t="n">
        <f aca="false">AF157-p_spc_hi*Y157/1000</f>
        <v>0</v>
      </c>
      <c r="AI157" s="16" t="n">
        <f aca="false">Q157*J157</f>
        <v>0.265389585772179</v>
      </c>
      <c r="AJ157" s="16" t="n">
        <f aca="false">S157*J157</f>
        <v>0.276506437756591</v>
      </c>
      <c r="AK157" s="16" t="n">
        <f aca="false">T157*J157</f>
        <v>0</v>
      </c>
      <c r="AL157" s="16" t="n">
        <f aca="false">U157*J157</f>
        <v>0</v>
      </c>
      <c r="AM157" s="16" t="n">
        <f aca="false">AI157-AJ157</f>
        <v>-0.0111168519844124</v>
      </c>
      <c r="AN157" s="16" t="n">
        <f aca="false">J157*Country_Data!$EB$26</f>
        <v>3.31367806351983</v>
      </c>
      <c r="AO157" s="16" t="n">
        <f aca="false">L157*Country_Data!$EB$26</f>
        <v>1.25919766413753</v>
      </c>
    </row>
    <row r="158" customFormat="false" ht="15" hidden="false" customHeight="false" outlineLevel="0" collapsed="false">
      <c r="A158" s="14" t="str">
        <f aca="false">Country_Data!$A$26</f>
        <v>TWN</v>
      </c>
      <c r="B158" s="14" t="str">
        <f aca="false">Country_Data!$E$26</f>
        <v>AE</v>
      </c>
      <c r="C158" s="35" t="s">
        <v>488</v>
      </c>
      <c r="D158" s="37" t="str">
        <f aca="false">IF(Country_Data!$CE$26="","",Country_Data!$CE$26)</f>
        <v/>
      </c>
      <c r="E158" s="40" t="n">
        <f aca="false">Country_Data!$BW$26</f>
        <v>1881.151</v>
      </c>
      <c r="F158" s="41" t="n">
        <f aca="false">Country_Data!$BX$26</f>
        <v>0.426066275381402</v>
      </c>
      <c r="G158" s="42" t="str">
        <f aca="false">IF(D158="","",D158/SUMIFS($D$5:$D$1369,$B$5:$B$1369,B158,$C$5:$C$1369,C158))</f>
        <v/>
      </c>
      <c r="H158" s="42" t="n">
        <f aca="false">E158/SUMIFS($E$5:$E$1369,$B$5:$B$1369,B158,$C$5:$C$1369,C158)</f>
        <v>0.0238467966428687</v>
      </c>
      <c r="I158" s="43" t="n">
        <f aca="false">IF(G158="",H158,p_beta_alloc*G158+(1-p_beta_alloc)*H158)*F158^p_phi</f>
        <v>0.0155656989986235</v>
      </c>
      <c r="J158" s="16" t="n">
        <f aca="false">INDEX(Sector_Params!$C$22:$E$22,MATCH(B158,Sector_Params!$C$15:$E$15,0))*I158/SUMIFS($I$5:$I$1369,$B$5:$B$1369,B158,$C$5:$C$1369,C158)</f>
        <v>0.603133831493203</v>
      </c>
      <c r="K158" s="28" t="n">
        <f aca="false">INDEX(Sector_Params!$F$11:$H$11,MATCH(B158,Sector_Params!$C$15:$E$15,0))</f>
        <v>0.38</v>
      </c>
      <c r="L158" s="16" t="n">
        <f aca="false">J158*K158</f>
        <v>0.229190855967417</v>
      </c>
      <c r="M158" s="44" t="n">
        <f aca="false">Country_Data!$DW$26+Sector_Params!$E$11</f>
        <v>0.055</v>
      </c>
      <c r="N158" s="44" t="n">
        <f aca="false">Country_Data!$DX$26+Sector_Params!$E$11</f>
        <v>0.07</v>
      </c>
      <c r="O158" s="11" t="n">
        <f aca="false">IF(p_use_ibrd=1,p_r_ibrd,p_r_wb)</f>
        <v>0.06</v>
      </c>
      <c r="P158" s="45" t="n">
        <f aca="false">Sector_Params!$D$11</f>
        <v>30</v>
      </c>
      <c r="Q158" s="46" t="n">
        <f aca="false">M158/(1-(1+M158)^-P158)</f>
        <v>0.0688053896793896</v>
      </c>
      <c r="R158" s="46" t="n">
        <f aca="false">N158/(1-(1+N158)^-P158)</f>
        <v>0.0805864035111112</v>
      </c>
      <c r="S158" s="46" t="n">
        <f aca="false">O158/(1-(1+O158)^-P158)</f>
        <v>0.0726489114900472</v>
      </c>
      <c r="T158" s="37" t="n">
        <f aca="false">0*Sector_Params!$I$11</f>
        <v>0</v>
      </c>
      <c r="U158" s="37" t="n">
        <f aca="false">p_c*Sector_Params!$J$11</f>
        <v>0.129</v>
      </c>
      <c r="V158" s="37" t="n">
        <f aca="false">1000*p_r_wb/(1-(1+p_r_wb)^-Sector_Params!$D$11)/p_cpt_afolu</f>
        <v>1.45297822980094</v>
      </c>
      <c r="W158" s="16" t="n">
        <f aca="false">T158*L158</f>
        <v>0</v>
      </c>
      <c r="X158" s="16" t="n">
        <f aca="false">U158*L158</f>
        <v>0.0295656204197968</v>
      </c>
      <c r="Y158" s="16" t="n">
        <f aca="false">V158*L158</f>
        <v>0.333009324190101</v>
      </c>
      <c r="Z158" s="16" t="n">
        <f aca="false">Q158*L158</f>
        <v>0.015769566155791</v>
      </c>
      <c r="AA158" s="16" t="n">
        <f aca="false">R158*L158</f>
        <v>0.0184696668000472</v>
      </c>
      <c r="AB158" s="16" t="n">
        <f aca="false">S158*L158</f>
        <v>0.016650466209505</v>
      </c>
      <c r="AC158" s="16" t="n">
        <f aca="false">Z158-W158</f>
        <v>0.015769566155791</v>
      </c>
      <c r="AD158" s="16" t="n">
        <f aca="false">AA158-W158</f>
        <v>0.0184696668000472</v>
      </c>
      <c r="AE158" s="16" t="n">
        <f aca="false">AB158-W158</f>
        <v>0.016650466209505</v>
      </c>
      <c r="AF158" s="16" t="n">
        <f aca="false">AE158-X158</f>
        <v>-0.0129151542102918</v>
      </c>
      <c r="AG158" s="16" t="n">
        <f aca="false">AF158-p_spc_lo*Y158/1000</f>
        <v>-0.0295656204197968</v>
      </c>
      <c r="AH158" s="16" t="n">
        <f aca="false">AF158-p_spc_hi*Y158/1000</f>
        <v>-0.0462160866293018</v>
      </c>
      <c r="AI158" s="16" t="n">
        <f aca="false">Q158*J158</f>
        <v>0.0414988583047131</v>
      </c>
      <c r="AJ158" s="16" t="n">
        <f aca="false">S158*J158</f>
        <v>0.0438170163408027</v>
      </c>
      <c r="AK158" s="16" t="n">
        <f aca="false">T158*J158</f>
        <v>0</v>
      </c>
      <c r="AL158" s="16" t="n">
        <f aca="false">U158*J158</f>
        <v>0.0778042642626231</v>
      </c>
      <c r="AM158" s="16" t="n">
        <f aca="false">AI158-AJ158</f>
        <v>-0.00231815803608962</v>
      </c>
      <c r="AN158" s="16" t="n">
        <f aca="false">J158*Country_Data!$EB$26</f>
        <v>0.63017086531876</v>
      </c>
      <c r="AO158" s="16" t="n">
        <f aca="false">L158*Country_Data!$EB$26</f>
        <v>0.239464928821129</v>
      </c>
    </row>
    <row r="159" customFormat="false" ht="15" hidden="false" customHeight="false" outlineLevel="0" collapsed="false">
      <c r="A159" s="14" t="str">
        <f aca="false">Country_Data!$A$27</f>
        <v>BEL</v>
      </c>
      <c r="B159" s="14" t="str">
        <f aca="false">Country_Data!$E$27</f>
        <v>AE</v>
      </c>
      <c r="C159" s="35" t="s">
        <v>466</v>
      </c>
      <c r="D159" s="37" t="n">
        <f aca="false">IF(Country_Data!$BZ$27="","",Country_Data!$BZ$27)</f>
        <v>72.5942436843234</v>
      </c>
      <c r="E159" s="40" t="n">
        <f aca="false">Country_Data!$BW$27</f>
        <v>872.158</v>
      </c>
      <c r="F159" s="41" t="n">
        <f aca="false">Country_Data!$BX$27</f>
        <v>0.769548636829565</v>
      </c>
      <c r="G159" s="42" t="n">
        <f aca="false">IF(D159="","",D159/SUMIFS($D$5:$D$1369,$B$5:$B$1369,B159,$C$5:$C$1369,C159))</f>
        <v>0.00741862699299306</v>
      </c>
      <c r="H159" s="42" t="n">
        <f aca="false">E159/SUMIFS($E$5:$E$1369,$B$5:$B$1369,B159,$C$5:$C$1369,C159)</f>
        <v>0.0110560898441705</v>
      </c>
      <c r="I159" s="43" t="n">
        <f aca="false">IF(G159="",H159,p_beta_alloc*G159+(1-p_beta_alloc)*H159)*F159^p_phi</f>
        <v>0.00810337302934037</v>
      </c>
      <c r="J159" s="16" t="n">
        <f aca="false">INDEX(Sector_Params!$C$16:$E$16,MATCH(B159,Sector_Params!$C$15:$E$15,0))*I159/SUMIFS($I$5:$I$1369,$B$5:$B$1369,B159,$C$5:$C$1369,C159)</f>
        <v>7.26836355381566</v>
      </c>
      <c r="K159" s="28" t="n">
        <f aca="false">INDEX(Sector_Params!$F$5:$H$5,MATCH(B159,Sector_Params!$C$15:$E$15,0))</f>
        <v>0.38</v>
      </c>
      <c r="L159" s="16" t="n">
        <f aca="false">J159*K159</f>
        <v>2.76197815044995</v>
      </c>
      <c r="M159" s="44" t="n">
        <f aca="false">Country_Data!$DW$27+Sector_Params!$E$5</f>
        <v>0.038</v>
      </c>
      <c r="N159" s="44" t="n">
        <f aca="false">Country_Data!$DX$27+Sector_Params!$E$5</f>
        <v>0.053</v>
      </c>
      <c r="O159" s="11" t="n">
        <f aca="false">IF(p_use_ibrd=1,p_r_ibrd,p_r_wb)</f>
        <v>0.06</v>
      </c>
      <c r="P159" s="45" t="n">
        <f aca="false">Sector_Params!$D$5</f>
        <v>25</v>
      </c>
      <c r="Q159" s="46" t="n">
        <f aca="false">M159/(1-(1+M159)^-P159)</f>
        <v>0.0626659446824917</v>
      </c>
      <c r="R159" s="46" t="n">
        <f aca="false">N159/(1-(1+N159)^-P159)</f>
        <v>0.0731007685758375</v>
      </c>
      <c r="S159" s="46" t="n">
        <f aca="false">O159/(1-(1+O159)^-P159)</f>
        <v>0.078226718212274</v>
      </c>
      <c r="T159" s="37" t="n">
        <f aca="false">IF(AND(p_eng=1,ISNUMBER(Country_Data!$CZ$27)),Country_Data!$CZ$27,Country_Data!$CM$27)*Sector_Params!$I$5</f>
        <v>0.0503653143524401</v>
      </c>
      <c r="U159" s="37" t="n">
        <f aca="false">IF(AND(p_eng=1,ISNUMBER(Country_Data!$DA$27)),Country_Data!$DA$27,Country_Data!$CN$27)*Sector_Params!$J$5</f>
        <v>0.000818900060948807</v>
      </c>
      <c r="V159" s="37" t="n">
        <f aca="false">IF(AND(p_eng=1,ISNUMBER(Country_Data!$DB$27)),Country_Data!$DB$27,p_a)</f>
        <v>0.261185547504165</v>
      </c>
      <c r="W159" s="16" t="n">
        <f aca="false">T159*L159</f>
        <v>0.139107897781983</v>
      </c>
      <c r="X159" s="16" t="n">
        <f aca="false">U159*L159</f>
        <v>0.00226178407574274</v>
      </c>
      <c r="Y159" s="16" t="n">
        <f aca="false">V159*L159</f>
        <v>0.721388775419813</v>
      </c>
      <c r="Z159" s="16" t="n">
        <f aca="false">Q159*L159</f>
        <v>0.173081969990347</v>
      </c>
      <c r="AA159" s="16" t="n">
        <f aca="false">R159*L159</f>
        <v>0.201902725587562</v>
      </c>
      <c r="AB159" s="16" t="n">
        <f aca="false">S159*L159</f>
        <v>0.216060486483706</v>
      </c>
      <c r="AC159" s="16" t="n">
        <f aca="false">Z159-W159</f>
        <v>0.0339740722083643</v>
      </c>
      <c r="AD159" s="16" t="n">
        <f aca="false">AA159-W159</f>
        <v>0.0627948278055785</v>
      </c>
      <c r="AE159" s="16" t="n">
        <f aca="false">AB159-W159</f>
        <v>0.076952588701723</v>
      </c>
      <c r="AF159" s="16" t="n">
        <f aca="false">AE159-X159</f>
        <v>0.0746908046259802</v>
      </c>
      <c r="AG159" s="16" t="n">
        <f aca="false">AF159-p_spc_lo*Y159/1000</f>
        <v>0.0386213658549896</v>
      </c>
      <c r="AH159" s="16" t="n">
        <f aca="false">AF159-p_spc_hi*Y159/1000</f>
        <v>0.00255192708399897</v>
      </c>
      <c r="AI159" s="16" t="n">
        <f aca="false">Q159*J159</f>
        <v>0.455478868395651</v>
      </c>
      <c r="AJ159" s="16" t="n">
        <f aca="false">S159*J159</f>
        <v>0.5685802275887</v>
      </c>
      <c r="AK159" s="16" t="n">
        <f aca="false">T159*J159</f>
        <v>0.366073415215745</v>
      </c>
      <c r="AL159" s="16" t="n">
        <f aca="false">U159*J159</f>
        <v>0.00595206335721773</v>
      </c>
      <c r="AM159" s="16" t="n">
        <f aca="false">AI159-AJ159</f>
        <v>-0.113101359193049</v>
      </c>
      <c r="AN159" s="16" t="n">
        <f aca="false">J159*Country_Data!$EB$27</f>
        <v>7.5941867476074</v>
      </c>
      <c r="AO159" s="16" t="n">
        <f aca="false">L159*Country_Data!$EB$27</f>
        <v>2.88579096409081</v>
      </c>
    </row>
    <row r="160" customFormat="false" ht="15" hidden="false" customHeight="false" outlineLevel="0" collapsed="false">
      <c r="A160" s="14" t="str">
        <f aca="false">Country_Data!$A$27</f>
        <v>BEL</v>
      </c>
      <c r="B160" s="14" t="str">
        <f aca="false">Country_Data!$E$27</f>
        <v>AE</v>
      </c>
      <c r="C160" s="35" t="s">
        <v>470</v>
      </c>
      <c r="D160" s="37" t="n">
        <f aca="false">IF(Country_Data!$BZ$27="","",Country_Data!$BZ$27)</f>
        <v>72.5942436843234</v>
      </c>
      <c r="E160" s="40" t="n">
        <f aca="false">Country_Data!$BW$27</f>
        <v>872.158</v>
      </c>
      <c r="F160" s="41" t="n">
        <f aca="false">Country_Data!$BX$27</f>
        <v>0.769548636829565</v>
      </c>
      <c r="G160" s="42" t="n">
        <f aca="false">IF(D160="","",D160/SUMIFS($D$5:$D$1369,$B$5:$B$1369,B160,$C$5:$C$1369,C160))</f>
        <v>0.00741862699299306</v>
      </c>
      <c r="H160" s="42" t="n">
        <f aca="false">E160/SUMIFS($E$5:$E$1369,$B$5:$B$1369,B160,$C$5:$C$1369,C160)</f>
        <v>0.0110560898441705</v>
      </c>
      <c r="I160" s="43" t="n">
        <f aca="false">IF(G160="",H160,p_beta_alloc*G160+(1-p_beta_alloc)*H160)*F160^p_phi</f>
        <v>0.00810337302934037</v>
      </c>
      <c r="J160" s="16" t="n">
        <f aca="false">INDEX(Sector_Params!$C$17:$E$17,MATCH(B160,Sector_Params!$C$15:$E$15,0))*I160/SUMIFS($I$5:$I$1369,$B$5:$B$1369,B160,$C$5:$C$1369,C160)</f>
        <v>4.98402072261646</v>
      </c>
      <c r="K160" s="28" t="n">
        <f aca="false">INDEX(Sector_Params!$F$6:$H$6,MATCH(B160,Sector_Params!$C$15:$E$15,0))</f>
        <v>0.38</v>
      </c>
      <c r="L160" s="16" t="n">
        <f aca="false">J160*K160</f>
        <v>1.89392787459425</v>
      </c>
      <c r="M160" s="44" t="n">
        <f aca="false">Country_Data!$DW$27+Sector_Params!$E$6</f>
        <v>0.038</v>
      </c>
      <c r="N160" s="44" t="n">
        <f aca="false">Country_Data!$DX$27+Sector_Params!$E$6</f>
        <v>0.053</v>
      </c>
      <c r="O160" s="11" t="n">
        <f aca="false">IF(p_use_ibrd=1,p_r_ibrd,p_r_wb)</f>
        <v>0.06</v>
      </c>
      <c r="P160" s="45" t="n">
        <f aca="false">Sector_Params!$D$6</f>
        <v>40</v>
      </c>
      <c r="Q160" s="46" t="n">
        <f aca="false">M160/(1-(1+M160)^-P160)</f>
        <v>0.049029745722563</v>
      </c>
      <c r="R160" s="46" t="n">
        <f aca="false">N160/(1-(1+N160)^-P160)</f>
        <v>0.060691134544602</v>
      </c>
      <c r="S160" s="46" t="n">
        <f aca="false">O160/(1-(1+O160)^-P160)</f>
        <v>0.0664615359206755</v>
      </c>
      <c r="T160" s="37" t="n">
        <f aca="false">p_grid_credit*IF(AND(p_eng=1,ISNUMBER(Country_Data!$CZ$27)),Country_Data!$CZ$27,Country_Data!$CM$27)*Sector_Params!$I$6</f>
        <v>0</v>
      </c>
      <c r="U160" s="37" t="n">
        <f aca="false">p_grid_credit*IF(AND(p_eng=1,ISNUMBER(Country_Data!$DA$27)),Country_Data!$DA$27,Country_Data!$CN$27)*Sector_Params!$J$6</f>
        <v>0</v>
      </c>
      <c r="V160" s="37" t="n">
        <f aca="false">p_grid_credit*IF(AND(p_eng=1,ISNUMBER(Country_Data!$DB$27)),Country_Data!$DB$27,p_a)</f>
        <v>0</v>
      </c>
      <c r="W160" s="16" t="n">
        <f aca="false">T160*L160</f>
        <v>0</v>
      </c>
      <c r="X160" s="16" t="n">
        <f aca="false">U160*L160</f>
        <v>0</v>
      </c>
      <c r="Y160" s="16" t="n">
        <f aca="false">V160*L160</f>
        <v>0</v>
      </c>
      <c r="Z160" s="16" t="n">
        <f aca="false">Q160*L160</f>
        <v>0.0928588021082304</v>
      </c>
      <c r="AA160" s="16" t="n">
        <f aca="false">R160*L160</f>
        <v>0.114944631454772</v>
      </c>
      <c r="AB160" s="16" t="n">
        <f aca="false">S160*L160</f>
        <v>0.125873355468515</v>
      </c>
      <c r="AC160" s="16" t="n">
        <f aca="false">Z160-W160</f>
        <v>0.0928588021082304</v>
      </c>
      <c r="AD160" s="16" t="n">
        <f aca="false">AA160-W160</f>
        <v>0.114944631454772</v>
      </c>
      <c r="AE160" s="16" t="n">
        <f aca="false">AB160-W160</f>
        <v>0.125873355468515</v>
      </c>
      <c r="AF160" s="16" t="n">
        <f aca="false">AE160-X160</f>
        <v>0.125873355468515</v>
      </c>
      <c r="AG160" s="16" t="n">
        <f aca="false">AF160-p_spc_lo*Y160/1000</f>
        <v>0.125873355468515</v>
      </c>
      <c r="AH160" s="16" t="n">
        <f aca="false">AF160-p_spc_hi*Y160/1000</f>
        <v>0.125873355468515</v>
      </c>
      <c r="AI160" s="16" t="n">
        <f aca="false">Q160*J160</f>
        <v>0.24436526870587</v>
      </c>
      <c r="AJ160" s="16" t="n">
        <f aca="false">S160*J160</f>
        <v>0.331245672285565</v>
      </c>
      <c r="AK160" s="16" t="n">
        <f aca="false">T160*J160</f>
        <v>0</v>
      </c>
      <c r="AL160" s="16" t="n">
        <f aca="false">U160*J160</f>
        <v>0</v>
      </c>
      <c r="AM160" s="16" t="n">
        <f aca="false">AI160-AJ160</f>
        <v>-0.086880403579695</v>
      </c>
      <c r="AN160" s="16" t="n">
        <f aca="false">J160*Country_Data!$EB$27</f>
        <v>5.2074423412165</v>
      </c>
      <c r="AO160" s="16" t="n">
        <f aca="false">L160*Country_Data!$EB$27</f>
        <v>1.97882808966227</v>
      </c>
    </row>
    <row r="161" customFormat="false" ht="15" hidden="false" customHeight="false" outlineLevel="0" collapsed="false">
      <c r="A161" s="14" t="str">
        <f aca="false">Country_Data!$A$27</f>
        <v>BEL</v>
      </c>
      <c r="B161" s="14" t="str">
        <f aca="false">Country_Data!$E$27</f>
        <v>AE</v>
      </c>
      <c r="C161" s="35" t="s">
        <v>473</v>
      </c>
      <c r="D161" s="37" t="n">
        <f aca="false">IF(Country_Data!$CA$27="","",Country_Data!$CA$27)</f>
        <v>0.445590527732251</v>
      </c>
      <c r="E161" s="40" t="n">
        <f aca="false">Country_Data!$BW$27</f>
        <v>872.158</v>
      </c>
      <c r="F161" s="41" t="n">
        <f aca="false">Country_Data!$BX$27</f>
        <v>0.769548636829565</v>
      </c>
      <c r="G161" s="42" t="n">
        <f aca="false">IF(D161="","",D161/SUMIFS($D$5:$D$1369,$B$5:$B$1369,B161,$C$5:$C$1369,C161))</f>
        <v>0.00872286677993514</v>
      </c>
      <c r="H161" s="42" t="n">
        <f aca="false">E161/SUMIFS($E$5:$E$1369,$B$5:$B$1369,B161,$C$5:$C$1369,C161)</f>
        <v>0.0110560898441705</v>
      </c>
      <c r="I161" s="43" t="n">
        <f aca="false">IF(G161="",H161,p_beta_alloc*G161+(1-p_beta_alloc)*H161)*F161^p_phi</f>
        <v>0.00867543817147229</v>
      </c>
      <c r="J161" s="16" t="n">
        <f aca="false">INDEX(Sector_Params!$C$18:$E$18,MATCH(B161,Sector_Params!$C$15:$E$15,0))*I161/SUMIFS($I$5:$I$1369,$B$5:$B$1369,B161,$C$5:$C$1369,C161)</f>
        <v>3.26936629615512</v>
      </c>
      <c r="K161" s="28" t="n">
        <f aca="false">INDEX(Sector_Params!$F$7:$H$7,MATCH(B161,Sector_Params!$C$15:$E$15,0))</f>
        <v>0.38</v>
      </c>
      <c r="L161" s="16" t="n">
        <f aca="false">J161*K161</f>
        <v>1.24235919253895</v>
      </c>
      <c r="M161" s="44" t="n">
        <f aca="false">Country_Data!$DW$27+Sector_Params!$E$7</f>
        <v>0.038</v>
      </c>
      <c r="N161" s="44" t="n">
        <f aca="false">Country_Data!$DX$27+Sector_Params!$E$7</f>
        <v>0.053</v>
      </c>
      <c r="O161" s="11" t="n">
        <f aca="false">IF(p_use_ibrd=1,p_r_ibrd,p_r_wb)</f>
        <v>0.06</v>
      </c>
      <c r="P161" s="45" t="n">
        <f aca="false">Sector_Params!$D$7</f>
        <v>12</v>
      </c>
      <c r="Q161" s="46" t="n">
        <f aca="false">M161/(1-(1+M161)^-P161)</f>
        <v>0.105319355992701</v>
      </c>
      <c r="R161" s="46" t="n">
        <f aca="false">N161/(1-(1+N161)^-P161)</f>
        <v>0.114742390239202</v>
      </c>
      <c r="S161" s="46" t="n">
        <f aca="false">O161/(1-(1+O161)^-P161)</f>
        <v>0.119277029380664</v>
      </c>
      <c r="T161" s="37" t="n">
        <f aca="false">IF(AND(p_eng=1,ISNUMBER(Country_Data!$DE$27)),Country_Data!$DE$27,Country_Data!$CM$27)*Sector_Params!$I$7</f>
        <v>0.0962946</v>
      </c>
      <c r="U161" s="37" t="n">
        <f aca="false">IF(AND(p_eng=1,ISNUMBER(Country_Data!$DF$27)),Country_Data!$DF$27,Country_Data!$CN$27)*Sector_Params!$J$7</f>
        <v>0.005676975</v>
      </c>
      <c r="V161" s="37" t="n">
        <f aca="false">IF(AND(p_eng=1,ISNUMBER(Country_Data!$DG$27)),Country_Data!$DG$27,p_a)</f>
        <v>0.471976011885246</v>
      </c>
      <c r="W161" s="16" t="n">
        <f aca="false">T161*L161</f>
        <v>0.119632481501861</v>
      </c>
      <c r="X161" s="16" t="n">
        <f aca="false">U161*L161</f>
        <v>0.00705284207706378</v>
      </c>
      <c r="Y161" s="16" t="n">
        <f aca="false">V161*L161</f>
        <v>0.586363737023506</v>
      </c>
      <c r="Z161" s="16" t="n">
        <f aca="false">Q161*L161</f>
        <v>0.130844470069814</v>
      </c>
      <c r="AA161" s="16" t="n">
        <f aca="false">R161*L161</f>
        <v>0.142551263287564</v>
      </c>
      <c r="AB161" s="16" t="n">
        <f aca="false">S161*L161</f>
        <v>0.148184913909805</v>
      </c>
      <c r="AC161" s="16" t="n">
        <f aca="false">Z161-W161</f>
        <v>0.0112119885679535</v>
      </c>
      <c r="AD161" s="16" t="n">
        <f aca="false">AA161-W161</f>
        <v>0.0229187817857029</v>
      </c>
      <c r="AE161" s="16" t="n">
        <f aca="false">AB161-W161</f>
        <v>0.0285524324079445</v>
      </c>
      <c r="AF161" s="16" t="n">
        <f aca="false">AE161-X161</f>
        <v>0.0214995903308807</v>
      </c>
      <c r="AG161" s="16" t="n">
        <f aca="false">AF161-p_spc_lo*Y161/1000</f>
        <v>-0.00781859652029456</v>
      </c>
      <c r="AH161" s="16" t="n">
        <f aca="false">AF161-p_spc_hi*Y161/1000</f>
        <v>-0.0371367833714699</v>
      </c>
      <c r="AI161" s="16" t="n">
        <f aca="false">Q161*J161</f>
        <v>0.344327552815301</v>
      </c>
      <c r="AJ161" s="16" t="n">
        <f aca="false">S161*J161</f>
        <v>0.389960299762646</v>
      </c>
      <c r="AK161" s="16" t="n">
        <f aca="false">T161*J161</f>
        <v>0.314822319741739</v>
      </c>
      <c r="AL161" s="16" t="n">
        <f aca="false">U161*J161</f>
        <v>0.0185601107291152</v>
      </c>
      <c r="AM161" s="16" t="n">
        <f aca="false">AI161-AJ161</f>
        <v>-0.0456327469473448</v>
      </c>
      <c r="AN161" s="16" t="n">
        <f aca="false">J161*Country_Data!$EB$27</f>
        <v>3.41592409563794</v>
      </c>
      <c r="AO161" s="16" t="n">
        <f aca="false">L161*Country_Data!$EB$27</f>
        <v>1.29805115634242</v>
      </c>
    </row>
    <row r="162" customFormat="false" ht="15" hidden="false" customHeight="false" outlineLevel="0" collapsed="false">
      <c r="A162" s="14" t="str">
        <f aca="false">Country_Data!$A$27</f>
        <v>BEL</v>
      </c>
      <c r="B162" s="14" t="str">
        <f aca="false">Country_Data!$E$27</f>
        <v>AE</v>
      </c>
      <c r="C162" s="35" t="s">
        <v>477</v>
      </c>
      <c r="D162" s="37" t="n">
        <f aca="false">IF(Country_Data!$CB$27="","",Country_Data!$CB$27)</f>
        <v>0.416365849295022</v>
      </c>
      <c r="E162" s="40" t="n">
        <f aca="false">Country_Data!$BW$27</f>
        <v>872.158</v>
      </c>
      <c r="F162" s="41" t="n">
        <f aca="false">Country_Data!$BX$27</f>
        <v>0.769548636829565</v>
      </c>
      <c r="G162" s="42" t="n">
        <f aca="false">IF(D162="","",D162/SUMIFS($D$5:$D$1369,$B$5:$B$1369,B162,$C$5:$C$1369,C162))</f>
        <v>0.0107068924090471</v>
      </c>
      <c r="H162" s="42" t="n">
        <f aca="false">E162/SUMIFS($E$5:$E$1369,$B$5:$B$1369,B162,$C$5:$C$1369,C162)</f>
        <v>0.0110560898441705</v>
      </c>
      <c r="I162" s="43" t="n">
        <f aca="false">IF(G162="",H162,p_beta_alloc*G162+(1-p_beta_alloc)*H162)*F162^p_phi</f>
        <v>0.00954567071220198</v>
      </c>
      <c r="J162" s="16" t="n">
        <f aca="false">INDEX(Sector_Params!$C$19:$E$19,MATCH(B162,Sector_Params!$C$15:$E$15,0))*I162/SUMIFS($I$5:$I$1369,$B$5:$B$1369,B162,$C$5:$C$1369,C162)</f>
        <v>2.80601593801581</v>
      </c>
      <c r="K162" s="28" t="n">
        <f aca="false">INDEX(Sector_Params!$F$8:$H$8,MATCH(B162,Sector_Params!$C$15:$E$15,0))</f>
        <v>0.38</v>
      </c>
      <c r="L162" s="16" t="n">
        <f aca="false">J162*K162</f>
        <v>1.06628605644601</v>
      </c>
      <c r="M162" s="44" t="n">
        <f aca="false">Country_Data!$DW$27+Sector_Params!$E$8</f>
        <v>0.038</v>
      </c>
      <c r="N162" s="44" t="n">
        <f aca="false">Country_Data!$DX$27+Sector_Params!$E$8</f>
        <v>0.053</v>
      </c>
      <c r="O162" s="11" t="n">
        <f aca="false">IF(p_use_ibrd=1,p_r_ibrd,p_r_wb)</f>
        <v>0.06</v>
      </c>
      <c r="P162" s="45" t="n">
        <f aca="false">Sector_Params!$D$8</f>
        <v>25</v>
      </c>
      <c r="Q162" s="46" t="n">
        <f aca="false">M162/(1-(1+M162)^-P162)</f>
        <v>0.0626659446824917</v>
      </c>
      <c r="R162" s="46" t="n">
        <f aca="false">N162/(1-(1+N162)^-P162)</f>
        <v>0.0731007685758375</v>
      </c>
      <c r="S162" s="46" t="n">
        <f aca="false">O162/(1-(1+O162)^-P162)</f>
        <v>0.078226718212274</v>
      </c>
      <c r="T162" s="37" t="n">
        <f aca="false">Country_Data!$CM$27*Sector_Params!$I$8</f>
        <v>0.207343970307134</v>
      </c>
      <c r="U162" s="37" t="n">
        <f aca="false">Country_Data!$CN$27*Sector_Params!$J$8</f>
        <v>0.03225</v>
      </c>
      <c r="V162" s="37" t="n">
        <f aca="false">p_a</f>
        <v>0.35</v>
      </c>
      <c r="W162" s="16" t="n">
        <f aca="false">T162*L162</f>
        <v>0.221087984426652</v>
      </c>
      <c r="X162" s="16" t="n">
        <f aca="false">U162*L162</f>
        <v>0.0343877253203838</v>
      </c>
      <c r="Y162" s="16" t="n">
        <f aca="false">V162*L162</f>
        <v>0.373200119756103</v>
      </c>
      <c r="Z162" s="16" t="n">
        <f aca="false">Q162*L162</f>
        <v>0.0668198230289577</v>
      </c>
      <c r="AA162" s="16" t="n">
        <f aca="false">R162*L162</f>
        <v>0.077946330247902</v>
      </c>
      <c r="AB162" s="16" t="n">
        <f aca="false">S162*L162</f>
        <v>0.0834120588712787</v>
      </c>
      <c r="AC162" s="16" t="n">
        <f aca="false">Z162-W162</f>
        <v>-0.154268161397694</v>
      </c>
      <c r="AD162" s="16" t="n">
        <f aca="false">AA162-W162</f>
        <v>-0.14314165417875</v>
      </c>
      <c r="AE162" s="16" t="n">
        <f aca="false">AB162-W162</f>
        <v>-0.137675925555373</v>
      </c>
      <c r="AF162" s="16" t="n">
        <f aca="false">AE162-X162</f>
        <v>-0.172063650875757</v>
      </c>
      <c r="AG162" s="16" t="n">
        <f aca="false">AF162-p_spc_lo*Y162/1000</f>
        <v>-0.190723656863562</v>
      </c>
      <c r="AH162" s="16" t="n">
        <f aca="false">AF162-p_spc_hi*Y162/1000</f>
        <v>-0.209383662851367</v>
      </c>
      <c r="AI162" s="16" t="n">
        <f aca="false">Q162*J162</f>
        <v>0.175841639549889</v>
      </c>
      <c r="AJ162" s="16" t="n">
        <f aca="false">S162*J162</f>
        <v>0.219505418082312</v>
      </c>
      <c r="AK162" s="16" t="n">
        <f aca="false">T162*J162</f>
        <v>0.581810485333295</v>
      </c>
      <c r="AL162" s="16" t="n">
        <f aca="false">U162*J162</f>
        <v>0.0904940140010099</v>
      </c>
      <c r="AM162" s="16" t="n">
        <f aca="false">AI162-AJ162</f>
        <v>-0.0436637785324237</v>
      </c>
      <c r="AN162" s="16" t="n">
        <f aca="false">J162*Country_Data!$EB$27</f>
        <v>2.93180285937514</v>
      </c>
      <c r="AO162" s="16" t="n">
        <f aca="false">L162*Country_Data!$EB$27</f>
        <v>1.11408508656255</v>
      </c>
    </row>
    <row r="163" customFormat="false" ht="15" hidden="false" customHeight="false" outlineLevel="0" collapsed="false">
      <c r="A163" s="14" t="str">
        <f aca="false">Country_Data!$A$27</f>
        <v>BEL</v>
      </c>
      <c r="B163" s="14" t="str">
        <f aca="false">Country_Data!$E$27</f>
        <v>AE</v>
      </c>
      <c r="C163" s="35" t="s">
        <v>481</v>
      </c>
      <c r="D163" s="37" t="n">
        <f aca="false">IF(Country_Data!$CC$27="","",Country_Data!$CC$27)</f>
        <v>0.487641508469418</v>
      </c>
      <c r="E163" s="40" t="n">
        <f aca="false">Country_Data!$BW$27</f>
        <v>872.158</v>
      </c>
      <c r="F163" s="41" t="n">
        <f aca="false">Country_Data!$BX$27</f>
        <v>0.769548636829565</v>
      </c>
      <c r="G163" s="42" t="n">
        <f aca="false">IF(D163="","",D163/SUMIFS($D$5:$D$1369,$B$5:$B$1369,B163,$C$5:$C$1369,C163))</f>
        <v>0.00887890978606243</v>
      </c>
      <c r="H163" s="42" t="n">
        <f aca="false">E163/SUMIFS($E$5:$E$1369,$B$5:$B$1369,B163,$C$5:$C$1369,C163)</f>
        <v>0.0110560898441705</v>
      </c>
      <c r="I163" s="43" t="n">
        <f aca="false">IF(G163="",H163,p_beta_alloc*G163+(1-p_beta_alloc)*H163)*F163^p_phi</f>
        <v>0.00874388169341713</v>
      </c>
      <c r="J163" s="16" t="n">
        <f aca="false">INDEX(Sector_Params!$C$20:$E$20,MATCH(B163,Sector_Params!$C$15:$E$15,0))*I163/SUMIFS($I$5:$I$1369,$B$5:$B$1369,B163,$C$5:$C$1369,C163)</f>
        <v>1.48486283325444</v>
      </c>
      <c r="K163" s="28" t="n">
        <f aca="false">INDEX(Sector_Params!$F$9:$H$9,MATCH(B163,Sector_Params!$C$15:$E$15,0))</f>
        <v>0.38</v>
      </c>
      <c r="L163" s="16" t="n">
        <f aca="false">J163*K163</f>
        <v>0.564247876636688</v>
      </c>
      <c r="M163" s="44" t="n">
        <f aca="false">Country_Data!$DW$27+Sector_Params!$E$9</f>
        <v>0.038</v>
      </c>
      <c r="N163" s="44" t="n">
        <f aca="false">Country_Data!$DX$27+Sector_Params!$E$9</f>
        <v>0.053</v>
      </c>
      <c r="O163" s="11" t="n">
        <f aca="false">IF(p_use_ibrd=1,p_r_ibrd,p_r_wb)</f>
        <v>0.06</v>
      </c>
      <c r="P163" s="45" t="n">
        <f aca="false">Sector_Params!$D$9</f>
        <v>25</v>
      </c>
      <c r="Q163" s="46" t="n">
        <f aca="false">M163/(1-(1+M163)^-P163)</f>
        <v>0.0626659446824917</v>
      </c>
      <c r="R163" s="46" t="n">
        <f aca="false">N163/(1-(1+N163)^-P163)</f>
        <v>0.0731007685758375</v>
      </c>
      <c r="S163" s="46" t="n">
        <f aca="false">O163/(1-(1+O163)^-P163)</f>
        <v>0.078226718212274</v>
      </c>
      <c r="T163" s="37" t="n">
        <f aca="false">Country_Data!$CM$27*Sector_Params!$I$9</f>
        <v>0.207343970307134</v>
      </c>
      <c r="U163" s="37" t="n">
        <f aca="false">Country_Data!$CN$27*Sector_Params!$J$9</f>
        <v>0.03225</v>
      </c>
      <c r="V163" s="37" t="n">
        <f aca="false">p_a</f>
        <v>0.35</v>
      </c>
      <c r="W163" s="16" t="n">
        <f aca="false">T163*L163</f>
        <v>0.116993394979221</v>
      </c>
      <c r="X163" s="16" t="n">
        <f aca="false">U163*L163</f>
        <v>0.0181969940215332</v>
      </c>
      <c r="Y163" s="16" t="n">
        <f aca="false">V163*L163</f>
        <v>0.197486756822841</v>
      </c>
      <c r="Z163" s="16" t="n">
        <f aca="false">Q163*L163</f>
        <v>0.0353591262245281</v>
      </c>
      <c r="AA163" s="16" t="n">
        <f aca="false">R163*L163</f>
        <v>0.0412469534494262</v>
      </c>
      <c r="AB163" s="16" t="n">
        <f aca="false">S163*L163</f>
        <v>0.0441392596475321</v>
      </c>
      <c r="AC163" s="16" t="n">
        <f aca="false">Z163-W163</f>
        <v>-0.0816342687546927</v>
      </c>
      <c r="AD163" s="16" t="n">
        <f aca="false">AA163-W163</f>
        <v>-0.0757464415297945</v>
      </c>
      <c r="AE163" s="16" t="n">
        <f aca="false">AB163-W163</f>
        <v>-0.0728541353316886</v>
      </c>
      <c r="AF163" s="16" t="n">
        <f aca="false">AE163-X163</f>
        <v>-0.0910511293532218</v>
      </c>
      <c r="AG163" s="16" t="n">
        <f aca="false">AF163-p_spc_lo*Y163/1000</f>
        <v>-0.100925467194364</v>
      </c>
      <c r="AH163" s="16" t="n">
        <f aca="false">AF163-p_spc_hi*Y163/1000</f>
        <v>-0.110799805035506</v>
      </c>
      <c r="AI163" s="16" t="n">
        <f aca="false">Q163*J163</f>
        <v>0.0930503321698107</v>
      </c>
      <c r="AJ163" s="16" t="n">
        <f aca="false">S163*J163</f>
        <v>0.116155946440874</v>
      </c>
      <c r="AK163" s="16" t="n">
        <f aca="false">T163*J163</f>
        <v>0.307877355208476</v>
      </c>
      <c r="AL163" s="16" t="n">
        <f aca="false">U163*J163</f>
        <v>0.0478868263724557</v>
      </c>
      <c r="AM163" s="16" t="n">
        <f aca="false">AI163-AJ163</f>
        <v>-0.0231056142710632</v>
      </c>
      <c r="AN163" s="16" t="n">
        <f aca="false">J163*Country_Data!$EB$27</f>
        <v>1.55142564991757</v>
      </c>
      <c r="AO163" s="16" t="n">
        <f aca="false">L163*Country_Data!$EB$27</f>
        <v>0.589541746968677</v>
      </c>
    </row>
    <row r="164" customFormat="false" ht="15" hidden="false" customHeight="false" outlineLevel="0" collapsed="false">
      <c r="A164" s="14" t="str">
        <f aca="false">Country_Data!$A$27</f>
        <v>BEL</v>
      </c>
      <c r="B164" s="14" t="str">
        <f aca="false">Country_Data!$E$27</f>
        <v>AE</v>
      </c>
      <c r="C164" s="35" t="s">
        <v>484</v>
      </c>
      <c r="D164" s="37" t="n">
        <f aca="false">IF(Country_Data!$CD$27="","",Country_Data!$CD$27)</f>
        <v>1.21828826326145</v>
      </c>
      <c r="E164" s="40" t="n">
        <f aca="false">Country_Data!$BW$27</f>
        <v>872.158</v>
      </c>
      <c r="F164" s="41" t="n">
        <f aca="false">Country_Data!$BX$27</f>
        <v>0.769548636829565</v>
      </c>
      <c r="G164" s="42" t="n">
        <f aca="false">IF(D164="","",D164/SUMIFS($D$5:$D$1369,$B$5:$B$1369,B164,$C$5:$C$1369,C164))</f>
        <v>0.00824280755960256</v>
      </c>
      <c r="H164" s="42" t="n">
        <f aca="false">E164/SUMIFS($E$5:$E$1369,$B$5:$B$1369,B164,$C$5:$C$1369,C164)</f>
        <v>0.0110560898441705</v>
      </c>
      <c r="I164" s="43" t="n">
        <f aca="false">IF(G164="",H164,p_beta_alloc*G164+(1-p_beta_alloc)*H164)*F164^p_phi</f>
        <v>0.00846487478515268</v>
      </c>
      <c r="J164" s="16" t="n">
        <f aca="false">INDEX(Sector_Params!$C$21:$E$21,MATCH(B164,Sector_Params!$C$15:$E$15,0))*I164/SUMIFS($I$5:$I$1369,$B$5:$B$1369,B164,$C$5:$C$1369,C164)</f>
        <v>1.72471600050153</v>
      </c>
      <c r="K164" s="28" t="n">
        <f aca="false">INDEX(Sector_Params!$F$10:$H$10,MATCH(B164,Sector_Params!$C$15:$E$15,0))</f>
        <v>0.38</v>
      </c>
      <c r="L164" s="16" t="n">
        <f aca="false">J164*K164</f>
        <v>0.655392080190581</v>
      </c>
      <c r="M164" s="44" t="n">
        <f aca="false">Country_Data!$DW$27+Sector_Params!$E$10</f>
        <v>0.038</v>
      </c>
      <c r="N164" s="44" t="n">
        <f aca="false">Country_Data!$DX$27+Sector_Params!$E$10</f>
        <v>0.053</v>
      </c>
      <c r="O164" s="11" t="n">
        <f aca="false">IF(p_use_ibrd=1,p_r_ibrd,p_r_wb)</f>
        <v>0.06</v>
      </c>
      <c r="P164" s="45" t="n">
        <f aca="false">Sector_Params!$D$10</f>
        <v>20</v>
      </c>
      <c r="Q164" s="46" t="n">
        <f aca="false">M164/(1-(1+M164)^-P164)</f>
        <v>0.0722845436825925</v>
      </c>
      <c r="R164" s="46" t="n">
        <f aca="false">N164/(1-(1+N164)^-P164)</f>
        <v>0.0822963117354301</v>
      </c>
      <c r="S164" s="46" t="n">
        <f aca="false">O164/(1-(1+O164)^-P164)</f>
        <v>0.0871845569768514</v>
      </c>
      <c r="T164" s="37" t="n">
        <f aca="false">0*Sector_Params!$I$10</f>
        <v>0</v>
      </c>
      <c r="U164" s="37" t="n">
        <f aca="false">0*Sector_Params!$J$10</f>
        <v>0</v>
      </c>
      <c r="V164" s="37" t="n">
        <f aca="false">1000*p_r_wb/(1-(1+p_r_wb)^-Sector_Params!$D$10)/p_cpt_fuel</f>
        <v>0.871845569768514</v>
      </c>
      <c r="W164" s="16" t="n">
        <f aca="false">T164*L164</f>
        <v>0</v>
      </c>
      <c r="X164" s="16" t="n">
        <f aca="false">U164*L164</f>
        <v>0</v>
      </c>
      <c r="Y164" s="16" t="n">
        <f aca="false">V164*L164</f>
        <v>0.571400681575529</v>
      </c>
      <c r="Z164" s="16" t="n">
        <f aca="false">Q164*L164</f>
        <v>0.0473747174497612</v>
      </c>
      <c r="AA164" s="16" t="n">
        <f aca="false">R164*L164</f>
        <v>0.0539363509402961</v>
      </c>
      <c r="AB164" s="16" t="n">
        <f aca="false">S164*L164</f>
        <v>0.0571400681575529</v>
      </c>
      <c r="AC164" s="16" t="n">
        <f aca="false">Z164-W164</f>
        <v>0.0473747174497612</v>
      </c>
      <c r="AD164" s="16" t="n">
        <f aca="false">AA164-W164</f>
        <v>0.0539363509402961</v>
      </c>
      <c r="AE164" s="16" t="n">
        <f aca="false">AB164-W164</f>
        <v>0.0571400681575529</v>
      </c>
      <c r="AF164" s="16" t="n">
        <f aca="false">AE164-X164</f>
        <v>0.0571400681575529</v>
      </c>
      <c r="AG164" s="16" t="n">
        <f aca="false">AF164-p_spc_lo*Y164/1000</f>
        <v>0.0285700340787764</v>
      </c>
      <c r="AH164" s="16" t="n">
        <f aca="false">AF164-p_spc_hi*Y164/1000</f>
        <v>0</v>
      </c>
      <c r="AI164" s="16" t="n">
        <f aca="false">Q164*J164</f>
        <v>0.124670309078319</v>
      </c>
      <c r="AJ164" s="16" t="n">
        <f aca="false">S164*J164</f>
        <v>0.150368600414613</v>
      </c>
      <c r="AK164" s="16" t="n">
        <f aca="false">T164*J164</f>
        <v>0</v>
      </c>
      <c r="AL164" s="16" t="n">
        <f aca="false">U164*J164</f>
        <v>0</v>
      </c>
      <c r="AM164" s="16" t="n">
        <f aca="false">AI164-AJ164</f>
        <v>-0.0256982913362938</v>
      </c>
      <c r="AN164" s="16" t="n">
        <f aca="false">J164*Country_Data!$EB$27</f>
        <v>1.80203085569642</v>
      </c>
      <c r="AO164" s="16" t="n">
        <f aca="false">L164*Country_Data!$EB$27</f>
        <v>0.684771725164642</v>
      </c>
    </row>
    <row r="165" customFormat="false" ht="15" hidden="false" customHeight="false" outlineLevel="0" collapsed="false">
      <c r="A165" s="14" t="str">
        <f aca="false">Country_Data!$A$27</f>
        <v>BEL</v>
      </c>
      <c r="B165" s="14" t="str">
        <f aca="false">Country_Data!$E$27</f>
        <v>AE</v>
      </c>
      <c r="C165" s="35" t="s">
        <v>488</v>
      </c>
      <c r="D165" s="37" t="n">
        <f aca="false">IF(Country_Data!$CE$27="","",Country_Data!$CE$27)</f>
        <v>15.783</v>
      </c>
      <c r="E165" s="40" t="n">
        <f aca="false">Country_Data!$BW$27</f>
        <v>872.158</v>
      </c>
      <c r="F165" s="41" t="n">
        <f aca="false">Country_Data!$BX$27</f>
        <v>0.769548636829565</v>
      </c>
      <c r="G165" s="42" t="n">
        <f aca="false">IF(D165="","",D165/SUMIFS($D$5:$D$1369,$B$5:$B$1369,B165,$C$5:$C$1369,C165))</f>
        <v>0.00602341587177524</v>
      </c>
      <c r="H165" s="42" t="n">
        <f aca="false">E165/SUMIFS($E$5:$E$1369,$B$5:$B$1369,B165,$C$5:$C$1369,C165)</f>
        <v>0.0110560898441705</v>
      </c>
      <c r="I165" s="43" t="n">
        <f aca="false">IF(G165="",H165,p_beta_alloc*G165+(1-p_beta_alloc)*H165)*F165^p_phi</f>
        <v>0.00749140607636551</v>
      </c>
      <c r="J165" s="16" t="n">
        <f aca="false">INDEX(Sector_Params!$C$22:$E$22,MATCH(B165,Sector_Params!$C$15:$E$15,0))*I165/SUMIFS($I$5:$I$1369,$B$5:$B$1369,B165,$C$5:$C$1369,C165)</f>
        <v>0.290274175962759</v>
      </c>
      <c r="K165" s="28" t="n">
        <f aca="false">INDEX(Sector_Params!$F$11:$H$11,MATCH(B165,Sector_Params!$C$15:$E$15,0))</f>
        <v>0.38</v>
      </c>
      <c r="L165" s="16" t="n">
        <f aca="false">J165*K165</f>
        <v>0.110304186865849</v>
      </c>
      <c r="M165" s="44" t="n">
        <f aca="false">Country_Data!$DW$27+Sector_Params!$E$11</f>
        <v>0.038</v>
      </c>
      <c r="N165" s="44" t="n">
        <f aca="false">Country_Data!$DX$27+Sector_Params!$E$11</f>
        <v>0.053</v>
      </c>
      <c r="O165" s="11" t="n">
        <f aca="false">IF(p_use_ibrd=1,p_r_ibrd,p_r_wb)</f>
        <v>0.06</v>
      </c>
      <c r="P165" s="45" t="n">
        <f aca="false">Sector_Params!$D$11</f>
        <v>30</v>
      </c>
      <c r="Q165" s="46" t="n">
        <f aca="false">M165/(1-(1+M165)^-P165)</f>
        <v>0.0564340406778189</v>
      </c>
      <c r="R165" s="46" t="n">
        <f aca="false">N165/(1-(1+N165)^-P165)</f>
        <v>0.0672928061474017</v>
      </c>
      <c r="S165" s="46" t="n">
        <f aca="false">O165/(1-(1+O165)^-P165)</f>
        <v>0.0726489114900472</v>
      </c>
      <c r="T165" s="37" t="n">
        <f aca="false">0*Sector_Params!$I$11</f>
        <v>0</v>
      </c>
      <c r="U165" s="37" t="n">
        <f aca="false">p_c*Sector_Params!$J$11</f>
        <v>0.129</v>
      </c>
      <c r="V165" s="37" t="n">
        <f aca="false">1000*p_r_wb/(1-(1+p_r_wb)^-Sector_Params!$D$11)/p_cpt_afolu</f>
        <v>1.45297822980094</v>
      </c>
      <c r="W165" s="16" t="n">
        <f aca="false">T165*L165</f>
        <v>0</v>
      </c>
      <c r="X165" s="16" t="n">
        <f aca="false">U165*L165</f>
        <v>0.0142292401056945</v>
      </c>
      <c r="Y165" s="16" t="n">
        <f aca="false">V165*L165</f>
        <v>0.160269582171973</v>
      </c>
      <c r="Z165" s="16" t="n">
        <f aca="false">Q165*L165</f>
        <v>0.00622491096852103</v>
      </c>
      <c r="AA165" s="16" t="n">
        <f aca="false">R165*L165</f>
        <v>0.00742267826401031</v>
      </c>
      <c r="AB165" s="16" t="n">
        <f aca="false">S165*L165</f>
        <v>0.00801347910859866</v>
      </c>
      <c r="AC165" s="16" t="n">
        <f aca="false">Z165-W165</f>
        <v>0.00622491096852103</v>
      </c>
      <c r="AD165" s="16" t="n">
        <f aca="false">AA165-W165</f>
        <v>0.00742267826401031</v>
      </c>
      <c r="AE165" s="16" t="n">
        <f aca="false">AB165-W165</f>
        <v>0.00801347910859866</v>
      </c>
      <c r="AF165" s="16" t="n">
        <f aca="false">AE165-X165</f>
        <v>-0.0062157609970958</v>
      </c>
      <c r="AG165" s="16" t="n">
        <f aca="false">AF165-p_spc_lo*Y165/1000</f>
        <v>-0.0142292401056945</v>
      </c>
      <c r="AH165" s="16" t="n">
        <f aca="false">AF165-p_spc_hi*Y165/1000</f>
        <v>-0.0222427192142931</v>
      </c>
      <c r="AI165" s="16" t="n">
        <f aca="false">Q165*J165</f>
        <v>0.0163813446540027</v>
      </c>
      <c r="AJ165" s="16" t="n">
        <f aca="false">S165*J165</f>
        <v>0.0210881029173649</v>
      </c>
      <c r="AK165" s="16" t="n">
        <f aca="false">T165*J165</f>
        <v>0</v>
      </c>
      <c r="AL165" s="16" t="n">
        <f aca="false">U165*J165</f>
        <v>0.0374453686991959</v>
      </c>
      <c r="AM165" s="16" t="n">
        <f aca="false">AI165-AJ165</f>
        <v>-0.00470675826336216</v>
      </c>
      <c r="AN165" s="16" t="n">
        <f aca="false">J165*Country_Data!$EB$27</f>
        <v>0.303286466609366</v>
      </c>
      <c r="AO165" s="16" t="n">
        <f aca="false">L165*Country_Data!$EB$27</f>
        <v>0.115248857311559</v>
      </c>
    </row>
    <row r="166" customFormat="false" ht="15" hidden="false" customHeight="false" outlineLevel="0" collapsed="false">
      <c r="A166" s="14" t="str">
        <f aca="false">Country_Data!$A$28</f>
        <v>ARG</v>
      </c>
      <c r="B166" s="14" t="str">
        <f aca="false">Country_Data!$E$28</f>
        <v>EMDC</v>
      </c>
      <c r="C166" s="35" t="s">
        <v>466</v>
      </c>
      <c r="D166" s="37" t="n">
        <f aca="false">IF(Country_Data!$BZ$28="","",Country_Data!$BZ$28)</f>
        <v>123.674444828582</v>
      </c>
      <c r="E166" s="40" t="n">
        <f aca="false">Country_Data!$BW$28</f>
        <v>1392.607</v>
      </c>
      <c r="F166" s="41" t="n">
        <f aca="false">Country_Data!$BX$28</f>
        <v>0.45758351063868</v>
      </c>
      <c r="G166" s="42" t="n">
        <f aca="false">IF(D166="","",D166/SUMIFS($D$5:$D$1369,$B$5:$B$1369,B166,$C$5:$C$1369,C166))</f>
        <v>0.0141189387196443</v>
      </c>
      <c r="H166" s="42" t="n">
        <f aca="false">E166/SUMIFS($E$5:$E$1369,$B$5:$B$1369,B166,$C$5:$C$1369,C166)</f>
        <v>0.0172497757701449</v>
      </c>
      <c r="I166" s="43" t="n">
        <f aca="false">IF(G166="",H166,p_beta_alloc*G166+(1-p_beta_alloc)*H166)*F166^p_phi</f>
        <v>0.0106096708002018</v>
      </c>
      <c r="J166" s="16" t="n">
        <f aca="false">INDEX(Sector_Params!$C$16:$E$16,MATCH(B166,Sector_Params!$C$15:$E$15,0))*I166/SUMIFS($I$5:$I$1369,$B$5:$B$1369,B166,$C$5:$C$1369,C166)</f>
        <v>10.2619425763004</v>
      </c>
      <c r="K166" s="28" t="n">
        <f aca="false">INDEX(Sector_Params!$F$5:$H$5,MATCH(B166,Sector_Params!$C$15:$E$15,0))</f>
        <v>0.24</v>
      </c>
      <c r="L166" s="16" t="n">
        <f aca="false">J166*K166</f>
        <v>2.4628662183121</v>
      </c>
      <c r="M166" s="44" t="n">
        <f aca="false">Country_Data!$DW$28+Sector_Params!$E$5</f>
        <v>0.12688</v>
      </c>
      <c r="N166" s="44" t="n">
        <f aca="false">Country_Data!$DX$28+Sector_Params!$E$5</f>
        <v>0.17188</v>
      </c>
      <c r="O166" s="11" t="n">
        <f aca="false">IF(p_use_ibrd=1,p_r_ibrd,p_r_wb)</f>
        <v>0.06</v>
      </c>
      <c r="P166" s="45" t="n">
        <f aca="false">Sector_Params!$D$5</f>
        <v>25</v>
      </c>
      <c r="Q166" s="46" t="n">
        <f aca="false">M166/(1-(1+M166)^-P166)</f>
        <v>0.133624410994321</v>
      </c>
      <c r="R166" s="46" t="n">
        <f aca="false">N166/(1-(1+N166)^-P166)</f>
        <v>0.175202474651635</v>
      </c>
      <c r="S166" s="46" t="n">
        <f aca="false">O166/(1-(1+O166)^-P166)</f>
        <v>0.078226718212274</v>
      </c>
      <c r="T166" s="37" t="n">
        <f aca="false">IF(AND(p_eng=1,ISNUMBER(Country_Data!$CZ$28)),Country_Data!$CZ$28,Country_Data!$CM$28)*Sector_Params!$I$5</f>
        <v>0.0738447893397346</v>
      </c>
      <c r="U166" s="37" t="n">
        <f aca="false">IF(AND(p_eng=1,ISNUMBER(Country_Data!$DA$28)),Country_Data!$DA$28,Country_Data!$CN$28)*Sector_Params!$J$5</f>
        <v>0.00794635155010614</v>
      </c>
      <c r="V166" s="37" t="n">
        <f aca="false">IF(AND(p_eng=1,ISNUMBER(Country_Data!$DB$28)),Country_Data!$DB$28,p_a)</f>
        <v>0.610803080456353</v>
      </c>
      <c r="W166" s="16" t="n">
        <f aca="false">T166*L166</f>
        <v>0.181869837063206</v>
      </c>
      <c r="X166" s="16" t="n">
        <f aca="false">U166*L166</f>
        <v>0.0195708007915884</v>
      </c>
      <c r="Y166" s="16" t="n">
        <f aca="false">V166*L166</f>
        <v>1.50432627289692</v>
      </c>
      <c r="Z166" s="16" t="n">
        <f aca="false">Q166*L166</f>
        <v>0.329099047779765</v>
      </c>
      <c r="AA166" s="16" t="n">
        <f aca="false">R166*L166</f>
        <v>0.431500256184193</v>
      </c>
      <c r="AB166" s="16" t="n">
        <f aca="false">S166*L166</f>
        <v>0.192661941654429</v>
      </c>
      <c r="AC166" s="16" t="n">
        <f aca="false">Z166-W166</f>
        <v>0.14722921071656</v>
      </c>
      <c r="AD166" s="16" t="n">
        <f aca="false">AA166-W166</f>
        <v>0.249630419120988</v>
      </c>
      <c r="AE166" s="16" t="n">
        <f aca="false">AB166-W166</f>
        <v>0.0107921045912235</v>
      </c>
      <c r="AF166" s="16" t="n">
        <f aca="false">AE166-X166</f>
        <v>-0.00877869620036489</v>
      </c>
      <c r="AG166" s="16" t="n">
        <f aca="false">AF166-p_spc_lo*Y166/1000</f>
        <v>-0.0839950098452108</v>
      </c>
      <c r="AH166" s="16" t="n">
        <f aca="false">AF166-p_spc_hi*Y166/1000</f>
        <v>-0.159211323490057</v>
      </c>
      <c r="AI166" s="16" t="n">
        <f aca="false">Q166*J166</f>
        <v>1.37124603241569</v>
      </c>
      <c r="AJ166" s="16" t="n">
        <f aca="false">S166*J166</f>
        <v>0.802758090226789</v>
      </c>
      <c r="AK166" s="16" t="n">
        <f aca="false">T166*J166</f>
        <v>0.757790987763357</v>
      </c>
      <c r="AL166" s="16" t="n">
        <f aca="false">U166*J166</f>
        <v>0.0815450032982849</v>
      </c>
      <c r="AM166" s="16" t="n">
        <f aca="false">AI166-AJ166</f>
        <v>0.568487942188901</v>
      </c>
      <c r="AN166" s="16" t="n">
        <f aca="false">J166*Country_Data!$EB$28</f>
        <v>12.5211609419355</v>
      </c>
      <c r="AO166" s="16" t="n">
        <f aca="false">L166*Country_Data!$EB$28</f>
        <v>3.00507862606453</v>
      </c>
    </row>
    <row r="167" customFormat="false" ht="15" hidden="false" customHeight="false" outlineLevel="0" collapsed="false">
      <c r="A167" s="14" t="str">
        <f aca="false">Country_Data!$A$28</f>
        <v>ARG</v>
      </c>
      <c r="B167" s="14" t="str">
        <f aca="false">Country_Data!$E$28</f>
        <v>EMDC</v>
      </c>
      <c r="C167" s="35" t="s">
        <v>470</v>
      </c>
      <c r="D167" s="37" t="n">
        <f aca="false">IF(Country_Data!$BZ$28="","",Country_Data!$BZ$28)</f>
        <v>123.674444828582</v>
      </c>
      <c r="E167" s="40" t="n">
        <f aca="false">Country_Data!$BW$28</f>
        <v>1392.607</v>
      </c>
      <c r="F167" s="41" t="n">
        <f aca="false">Country_Data!$BX$28</f>
        <v>0.45758351063868</v>
      </c>
      <c r="G167" s="42" t="n">
        <f aca="false">IF(D167="","",D167/SUMIFS($D$5:$D$1369,$B$5:$B$1369,B167,$C$5:$C$1369,C167))</f>
        <v>0.0141189387196443</v>
      </c>
      <c r="H167" s="42" t="n">
        <f aca="false">E167/SUMIFS($E$5:$E$1369,$B$5:$B$1369,B167,$C$5:$C$1369,C167)</f>
        <v>0.0172497757701449</v>
      </c>
      <c r="I167" s="43" t="n">
        <f aca="false">IF(G167="",H167,p_beta_alloc*G167+(1-p_beta_alloc)*H167)*F167^p_phi</f>
        <v>0.0106096708002018</v>
      </c>
      <c r="J167" s="16" t="n">
        <f aca="false">INDEX(Sector_Params!$C$17:$E$17,MATCH(B167,Sector_Params!$C$15:$E$15,0))*I167/SUMIFS($I$5:$I$1369,$B$5:$B$1369,B167,$C$5:$C$1369,C167)</f>
        <v>7.03676062374885</v>
      </c>
      <c r="K167" s="28" t="n">
        <f aca="false">INDEX(Sector_Params!$F$6:$H$6,MATCH(B167,Sector_Params!$C$15:$E$15,0))</f>
        <v>0.24</v>
      </c>
      <c r="L167" s="16" t="n">
        <f aca="false">J167*K167</f>
        <v>1.68882254969972</v>
      </c>
      <c r="M167" s="44" t="n">
        <f aca="false">Country_Data!$DW$28+Sector_Params!$E$6</f>
        <v>0.12688</v>
      </c>
      <c r="N167" s="44" t="n">
        <f aca="false">Country_Data!$DX$28+Sector_Params!$E$6</f>
        <v>0.17188</v>
      </c>
      <c r="O167" s="11" t="n">
        <f aca="false">IF(p_use_ibrd=1,p_r_ibrd,p_r_wb)</f>
        <v>0.06</v>
      </c>
      <c r="P167" s="45" t="n">
        <f aca="false">Sector_Params!$D$6</f>
        <v>40</v>
      </c>
      <c r="Q167" s="46" t="n">
        <f aca="false">M167/(1-(1+M167)^-P167)</f>
        <v>0.12795635371439</v>
      </c>
      <c r="R167" s="46" t="n">
        <f aca="false">N167/(1-(1+N167)^-P167)</f>
        <v>0.172182456696431</v>
      </c>
      <c r="S167" s="46" t="n">
        <f aca="false">O167/(1-(1+O167)^-P167)</f>
        <v>0.0664615359206755</v>
      </c>
      <c r="T167" s="37" t="n">
        <f aca="false">p_grid_credit*IF(AND(p_eng=1,ISNUMBER(Country_Data!$CZ$28)),Country_Data!$CZ$28,Country_Data!$CM$28)*Sector_Params!$I$6</f>
        <v>0</v>
      </c>
      <c r="U167" s="37" t="n">
        <f aca="false">p_grid_credit*IF(AND(p_eng=1,ISNUMBER(Country_Data!$DA$28)),Country_Data!$DA$28,Country_Data!$CN$28)*Sector_Params!$J$6</f>
        <v>0</v>
      </c>
      <c r="V167" s="37" t="n">
        <f aca="false">p_grid_credit*IF(AND(p_eng=1,ISNUMBER(Country_Data!$DB$28)),Country_Data!$DB$28,p_a)</f>
        <v>0</v>
      </c>
      <c r="W167" s="16" t="n">
        <f aca="false">T167*L167</f>
        <v>0</v>
      </c>
      <c r="X167" s="16" t="n">
        <f aca="false">U167*L167</f>
        <v>0</v>
      </c>
      <c r="Y167" s="16" t="n">
        <f aca="false">V167*L167</f>
        <v>0</v>
      </c>
      <c r="Z167" s="16" t="n">
        <f aca="false">Q167*L167</f>
        <v>0.216095575530217</v>
      </c>
      <c r="AA167" s="16" t="n">
        <f aca="false">R167*L167</f>
        <v>0.290785615531629</v>
      </c>
      <c r="AB167" s="16" t="n">
        <f aca="false">S167*L167</f>
        <v>0.112241740550515</v>
      </c>
      <c r="AC167" s="16" t="n">
        <f aca="false">Z167-W167</f>
        <v>0.216095575530217</v>
      </c>
      <c r="AD167" s="16" t="n">
        <f aca="false">AA167-W167</f>
        <v>0.290785615531629</v>
      </c>
      <c r="AE167" s="16" t="n">
        <f aca="false">AB167-W167</f>
        <v>0.112241740550515</v>
      </c>
      <c r="AF167" s="16" t="n">
        <f aca="false">AE167-X167</f>
        <v>0.112241740550515</v>
      </c>
      <c r="AG167" s="16" t="n">
        <f aca="false">AF167-p_spc_lo*Y167/1000</f>
        <v>0.112241740550515</v>
      </c>
      <c r="AH167" s="16" t="n">
        <f aca="false">AF167-p_spc_hi*Y167/1000</f>
        <v>0.112241740550515</v>
      </c>
      <c r="AI167" s="16" t="n">
        <f aca="false">Q167*J167</f>
        <v>0.900398231375903</v>
      </c>
      <c r="AJ167" s="16" t="n">
        <f aca="false">S167*J167</f>
        <v>0.467673918960479</v>
      </c>
      <c r="AK167" s="16" t="n">
        <f aca="false">T167*J167</f>
        <v>0</v>
      </c>
      <c r="AL167" s="16" t="n">
        <f aca="false">U167*J167</f>
        <v>0</v>
      </c>
      <c r="AM167" s="16" t="n">
        <f aca="false">AI167-AJ167</f>
        <v>0.432724312415424</v>
      </c>
      <c r="AN167" s="16" t="n">
        <f aca="false">J167*Country_Data!$EB$28</f>
        <v>8.58593893161294</v>
      </c>
      <c r="AO167" s="16" t="n">
        <f aca="false">L167*Country_Data!$EB$28</f>
        <v>2.06062534358711</v>
      </c>
    </row>
    <row r="168" customFormat="false" ht="15" hidden="false" customHeight="false" outlineLevel="0" collapsed="false">
      <c r="A168" s="14" t="str">
        <f aca="false">Country_Data!$A$28</f>
        <v>ARG</v>
      </c>
      <c r="B168" s="14" t="str">
        <f aca="false">Country_Data!$E$28</f>
        <v>EMDC</v>
      </c>
      <c r="C168" s="35" t="s">
        <v>473</v>
      </c>
      <c r="D168" s="37" t="n">
        <f aca="false">IF(Country_Data!$CA$28="","",Country_Data!$CA$28)</f>
        <v>0.659747374315748</v>
      </c>
      <c r="E168" s="40" t="n">
        <f aca="false">Country_Data!$BW$28</f>
        <v>1392.607</v>
      </c>
      <c r="F168" s="41" t="n">
        <f aca="false">Country_Data!$BX$28</f>
        <v>0.45758351063868</v>
      </c>
      <c r="G168" s="42" t="n">
        <f aca="false">IF(D168="","",D168/SUMIFS($D$5:$D$1369,$B$5:$B$1369,B168,$C$5:$C$1369,C168))</f>
        <v>0.0152416993904168</v>
      </c>
      <c r="H168" s="42" t="n">
        <f aca="false">E168/SUMIFS($E$5:$E$1369,$B$5:$B$1369,B168,$C$5:$C$1369,C168)</f>
        <v>0.0172497757701449</v>
      </c>
      <c r="I168" s="43" t="n">
        <f aca="false">IF(G168="",H168,p_beta_alloc*G168+(1-p_beta_alloc)*H168)*F168^p_phi</f>
        <v>0.0109894160750101</v>
      </c>
      <c r="J168" s="16" t="n">
        <f aca="false">INDEX(Sector_Params!$C$18:$E$18,MATCH(B168,Sector_Params!$C$15:$E$15,0))*I168/SUMIFS($I$5:$I$1369,$B$5:$B$1369,B168,$C$5:$C$1369,C168)</f>
        <v>4.49990585978758</v>
      </c>
      <c r="K168" s="28" t="n">
        <f aca="false">INDEX(Sector_Params!$F$7:$H$7,MATCH(B168,Sector_Params!$C$15:$E$15,0))</f>
        <v>0.24</v>
      </c>
      <c r="L168" s="16" t="n">
        <f aca="false">J168*K168</f>
        <v>1.07997740634902</v>
      </c>
      <c r="M168" s="44" t="n">
        <f aca="false">Country_Data!$DW$28+Sector_Params!$E$7</f>
        <v>0.12688</v>
      </c>
      <c r="N168" s="44" t="n">
        <f aca="false">Country_Data!$DX$28+Sector_Params!$E$7</f>
        <v>0.17188</v>
      </c>
      <c r="O168" s="11" t="n">
        <f aca="false">IF(p_use_ibrd=1,p_r_ibrd,p_r_wb)</f>
        <v>0.06</v>
      </c>
      <c r="P168" s="45" t="n">
        <f aca="false">Sector_Params!$D$7</f>
        <v>12</v>
      </c>
      <c r="Q168" s="46" t="n">
        <f aca="false">M168/(1-(1+M168)^-P168)</f>
        <v>0.166616060610349</v>
      </c>
      <c r="R168" s="46" t="n">
        <f aca="false">N168/(1-(1+N168)^-P168)</f>
        <v>0.201991744052925</v>
      </c>
      <c r="S168" s="46" t="n">
        <f aca="false">O168/(1-(1+O168)^-P168)</f>
        <v>0.119277029380664</v>
      </c>
      <c r="T168" s="37" t="n">
        <f aca="false">IF(AND(p_eng=1,ISNUMBER(Country_Data!$DE$28)),Country_Data!$DE$28,Country_Data!$CM$28)*Sector_Params!$I$7</f>
        <v>0.1786194</v>
      </c>
      <c r="U168" s="37" t="n">
        <f aca="false">IF(AND(p_eng=1,ISNUMBER(Country_Data!$DF$28)),Country_Data!$DF$28,Country_Data!$CN$28)*Sector_Params!$J$7</f>
        <v>0.020220075</v>
      </c>
      <c r="V168" s="37" t="n">
        <f aca="false">IF(AND(p_eng=1,ISNUMBER(Country_Data!$DG$28)),Country_Data!$DG$28,p_a)</f>
        <v>0.389937857016914</v>
      </c>
      <c r="W168" s="16" t="n">
        <f aca="false">T168*L168</f>
        <v>0.192904916335618</v>
      </c>
      <c r="X168" s="16" t="n">
        <f aca="false">U168*L168</f>
        <v>0.0218372241546827</v>
      </c>
      <c r="Y168" s="16" t="n">
        <f aca="false">V168*L168</f>
        <v>0.421124075458422</v>
      </c>
      <c r="Z168" s="16" t="n">
        <f aca="false">Q168*L168</f>
        <v>0.179941580994056</v>
      </c>
      <c r="AA168" s="16" t="n">
        <f aca="false">R168*L168</f>
        <v>0.218146519846193</v>
      </c>
      <c r="AB168" s="16" t="n">
        <f aca="false">S168*L168</f>
        <v>0.128816496827545</v>
      </c>
      <c r="AC168" s="16" t="n">
        <f aca="false">Z168-W168</f>
        <v>-0.0129633353415618</v>
      </c>
      <c r="AD168" s="16" t="n">
        <f aca="false">AA168-W168</f>
        <v>0.0252416035105749</v>
      </c>
      <c r="AE168" s="16" t="n">
        <f aca="false">AB168-W168</f>
        <v>-0.0640884195080733</v>
      </c>
      <c r="AF168" s="16" t="n">
        <f aca="false">AE168-X168</f>
        <v>-0.0859256436627559</v>
      </c>
      <c r="AG168" s="16" t="n">
        <f aca="false">AF168-p_spc_lo*Y168/1000</f>
        <v>-0.106981847435677</v>
      </c>
      <c r="AH168" s="16" t="n">
        <f aca="false">AF168-p_spc_hi*Y168/1000</f>
        <v>-0.128038051208598</v>
      </c>
      <c r="AI168" s="16" t="n">
        <f aca="false">Q168*J168</f>
        <v>0.749756587475235</v>
      </c>
      <c r="AJ168" s="16" t="n">
        <f aca="false">S168*J168</f>
        <v>0.536735403448104</v>
      </c>
      <c r="AK168" s="16" t="n">
        <f aca="false">T168*J168</f>
        <v>0.803770484731742</v>
      </c>
      <c r="AL168" s="16" t="n">
        <f aca="false">U168*J168</f>
        <v>0.0909884339778444</v>
      </c>
      <c r="AM168" s="16" t="n">
        <f aca="false">AI168-AJ168</f>
        <v>0.213021184027131</v>
      </c>
      <c r="AN168" s="16" t="n">
        <f aca="false">J168*Country_Data!$EB$28</f>
        <v>5.49058280876407</v>
      </c>
      <c r="AO168" s="16" t="n">
        <f aca="false">L168*Country_Data!$EB$28</f>
        <v>1.31773987410338</v>
      </c>
    </row>
    <row r="169" customFormat="false" ht="15" hidden="false" customHeight="false" outlineLevel="0" collapsed="false">
      <c r="A169" s="14" t="str">
        <f aca="false">Country_Data!$A$28</f>
        <v>ARG</v>
      </c>
      <c r="B169" s="14" t="str">
        <f aca="false">Country_Data!$E$28</f>
        <v>EMDC</v>
      </c>
      <c r="C169" s="35" t="s">
        <v>477</v>
      </c>
      <c r="D169" s="37" t="n">
        <f aca="false">IF(Country_Data!$CB$28="","",Country_Data!$CB$28)</f>
        <v>0.65948444911828</v>
      </c>
      <c r="E169" s="40" t="n">
        <f aca="false">Country_Data!$BW$28</f>
        <v>1392.607</v>
      </c>
      <c r="F169" s="41" t="n">
        <f aca="false">Country_Data!$BX$28</f>
        <v>0.45758351063868</v>
      </c>
      <c r="G169" s="42" t="n">
        <f aca="false">IF(D169="","",D169/SUMIFS($D$5:$D$1369,$B$5:$B$1369,B169,$C$5:$C$1369,C169))</f>
        <v>0.0207955528110557</v>
      </c>
      <c r="H169" s="42" t="n">
        <f aca="false">E169/SUMIFS($E$5:$E$1369,$B$5:$B$1369,B169,$C$5:$C$1369,C169)</f>
        <v>0.0172497757701449</v>
      </c>
      <c r="I169" s="43" t="n">
        <f aca="false">IF(G169="",H169,p_beta_alloc*G169+(1-p_beta_alloc)*H169)*F169^p_phi</f>
        <v>0.0128678659070787</v>
      </c>
      <c r="J169" s="16" t="n">
        <f aca="false">INDEX(Sector_Params!$C$19:$E$19,MATCH(B169,Sector_Params!$C$15:$E$15,0))*I169/SUMIFS($I$5:$I$1369,$B$5:$B$1369,B169,$C$5:$C$1369,C169)</f>
        <v>4.14168473259413</v>
      </c>
      <c r="K169" s="28" t="n">
        <f aca="false">INDEX(Sector_Params!$F$8:$H$8,MATCH(B169,Sector_Params!$C$15:$E$15,0))</f>
        <v>0.24</v>
      </c>
      <c r="L169" s="16" t="n">
        <f aca="false">J169*K169</f>
        <v>0.994004335822591</v>
      </c>
      <c r="M169" s="44" t="n">
        <f aca="false">Country_Data!$DW$28+Sector_Params!$E$8</f>
        <v>0.12688</v>
      </c>
      <c r="N169" s="44" t="n">
        <f aca="false">Country_Data!$DX$28+Sector_Params!$E$8</f>
        <v>0.17188</v>
      </c>
      <c r="O169" s="11" t="n">
        <f aca="false">IF(p_use_ibrd=1,p_r_ibrd,p_r_wb)</f>
        <v>0.06</v>
      </c>
      <c r="P169" s="45" t="n">
        <f aca="false">Sector_Params!$D$8</f>
        <v>25</v>
      </c>
      <c r="Q169" s="46" t="n">
        <f aca="false">M169/(1-(1+M169)^-P169)</f>
        <v>0.133624410994321</v>
      </c>
      <c r="R169" s="46" t="n">
        <f aca="false">N169/(1-(1+N169)^-P169)</f>
        <v>0.175202474651635</v>
      </c>
      <c r="S169" s="46" t="n">
        <f aca="false">O169/(1-(1+O169)^-P169)</f>
        <v>0.078226718212274</v>
      </c>
      <c r="T169" s="37" t="n">
        <f aca="false">Country_Data!$CM$28*Sector_Params!$I$8</f>
        <v>0.160914691922177</v>
      </c>
      <c r="U169" s="37" t="n">
        <f aca="false">Country_Data!$CN$28*Sector_Params!$J$8</f>
        <v>0.10161532003451</v>
      </c>
      <c r="V169" s="37" t="n">
        <f aca="false">p_a</f>
        <v>0.35</v>
      </c>
      <c r="W169" s="16" t="n">
        <f aca="false">T169*L169</f>
        <v>0.1599499014682</v>
      </c>
      <c r="X169" s="16" t="n">
        <f aca="false">U169*L169</f>
        <v>0.101006068700303</v>
      </c>
      <c r="Y169" s="16" t="n">
        <f aca="false">V169*L169</f>
        <v>0.347901517537907</v>
      </c>
      <c r="Z169" s="16" t="n">
        <f aca="false">Q169*L169</f>
        <v>0.132823243900095</v>
      </c>
      <c r="AA169" s="16" t="n">
        <f aca="false">R169*L169</f>
        <v>0.174152019450573</v>
      </c>
      <c r="AB169" s="16" t="n">
        <f aca="false">S169*L169</f>
        <v>0.0777576970801723</v>
      </c>
      <c r="AC169" s="16" t="n">
        <f aca="false">Z169-W169</f>
        <v>-0.0271266575681049</v>
      </c>
      <c r="AD169" s="16" t="n">
        <f aca="false">AA169-W169</f>
        <v>0.0142021179823726</v>
      </c>
      <c r="AE169" s="16" t="n">
        <f aca="false">AB169-W169</f>
        <v>-0.0821922043880278</v>
      </c>
      <c r="AF169" s="16" t="n">
        <f aca="false">AE169-X169</f>
        <v>-0.183198273088331</v>
      </c>
      <c r="AG169" s="16" t="n">
        <f aca="false">AF169-p_spc_lo*Y169/1000</f>
        <v>-0.200593348965226</v>
      </c>
      <c r="AH169" s="16" t="n">
        <f aca="false">AF169-p_spc_hi*Y169/1000</f>
        <v>-0.217988424842121</v>
      </c>
      <c r="AI169" s="16" t="n">
        <f aca="false">Q169*J169</f>
        <v>0.553430182917064</v>
      </c>
      <c r="AJ169" s="16" t="n">
        <f aca="false">S169*J169</f>
        <v>0.323990404500718</v>
      </c>
      <c r="AK169" s="16" t="n">
        <f aca="false">T169*J169</f>
        <v>0.666457922784167</v>
      </c>
      <c r="AL169" s="16" t="n">
        <f aca="false">U169*J169</f>
        <v>0.420858619584595</v>
      </c>
      <c r="AM169" s="16" t="n">
        <f aca="false">AI169-AJ169</f>
        <v>0.229439778416345</v>
      </c>
      <c r="AN169" s="16" t="n">
        <f aca="false">J169*Country_Data!$EB$28</f>
        <v>5.05349749542881</v>
      </c>
      <c r="AO169" s="16" t="n">
        <f aca="false">L169*Country_Data!$EB$28</f>
        <v>1.21283939890291</v>
      </c>
    </row>
    <row r="170" customFormat="false" ht="15" hidden="false" customHeight="false" outlineLevel="0" collapsed="false">
      <c r="A170" s="14" t="str">
        <f aca="false">Country_Data!$A$28</f>
        <v>ARG</v>
      </c>
      <c r="B170" s="14" t="str">
        <f aca="false">Country_Data!$E$28</f>
        <v>EMDC</v>
      </c>
      <c r="C170" s="35" t="s">
        <v>481</v>
      </c>
      <c r="D170" s="37" t="n">
        <f aca="false">IF(Country_Data!$CC$28="","",Country_Data!$CC$28)</f>
        <v>0.869531912915755</v>
      </c>
      <c r="E170" s="40" t="n">
        <f aca="false">Country_Data!$BW$28</f>
        <v>1392.607</v>
      </c>
      <c r="F170" s="41" t="n">
        <f aca="false">Country_Data!$BX$28</f>
        <v>0.45758351063868</v>
      </c>
      <c r="G170" s="42" t="n">
        <f aca="false">IF(D170="","",D170/SUMIFS($D$5:$D$1369,$B$5:$B$1369,B170,$C$5:$C$1369,C170))</f>
        <v>0.0124205967157558</v>
      </c>
      <c r="H170" s="42" t="n">
        <f aca="false">E170/SUMIFS($E$5:$E$1369,$B$5:$B$1369,B170,$C$5:$C$1369,C170)</f>
        <v>0.0172497757701449</v>
      </c>
      <c r="I170" s="43" t="n">
        <f aca="false">IF(G170="",H170,p_beta_alloc*G170+(1-p_beta_alloc)*H170)*F170^p_phi</f>
        <v>0.0100352497612625</v>
      </c>
      <c r="J170" s="16" t="n">
        <f aca="false">INDEX(Sector_Params!$C$20:$E$20,MATCH(B170,Sector_Params!$C$15:$E$15,0))*I170/SUMIFS($I$5:$I$1369,$B$5:$B$1369,B170,$C$5:$C$1369,C170)</f>
        <v>1.83163516814907</v>
      </c>
      <c r="K170" s="28" t="n">
        <f aca="false">INDEX(Sector_Params!$F$9:$H$9,MATCH(B170,Sector_Params!$C$15:$E$15,0))</f>
        <v>0.24</v>
      </c>
      <c r="L170" s="16" t="n">
        <f aca="false">J170*K170</f>
        <v>0.439592440355778</v>
      </c>
      <c r="M170" s="44" t="n">
        <f aca="false">Country_Data!$DW$28+Sector_Params!$E$9</f>
        <v>0.12688</v>
      </c>
      <c r="N170" s="44" t="n">
        <f aca="false">Country_Data!$DX$28+Sector_Params!$E$9</f>
        <v>0.17188</v>
      </c>
      <c r="O170" s="11" t="n">
        <f aca="false">IF(p_use_ibrd=1,p_r_ibrd,p_r_wb)</f>
        <v>0.06</v>
      </c>
      <c r="P170" s="45" t="n">
        <f aca="false">Sector_Params!$D$9</f>
        <v>25</v>
      </c>
      <c r="Q170" s="46" t="n">
        <f aca="false">M170/(1-(1+M170)^-P170)</f>
        <v>0.133624410994321</v>
      </c>
      <c r="R170" s="46" t="n">
        <f aca="false">N170/(1-(1+N170)^-P170)</f>
        <v>0.175202474651635</v>
      </c>
      <c r="S170" s="46" t="n">
        <f aca="false">O170/(1-(1+O170)^-P170)</f>
        <v>0.078226718212274</v>
      </c>
      <c r="T170" s="37" t="n">
        <f aca="false">Country_Data!$CM$28*Sector_Params!$I$9</f>
        <v>0.160914691922177</v>
      </c>
      <c r="U170" s="37" t="n">
        <f aca="false">Country_Data!$CN$28*Sector_Params!$J$9</f>
        <v>0.10161532003451</v>
      </c>
      <c r="V170" s="37" t="n">
        <f aca="false">p_a</f>
        <v>0.35</v>
      </c>
      <c r="W170" s="16" t="n">
        <f aca="false">T170*L170</f>
        <v>0.0707368821111678</v>
      </c>
      <c r="X170" s="16" t="n">
        <f aca="false">U170*L170</f>
        <v>0.0446693265115034</v>
      </c>
      <c r="Y170" s="16" t="n">
        <f aca="false">V170*L170</f>
        <v>0.153857354124522</v>
      </c>
      <c r="Z170" s="16" t="n">
        <f aca="false">Q170*L170</f>
        <v>0.0587402809200971</v>
      </c>
      <c r="AA170" s="16" t="n">
        <f aca="false">R170*L170</f>
        <v>0.0770176833884835</v>
      </c>
      <c r="AB170" s="16" t="n">
        <f aca="false">S170*L170</f>
        <v>0.0343878739599573</v>
      </c>
      <c r="AC170" s="16" t="n">
        <f aca="false">Z170-W170</f>
        <v>-0.0119966011910707</v>
      </c>
      <c r="AD170" s="16" t="n">
        <f aca="false">AA170-W170</f>
        <v>0.00628080127731567</v>
      </c>
      <c r="AE170" s="16" t="n">
        <f aca="false">AB170-W170</f>
        <v>-0.0363490081512105</v>
      </c>
      <c r="AF170" s="16" t="n">
        <f aca="false">AE170-X170</f>
        <v>-0.081018334662714</v>
      </c>
      <c r="AG170" s="16" t="n">
        <f aca="false">AF170-p_spc_lo*Y170/1000</f>
        <v>-0.0887112023689401</v>
      </c>
      <c r="AH170" s="16" t="n">
        <f aca="false">AF170-p_spc_hi*Y170/1000</f>
        <v>-0.0964040700751662</v>
      </c>
      <c r="AI170" s="16" t="n">
        <f aca="false">Q170*J170</f>
        <v>0.244751170500404</v>
      </c>
      <c r="AJ170" s="16" t="n">
        <f aca="false">S170*J170</f>
        <v>0.143282808166489</v>
      </c>
      <c r="AK170" s="16" t="n">
        <f aca="false">T170*J170</f>
        <v>0.294737008796533</v>
      </c>
      <c r="AL170" s="16" t="n">
        <f aca="false">U170*J170</f>
        <v>0.186122193797931</v>
      </c>
      <c r="AM170" s="16" t="n">
        <f aca="false">AI170-AJ170</f>
        <v>0.101468362333916</v>
      </c>
      <c r="AN170" s="16" t="n">
        <f aca="false">J170*Country_Data!$EB$28</f>
        <v>2.23487887958654</v>
      </c>
      <c r="AO170" s="16" t="n">
        <f aca="false">L170*Country_Data!$EB$28</f>
        <v>0.53637093110077</v>
      </c>
    </row>
    <row r="171" customFormat="false" ht="15" hidden="false" customHeight="false" outlineLevel="0" collapsed="false">
      <c r="A171" s="14" t="str">
        <f aca="false">Country_Data!$A$28</f>
        <v>ARG</v>
      </c>
      <c r="B171" s="14" t="str">
        <f aca="false">Country_Data!$E$28</f>
        <v>EMDC</v>
      </c>
      <c r="C171" s="35" t="s">
        <v>484</v>
      </c>
      <c r="D171" s="37" t="n">
        <f aca="false">IF(Country_Data!$CD$28="","",Country_Data!$CD$28)</f>
        <v>2.3594673453708</v>
      </c>
      <c r="E171" s="40" t="n">
        <f aca="false">Country_Data!$BW$28</f>
        <v>1392.607</v>
      </c>
      <c r="F171" s="41" t="n">
        <f aca="false">Country_Data!$BX$28</f>
        <v>0.45758351063868</v>
      </c>
      <c r="G171" s="42" t="n">
        <f aca="false">IF(D171="","",D171/SUMIFS($D$5:$D$1369,$B$5:$B$1369,B171,$C$5:$C$1369,C171))</f>
        <v>0.0131761276155777</v>
      </c>
      <c r="H171" s="42" t="n">
        <f aca="false">E171/SUMIFS($E$5:$E$1369,$B$5:$B$1369,B171,$C$5:$C$1369,C171)</f>
        <v>0.0172497757701449</v>
      </c>
      <c r="I171" s="43" t="n">
        <f aca="false">IF(G171="",H171,p_beta_alloc*G171+(1-p_beta_alloc)*H171)*F171^p_phi</f>
        <v>0.0102907888949781</v>
      </c>
      <c r="J171" s="16" t="n">
        <f aca="false">INDEX(Sector_Params!$C$21:$E$21,MATCH(B171,Sector_Params!$C$15:$E$15,0))*I171/SUMIFS($I$5:$I$1369,$B$5:$B$1369,B171,$C$5:$C$1369,C171)</f>
        <v>2.28239228106923</v>
      </c>
      <c r="K171" s="28" t="n">
        <f aca="false">INDEX(Sector_Params!$F$10:$H$10,MATCH(B171,Sector_Params!$C$15:$E$15,0))</f>
        <v>0.24</v>
      </c>
      <c r="L171" s="16" t="n">
        <f aca="false">J171*K171</f>
        <v>0.547774147456614</v>
      </c>
      <c r="M171" s="44" t="n">
        <f aca="false">Country_Data!$DW$28+Sector_Params!$E$10</f>
        <v>0.12688</v>
      </c>
      <c r="N171" s="44" t="n">
        <f aca="false">Country_Data!$DX$28+Sector_Params!$E$10</f>
        <v>0.17188</v>
      </c>
      <c r="O171" s="11" t="n">
        <f aca="false">IF(p_use_ibrd=1,p_r_ibrd,p_r_wb)</f>
        <v>0.06</v>
      </c>
      <c r="P171" s="45" t="n">
        <f aca="false">Sector_Params!$D$10</f>
        <v>20</v>
      </c>
      <c r="Q171" s="46" t="n">
        <f aca="false">M171/(1-(1+M171)^-P171)</f>
        <v>0.139692038466477</v>
      </c>
      <c r="R171" s="46" t="n">
        <f aca="false">N171/(1-(1+N171)^-P171)</f>
        <v>0.179398947328016</v>
      </c>
      <c r="S171" s="46" t="n">
        <f aca="false">O171/(1-(1+O171)^-P171)</f>
        <v>0.0871845569768514</v>
      </c>
      <c r="T171" s="37" t="n">
        <f aca="false">0*Sector_Params!$I$10</f>
        <v>0</v>
      </c>
      <c r="U171" s="37" t="n">
        <f aca="false">0*Sector_Params!$J$10</f>
        <v>0</v>
      </c>
      <c r="V171" s="37" t="n">
        <f aca="false">1000*p_r_wb/(1-(1+p_r_wb)^-Sector_Params!$D$10)/p_cpt_fuel</f>
        <v>0.871845569768514</v>
      </c>
      <c r="W171" s="16" t="n">
        <f aca="false">T171*L171</f>
        <v>0</v>
      </c>
      <c r="X171" s="16" t="n">
        <f aca="false">U171*L171</f>
        <v>0</v>
      </c>
      <c r="Y171" s="16" t="n">
        <f aca="false">V171*L171</f>
        <v>0.477574463693774</v>
      </c>
      <c r="Z171" s="16" t="n">
        <f aca="false">Q171*L171</f>
        <v>0.0765196872774508</v>
      </c>
      <c r="AA171" s="16" t="n">
        <f aca="false">R171*L171</f>
        <v>0.098270105427218</v>
      </c>
      <c r="AB171" s="16" t="n">
        <f aca="false">S171*L171</f>
        <v>0.0477574463693774</v>
      </c>
      <c r="AC171" s="16" t="n">
        <f aca="false">Z171-W171</f>
        <v>0.0765196872774508</v>
      </c>
      <c r="AD171" s="16" t="n">
        <f aca="false">AA171-W171</f>
        <v>0.098270105427218</v>
      </c>
      <c r="AE171" s="16" t="n">
        <f aca="false">AB171-W171</f>
        <v>0.0477574463693774</v>
      </c>
      <c r="AF171" s="16" t="n">
        <f aca="false">AE171-X171</f>
        <v>0.0477574463693774</v>
      </c>
      <c r="AG171" s="16" t="n">
        <f aca="false">AF171-p_spc_lo*Y171/1000</f>
        <v>0.0238787231846887</v>
      </c>
      <c r="AH171" s="16" t="n">
        <f aca="false">AF171-p_spc_hi*Y171/1000</f>
        <v>0</v>
      </c>
      <c r="AI171" s="16" t="n">
        <f aca="false">Q171*J171</f>
        <v>0.318832030322712</v>
      </c>
      <c r="AJ171" s="16" t="n">
        <f aca="false">S171*J171</f>
        <v>0.198989359872406</v>
      </c>
      <c r="AK171" s="16" t="n">
        <f aca="false">T171*J171</f>
        <v>0</v>
      </c>
      <c r="AL171" s="16" t="n">
        <f aca="false">U171*J171</f>
        <v>0</v>
      </c>
      <c r="AM171" s="16" t="n">
        <f aca="false">AI171-AJ171</f>
        <v>0.119842670450306</v>
      </c>
      <c r="AN171" s="16" t="n">
        <f aca="false">J171*Country_Data!$EB$28</f>
        <v>2.78487244217284</v>
      </c>
      <c r="AO171" s="16" t="n">
        <f aca="false">L171*Country_Data!$EB$28</f>
        <v>0.668369386121481</v>
      </c>
    </row>
    <row r="172" customFormat="false" ht="15" hidden="false" customHeight="false" outlineLevel="0" collapsed="false">
      <c r="A172" s="14" t="str">
        <f aca="false">Country_Data!$A$28</f>
        <v>ARG</v>
      </c>
      <c r="B172" s="14" t="str">
        <f aca="false">Country_Data!$E$28</f>
        <v>EMDC</v>
      </c>
      <c r="C172" s="35" t="s">
        <v>488</v>
      </c>
      <c r="D172" s="37" t="n">
        <f aca="false">IF(Country_Data!$CE$28="","",Country_Data!$CE$28)</f>
        <v>235.01</v>
      </c>
      <c r="E172" s="40" t="n">
        <f aca="false">Country_Data!$BW$28</f>
        <v>1392.607</v>
      </c>
      <c r="F172" s="41" t="n">
        <f aca="false">Country_Data!$BX$28</f>
        <v>0.45758351063868</v>
      </c>
      <c r="G172" s="42" t="n">
        <f aca="false">IF(D172="","",D172/SUMIFS($D$5:$D$1369,$B$5:$B$1369,B172,$C$5:$C$1369,C172))</f>
        <v>0.0192566274804144</v>
      </c>
      <c r="H172" s="42" t="n">
        <f aca="false">E172/SUMIFS($E$5:$E$1369,$B$5:$B$1369,B172,$C$5:$C$1369,C172)</f>
        <v>0.0172497757701449</v>
      </c>
      <c r="I172" s="43" t="n">
        <f aca="false">IF(G172="",H172,p_beta_alloc*G172+(1-p_beta_alloc)*H172)*F172^p_phi</f>
        <v>0.0123473635081197</v>
      </c>
      <c r="J172" s="16" t="n">
        <f aca="false">INDEX(Sector_Params!$C$22:$E$22,MATCH(B172,Sector_Params!$C$15:$E$15,0))*I172/SUMIFS($I$5:$I$1369,$B$5:$B$1369,B172,$C$5:$C$1369,C172)</f>
        <v>7.44309429508248</v>
      </c>
      <c r="K172" s="28" t="n">
        <f aca="false">INDEX(Sector_Params!$F$11:$H$11,MATCH(B172,Sector_Params!$C$15:$E$15,0))</f>
        <v>0.24</v>
      </c>
      <c r="L172" s="16" t="n">
        <f aca="false">J172*K172</f>
        <v>1.78634263081979</v>
      </c>
      <c r="M172" s="44" t="n">
        <f aca="false">Country_Data!$DW$28+Sector_Params!$E$11</f>
        <v>0.12688</v>
      </c>
      <c r="N172" s="44" t="n">
        <f aca="false">Country_Data!$DX$28+Sector_Params!$E$11</f>
        <v>0.17188</v>
      </c>
      <c r="O172" s="11" t="n">
        <f aca="false">IF(p_use_ibrd=1,p_r_ibrd,p_r_wb)</f>
        <v>0.06</v>
      </c>
      <c r="P172" s="45" t="n">
        <f aca="false">Sector_Params!$D$11</f>
        <v>30</v>
      </c>
      <c r="Q172" s="46" t="n">
        <f aca="false">M172/(1-(1+M172)^-P172)</f>
        <v>0.130504905636627</v>
      </c>
      <c r="R172" s="46" t="n">
        <f aca="false">N172/(1-(1+N172)^-P172)</f>
        <v>0.173367556798329</v>
      </c>
      <c r="S172" s="46" t="n">
        <f aca="false">O172/(1-(1+O172)^-P172)</f>
        <v>0.0726489114900472</v>
      </c>
      <c r="T172" s="37" t="n">
        <f aca="false">0*Sector_Params!$I$11</f>
        <v>0</v>
      </c>
      <c r="U172" s="37" t="n">
        <f aca="false">p_c*Sector_Params!$J$11</f>
        <v>0.129</v>
      </c>
      <c r="V172" s="37" t="n">
        <f aca="false">1000*p_r_wb/(1-(1+p_r_wb)^-Sector_Params!$D$11)/p_cpt_afolu</f>
        <v>1.45297822980094</v>
      </c>
      <c r="W172" s="16" t="n">
        <f aca="false">T172*L172</f>
        <v>0</v>
      </c>
      <c r="X172" s="16" t="n">
        <f aca="false">U172*L172</f>
        <v>0.230438199375753</v>
      </c>
      <c r="Y172" s="16" t="n">
        <f aca="false">V172*L172</f>
        <v>2.59551695354651</v>
      </c>
      <c r="Z172" s="16" t="n">
        <f aca="false">Q172*L172</f>
        <v>0.233126476469822</v>
      </c>
      <c r="AA172" s="16" t="n">
        <f aca="false">R172*L172</f>
        <v>0.309693857509927</v>
      </c>
      <c r="AB172" s="16" t="n">
        <f aca="false">S172*L172</f>
        <v>0.129775847677325</v>
      </c>
      <c r="AC172" s="16" t="n">
        <f aca="false">Z172-W172</f>
        <v>0.233126476469822</v>
      </c>
      <c r="AD172" s="16" t="n">
        <f aca="false">AA172-W172</f>
        <v>0.309693857509927</v>
      </c>
      <c r="AE172" s="16" t="n">
        <f aca="false">AB172-W172</f>
        <v>0.129775847677325</v>
      </c>
      <c r="AF172" s="16" t="n">
        <f aca="false">AE172-X172</f>
        <v>-0.100662351698428</v>
      </c>
      <c r="AG172" s="16" t="n">
        <f aca="false">AF172-p_spc_lo*Y172/1000</f>
        <v>-0.230438199375753</v>
      </c>
      <c r="AH172" s="16" t="n">
        <f aca="false">AF172-p_spc_hi*Y172/1000</f>
        <v>-0.360214047053079</v>
      </c>
      <c r="AI172" s="16" t="n">
        <f aca="false">Q172*J172</f>
        <v>0.971360318624258</v>
      </c>
      <c r="AJ172" s="16" t="n">
        <f aca="false">S172*J172</f>
        <v>0.540732698655522</v>
      </c>
      <c r="AK172" s="16" t="n">
        <f aca="false">T172*J172</f>
        <v>0</v>
      </c>
      <c r="AL172" s="16" t="n">
        <f aca="false">U172*J172</f>
        <v>0.960159164065639</v>
      </c>
      <c r="AM172" s="16" t="n">
        <f aca="false">AI172-AJ172</f>
        <v>0.430627619968735</v>
      </c>
      <c r="AN172" s="16" t="n">
        <f aca="false">J172*Country_Data!$EB$28</f>
        <v>9.08172900810838</v>
      </c>
      <c r="AO172" s="16" t="n">
        <f aca="false">L172*Country_Data!$EB$28</f>
        <v>2.17961496194601</v>
      </c>
    </row>
    <row r="173" customFormat="false" ht="15" hidden="false" customHeight="false" outlineLevel="0" collapsed="false">
      <c r="A173" s="14" t="str">
        <f aca="false">Country_Data!$A$29</f>
        <v>IRL</v>
      </c>
      <c r="B173" s="14" t="str">
        <f aca="false">Country_Data!$E$29</f>
        <v>AE</v>
      </c>
      <c r="C173" s="35" t="s">
        <v>466</v>
      </c>
      <c r="D173" s="37" t="n">
        <f aca="false">IF(Country_Data!$BZ$29="","",Country_Data!$BZ$29)</f>
        <v>34.9584011760407</v>
      </c>
      <c r="E173" s="40" t="n">
        <f aca="false">Country_Data!$BW$29</f>
        <v>726.213</v>
      </c>
      <c r="F173" s="41" t="n">
        <f aca="false">Country_Data!$BX$29</f>
        <v>0.838561138398789</v>
      </c>
      <c r="G173" s="42" t="n">
        <f aca="false">IF(D173="","",D173/SUMIFS($D$5:$D$1369,$B$5:$B$1369,B173,$C$5:$C$1369,C173))</f>
        <v>0.00357250555187561</v>
      </c>
      <c r="H173" s="42" t="n">
        <f aca="false">E173/SUMIFS($E$5:$E$1369,$B$5:$B$1369,B173,$C$5:$C$1369,C173)</f>
        <v>0.00920598810537146</v>
      </c>
      <c r="I173" s="43" t="n">
        <f aca="false">IF(G173="",H173,p_beta_alloc*G173+(1-p_beta_alloc)*H173)*F173^p_phi</f>
        <v>0.00585082397097593</v>
      </c>
      <c r="J173" s="16" t="n">
        <f aca="false">INDEX(Sector_Params!$C$16:$E$16,MATCH(B173,Sector_Params!$C$15:$E$15,0))*I173/SUMIFS($I$5:$I$1369,$B$5:$B$1369,B173,$C$5:$C$1369,C173)</f>
        <v>5.24792769090801</v>
      </c>
      <c r="K173" s="28" t="n">
        <f aca="false">INDEX(Sector_Params!$F$5:$H$5,MATCH(B173,Sector_Params!$C$15:$E$15,0))</f>
        <v>0.38</v>
      </c>
      <c r="L173" s="16" t="n">
        <f aca="false">J173*K173</f>
        <v>1.99421252254505</v>
      </c>
      <c r="M173" s="44" t="n">
        <f aca="false">Country_Data!$DW$29+Sector_Params!$E$5</f>
        <v>0.06595</v>
      </c>
      <c r="N173" s="44" t="n">
        <f aca="false">Country_Data!$DX$29+Sector_Params!$E$5</f>
        <v>0.08095</v>
      </c>
      <c r="O173" s="11" t="n">
        <f aca="false">IF(p_use_ibrd=1,p_r_ibrd,p_r_wb)</f>
        <v>0.06</v>
      </c>
      <c r="P173" s="45" t="n">
        <f aca="false">Sector_Params!$D$5</f>
        <v>25</v>
      </c>
      <c r="Q173" s="46" t="n">
        <f aca="false">M173/(1-(1+M173)^-P173)</f>
        <v>0.0827033786268769</v>
      </c>
      <c r="R173" s="46" t="n">
        <f aca="false">N173/(1-(1+N173)^-P173)</f>
        <v>0.0944401406839348</v>
      </c>
      <c r="S173" s="46" t="n">
        <f aca="false">O173/(1-(1+O173)^-P173)</f>
        <v>0.078226718212274</v>
      </c>
      <c r="T173" s="37" t="n">
        <f aca="false">IF(AND(p_eng=1,ISNUMBER(Country_Data!$CZ$29)),Country_Data!$CZ$29,Country_Data!$CM$29)*Sector_Params!$I$5</f>
        <v>0.141909641541668</v>
      </c>
      <c r="U173" s="37" t="n">
        <f aca="false">IF(AND(p_eng=1,ISNUMBER(Country_Data!$DA$29)),Country_Data!$DA$29,Country_Data!$CN$29)*Sector_Params!$J$5</f>
        <v>0.00445169329058465</v>
      </c>
      <c r="V173" s="37" t="n">
        <f aca="false">IF(AND(p_eng=1,ISNUMBER(Country_Data!$DB$29)),Country_Data!$DB$29,p_a)</f>
        <v>0.535064295421787</v>
      </c>
      <c r="W173" s="16" t="n">
        <f aca="false">T173*L173</f>
        <v>0.282997984232272</v>
      </c>
      <c r="X173" s="16" t="n">
        <f aca="false">U173*L173</f>
        <v>0.00887762250661366</v>
      </c>
      <c r="Y173" s="16" t="n">
        <f aca="false">V173*L173</f>
        <v>1.06703191829687</v>
      </c>
      <c r="Z173" s="16" t="n">
        <f aca="false">Q173*L173</f>
        <v>0.164928113314502</v>
      </c>
      <c r="AA173" s="16" t="n">
        <f aca="false">R173*L173</f>
        <v>0.188333711182819</v>
      </c>
      <c r="AB173" s="16" t="n">
        <f aca="false">S173*L173</f>
        <v>0.156000701056519</v>
      </c>
      <c r="AC173" s="16" t="n">
        <f aca="false">Z173-W173</f>
        <v>-0.11806987091777</v>
      </c>
      <c r="AD173" s="16" t="n">
        <f aca="false">AA173-W173</f>
        <v>-0.0946642730494536</v>
      </c>
      <c r="AE173" s="16" t="n">
        <f aca="false">AB173-W173</f>
        <v>-0.126997283175753</v>
      </c>
      <c r="AF173" s="16" t="n">
        <f aca="false">AE173-X173</f>
        <v>-0.135874905682367</v>
      </c>
      <c r="AG173" s="16" t="n">
        <f aca="false">AF173-p_spc_lo*Y173/1000</f>
        <v>-0.18922650159721</v>
      </c>
      <c r="AH173" s="16" t="n">
        <f aca="false">AF173-p_spc_hi*Y173/1000</f>
        <v>-0.242578097512054</v>
      </c>
      <c r="AI173" s="16" t="n">
        <f aca="false">Q173*J173</f>
        <v>0.434021350827638</v>
      </c>
      <c r="AJ173" s="16" t="n">
        <f aca="false">S173*J173</f>
        <v>0.410528160675051</v>
      </c>
      <c r="AK173" s="16" t="n">
        <f aca="false">T173*J173</f>
        <v>0.744731537453348</v>
      </c>
      <c r="AL173" s="16" t="n">
        <f aca="false">U173*J173</f>
        <v>0.0233621644910886</v>
      </c>
      <c r="AM173" s="16" t="n">
        <f aca="false">AI173-AJ173</f>
        <v>0.0234931901525868</v>
      </c>
      <c r="AN173" s="16" t="n">
        <f aca="false">J173*Country_Data!$EB$29</f>
        <v>5.48317962187975</v>
      </c>
      <c r="AO173" s="16" t="n">
        <f aca="false">L173*Country_Data!$EB$29</f>
        <v>2.08360825631431</v>
      </c>
    </row>
    <row r="174" customFormat="false" ht="15" hidden="false" customHeight="false" outlineLevel="0" collapsed="false">
      <c r="A174" s="14" t="str">
        <f aca="false">Country_Data!$A$29</f>
        <v>IRL</v>
      </c>
      <c r="B174" s="14" t="str">
        <f aca="false">Country_Data!$E$29</f>
        <v>AE</v>
      </c>
      <c r="C174" s="35" t="s">
        <v>470</v>
      </c>
      <c r="D174" s="37" t="n">
        <f aca="false">IF(Country_Data!$BZ$29="","",Country_Data!$BZ$29)</f>
        <v>34.9584011760407</v>
      </c>
      <c r="E174" s="40" t="n">
        <f aca="false">Country_Data!$BW$29</f>
        <v>726.213</v>
      </c>
      <c r="F174" s="41" t="n">
        <f aca="false">Country_Data!$BX$29</f>
        <v>0.838561138398789</v>
      </c>
      <c r="G174" s="42" t="n">
        <f aca="false">IF(D174="","",D174/SUMIFS($D$5:$D$1369,$B$5:$B$1369,B174,$C$5:$C$1369,C174))</f>
        <v>0.00357250555187561</v>
      </c>
      <c r="H174" s="42" t="n">
        <f aca="false">E174/SUMIFS($E$5:$E$1369,$B$5:$B$1369,B174,$C$5:$C$1369,C174)</f>
        <v>0.00920598810537146</v>
      </c>
      <c r="I174" s="43" t="n">
        <f aca="false">IF(G174="",H174,p_beta_alloc*G174+(1-p_beta_alloc)*H174)*F174^p_phi</f>
        <v>0.00585082397097593</v>
      </c>
      <c r="J174" s="16" t="n">
        <f aca="false">INDEX(Sector_Params!$C$17:$E$17,MATCH(B174,Sector_Params!$C$15:$E$15,0))*I174/SUMIFS($I$5:$I$1369,$B$5:$B$1369,B174,$C$5:$C$1369,C174)</f>
        <v>3.59857898805121</v>
      </c>
      <c r="K174" s="28" t="n">
        <f aca="false">INDEX(Sector_Params!$F$6:$H$6,MATCH(B174,Sector_Params!$C$15:$E$15,0))</f>
        <v>0.38</v>
      </c>
      <c r="L174" s="16" t="n">
        <f aca="false">J174*K174</f>
        <v>1.36746001545946</v>
      </c>
      <c r="M174" s="44" t="n">
        <f aca="false">Country_Data!$DW$29+Sector_Params!$E$6</f>
        <v>0.06595</v>
      </c>
      <c r="N174" s="44" t="n">
        <f aca="false">Country_Data!$DX$29+Sector_Params!$E$6</f>
        <v>0.08095</v>
      </c>
      <c r="O174" s="11" t="n">
        <f aca="false">IF(p_use_ibrd=1,p_r_ibrd,p_r_wb)</f>
        <v>0.06</v>
      </c>
      <c r="P174" s="45" t="n">
        <f aca="false">Sector_Params!$D$6</f>
        <v>40</v>
      </c>
      <c r="Q174" s="46" t="n">
        <f aca="false">M174/(1-(1+M174)^-P174)</f>
        <v>0.0715074828825433</v>
      </c>
      <c r="R174" s="46" t="n">
        <f aca="false">N174/(1-(1+N174)^-P174)</f>
        <v>0.0847147378173186</v>
      </c>
      <c r="S174" s="46" t="n">
        <f aca="false">O174/(1-(1+O174)^-P174)</f>
        <v>0.0664615359206755</v>
      </c>
      <c r="T174" s="37" t="n">
        <f aca="false">p_grid_credit*IF(AND(p_eng=1,ISNUMBER(Country_Data!$CZ$29)),Country_Data!$CZ$29,Country_Data!$CM$29)*Sector_Params!$I$6</f>
        <v>0</v>
      </c>
      <c r="U174" s="37" t="n">
        <f aca="false">p_grid_credit*IF(AND(p_eng=1,ISNUMBER(Country_Data!$DA$29)),Country_Data!$DA$29,Country_Data!$CN$29)*Sector_Params!$J$6</f>
        <v>0</v>
      </c>
      <c r="V174" s="37" t="n">
        <f aca="false">p_grid_credit*IF(AND(p_eng=1,ISNUMBER(Country_Data!$DB$29)),Country_Data!$DB$29,p_a)</f>
        <v>0</v>
      </c>
      <c r="W174" s="16" t="n">
        <f aca="false">T174*L174</f>
        <v>0</v>
      </c>
      <c r="X174" s="16" t="n">
        <f aca="false">U174*L174</f>
        <v>0</v>
      </c>
      <c r="Y174" s="16" t="n">
        <f aca="false">V174*L174</f>
        <v>0</v>
      </c>
      <c r="Z174" s="16" t="n">
        <f aca="false">Q174*L174</f>
        <v>0.0977836236480297</v>
      </c>
      <c r="AA174" s="16" t="n">
        <f aca="false">R174*L174</f>
        <v>0.115844016685315</v>
      </c>
      <c r="AB174" s="16" t="n">
        <f aca="false">S174*L174</f>
        <v>0.0908834929375463</v>
      </c>
      <c r="AC174" s="16" t="n">
        <f aca="false">Z174-W174</f>
        <v>0.0977836236480297</v>
      </c>
      <c r="AD174" s="16" t="n">
        <f aca="false">AA174-W174</f>
        <v>0.115844016685315</v>
      </c>
      <c r="AE174" s="16" t="n">
        <f aca="false">AB174-W174</f>
        <v>0.0908834929375463</v>
      </c>
      <c r="AF174" s="16" t="n">
        <f aca="false">AE174-X174</f>
        <v>0.0908834929375463</v>
      </c>
      <c r="AG174" s="16" t="n">
        <f aca="false">AF174-p_spc_lo*Y174/1000</f>
        <v>0.0908834929375463</v>
      </c>
      <c r="AH174" s="16" t="n">
        <f aca="false">AF174-p_spc_hi*Y174/1000</f>
        <v>0.0908834929375463</v>
      </c>
      <c r="AI174" s="16" t="n">
        <f aca="false">Q174*J174</f>
        <v>0.257325325389552</v>
      </c>
      <c r="AJ174" s="16" t="n">
        <f aca="false">S174*J174</f>
        <v>0.239167086677754</v>
      </c>
      <c r="AK174" s="16" t="n">
        <f aca="false">T174*J174</f>
        <v>0</v>
      </c>
      <c r="AL174" s="16" t="n">
        <f aca="false">U174*J174</f>
        <v>0</v>
      </c>
      <c r="AM174" s="16" t="n">
        <f aca="false">AI174-AJ174</f>
        <v>0.0181582387117982</v>
      </c>
      <c r="AN174" s="16" t="n">
        <f aca="false">J174*Country_Data!$EB$29</f>
        <v>3.7598945978604</v>
      </c>
      <c r="AO174" s="16" t="n">
        <f aca="false">L174*Country_Data!$EB$29</f>
        <v>1.42875994718695</v>
      </c>
    </row>
    <row r="175" customFormat="false" ht="15" hidden="false" customHeight="false" outlineLevel="0" collapsed="false">
      <c r="A175" s="14" t="str">
        <f aca="false">Country_Data!$A$29</f>
        <v>IRL</v>
      </c>
      <c r="B175" s="14" t="str">
        <f aca="false">Country_Data!$E$29</f>
        <v>AE</v>
      </c>
      <c r="C175" s="35" t="s">
        <v>473</v>
      </c>
      <c r="D175" s="37" t="n">
        <f aca="false">IF(Country_Data!$CA$29="","",Country_Data!$CA$29)</f>
        <v>0.207765407884083</v>
      </c>
      <c r="E175" s="40" t="n">
        <f aca="false">Country_Data!$BW$29</f>
        <v>726.213</v>
      </c>
      <c r="F175" s="41" t="n">
        <f aca="false">Country_Data!$BX$29</f>
        <v>0.838561138398789</v>
      </c>
      <c r="G175" s="42" t="n">
        <f aca="false">IF(D175="","",D175/SUMIFS($D$5:$D$1369,$B$5:$B$1369,B175,$C$5:$C$1369,C175))</f>
        <v>0.00406720938094252</v>
      </c>
      <c r="H175" s="42" t="n">
        <f aca="false">E175/SUMIFS($E$5:$E$1369,$B$5:$B$1369,B175,$C$5:$C$1369,C175)</f>
        <v>0.00920598810537146</v>
      </c>
      <c r="I175" s="43" t="n">
        <f aca="false">IF(G175="",H175,p_beta_alloc*G175+(1-p_beta_alloc)*H175)*F175^p_phi</f>
        <v>0.00607733149989713</v>
      </c>
      <c r="J175" s="16" t="n">
        <f aca="false">INDEX(Sector_Params!$C$18:$E$18,MATCH(B175,Sector_Params!$C$15:$E$15,0))*I175/SUMIFS($I$5:$I$1369,$B$5:$B$1369,B175,$C$5:$C$1369,C175)</f>
        <v>2.29026158490316</v>
      </c>
      <c r="K175" s="28" t="n">
        <f aca="false">INDEX(Sector_Params!$F$7:$H$7,MATCH(B175,Sector_Params!$C$15:$E$15,0))</f>
        <v>0.38</v>
      </c>
      <c r="L175" s="16" t="n">
        <f aca="false">J175*K175</f>
        <v>0.870299402263202</v>
      </c>
      <c r="M175" s="44" t="n">
        <f aca="false">Country_Data!$DW$29+Sector_Params!$E$7</f>
        <v>0.06595</v>
      </c>
      <c r="N175" s="44" t="n">
        <f aca="false">Country_Data!$DX$29+Sector_Params!$E$7</f>
        <v>0.08095</v>
      </c>
      <c r="O175" s="11" t="n">
        <f aca="false">IF(p_use_ibrd=1,p_r_ibrd,p_r_wb)</f>
        <v>0.06</v>
      </c>
      <c r="P175" s="45" t="n">
        <f aca="false">Sector_Params!$D$7</f>
        <v>12</v>
      </c>
      <c r="Q175" s="46" t="n">
        <f aca="false">M175/(1-(1+M175)^-P175)</f>
        <v>0.123198327879164</v>
      </c>
      <c r="R175" s="46" t="n">
        <f aca="false">N175/(1-(1+N175)^-P175)</f>
        <v>0.133348899435907</v>
      </c>
      <c r="S175" s="46" t="n">
        <f aca="false">O175/(1-(1+O175)^-P175)</f>
        <v>0.119277029380664</v>
      </c>
      <c r="T175" s="37" t="n">
        <f aca="false">IF(AND(p_eng=1,ISNUMBER(Country_Data!$DE$29)),Country_Data!$DE$29,Country_Data!$CM$29)*Sector_Params!$I$7</f>
        <v>-0.00667809</v>
      </c>
      <c r="U175" s="37" t="n">
        <f aca="false">IF(AND(p_eng=1,ISNUMBER(Country_Data!$DF$29)),Country_Data!$DF$29,Country_Data!$CN$29)*Sector_Params!$J$7</f>
        <v>0.0027747</v>
      </c>
      <c r="V175" s="37" t="n">
        <f aca="false">IF(AND(p_eng=1,ISNUMBER(Country_Data!$DG$29)),Country_Data!$DG$29,p_a)</f>
        <v>0.407710049743457</v>
      </c>
      <c r="W175" s="16" t="n">
        <f aca="false">T175*L175</f>
        <v>-0.00581193773525986</v>
      </c>
      <c r="X175" s="16" t="n">
        <f aca="false">U175*L175</f>
        <v>0.00241481975145971</v>
      </c>
      <c r="Y175" s="16" t="n">
        <f aca="false">V175*L175</f>
        <v>0.354829812588431</v>
      </c>
      <c r="Z175" s="16" t="n">
        <f aca="false">Q175*L175</f>
        <v>0.107219431113063</v>
      </c>
      <c r="AA175" s="16" t="n">
        <f aca="false">R175*L175</f>
        <v>0.116053467471526</v>
      </c>
      <c r="AB175" s="16" t="n">
        <f aca="false">S175*L175</f>
        <v>0.103806727373722</v>
      </c>
      <c r="AC175" s="16" t="n">
        <f aca="false">Z175-W175</f>
        <v>0.113031368848323</v>
      </c>
      <c r="AD175" s="16" t="n">
        <f aca="false">AA175-W175</f>
        <v>0.121865405206785</v>
      </c>
      <c r="AE175" s="16" t="n">
        <f aca="false">AB175-W175</f>
        <v>0.109618665108982</v>
      </c>
      <c r="AF175" s="16" t="n">
        <f aca="false">AE175-X175</f>
        <v>0.107203845357522</v>
      </c>
      <c r="AG175" s="16" t="n">
        <f aca="false">AF175-p_spc_lo*Y175/1000</f>
        <v>0.0894623547281005</v>
      </c>
      <c r="AH175" s="16" t="n">
        <f aca="false">AF175-p_spc_hi*Y175/1000</f>
        <v>0.0717208640986789</v>
      </c>
      <c r="AI175" s="16" t="n">
        <f aca="false">Q175*J175</f>
        <v>0.282156397665955</v>
      </c>
      <c r="AJ175" s="16" t="n">
        <f aca="false">S175*J175</f>
        <v>0.2731755983519</v>
      </c>
      <c r="AK175" s="16" t="n">
        <f aca="false">T175*J175</f>
        <v>-0.015294572987526</v>
      </c>
      <c r="AL175" s="16" t="n">
        <f aca="false">U175*J175</f>
        <v>0.00635478881963081</v>
      </c>
      <c r="AM175" s="16" t="n">
        <f aca="false">AI175-AJ175</f>
        <v>0.00898079931405493</v>
      </c>
      <c r="AN175" s="16" t="n">
        <f aca="false">J175*Country_Data!$EB$29</f>
        <v>2.39292848353675</v>
      </c>
      <c r="AO175" s="16" t="n">
        <f aca="false">L175*Country_Data!$EB$29</f>
        <v>0.909312823743966</v>
      </c>
    </row>
    <row r="176" customFormat="false" ht="15" hidden="false" customHeight="false" outlineLevel="0" collapsed="false">
      <c r="A176" s="14" t="str">
        <f aca="false">Country_Data!$A$29</f>
        <v>IRL</v>
      </c>
      <c r="B176" s="14" t="str">
        <f aca="false">Country_Data!$E$29</f>
        <v>AE</v>
      </c>
      <c r="C176" s="35" t="s">
        <v>477</v>
      </c>
      <c r="D176" s="37" t="n">
        <f aca="false">IF(Country_Data!$CB$29="","",Country_Data!$CB$29)</f>
        <v>0.178243791841318</v>
      </c>
      <c r="E176" s="40" t="n">
        <f aca="false">Country_Data!$BW$29</f>
        <v>726.213</v>
      </c>
      <c r="F176" s="41" t="n">
        <f aca="false">Country_Data!$BX$29</f>
        <v>0.838561138398789</v>
      </c>
      <c r="G176" s="42" t="n">
        <f aca="false">IF(D176="","",D176/SUMIFS($D$5:$D$1369,$B$5:$B$1369,B176,$C$5:$C$1369,C176))</f>
        <v>0.00458355819781304</v>
      </c>
      <c r="H176" s="42" t="n">
        <f aca="false">E176/SUMIFS($E$5:$E$1369,$B$5:$B$1369,B176,$C$5:$C$1369,C176)</f>
        <v>0.00920598810537146</v>
      </c>
      <c r="I176" s="43" t="n">
        <f aca="false">IF(G176="",H176,p_beta_alloc*G176+(1-p_beta_alloc)*H176)*F176^p_phi</f>
        <v>0.00631374950941876</v>
      </c>
      <c r="J176" s="16" t="n">
        <f aca="false">INDEX(Sector_Params!$C$19:$E$19,MATCH(B176,Sector_Params!$C$15:$E$15,0))*I176/SUMIFS($I$5:$I$1369,$B$5:$B$1369,B176,$C$5:$C$1369,C176)</f>
        <v>1.8559703436472</v>
      </c>
      <c r="K176" s="28" t="n">
        <f aca="false">INDEX(Sector_Params!$F$8:$H$8,MATCH(B176,Sector_Params!$C$15:$E$15,0))</f>
        <v>0.38</v>
      </c>
      <c r="L176" s="16" t="n">
        <f aca="false">J176*K176</f>
        <v>0.705268730585937</v>
      </c>
      <c r="M176" s="44" t="n">
        <f aca="false">Country_Data!$DW$29+Sector_Params!$E$8</f>
        <v>0.06595</v>
      </c>
      <c r="N176" s="44" t="n">
        <f aca="false">Country_Data!$DX$29+Sector_Params!$E$8</f>
        <v>0.08095</v>
      </c>
      <c r="O176" s="11" t="n">
        <f aca="false">IF(p_use_ibrd=1,p_r_ibrd,p_r_wb)</f>
        <v>0.06</v>
      </c>
      <c r="P176" s="45" t="n">
        <f aca="false">Sector_Params!$D$8</f>
        <v>25</v>
      </c>
      <c r="Q176" s="46" t="n">
        <f aca="false">M176/(1-(1+M176)^-P176)</f>
        <v>0.0827033786268769</v>
      </c>
      <c r="R176" s="46" t="n">
        <f aca="false">N176/(1-(1+N176)^-P176)</f>
        <v>0.0944401406839348</v>
      </c>
      <c r="S176" s="46" t="n">
        <f aca="false">O176/(1-(1+O176)^-P176)</f>
        <v>0.078226718212274</v>
      </c>
      <c r="T176" s="37" t="n">
        <f aca="false">Country_Data!$CM$29*Sector_Params!$I$8</f>
        <v>0.227764296166353</v>
      </c>
      <c r="U176" s="37" t="n">
        <f aca="false">Country_Data!$CN$29*Sector_Params!$J$8</f>
        <v>0.0439203420722369</v>
      </c>
      <c r="V176" s="37" t="n">
        <f aca="false">p_a</f>
        <v>0.35</v>
      </c>
      <c r="W176" s="16" t="n">
        <f aca="false">T176*L176</f>
        <v>0.160635036030043</v>
      </c>
      <c r="X176" s="16" t="n">
        <f aca="false">U176*L176</f>
        <v>0.0309756439001866</v>
      </c>
      <c r="Y176" s="16" t="n">
        <f aca="false">V176*L176</f>
        <v>0.246844055705078</v>
      </c>
      <c r="Z176" s="16" t="n">
        <f aca="false">Q176*L176</f>
        <v>0.0583281068593456</v>
      </c>
      <c r="AA176" s="16" t="n">
        <f aca="false">R176*L176</f>
        <v>0.066605678136516</v>
      </c>
      <c r="AB176" s="16" t="n">
        <f aca="false">S176*L176</f>
        <v>0.0551708582514742</v>
      </c>
      <c r="AC176" s="16" t="n">
        <f aca="false">Z176-W176</f>
        <v>-0.102306929170698</v>
      </c>
      <c r="AD176" s="16" t="n">
        <f aca="false">AA176-W176</f>
        <v>-0.0940293578935272</v>
      </c>
      <c r="AE176" s="16" t="n">
        <f aca="false">AB176-W176</f>
        <v>-0.105464177778569</v>
      </c>
      <c r="AF176" s="16" t="n">
        <f aca="false">AE176-X176</f>
        <v>-0.136439821678756</v>
      </c>
      <c r="AG176" s="16" t="n">
        <f aca="false">AF176-p_spc_lo*Y176/1000</f>
        <v>-0.148782024464009</v>
      </c>
      <c r="AH176" s="16" t="n">
        <f aca="false">AF176-p_spc_hi*Y176/1000</f>
        <v>-0.161124227249263</v>
      </c>
      <c r="AI176" s="16" t="n">
        <f aca="false">Q176*J176</f>
        <v>0.153495018050909</v>
      </c>
      <c r="AJ176" s="16" t="n">
        <f aca="false">S176*J176</f>
        <v>0.145186469082827</v>
      </c>
      <c r="AK176" s="16" t="n">
        <f aca="false">T176*J176</f>
        <v>0.422723779026429</v>
      </c>
      <c r="AL176" s="16" t="n">
        <f aca="false">U176*J176</f>
        <v>0.0815148523689122</v>
      </c>
      <c r="AM176" s="16" t="n">
        <f aca="false">AI176-AJ176</f>
        <v>0.0083085489680825</v>
      </c>
      <c r="AN176" s="16" t="n">
        <f aca="false">J176*Country_Data!$EB$29</f>
        <v>1.93916901422449</v>
      </c>
      <c r="AO176" s="16" t="n">
        <f aca="false">L176*Country_Data!$EB$29</f>
        <v>0.736884225405306</v>
      </c>
    </row>
    <row r="177" customFormat="false" ht="15" hidden="false" customHeight="false" outlineLevel="0" collapsed="false">
      <c r="A177" s="14" t="str">
        <f aca="false">Country_Data!$A$29</f>
        <v>IRL</v>
      </c>
      <c r="B177" s="14" t="str">
        <f aca="false">Country_Data!$E$29</f>
        <v>AE</v>
      </c>
      <c r="C177" s="35" t="s">
        <v>481</v>
      </c>
      <c r="D177" s="37" t="n">
        <f aca="false">IF(Country_Data!$CC$29="","",Country_Data!$CC$29)</f>
        <v>0.155717145921708</v>
      </c>
      <c r="E177" s="40" t="n">
        <f aca="false">Country_Data!$BW$29</f>
        <v>726.213</v>
      </c>
      <c r="F177" s="41" t="n">
        <f aca="false">Country_Data!$BX$29</f>
        <v>0.838561138398789</v>
      </c>
      <c r="G177" s="42" t="n">
        <f aca="false">IF(D177="","",D177/SUMIFS($D$5:$D$1369,$B$5:$B$1369,B177,$C$5:$C$1369,C177))</f>
        <v>0.00283527646184507</v>
      </c>
      <c r="H177" s="42" t="n">
        <f aca="false">E177/SUMIFS($E$5:$E$1369,$B$5:$B$1369,B177,$C$5:$C$1369,C177)</f>
        <v>0.00920598810537146</v>
      </c>
      <c r="I177" s="43" t="n">
        <f aca="false">IF(G177="",H177,p_beta_alloc*G177+(1-p_beta_alloc)*H177)*F177^p_phi</f>
        <v>0.00551327263294281</v>
      </c>
      <c r="J177" s="16" t="n">
        <f aca="false">INDEX(Sector_Params!$C$20:$E$20,MATCH(B177,Sector_Params!$C$15:$E$15,0))*I177/SUMIFS($I$5:$I$1369,$B$5:$B$1369,B177,$C$5:$C$1369,C177)</f>
        <v>0.936249358041846</v>
      </c>
      <c r="K177" s="28" t="n">
        <f aca="false">INDEX(Sector_Params!$F$9:$H$9,MATCH(B177,Sector_Params!$C$15:$E$15,0))</f>
        <v>0.38</v>
      </c>
      <c r="L177" s="16" t="n">
        <f aca="false">J177*K177</f>
        <v>0.355774756055901</v>
      </c>
      <c r="M177" s="44" t="n">
        <f aca="false">Country_Data!$DW$29+Sector_Params!$E$9</f>
        <v>0.06595</v>
      </c>
      <c r="N177" s="44" t="n">
        <f aca="false">Country_Data!$DX$29+Sector_Params!$E$9</f>
        <v>0.08095</v>
      </c>
      <c r="O177" s="11" t="n">
        <f aca="false">IF(p_use_ibrd=1,p_r_ibrd,p_r_wb)</f>
        <v>0.06</v>
      </c>
      <c r="P177" s="45" t="n">
        <f aca="false">Sector_Params!$D$9</f>
        <v>25</v>
      </c>
      <c r="Q177" s="46" t="n">
        <f aca="false">M177/(1-(1+M177)^-P177)</f>
        <v>0.0827033786268769</v>
      </c>
      <c r="R177" s="46" t="n">
        <f aca="false">N177/(1-(1+N177)^-P177)</f>
        <v>0.0944401406839348</v>
      </c>
      <c r="S177" s="46" t="n">
        <f aca="false">O177/(1-(1+O177)^-P177)</f>
        <v>0.078226718212274</v>
      </c>
      <c r="T177" s="37" t="n">
        <f aca="false">Country_Data!$CM$29*Sector_Params!$I$9</f>
        <v>0.227764296166353</v>
      </c>
      <c r="U177" s="37" t="n">
        <f aca="false">Country_Data!$CN$29*Sector_Params!$J$9</f>
        <v>0.0439203420722369</v>
      </c>
      <c r="V177" s="37" t="n">
        <f aca="false">p_a</f>
        <v>0.35</v>
      </c>
      <c r="W177" s="16" t="n">
        <f aca="false">T177*L177</f>
        <v>0.0810327869068283</v>
      </c>
      <c r="X177" s="16" t="n">
        <f aca="false">U177*L177</f>
        <v>0.0156257489866418</v>
      </c>
      <c r="Y177" s="16" t="n">
        <f aca="false">V177*L177</f>
        <v>0.124521164619565</v>
      </c>
      <c r="Z177" s="16" t="n">
        <f aca="false">Q177*L177</f>
        <v>0.029423774355976</v>
      </c>
      <c r="AA177" s="16" t="n">
        <f aca="false">R177*L177</f>
        <v>0.0335994180137119</v>
      </c>
      <c r="AB177" s="16" t="n">
        <f aca="false">S177*L177</f>
        <v>0.0278310915890255</v>
      </c>
      <c r="AC177" s="16" t="n">
        <f aca="false">Z177-W177</f>
        <v>-0.0516090125508523</v>
      </c>
      <c r="AD177" s="16" t="n">
        <f aca="false">AA177-W177</f>
        <v>-0.0474333688931164</v>
      </c>
      <c r="AE177" s="16" t="n">
        <f aca="false">AB177-W177</f>
        <v>-0.0532016953178028</v>
      </c>
      <c r="AF177" s="16" t="n">
        <f aca="false">AE177-X177</f>
        <v>-0.0688274443044447</v>
      </c>
      <c r="AG177" s="16" t="n">
        <f aca="false">AF177-p_spc_lo*Y177/1000</f>
        <v>-0.0750535025354229</v>
      </c>
      <c r="AH177" s="16" t="n">
        <f aca="false">AF177-p_spc_hi*Y177/1000</f>
        <v>-0.0812795607664012</v>
      </c>
      <c r="AI177" s="16" t="n">
        <f aca="false">Q177*J177</f>
        <v>0.0774309851473052</v>
      </c>
      <c r="AJ177" s="16" t="n">
        <f aca="false">S177*J177</f>
        <v>0.0732397147079618</v>
      </c>
      <c r="AK177" s="16" t="n">
        <f aca="false">T177*J177</f>
        <v>0.213244176070601</v>
      </c>
      <c r="AL177" s="16" t="n">
        <f aca="false">U177*J177</f>
        <v>0.0411203920701101</v>
      </c>
      <c r="AM177" s="16" t="n">
        <f aca="false">AI177-AJ177</f>
        <v>0.00419127043934339</v>
      </c>
      <c r="AN177" s="16" t="n">
        <f aca="false">J177*Country_Data!$EB$29</f>
        <v>0.978219156850618</v>
      </c>
      <c r="AO177" s="16" t="n">
        <f aca="false">L177*Country_Data!$EB$29</f>
        <v>0.371723279603235</v>
      </c>
    </row>
    <row r="178" customFormat="false" ht="15" hidden="false" customHeight="false" outlineLevel="0" collapsed="false">
      <c r="A178" s="14" t="str">
        <f aca="false">Country_Data!$A$29</f>
        <v>IRL</v>
      </c>
      <c r="B178" s="14" t="str">
        <f aca="false">Country_Data!$E$29</f>
        <v>AE</v>
      </c>
      <c r="C178" s="35" t="s">
        <v>484</v>
      </c>
      <c r="D178" s="37" t="n">
        <f aca="false">IF(Country_Data!$CD$29="","",Country_Data!$CD$29)</f>
        <v>0.530657094661203</v>
      </c>
      <c r="E178" s="40" t="n">
        <f aca="false">Country_Data!$BW$29</f>
        <v>726.213</v>
      </c>
      <c r="F178" s="41" t="n">
        <f aca="false">Country_Data!$BX$29</f>
        <v>0.838561138398789</v>
      </c>
      <c r="G178" s="42" t="n">
        <f aca="false">IF(D178="","",D178/SUMIFS($D$5:$D$1369,$B$5:$B$1369,B178,$C$5:$C$1369,C178))</f>
        <v>0.00359036891623686</v>
      </c>
      <c r="H178" s="42" t="n">
        <f aca="false">E178/SUMIFS($E$5:$E$1369,$B$5:$B$1369,B178,$C$5:$C$1369,C178)</f>
        <v>0.00920598810537146</v>
      </c>
      <c r="I178" s="43" t="n">
        <f aca="false">IF(G178="",H178,p_beta_alloc*G178+(1-p_beta_alloc)*H178)*F178^p_phi</f>
        <v>0.00585900297886297</v>
      </c>
      <c r="J178" s="16" t="n">
        <f aca="false">INDEX(Sector_Params!$C$21:$E$21,MATCH(B178,Sector_Params!$C$15:$E$15,0))*I178/SUMIFS($I$5:$I$1369,$B$5:$B$1369,B178,$C$5:$C$1369,C178)</f>
        <v>1.1937703086117</v>
      </c>
      <c r="K178" s="28" t="n">
        <f aca="false">INDEX(Sector_Params!$F$10:$H$10,MATCH(B178,Sector_Params!$C$15:$E$15,0))</f>
        <v>0.38</v>
      </c>
      <c r="L178" s="16" t="n">
        <f aca="false">J178*K178</f>
        <v>0.453632717272445</v>
      </c>
      <c r="M178" s="44" t="n">
        <f aca="false">Country_Data!$DW$29+Sector_Params!$E$10</f>
        <v>0.06595</v>
      </c>
      <c r="N178" s="44" t="n">
        <f aca="false">Country_Data!$DX$29+Sector_Params!$E$10</f>
        <v>0.08095</v>
      </c>
      <c r="O178" s="11" t="n">
        <f aca="false">IF(p_use_ibrd=1,p_r_ibrd,p_r_wb)</f>
        <v>0.06</v>
      </c>
      <c r="P178" s="45" t="n">
        <f aca="false">Sector_Params!$D$10</f>
        <v>20</v>
      </c>
      <c r="Q178" s="46" t="n">
        <f aca="false">M178/(1-(1+M178)^-P178)</f>
        <v>0.0914424173467819</v>
      </c>
      <c r="R178" s="46" t="n">
        <f aca="false">N178/(1-(1+N178)^-P178)</f>
        <v>0.102573314948353</v>
      </c>
      <c r="S178" s="46" t="n">
        <f aca="false">O178/(1-(1+O178)^-P178)</f>
        <v>0.0871845569768514</v>
      </c>
      <c r="T178" s="37" t="n">
        <f aca="false">0*Sector_Params!$I$10</f>
        <v>0</v>
      </c>
      <c r="U178" s="37" t="n">
        <f aca="false">0*Sector_Params!$J$10</f>
        <v>0</v>
      </c>
      <c r="V178" s="37" t="n">
        <f aca="false">1000*p_r_wb/(1-(1+p_r_wb)^-Sector_Params!$D$10)/p_cpt_fuel</f>
        <v>0.871845569768514</v>
      </c>
      <c r="W178" s="16" t="n">
        <f aca="false">T178*L178</f>
        <v>0</v>
      </c>
      <c r="X178" s="16" t="n">
        <f aca="false">U178*L178</f>
        <v>0</v>
      </c>
      <c r="Y178" s="16" t="n">
        <f aca="false">V178*L178</f>
        <v>0.395497674856034</v>
      </c>
      <c r="Z178" s="16" t="n">
        <f aca="false">Q178*L178</f>
        <v>0.0414812722549816</v>
      </c>
      <c r="AA178" s="16" t="n">
        <f aca="false">R178*L178</f>
        <v>0.0465306115796635</v>
      </c>
      <c r="AB178" s="16" t="n">
        <f aca="false">S178*L178</f>
        <v>0.0395497674856034</v>
      </c>
      <c r="AC178" s="16" t="n">
        <f aca="false">Z178-W178</f>
        <v>0.0414812722549816</v>
      </c>
      <c r="AD178" s="16" t="n">
        <f aca="false">AA178-W178</f>
        <v>0.0465306115796635</v>
      </c>
      <c r="AE178" s="16" t="n">
        <f aca="false">AB178-W178</f>
        <v>0.0395497674856034</v>
      </c>
      <c r="AF178" s="16" t="n">
        <f aca="false">AE178-X178</f>
        <v>0.0395497674856034</v>
      </c>
      <c r="AG178" s="16" t="n">
        <f aca="false">AF178-p_spc_lo*Y178/1000</f>
        <v>0.0197748837428017</v>
      </c>
      <c r="AH178" s="16" t="n">
        <f aca="false">AF178-p_spc_hi*Y178/1000</f>
        <v>0</v>
      </c>
      <c r="AI178" s="16" t="n">
        <f aca="false">Q178*J178</f>
        <v>0.109161242776267</v>
      </c>
      <c r="AJ178" s="16" t="n">
        <f aca="false">S178*J178</f>
        <v>0.10407833548843</v>
      </c>
      <c r="AK178" s="16" t="n">
        <f aca="false">T178*J178</f>
        <v>0</v>
      </c>
      <c r="AL178" s="16" t="n">
        <f aca="false">U178*J178</f>
        <v>0</v>
      </c>
      <c r="AM178" s="16" t="n">
        <f aca="false">AI178-AJ178</f>
        <v>0.00508290728783749</v>
      </c>
      <c r="AN178" s="16" t="n">
        <f aca="false">J178*Country_Data!$EB$29</f>
        <v>1.24728415003222</v>
      </c>
      <c r="AO178" s="16" t="n">
        <f aca="false">L178*Country_Data!$EB$29</f>
        <v>0.473967977012244</v>
      </c>
    </row>
    <row r="179" customFormat="false" ht="15" hidden="false" customHeight="false" outlineLevel="0" collapsed="false">
      <c r="A179" s="14" t="str">
        <f aca="false">Country_Data!$A$29</f>
        <v>IRL</v>
      </c>
      <c r="B179" s="14" t="str">
        <f aca="false">Country_Data!$E$29</f>
        <v>AE</v>
      </c>
      <c r="C179" s="35" t="s">
        <v>488</v>
      </c>
      <c r="D179" s="37" t="n">
        <f aca="false">IF(Country_Data!$CE$29="","",Country_Data!$CE$29)</f>
        <v>32.098</v>
      </c>
      <c r="E179" s="40" t="n">
        <f aca="false">Country_Data!$BW$29</f>
        <v>726.213</v>
      </c>
      <c r="F179" s="41" t="n">
        <f aca="false">Country_Data!$BX$29</f>
        <v>0.838561138398789</v>
      </c>
      <c r="G179" s="42" t="n">
        <f aca="false">IF(D179="","",D179/SUMIFS($D$5:$D$1369,$B$5:$B$1369,B179,$C$5:$C$1369,C179))</f>
        <v>0.0122498639455263</v>
      </c>
      <c r="H179" s="42" t="n">
        <f aca="false">E179/SUMIFS($E$5:$E$1369,$B$5:$B$1369,B179,$C$5:$C$1369,C179)</f>
        <v>0.00920598810537146</v>
      </c>
      <c r="I179" s="43" t="n">
        <f aca="false">IF(G179="",H179,p_beta_alloc*G179+(1-p_beta_alloc)*H179)*F179^p_phi</f>
        <v>0.00982388197421934</v>
      </c>
      <c r="J179" s="16" t="n">
        <f aca="false">INDEX(Sector_Params!$C$22:$E$22,MATCH(B179,Sector_Params!$C$15:$E$15,0))*I179/SUMIFS($I$5:$I$1369,$B$5:$B$1369,B179,$C$5:$C$1369,C179)</f>
        <v>0.380652071954615</v>
      </c>
      <c r="K179" s="28" t="n">
        <f aca="false">INDEX(Sector_Params!$F$11:$H$11,MATCH(B179,Sector_Params!$C$15:$E$15,0))</f>
        <v>0.38</v>
      </c>
      <c r="L179" s="16" t="n">
        <f aca="false">J179*K179</f>
        <v>0.144647787342754</v>
      </c>
      <c r="M179" s="44" t="n">
        <f aca="false">Country_Data!$DW$29+Sector_Params!$E$11</f>
        <v>0.06595</v>
      </c>
      <c r="N179" s="44" t="n">
        <f aca="false">Country_Data!$DX$29+Sector_Params!$E$11</f>
        <v>0.08095</v>
      </c>
      <c r="O179" s="11" t="n">
        <f aca="false">IF(p_use_ibrd=1,p_r_ibrd,p_r_wb)</f>
        <v>0.06</v>
      </c>
      <c r="P179" s="45" t="n">
        <f aca="false">Sector_Params!$D$11</f>
        <v>30</v>
      </c>
      <c r="Q179" s="46" t="n">
        <f aca="false">M179/(1-(1+M179)^-P179)</f>
        <v>0.0773330954158844</v>
      </c>
      <c r="R179" s="46" t="n">
        <f aca="false">N179/(1-(1+N179)^-P179)</f>
        <v>0.0896248122267618</v>
      </c>
      <c r="S179" s="46" t="n">
        <f aca="false">O179/(1-(1+O179)^-P179)</f>
        <v>0.0726489114900472</v>
      </c>
      <c r="T179" s="37" t="n">
        <f aca="false">0*Sector_Params!$I$11</f>
        <v>0</v>
      </c>
      <c r="U179" s="37" t="n">
        <f aca="false">p_c*Sector_Params!$J$11</f>
        <v>0.129</v>
      </c>
      <c r="V179" s="37" t="n">
        <f aca="false">1000*p_r_wb/(1-(1+p_r_wb)^-Sector_Params!$D$11)/p_cpt_afolu</f>
        <v>1.45297822980094</v>
      </c>
      <c r="W179" s="16" t="n">
        <f aca="false">T179*L179</f>
        <v>0</v>
      </c>
      <c r="X179" s="16" t="n">
        <f aca="false">U179*L179</f>
        <v>0.0186595645672152</v>
      </c>
      <c r="Y179" s="16" t="n">
        <f aca="false">V179*L179</f>
        <v>0.210170085997898</v>
      </c>
      <c r="Z179" s="16" t="n">
        <f aca="false">Q179*L179</f>
        <v>0.0111860611402737</v>
      </c>
      <c r="AA179" s="16" t="n">
        <f aca="false">R179*L179</f>
        <v>0.0129640307796109</v>
      </c>
      <c r="AB179" s="16" t="n">
        <f aca="false">S179*L179</f>
        <v>0.0105085042998949</v>
      </c>
      <c r="AC179" s="16" t="n">
        <f aca="false">Z179-W179</f>
        <v>0.0111860611402737</v>
      </c>
      <c r="AD179" s="16" t="n">
        <f aca="false">AA179-W179</f>
        <v>0.0129640307796109</v>
      </c>
      <c r="AE179" s="16" t="n">
        <f aca="false">AB179-W179</f>
        <v>0.0105085042998949</v>
      </c>
      <c r="AF179" s="16" t="n">
        <f aca="false">AE179-X179</f>
        <v>-0.00815106026732034</v>
      </c>
      <c r="AG179" s="16" t="n">
        <f aca="false">AF179-p_spc_lo*Y179/1000</f>
        <v>-0.0186595645672152</v>
      </c>
      <c r="AH179" s="16" t="n">
        <f aca="false">AF179-p_spc_hi*Y179/1000</f>
        <v>-0.0291680688671101</v>
      </c>
      <c r="AI179" s="16" t="n">
        <f aca="false">Q179*J179</f>
        <v>0.0294370030007203</v>
      </c>
      <c r="AJ179" s="16" t="n">
        <f aca="false">S179*J179</f>
        <v>0.0276539586839339</v>
      </c>
      <c r="AK179" s="16" t="n">
        <f aca="false">T179*J179</f>
        <v>0</v>
      </c>
      <c r="AL179" s="16" t="n">
        <f aca="false">U179*J179</f>
        <v>0.0491041172821453</v>
      </c>
      <c r="AM179" s="16" t="n">
        <f aca="false">AI179-AJ179</f>
        <v>0.00178304431678643</v>
      </c>
      <c r="AN179" s="16" t="n">
        <f aca="false">J179*Country_Data!$EB$29</f>
        <v>0.397715785524994</v>
      </c>
      <c r="AO179" s="16" t="n">
        <f aca="false">L179*Country_Data!$EB$29</f>
        <v>0.151131998499498</v>
      </c>
    </row>
    <row r="180" customFormat="false" ht="15" hidden="false" customHeight="false" outlineLevel="0" collapsed="false">
      <c r="A180" s="14" t="str">
        <f aca="false">Country_Data!$A$30</f>
        <v>SWE</v>
      </c>
      <c r="B180" s="14" t="str">
        <f aca="false">Country_Data!$E$30</f>
        <v>AE</v>
      </c>
      <c r="C180" s="35" t="s">
        <v>466</v>
      </c>
      <c r="D180" s="37" t="n">
        <f aca="false">IF(Country_Data!$BZ$30="","",Country_Data!$BZ$30)</f>
        <v>129.880160549287</v>
      </c>
      <c r="E180" s="40" t="n">
        <f aca="false">Country_Data!$BW$30</f>
        <v>757.406</v>
      </c>
      <c r="F180" s="41" t="n">
        <f aca="false">Country_Data!$BX$30</f>
        <v>0.79855057921379</v>
      </c>
      <c r="G180" s="42" t="n">
        <f aca="false">IF(D180="","",D180/SUMIFS($D$5:$D$1369,$B$5:$B$1369,B180,$C$5:$C$1369,C180))</f>
        <v>0.0132728494162036</v>
      </c>
      <c r="H180" s="42" t="n">
        <f aca="false">E180/SUMIFS($E$5:$E$1369,$B$5:$B$1369,B180,$C$5:$C$1369,C180)</f>
        <v>0.00960141257032988</v>
      </c>
      <c r="I180" s="43" t="n">
        <f aca="false">IF(G180="",H180,p_beta_alloc*G180+(1-p_beta_alloc)*H180)*F180^p_phi</f>
        <v>0.0102204098010659</v>
      </c>
      <c r="J180" s="16" t="n">
        <f aca="false">INDEX(Sector_Params!$C$16:$E$16,MATCH(B180,Sector_Params!$C$15:$E$15,0))*I180/SUMIFS($I$5:$I$1369,$B$5:$B$1369,B180,$C$5:$C$1369,C180)</f>
        <v>9.16725095021016</v>
      </c>
      <c r="K180" s="28" t="n">
        <f aca="false">INDEX(Sector_Params!$F$5:$H$5,MATCH(B180,Sector_Params!$C$15:$E$15,0))</f>
        <v>0.38</v>
      </c>
      <c r="L180" s="16" t="n">
        <f aca="false">J180*K180</f>
        <v>3.48355536107986</v>
      </c>
      <c r="M180" s="44" t="n">
        <f aca="false">Country_Data!$DW$30+Sector_Params!$E$5</f>
        <v>0.03503</v>
      </c>
      <c r="N180" s="44" t="n">
        <f aca="false">Country_Data!$DX$30+Sector_Params!$E$5</f>
        <v>0.05003</v>
      </c>
      <c r="O180" s="11" t="n">
        <f aca="false">IF(p_use_ibrd=1,p_r_ibrd,p_r_wb)</f>
        <v>0.06</v>
      </c>
      <c r="P180" s="45" t="n">
        <f aca="false">Sector_Params!$D$5</f>
        <v>25</v>
      </c>
      <c r="Q180" s="46" t="n">
        <f aca="false">M180/(1-(1+M180)^-P180)</f>
        <v>0.0606937918814221</v>
      </c>
      <c r="R180" s="46" t="n">
        <f aca="false">N180/(1-(1+N180)^-P180)</f>
        <v>0.0709737927284487</v>
      </c>
      <c r="S180" s="46" t="n">
        <f aca="false">O180/(1-(1+O180)^-P180)</f>
        <v>0.078226718212274</v>
      </c>
      <c r="T180" s="37" t="n">
        <f aca="false">IF(AND(p_eng=1,ISNUMBER(Country_Data!$CZ$30)),Country_Data!$CZ$30,Country_Data!$CM$30)*Sector_Params!$I$5</f>
        <v>-0.0109923413007668</v>
      </c>
      <c r="U180" s="37" t="n">
        <f aca="false">IF(AND(p_eng=1,ISNUMBER(Country_Data!$DA$30)),Country_Data!$DA$30,Country_Data!$CN$30)*Sector_Params!$J$5</f>
        <v>0.000459211943630385</v>
      </c>
      <c r="V180" s="37" t="n">
        <f aca="false">IF(AND(p_eng=1,ISNUMBER(Country_Data!$DB$30)),Country_Data!$DB$30,p_a)</f>
        <v>0.0222628383081117</v>
      </c>
      <c r="W180" s="16" t="n">
        <f aca="false">T180*L180</f>
        <v>-0.0382924294691056</v>
      </c>
      <c r="X180" s="16" t="n">
        <f aca="false">U180*L180</f>
        <v>0.00159969022810553</v>
      </c>
      <c r="Y180" s="16" t="n">
        <f aca="false">V180*L180</f>
        <v>0.0775538297410766</v>
      </c>
      <c r="Z180" s="16" t="n">
        <f aca="false">Q180*L180</f>
        <v>0.211430184092793</v>
      </c>
      <c r="AA180" s="16" t="n">
        <f aca="false">R180*L180</f>
        <v>0.247241136155358</v>
      </c>
      <c r="AB180" s="16" t="n">
        <f aca="false">S180*L180</f>
        <v>0.27250710360805</v>
      </c>
      <c r="AC180" s="16" t="n">
        <f aca="false">Z180-W180</f>
        <v>0.249722613561899</v>
      </c>
      <c r="AD180" s="16" t="n">
        <f aca="false">AA180-W180</f>
        <v>0.285533565624464</v>
      </c>
      <c r="AE180" s="16" t="n">
        <f aca="false">AB180-W180</f>
        <v>0.310799533077156</v>
      </c>
      <c r="AF180" s="16" t="n">
        <f aca="false">AE180-X180</f>
        <v>0.309199842849051</v>
      </c>
      <c r="AG180" s="16" t="n">
        <f aca="false">AF180-p_spc_lo*Y180/1000</f>
        <v>0.305322151361997</v>
      </c>
      <c r="AH180" s="16" t="n">
        <f aca="false">AF180-p_spc_hi*Y180/1000</f>
        <v>0.301444459874943</v>
      </c>
      <c r="AI180" s="16" t="n">
        <f aca="false">Q180*J180</f>
        <v>0.556395221296824</v>
      </c>
      <c r="AJ180" s="16" t="n">
        <f aca="false">S180*J180</f>
        <v>0.717123956863291</v>
      </c>
      <c r="AK180" s="16" t="n">
        <f aca="false">T180*J180</f>
        <v>-0.100769551234488</v>
      </c>
      <c r="AL180" s="16" t="n">
        <f aca="false">U180*J180</f>
        <v>0.0042097111265935</v>
      </c>
      <c r="AM180" s="16" t="n">
        <f aca="false">AI180-AJ180</f>
        <v>-0.160728735566466</v>
      </c>
      <c r="AN180" s="16" t="n">
        <f aca="false">J180*Country_Data!$EB$30</f>
        <v>9.57819668246096</v>
      </c>
      <c r="AO180" s="16" t="n">
        <f aca="false">L180*Country_Data!$EB$30</f>
        <v>3.63971473933516</v>
      </c>
    </row>
    <row r="181" customFormat="false" ht="15" hidden="false" customHeight="false" outlineLevel="0" collapsed="false">
      <c r="A181" s="14" t="str">
        <f aca="false">Country_Data!$A$30</f>
        <v>SWE</v>
      </c>
      <c r="B181" s="14" t="str">
        <f aca="false">Country_Data!$E$30</f>
        <v>AE</v>
      </c>
      <c r="C181" s="35" t="s">
        <v>470</v>
      </c>
      <c r="D181" s="37" t="n">
        <f aca="false">IF(Country_Data!$BZ$30="","",Country_Data!$BZ$30)</f>
        <v>129.880160549287</v>
      </c>
      <c r="E181" s="40" t="n">
        <f aca="false">Country_Data!$BW$30</f>
        <v>757.406</v>
      </c>
      <c r="F181" s="41" t="n">
        <f aca="false">Country_Data!$BX$30</f>
        <v>0.79855057921379</v>
      </c>
      <c r="G181" s="42" t="n">
        <f aca="false">IF(D181="","",D181/SUMIFS($D$5:$D$1369,$B$5:$B$1369,B181,$C$5:$C$1369,C181))</f>
        <v>0.0132728494162036</v>
      </c>
      <c r="H181" s="42" t="n">
        <f aca="false">E181/SUMIFS($E$5:$E$1369,$B$5:$B$1369,B181,$C$5:$C$1369,C181)</f>
        <v>0.00960141257032988</v>
      </c>
      <c r="I181" s="43" t="n">
        <f aca="false">IF(G181="",H181,p_beta_alloc*G181+(1-p_beta_alloc)*H181)*F181^p_phi</f>
        <v>0.0102204098010659</v>
      </c>
      <c r="J181" s="16" t="n">
        <f aca="false">INDEX(Sector_Params!$C$17:$E$17,MATCH(B181,Sector_Params!$C$15:$E$15,0))*I181/SUMIFS($I$5:$I$1369,$B$5:$B$1369,B181,$C$5:$C$1369,C181)</f>
        <v>6.28611493728696</v>
      </c>
      <c r="K181" s="28" t="n">
        <f aca="false">INDEX(Sector_Params!$F$6:$H$6,MATCH(B181,Sector_Params!$C$15:$E$15,0))</f>
        <v>0.38</v>
      </c>
      <c r="L181" s="16" t="n">
        <f aca="false">J181*K181</f>
        <v>2.38872367616905</v>
      </c>
      <c r="M181" s="44" t="n">
        <f aca="false">Country_Data!$DW$30+Sector_Params!$E$6</f>
        <v>0.03503</v>
      </c>
      <c r="N181" s="44" t="n">
        <f aca="false">Country_Data!$DX$30+Sector_Params!$E$6</f>
        <v>0.05003</v>
      </c>
      <c r="O181" s="11" t="n">
        <f aca="false">IF(p_use_ibrd=1,p_r_ibrd,p_r_wb)</f>
        <v>0.06</v>
      </c>
      <c r="P181" s="45" t="n">
        <f aca="false">Sector_Params!$D$6</f>
        <v>40</v>
      </c>
      <c r="Q181" s="46" t="n">
        <f aca="false">M181/(1-(1+M181)^-P181)</f>
        <v>0.0468490756436749</v>
      </c>
      <c r="R181" s="46" t="n">
        <f aca="false">N181/(1-(1+N181)^-P181)</f>
        <v>0.0583021028825913</v>
      </c>
      <c r="S181" s="46" t="n">
        <f aca="false">O181/(1-(1+O181)^-P181)</f>
        <v>0.0664615359206755</v>
      </c>
      <c r="T181" s="37" t="n">
        <f aca="false">p_grid_credit*IF(AND(p_eng=1,ISNUMBER(Country_Data!$CZ$30)),Country_Data!$CZ$30,Country_Data!$CM$30)*Sector_Params!$I$6</f>
        <v>-0</v>
      </c>
      <c r="U181" s="37" t="n">
        <f aca="false">p_grid_credit*IF(AND(p_eng=1,ISNUMBER(Country_Data!$DA$30)),Country_Data!$DA$30,Country_Data!$CN$30)*Sector_Params!$J$6</f>
        <v>0</v>
      </c>
      <c r="V181" s="37" t="n">
        <f aca="false">p_grid_credit*IF(AND(p_eng=1,ISNUMBER(Country_Data!$DB$30)),Country_Data!$DB$30,p_a)</f>
        <v>0</v>
      </c>
      <c r="W181" s="16" t="n">
        <f aca="false">T181*L181</f>
        <v>-0</v>
      </c>
      <c r="X181" s="16" t="n">
        <f aca="false">U181*L181</f>
        <v>0</v>
      </c>
      <c r="Y181" s="16" t="n">
        <f aca="false">V181*L181</f>
        <v>0</v>
      </c>
      <c r="Z181" s="16" t="n">
        <f aca="false">Q181*L181</f>
        <v>0.111909496196681</v>
      </c>
      <c r="AA181" s="16" t="n">
        <f aca="false">R181*L181</f>
        <v>0.139267613526089</v>
      </c>
      <c r="AB181" s="16" t="n">
        <f aca="false">S181*L181</f>
        <v>0.158758244408277</v>
      </c>
      <c r="AC181" s="16" t="n">
        <f aca="false">Z181-W181</f>
        <v>0.111909496196681</v>
      </c>
      <c r="AD181" s="16" t="n">
        <f aca="false">AA181-W181</f>
        <v>0.139267613526089</v>
      </c>
      <c r="AE181" s="16" t="n">
        <f aca="false">AB181-W181</f>
        <v>0.158758244408277</v>
      </c>
      <c r="AF181" s="16" t="n">
        <f aca="false">AE181-X181</f>
        <v>0.158758244408277</v>
      </c>
      <c r="AG181" s="16" t="n">
        <f aca="false">AF181-p_spc_lo*Y181/1000</f>
        <v>0.158758244408277</v>
      </c>
      <c r="AH181" s="16" t="n">
        <f aca="false">AF181-p_spc_hi*Y181/1000</f>
        <v>0.158758244408277</v>
      </c>
      <c r="AI181" s="16" t="n">
        <f aca="false">Q181*J181</f>
        <v>0.294498674201791</v>
      </c>
      <c r="AJ181" s="16" t="n">
        <f aca="false">S181*J181</f>
        <v>0.417784853705992</v>
      </c>
      <c r="AK181" s="16" t="n">
        <f aca="false">T181*J181</f>
        <v>-0</v>
      </c>
      <c r="AL181" s="16" t="n">
        <f aca="false">U181*J181</f>
        <v>0</v>
      </c>
      <c r="AM181" s="16" t="n">
        <f aca="false">AI181-AJ181</f>
        <v>-0.123286179504201</v>
      </c>
      <c r="AN181" s="16" t="n">
        <f aca="false">J181*Country_Data!$EB$30</f>
        <v>6.56790629654466</v>
      </c>
      <c r="AO181" s="16" t="n">
        <f aca="false">L181*Country_Data!$EB$30</f>
        <v>2.49580439268697</v>
      </c>
    </row>
    <row r="182" customFormat="false" ht="15" hidden="false" customHeight="false" outlineLevel="0" collapsed="false">
      <c r="A182" s="14" t="str">
        <f aca="false">Country_Data!$A$30</f>
        <v>SWE</v>
      </c>
      <c r="B182" s="14" t="str">
        <f aca="false">Country_Data!$E$30</f>
        <v>AE</v>
      </c>
      <c r="C182" s="35" t="s">
        <v>473</v>
      </c>
      <c r="D182" s="37" t="n">
        <f aca="false">IF(Country_Data!$CA$30="","",Country_Data!$CA$30)</f>
        <v>0.296574782741869</v>
      </c>
      <c r="E182" s="40" t="n">
        <f aca="false">Country_Data!$BW$30</f>
        <v>757.406</v>
      </c>
      <c r="F182" s="41" t="n">
        <f aca="false">Country_Data!$BX$30</f>
        <v>0.79855057921379</v>
      </c>
      <c r="G182" s="42" t="n">
        <f aca="false">IF(D182="","",D182/SUMIFS($D$5:$D$1369,$B$5:$B$1369,B182,$C$5:$C$1369,C182))</f>
        <v>0.00580573903424627</v>
      </c>
      <c r="H182" s="42" t="n">
        <f aca="false">E182/SUMIFS($E$5:$E$1369,$B$5:$B$1369,B182,$C$5:$C$1369,C182)</f>
        <v>0.00960141257032988</v>
      </c>
      <c r="I182" s="43" t="n">
        <f aca="false">IF(G182="",H182,p_beta_alloc*G182+(1-p_beta_alloc)*H182)*F182^p_phi</f>
        <v>0.00688404300687919</v>
      </c>
      <c r="J182" s="16" t="n">
        <f aca="false">INDEX(Sector_Params!$C$18:$E$18,MATCH(B182,Sector_Params!$C$15:$E$15,0))*I182/SUMIFS($I$5:$I$1369,$B$5:$B$1369,B182,$C$5:$C$1369,C182)</f>
        <v>2.59427336615479</v>
      </c>
      <c r="K182" s="28" t="n">
        <f aca="false">INDEX(Sector_Params!$F$7:$H$7,MATCH(B182,Sector_Params!$C$15:$E$15,0))</f>
        <v>0.38</v>
      </c>
      <c r="L182" s="16" t="n">
        <f aca="false">J182*K182</f>
        <v>0.98582387913882</v>
      </c>
      <c r="M182" s="44" t="n">
        <f aca="false">Country_Data!$DW$30+Sector_Params!$E$7</f>
        <v>0.03503</v>
      </c>
      <c r="N182" s="44" t="n">
        <f aca="false">Country_Data!$DX$30+Sector_Params!$E$7</f>
        <v>0.05003</v>
      </c>
      <c r="O182" s="11" t="n">
        <f aca="false">IF(p_use_ibrd=1,p_r_ibrd,p_r_wb)</f>
        <v>0.06</v>
      </c>
      <c r="P182" s="45" t="n">
        <f aca="false">Sector_Params!$D$7</f>
        <v>12</v>
      </c>
      <c r="Q182" s="46" t="n">
        <f aca="false">M182/(1-(1+M182)^-P182)</f>
        <v>0.103502220916549</v>
      </c>
      <c r="R182" s="46" t="n">
        <f aca="false">N182/(1-(1+N182)^-P182)</f>
        <v>0.112844500565774</v>
      </c>
      <c r="S182" s="46" t="n">
        <f aca="false">O182/(1-(1+O182)^-P182)</f>
        <v>0.119277029380664</v>
      </c>
      <c r="T182" s="37" t="n">
        <f aca="false">IF(AND(p_eng=1,ISNUMBER(Country_Data!$DE$30)),Country_Data!$DE$30,Country_Data!$CM$30)*Sector_Params!$I$7</f>
        <v>0.133609005</v>
      </c>
      <c r="U182" s="37" t="n">
        <f aca="false">IF(AND(p_eng=1,ISNUMBER(Country_Data!$DF$30)),Country_Data!$DF$30,Country_Data!$CN$30)*Sector_Params!$J$7</f>
        <v>0.0025713</v>
      </c>
      <c r="V182" s="37" t="n">
        <f aca="false">IF(AND(p_eng=1,ISNUMBER(Country_Data!$DG$30)),Country_Data!$DG$30,p_a)</f>
        <v>0.528039499471459</v>
      </c>
      <c r="W182" s="16" t="n">
        <f aca="false">T182*L182</f>
        <v>0.131714947596978</v>
      </c>
      <c r="X182" s="16" t="n">
        <f aca="false">U182*L182</f>
        <v>0.00253484894042965</v>
      </c>
      <c r="Y182" s="16" t="n">
        <f aca="false">V182*L182</f>
        <v>0.520553947707474</v>
      </c>
      <c r="Z182" s="16" t="n">
        <f aca="false">Q182*L182</f>
        <v>0.102034960923436</v>
      </c>
      <c r="AA182" s="16" t="n">
        <f aca="false">R182*L182</f>
        <v>0.111244803287234</v>
      </c>
      <c r="AB182" s="16" t="n">
        <f aca="false">S182*L182</f>
        <v>0.117586143796201</v>
      </c>
      <c r="AC182" s="16" t="n">
        <f aca="false">Z182-W182</f>
        <v>-0.0296799866735423</v>
      </c>
      <c r="AD182" s="16" t="n">
        <f aca="false">AA182-W182</f>
        <v>-0.0204701443097439</v>
      </c>
      <c r="AE182" s="16" t="n">
        <f aca="false">AB182-W182</f>
        <v>-0.0141288038007772</v>
      </c>
      <c r="AF182" s="16" t="n">
        <f aca="false">AE182-X182</f>
        <v>-0.0166636527412069</v>
      </c>
      <c r="AG182" s="16" t="n">
        <f aca="false">AF182-p_spc_lo*Y182/1000</f>
        <v>-0.0426913501265806</v>
      </c>
      <c r="AH182" s="16" t="n">
        <f aca="false">AF182-p_spc_hi*Y182/1000</f>
        <v>-0.0687190475119543</v>
      </c>
      <c r="AI182" s="16" t="n">
        <f aca="false">Q182*J182</f>
        <v>0.268513055061673</v>
      </c>
      <c r="AJ182" s="16" t="n">
        <f aca="false">S182*J182</f>
        <v>0.309437220516318</v>
      </c>
      <c r="AK182" s="16" t="n">
        <f aca="false">T182*J182</f>
        <v>0.346618283149942</v>
      </c>
      <c r="AL182" s="16" t="n">
        <f aca="false">U182*J182</f>
        <v>0.00667065510639381</v>
      </c>
      <c r="AM182" s="16" t="n">
        <f aca="false">AI182-AJ182</f>
        <v>-0.0409241654546448</v>
      </c>
      <c r="AN182" s="16" t="n">
        <f aca="false">J182*Country_Data!$EB$30</f>
        <v>2.71056837912035</v>
      </c>
      <c r="AO182" s="16" t="n">
        <f aca="false">L182*Country_Data!$EB$30</f>
        <v>1.03001598406573</v>
      </c>
    </row>
    <row r="183" customFormat="false" ht="15" hidden="false" customHeight="false" outlineLevel="0" collapsed="false">
      <c r="A183" s="14" t="str">
        <f aca="false">Country_Data!$A$30</f>
        <v>SWE</v>
      </c>
      <c r="B183" s="14" t="str">
        <f aca="false">Country_Data!$E$30</f>
        <v>AE</v>
      </c>
      <c r="C183" s="35" t="s">
        <v>477</v>
      </c>
      <c r="D183" s="37" t="n">
        <f aca="false">IF(Country_Data!$CB$30="","",Country_Data!$CB$30)</f>
        <v>0.200074193130913</v>
      </c>
      <c r="E183" s="40" t="n">
        <f aca="false">Country_Data!$BW$30</f>
        <v>757.406</v>
      </c>
      <c r="F183" s="41" t="n">
        <f aca="false">Country_Data!$BX$30</f>
        <v>0.79855057921379</v>
      </c>
      <c r="G183" s="42" t="n">
        <f aca="false">IF(D183="","",D183/SUMIFS($D$5:$D$1369,$B$5:$B$1369,B183,$C$5:$C$1369,C183))</f>
        <v>0.00514492930509711</v>
      </c>
      <c r="H183" s="42" t="n">
        <f aca="false">E183/SUMIFS($E$5:$E$1369,$B$5:$B$1369,B183,$C$5:$C$1369,C183)</f>
        <v>0.00960141257032988</v>
      </c>
      <c r="I183" s="43" t="n">
        <f aca="false">IF(G183="",H183,p_beta_alloc*G183+(1-p_beta_alloc)*H183)*F183^p_phi</f>
        <v>0.00658878774415588</v>
      </c>
      <c r="J183" s="16" t="n">
        <f aca="false">INDEX(Sector_Params!$C$19:$E$19,MATCH(B183,Sector_Params!$C$15:$E$15,0))*I183/SUMIFS($I$5:$I$1369,$B$5:$B$1369,B183,$C$5:$C$1369,C183)</f>
        <v>1.93681973532479</v>
      </c>
      <c r="K183" s="28" t="n">
        <f aca="false">INDEX(Sector_Params!$F$8:$H$8,MATCH(B183,Sector_Params!$C$15:$E$15,0))</f>
        <v>0.38</v>
      </c>
      <c r="L183" s="16" t="n">
        <f aca="false">J183*K183</f>
        <v>0.73599149942342</v>
      </c>
      <c r="M183" s="44" t="n">
        <f aca="false">Country_Data!$DW$30+Sector_Params!$E$8</f>
        <v>0.03503</v>
      </c>
      <c r="N183" s="44" t="n">
        <f aca="false">Country_Data!$DX$30+Sector_Params!$E$8</f>
        <v>0.05003</v>
      </c>
      <c r="O183" s="11" t="n">
        <f aca="false">IF(p_use_ibrd=1,p_r_ibrd,p_r_wb)</f>
        <v>0.06</v>
      </c>
      <c r="P183" s="45" t="n">
        <f aca="false">Sector_Params!$D$8</f>
        <v>25</v>
      </c>
      <c r="Q183" s="46" t="n">
        <f aca="false">M183/(1-(1+M183)^-P183)</f>
        <v>0.0606937918814221</v>
      </c>
      <c r="R183" s="46" t="n">
        <f aca="false">N183/(1-(1+N183)^-P183)</f>
        <v>0.0709737927284487</v>
      </c>
      <c r="S183" s="46" t="n">
        <f aca="false">O183/(1-(1+O183)^-P183)</f>
        <v>0.078226718212274</v>
      </c>
      <c r="T183" s="37" t="n">
        <f aca="false">Country_Data!$CM$30*Sector_Params!$I$8</f>
        <v>0.223032941473767</v>
      </c>
      <c r="U183" s="37" t="n">
        <f aca="false">Country_Data!$CN$30*Sector_Params!$J$8</f>
        <v>0.03225</v>
      </c>
      <c r="V183" s="37" t="n">
        <f aca="false">p_a</f>
        <v>0.35</v>
      </c>
      <c r="W183" s="16" t="n">
        <f aca="false">T183*L183</f>
        <v>0.164150349016094</v>
      </c>
      <c r="X183" s="16" t="n">
        <f aca="false">U183*L183</f>
        <v>0.0237357258564053</v>
      </c>
      <c r="Y183" s="16" t="n">
        <f aca="false">V183*L183</f>
        <v>0.257597024798197</v>
      </c>
      <c r="Z183" s="16" t="n">
        <f aca="false">Q183*L183</f>
        <v>0.0446701148925009</v>
      </c>
      <c r="AA183" s="16" t="n">
        <f aca="false">R183*L183</f>
        <v>0.052236108129978</v>
      </c>
      <c r="AB183" s="16" t="n">
        <f aca="false">S183*L183</f>
        <v>0.0575741996320249</v>
      </c>
      <c r="AC183" s="16" t="n">
        <f aca="false">Z183-W183</f>
        <v>-0.119480234123593</v>
      </c>
      <c r="AD183" s="16" t="n">
        <f aca="false">AA183-W183</f>
        <v>-0.111914240886116</v>
      </c>
      <c r="AE183" s="16" t="n">
        <f aca="false">AB183-W183</f>
        <v>-0.106576149384069</v>
      </c>
      <c r="AF183" s="16" t="n">
        <f aca="false">AE183-X183</f>
        <v>-0.130311875240474</v>
      </c>
      <c r="AG183" s="16" t="n">
        <f aca="false">AF183-p_spc_lo*Y183/1000</f>
        <v>-0.143191726480384</v>
      </c>
      <c r="AH183" s="16" t="n">
        <f aca="false">AF183-p_spc_hi*Y183/1000</f>
        <v>-0.156071577720294</v>
      </c>
      <c r="AI183" s="16" t="n">
        <f aca="false">Q183*J183</f>
        <v>0.117552933927634</v>
      </c>
      <c r="AJ183" s="16" t="n">
        <f aca="false">S183*J183</f>
        <v>0.151511051663223</v>
      </c>
      <c r="AK183" s="16" t="n">
        <f aca="false">T183*J183</f>
        <v>0.431974602673931</v>
      </c>
      <c r="AL183" s="16" t="n">
        <f aca="false">U183*J183</f>
        <v>0.0624624364642245</v>
      </c>
      <c r="AM183" s="16" t="n">
        <f aca="false">AI183-AJ183</f>
        <v>-0.0339581177355895</v>
      </c>
      <c r="AN183" s="16" t="n">
        <f aca="false">J183*Country_Data!$EB$30</f>
        <v>2.02364268897728</v>
      </c>
      <c r="AO183" s="16" t="n">
        <f aca="false">L183*Country_Data!$EB$30</f>
        <v>0.768984221811366</v>
      </c>
    </row>
    <row r="184" customFormat="false" ht="15" hidden="false" customHeight="false" outlineLevel="0" collapsed="false">
      <c r="A184" s="14" t="str">
        <f aca="false">Country_Data!$A$30</f>
        <v>SWE</v>
      </c>
      <c r="B184" s="14" t="str">
        <f aca="false">Country_Data!$E$30</f>
        <v>AE</v>
      </c>
      <c r="C184" s="35" t="s">
        <v>481</v>
      </c>
      <c r="D184" s="37" t="n">
        <f aca="false">IF(Country_Data!$CC$30="","",Country_Data!$CC$30)</f>
        <v>0.409265082701911</v>
      </c>
      <c r="E184" s="40" t="n">
        <f aca="false">Country_Data!$BW$30</f>
        <v>757.406</v>
      </c>
      <c r="F184" s="41" t="n">
        <f aca="false">Country_Data!$BX$30</f>
        <v>0.79855057921379</v>
      </c>
      <c r="G184" s="42" t="n">
        <f aca="false">IF(D184="","",D184/SUMIFS($D$5:$D$1369,$B$5:$B$1369,B184,$C$5:$C$1369,C184))</f>
        <v>0.00745184256217504</v>
      </c>
      <c r="H184" s="42" t="n">
        <f aca="false">E184/SUMIFS($E$5:$E$1369,$B$5:$B$1369,B184,$C$5:$C$1369,C184)</f>
        <v>0.00960141257032988</v>
      </c>
      <c r="I184" s="43" t="n">
        <f aca="false">IF(G184="",H184,p_beta_alloc*G184+(1-p_beta_alloc)*H184)*F184^p_phi</f>
        <v>0.0076195357034443</v>
      </c>
      <c r="J184" s="16" t="n">
        <f aca="false">INDEX(Sector_Params!$C$20:$E$20,MATCH(B184,Sector_Params!$C$15:$E$15,0))*I184/SUMIFS($I$5:$I$1369,$B$5:$B$1369,B184,$C$5:$C$1369,C184)</f>
        <v>1.29392937477842</v>
      </c>
      <c r="K184" s="28" t="n">
        <f aca="false">INDEX(Sector_Params!$F$9:$H$9,MATCH(B184,Sector_Params!$C$15:$E$15,0))</f>
        <v>0.38</v>
      </c>
      <c r="L184" s="16" t="n">
        <f aca="false">J184*K184</f>
        <v>0.491693162415798</v>
      </c>
      <c r="M184" s="44" t="n">
        <f aca="false">Country_Data!$DW$30+Sector_Params!$E$9</f>
        <v>0.03503</v>
      </c>
      <c r="N184" s="44" t="n">
        <f aca="false">Country_Data!$DX$30+Sector_Params!$E$9</f>
        <v>0.05003</v>
      </c>
      <c r="O184" s="11" t="n">
        <f aca="false">IF(p_use_ibrd=1,p_r_ibrd,p_r_wb)</f>
        <v>0.06</v>
      </c>
      <c r="P184" s="45" t="n">
        <f aca="false">Sector_Params!$D$9</f>
        <v>25</v>
      </c>
      <c r="Q184" s="46" t="n">
        <f aca="false">M184/(1-(1+M184)^-P184)</f>
        <v>0.0606937918814221</v>
      </c>
      <c r="R184" s="46" t="n">
        <f aca="false">N184/(1-(1+N184)^-P184)</f>
        <v>0.0709737927284487</v>
      </c>
      <c r="S184" s="46" t="n">
        <f aca="false">O184/(1-(1+O184)^-P184)</f>
        <v>0.078226718212274</v>
      </c>
      <c r="T184" s="37" t="n">
        <f aca="false">Country_Data!$CM$30*Sector_Params!$I$9</f>
        <v>0.223032941473767</v>
      </c>
      <c r="U184" s="37" t="n">
        <f aca="false">Country_Data!$CN$30*Sector_Params!$J$9</f>
        <v>0.03225</v>
      </c>
      <c r="V184" s="37" t="n">
        <f aca="false">p_a</f>
        <v>0.35</v>
      </c>
      <c r="W184" s="16" t="n">
        <f aca="false">T184*L184</f>
        <v>0.109663772316134</v>
      </c>
      <c r="X184" s="16" t="n">
        <f aca="false">U184*L184</f>
        <v>0.0158571044879095</v>
      </c>
      <c r="Y184" s="16" t="n">
        <f aca="false">V184*L184</f>
        <v>0.172092606845529</v>
      </c>
      <c r="Z184" s="16" t="n">
        <f aca="false">Q184*L184</f>
        <v>0.0298427224691827</v>
      </c>
      <c r="AA184" s="16" t="n">
        <f aca="false">R184*L184</f>
        <v>0.0348973285952943</v>
      </c>
      <c r="AB184" s="16" t="n">
        <f aca="false">S184*L184</f>
        <v>0.0384635424632025</v>
      </c>
      <c r="AC184" s="16" t="n">
        <f aca="false">Z184-W184</f>
        <v>-0.0798210498469514</v>
      </c>
      <c r="AD184" s="16" t="n">
        <f aca="false">AA184-W184</f>
        <v>-0.0747664437208398</v>
      </c>
      <c r="AE184" s="16" t="n">
        <f aca="false">AB184-W184</f>
        <v>-0.0712002298529316</v>
      </c>
      <c r="AF184" s="16" t="n">
        <f aca="false">AE184-X184</f>
        <v>-0.0870573343408411</v>
      </c>
      <c r="AG184" s="16" t="n">
        <f aca="false">AF184-p_spc_lo*Y184/1000</f>
        <v>-0.0956619646831176</v>
      </c>
      <c r="AH184" s="16" t="n">
        <f aca="false">AF184-p_spc_hi*Y184/1000</f>
        <v>-0.104266595025394</v>
      </c>
      <c r="AI184" s="16" t="n">
        <f aca="false">Q184*J184</f>
        <v>0.0785334801820598</v>
      </c>
      <c r="AJ184" s="16" t="n">
        <f aca="false">S184*J184</f>
        <v>0.101219848587375</v>
      </c>
      <c r="AK184" s="16" t="n">
        <f aca="false">T184*J184</f>
        <v>0.288588874516142</v>
      </c>
      <c r="AL184" s="16" t="n">
        <f aca="false">U184*J184</f>
        <v>0.0417292223366039</v>
      </c>
      <c r="AM184" s="16" t="n">
        <f aca="false">AI184-AJ184</f>
        <v>-0.0226863684053152</v>
      </c>
      <c r="AN184" s="16" t="n">
        <f aca="false">J184*Country_Data!$EB$30</f>
        <v>1.35193310537193</v>
      </c>
      <c r="AO184" s="16" t="n">
        <f aca="false">L184*Country_Data!$EB$30</f>
        <v>0.513734580041334</v>
      </c>
    </row>
    <row r="185" customFormat="false" ht="15" hidden="false" customHeight="false" outlineLevel="0" collapsed="false">
      <c r="A185" s="14" t="str">
        <f aca="false">Country_Data!$A$30</f>
        <v>SWE</v>
      </c>
      <c r="B185" s="14" t="str">
        <f aca="false">Country_Data!$E$30</f>
        <v>AE</v>
      </c>
      <c r="C185" s="35" t="s">
        <v>484</v>
      </c>
      <c r="D185" s="37" t="n">
        <f aca="false">IF(Country_Data!$CD$30="","",Country_Data!$CD$30)</f>
        <v>0.454370246824883</v>
      </c>
      <c r="E185" s="40" t="n">
        <f aca="false">Country_Data!$BW$30</f>
        <v>757.406</v>
      </c>
      <c r="F185" s="41" t="n">
        <f aca="false">Country_Data!$BX$30</f>
        <v>0.79855057921379</v>
      </c>
      <c r="G185" s="42" t="n">
        <f aca="false">IF(D185="","",D185/SUMIFS($D$5:$D$1369,$B$5:$B$1369,B185,$C$5:$C$1369,C185))</f>
        <v>0.00307422029607362</v>
      </c>
      <c r="H185" s="42" t="n">
        <f aca="false">E185/SUMIFS($E$5:$E$1369,$B$5:$B$1369,B185,$C$5:$C$1369,C185)</f>
        <v>0.00960141257032988</v>
      </c>
      <c r="I185" s="43" t="n">
        <f aca="false">IF(G185="",H185,p_beta_alloc*G185+(1-p_beta_alloc)*H185)*F185^p_phi</f>
        <v>0.0056635778001831</v>
      </c>
      <c r="J185" s="16" t="n">
        <f aca="false">INDEX(Sector_Params!$C$21:$E$21,MATCH(B185,Sector_Params!$C$15:$E$15,0))*I185/SUMIFS($I$5:$I$1369,$B$5:$B$1369,B185,$C$5:$C$1369,C185)</f>
        <v>1.15395248009978</v>
      </c>
      <c r="K185" s="28" t="n">
        <f aca="false">INDEX(Sector_Params!$F$10:$H$10,MATCH(B185,Sector_Params!$C$15:$E$15,0))</f>
        <v>0.38</v>
      </c>
      <c r="L185" s="16" t="n">
        <f aca="false">J185*K185</f>
        <v>0.438501942437917</v>
      </c>
      <c r="M185" s="44" t="n">
        <f aca="false">Country_Data!$DW$30+Sector_Params!$E$10</f>
        <v>0.03503</v>
      </c>
      <c r="N185" s="44" t="n">
        <f aca="false">Country_Data!$DX$30+Sector_Params!$E$10</f>
        <v>0.05003</v>
      </c>
      <c r="O185" s="11" t="n">
        <f aca="false">IF(p_use_ibrd=1,p_r_ibrd,p_r_wb)</f>
        <v>0.06</v>
      </c>
      <c r="P185" s="45" t="n">
        <f aca="false">Sector_Params!$D$10</f>
        <v>20</v>
      </c>
      <c r="Q185" s="46" t="n">
        <f aca="false">M185/(1-(1+M185)^-P185)</f>
        <v>0.0703801778037701</v>
      </c>
      <c r="R185" s="46" t="n">
        <f aca="false">N185/(1-(1+N185)^-P185)</f>
        <v>0.0802629997977041</v>
      </c>
      <c r="S185" s="46" t="n">
        <f aca="false">O185/(1-(1+O185)^-P185)</f>
        <v>0.0871845569768514</v>
      </c>
      <c r="T185" s="37" t="n">
        <f aca="false">0*Sector_Params!$I$10</f>
        <v>0</v>
      </c>
      <c r="U185" s="37" t="n">
        <f aca="false">0*Sector_Params!$J$10</f>
        <v>0</v>
      </c>
      <c r="V185" s="37" t="n">
        <f aca="false">1000*p_r_wb/(1-(1+p_r_wb)^-Sector_Params!$D$10)/p_cpt_fuel</f>
        <v>0.871845569768514</v>
      </c>
      <c r="W185" s="16" t="n">
        <f aca="false">T185*L185</f>
        <v>0</v>
      </c>
      <c r="X185" s="16" t="n">
        <f aca="false">U185*L185</f>
        <v>0</v>
      </c>
      <c r="Y185" s="16" t="n">
        <f aca="false">V185*L185</f>
        <v>0.382305975849386</v>
      </c>
      <c r="Z185" s="16" t="n">
        <f aca="false">Q185*L185</f>
        <v>0.0308618446760792</v>
      </c>
      <c r="AA185" s="16" t="n">
        <f aca="false">R185*L185</f>
        <v>0.0351954813171874</v>
      </c>
      <c r="AB185" s="16" t="n">
        <f aca="false">S185*L185</f>
        <v>0.0382305975849386</v>
      </c>
      <c r="AC185" s="16" t="n">
        <f aca="false">Z185-W185</f>
        <v>0.0308618446760792</v>
      </c>
      <c r="AD185" s="16" t="n">
        <f aca="false">AA185-W185</f>
        <v>0.0351954813171874</v>
      </c>
      <c r="AE185" s="16" t="n">
        <f aca="false">AB185-W185</f>
        <v>0.0382305975849386</v>
      </c>
      <c r="AF185" s="16" t="n">
        <f aca="false">AE185-X185</f>
        <v>0.0382305975849386</v>
      </c>
      <c r="AG185" s="16" t="n">
        <f aca="false">AF185-p_spc_lo*Y185/1000</f>
        <v>0.0191152987924693</v>
      </c>
      <c r="AH185" s="16" t="n">
        <f aca="false">AF185-p_spc_hi*Y185/1000</f>
        <v>0</v>
      </c>
      <c r="AI185" s="16" t="n">
        <f aca="false">Q185*J185</f>
        <v>0.0812153807265242</v>
      </c>
      <c r="AJ185" s="16" t="n">
        <f aca="false">S185*J185</f>
        <v>0.100606835749838</v>
      </c>
      <c r="AK185" s="16" t="n">
        <f aca="false">T185*J185</f>
        <v>0</v>
      </c>
      <c r="AL185" s="16" t="n">
        <f aca="false">U185*J185</f>
        <v>0</v>
      </c>
      <c r="AM185" s="16" t="n">
        <f aca="false">AI185-AJ185</f>
        <v>-0.0193914550233143</v>
      </c>
      <c r="AN185" s="16" t="n">
        <f aca="false">J185*Country_Data!$EB$30</f>
        <v>1.20568138438012</v>
      </c>
      <c r="AO185" s="16" t="n">
        <f aca="false">L185*Country_Data!$EB$30</f>
        <v>0.458158926064445</v>
      </c>
    </row>
    <row r="186" customFormat="false" ht="15" hidden="false" customHeight="false" outlineLevel="0" collapsed="false">
      <c r="A186" s="14" t="str">
        <f aca="false">Country_Data!$A$30</f>
        <v>SWE</v>
      </c>
      <c r="B186" s="14" t="str">
        <f aca="false">Country_Data!$E$30</f>
        <v>AE</v>
      </c>
      <c r="C186" s="35" t="s">
        <v>488</v>
      </c>
      <c r="D186" s="37" t="n">
        <f aca="false">IF(Country_Data!$CE$30="","",Country_Data!$CE$30)</f>
        <v>9.213</v>
      </c>
      <c r="E186" s="40" t="n">
        <f aca="false">Country_Data!$BW$30</f>
        <v>757.406</v>
      </c>
      <c r="F186" s="41" t="n">
        <f aca="false">Country_Data!$BX$30</f>
        <v>0.79855057921379</v>
      </c>
      <c r="G186" s="42" t="n">
        <f aca="false">IF(D186="","",D186/SUMIFS($D$5:$D$1369,$B$5:$B$1369,B186,$C$5:$C$1369,C186))</f>
        <v>0.0035160445052693</v>
      </c>
      <c r="H186" s="42" t="n">
        <f aca="false">E186/SUMIFS($E$5:$E$1369,$B$5:$B$1369,B186,$C$5:$C$1369,C186)</f>
        <v>0.00960141257032988</v>
      </c>
      <c r="I186" s="43" t="n">
        <f aca="false">IF(G186="",H186,p_beta_alloc*G186+(1-p_beta_alloc)*H186)*F186^p_phi</f>
        <v>0.00586098851798769</v>
      </c>
      <c r="J186" s="16" t="n">
        <f aca="false">INDEX(Sector_Params!$C$22:$E$22,MATCH(B186,Sector_Params!$C$15:$E$15,0))*I186/SUMIFS($I$5:$I$1369,$B$5:$B$1369,B186,$C$5:$C$1369,C186)</f>
        <v>0.227099371605745</v>
      </c>
      <c r="K186" s="28" t="n">
        <f aca="false">INDEX(Sector_Params!$F$11:$H$11,MATCH(B186,Sector_Params!$C$15:$E$15,0))</f>
        <v>0.38</v>
      </c>
      <c r="L186" s="16" t="n">
        <f aca="false">J186*K186</f>
        <v>0.0862977612101832</v>
      </c>
      <c r="M186" s="44" t="n">
        <f aca="false">Country_Data!$DW$30+Sector_Params!$E$11</f>
        <v>0.03503</v>
      </c>
      <c r="N186" s="44" t="n">
        <f aca="false">Country_Data!$DX$30+Sector_Params!$E$11</f>
        <v>0.05003</v>
      </c>
      <c r="O186" s="11" t="n">
        <f aca="false">IF(p_use_ibrd=1,p_r_ibrd,p_r_wb)</f>
        <v>0.06</v>
      </c>
      <c r="P186" s="45" t="n">
        <f aca="false">Sector_Params!$D$11</f>
        <v>30</v>
      </c>
      <c r="Q186" s="46" t="n">
        <f aca="false">M186/(1-(1+M186)^-P186)</f>
        <v>0.0543917699467212</v>
      </c>
      <c r="R186" s="46" t="n">
        <f aca="false">N186/(1-(1+N186)^-P186)</f>
        <v>0.0650736827638459</v>
      </c>
      <c r="S186" s="46" t="n">
        <f aca="false">O186/(1-(1+O186)^-P186)</f>
        <v>0.0726489114900472</v>
      </c>
      <c r="T186" s="37" t="n">
        <f aca="false">0*Sector_Params!$I$11</f>
        <v>0</v>
      </c>
      <c r="U186" s="37" t="n">
        <f aca="false">p_c*Sector_Params!$J$11</f>
        <v>0.129</v>
      </c>
      <c r="V186" s="37" t="n">
        <f aca="false">1000*p_r_wb/(1-(1+p_r_wb)^-Sector_Params!$D$11)/p_cpt_afolu</f>
        <v>1.45297822980094</v>
      </c>
      <c r="W186" s="16" t="n">
        <f aca="false">T186*L186</f>
        <v>0</v>
      </c>
      <c r="X186" s="16" t="n">
        <f aca="false">U186*L186</f>
        <v>0.0111324111961136</v>
      </c>
      <c r="Y186" s="16" t="n">
        <f aca="false">V186*L186</f>
        <v>0.125388768318957</v>
      </c>
      <c r="Z186" s="16" t="n">
        <f aca="false">Q186*L186</f>
        <v>0.00469388797466137</v>
      </c>
      <c r="AA186" s="16" t="n">
        <f aca="false">R186*L186</f>
        <v>0.00561571313622159</v>
      </c>
      <c r="AB186" s="16" t="n">
        <f aca="false">S186*L186</f>
        <v>0.00626943841594783</v>
      </c>
      <c r="AC186" s="16" t="n">
        <f aca="false">Z186-W186</f>
        <v>0.00469388797466137</v>
      </c>
      <c r="AD186" s="16" t="n">
        <f aca="false">AA186-W186</f>
        <v>0.00561571313622159</v>
      </c>
      <c r="AE186" s="16" t="n">
        <f aca="false">AB186-W186</f>
        <v>0.00626943841594783</v>
      </c>
      <c r="AF186" s="16" t="n">
        <f aca="false">AE186-X186</f>
        <v>-0.00486297278016581</v>
      </c>
      <c r="AG186" s="16" t="n">
        <f aca="false">AF186-p_spc_lo*Y186/1000</f>
        <v>-0.0111324111961136</v>
      </c>
      <c r="AH186" s="16" t="n">
        <f aca="false">AF186-p_spc_hi*Y186/1000</f>
        <v>-0.0174018496120615</v>
      </c>
      <c r="AI186" s="16" t="n">
        <f aca="false">Q186*J186</f>
        <v>0.0123523367754247</v>
      </c>
      <c r="AJ186" s="16" t="n">
        <f aca="false">S186*J186</f>
        <v>0.0164985221472311</v>
      </c>
      <c r="AK186" s="16" t="n">
        <f aca="false">T186*J186</f>
        <v>0</v>
      </c>
      <c r="AL186" s="16" t="n">
        <f aca="false">U186*J186</f>
        <v>0.0292958189371411</v>
      </c>
      <c r="AM186" s="16" t="n">
        <f aca="false">AI186-AJ186</f>
        <v>-0.00414618537180647</v>
      </c>
      <c r="AN186" s="16" t="n">
        <f aca="false">J186*Country_Data!$EB$30</f>
        <v>0.237279688263934</v>
      </c>
      <c r="AO186" s="16" t="n">
        <f aca="false">L186*Country_Data!$EB$30</f>
        <v>0.0901662815402949</v>
      </c>
    </row>
    <row r="187" customFormat="false" ht="15" hidden="false" customHeight="false" outlineLevel="0" collapsed="false">
      <c r="A187" s="14" t="str">
        <f aca="false">Country_Data!$A$31</f>
        <v>SGP</v>
      </c>
      <c r="B187" s="14" t="str">
        <f aca="false">Country_Data!$E$31</f>
        <v>AE</v>
      </c>
      <c r="C187" s="35" t="s">
        <v>466</v>
      </c>
      <c r="D187" s="37" t="n">
        <f aca="false">IF(Country_Data!$BZ$31="","",Country_Data!$BZ$31)</f>
        <v>53.4153715329565</v>
      </c>
      <c r="E187" s="40" t="n">
        <f aca="false">Country_Data!$BW$31</f>
        <v>924.612</v>
      </c>
      <c r="F187" s="41" t="n">
        <f aca="false">Country_Data!$BX$31</f>
        <v>0.619586377853629</v>
      </c>
      <c r="G187" s="42" t="n">
        <f aca="false">IF(D187="","",D187/SUMIFS($D$5:$D$1369,$B$5:$B$1369,B187,$C$5:$C$1369,C187))</f>
        <v>0.00545867960024932</v>
      </c>
      <c r="H187" s="42" t="n">
        <f aca="false">E187/SUMIFS($E$5:$E$1369,$B$5:$B$1369,B187,$C$5:$C$1369,C187)</f>
        <v>0.0117210337381508</v>
      </c>
      <c r="I187" s="43" t="n">
        <f aca="false">IF(G187="",H187,p_beta_alloc*G187+(1-p_beta_alloc)*H187)*F187^p_phi</f>
        <v>0.00676140339993068</v>
      </c>
      <c r="J187" s="16" t="n">
        <f aca="false">INDEX(Sector_Params!$C$16:$E$16,MATCH(B187,Sector_Params!$C$15:$E$15,0))*I187/SUMIFS($I$5:$I$1369,$B$5:$B$1369,B187,$C$5:$C$1369,C187)</f>
        <v>6.06467675457635</v>
      </c>
      <c r="K187" s="28" t="n">
        <f aca="false">INDEX(Sector_Params!$F$5:$H$5,MATCH(B187,Sector_Params!$C$15:$E$15,0))</f>
        <v>0.38</v>
      </c>
      <c r="L187" s="16" t="n">
        <f aca="false">J187*K187</f>
        <v>2.30457716673901</v>
      </c>
      <c r="M187" s="44" t="n">
        <f aca="false">Country_Data!$DW$31+Sector_Params!$E$5</f>
        <v>0.0546</v>
      </c>
      <c r="N187" s="44" t="n">
        <f aca="false">Country_Data!$DX$31+Sector_Params!$E$5</f>
        <v>0.0696</v>
      </c>
      <c r="O187" s="11" t="n">
        <f aca="false">IF(p_use_ibrd=1,p_r_ibrd,p_r_wb)</f>
        <v>0.06</v>
      </c>
      <c r="P187" s="45" t="n">
        <f aca="false">Sector_Params!$D$5</f>
        <v>25</v>
      </c>
      <c r="Q187" s="46" t="n">
        <f aca="false">M187/(1-(1+M187)^-P187)</f>
        <v>0.0742585997709224</v>
      </c>
      <c r="R187" s="46" t="n">
        <f aca="false">N187/(1-(1+N187)^-P187)</f>
        <v>0.08550153526198</v>
      </c>
      <c r="S187" s="46" t="n">
        <f aca="false">O187/(1-(1+O187)^-P187)</f>
        <v>0.078226718212274</v>
      </c>
      <c r="T187" s="37" t="n">
        <f aca="false">IF(AND(p_eng=1,ISNUMBER(Country_Data!$CZ$31)),Country_Data!$CZ$31,Country_Data!$CM$31)*Sector_Params!$I$5</f>
        <v>0.755480258822174</v>
      </c>
      <c r="U187" s="37" t="n">
        <f aca="false">IF(AND(p_eng=1,ISNUMBER(Country_Data!$DA$31)),Country_Data!$DA$31,Country_Data!$CN$31)*Sector_Params!$J$5</f>
        <v>0.0104351682305377</v>
      </c>
      <c r="V187" s="37" t="n">
        <f aca="false">IF(AND(p_eng=1,ISNUMBER(Country_Data!$DB$31)),Country_Data!$DB$31,p_a)</f>
        <v>0.94864342814968</v>
      </c>
      <c r="W187" s="16" t="n">
        <f aca="false">T187*L187</f>
        <v>1.74106255440366</v>
      </c>
      <c r="X187" s="16" t="n">
        <f aca="false">U187*L187</f>
        <v>0.0240486504351776</v>
      </c>
      <c r="Y187" s="16" t="n">
        <f aca="false">V187*L187</f>
        <v>2.18622198389078</v>
      </c>
      <c r="Z187" s="16" t="n">
        <f aca="false">Q187*L187</f>
        <v>0.171134673466079</v>
      </c>
      <c r="AA187" s="16" t="n">
        <f aca="false">R187*L187</f>
        <v>0.19704488588589</v>
      </c>
      <c r="AB187" s="16" t="n">
        <f aca="false">S187*L187</f>
        <v>0.180279508620934</v>
      </c>
      <c r="AC187" s="16" t="n">
        <f aca="false">Z187-W187</f>
        <v>-1.56992788093758</v>
      </c>
      <c r="AD187" s="16" t="n">
        <f aca="false">AA187-W187</f>
        <v>-1.54401766851777</v>
      </c>
      <c r="AE187" s="16" t="n">
        <f aca="false">AB187-W187</f>
        <v>-1.56078304578273</v>
      </c>
      <c r="AF187" s="16" t="n">
        <f aca="false">AE187-X187</f>
        <v>-1.58483169621791</v>
      </c>
      <c r="AG187" s="16" t="n">
        <f aca="false">AF187-p_spc_lo*Y187/1000</f>
        <v>-1.69414279541245</v>
      </c>
      <c r="AH187" s="16" t="n">
        <f aca="false">AF187-p_spc_hi*Y187/1000</f>
        <v>-1.80345389460698</v>
      </c>
      <c r="AI187" s="16" t="n">
        <f aca="false">Q187*J187</f>
        <v>0.450354403858102</v>
      </c>
      <c r="AJ187" s="16" t="n">
        <f aca="false">S187*J187</f>
        <v>0.474419759528772</v>
      </c>
      <c r="AK187" s="16" t="n">
        <f aca="false">T187*J187</f>
        <v>4.58174356422016</v>
      </c>
      <c r="AL187" s="16" t="n">
        <f aca="false">U187*J187</f>
        <v>0.0632859221978357</v>
      </c>
      <c r="AM187" s="16" t="n">
        <f aca="false">AI187-AJ187</f>
        <v>-0.0240653556706706</v>
      </c>
      <c r="AN187" s="16" t="n">
        <f aca="false">J187*Country_Data!$EB$31</f>
        <v>6.33654157460909</v>
      </c>
      <c r="AO187" s="16" t="n">
        <f aca="false">L187*Country_Data!$EB$31</f>
        <v>2.40788579835145</v>
      </c>
    </row>
    <row r="188" customFormat="false" ht="15" hidden="false" customHeight="false" outlineLevel="0" collapsed="false">
      <c r="A188" s="14" t="str">
        <f aca="false">Country_Data!$A$31</f>
        <v>SGP</v>
      </c>
      <c r="B188" s="14" t="str">
        <f aca="false">Country_Data!$E$31</f>
        <v>AE</v>
      </c>
      <c r="C188" s="35" t="s">
        <v>470</v>
      </c>
      <c r="D188" s="37" t="n">
        <f aca="false">IF(Country_Data!$BZ$31="","",Country_Data!$BZ$31)</f>
        <v>53.4153715329565</v>
      </c>
      <c r="E188" s="40" t="n">
        <f aca="false">Country_Data!$BW$31</f>
        <v>924.612</v>
      </c>
      <c r="F188" s="41" t="n">
        <f aca="false">Country_Data!$BX$31</f>
        <v>0.619586377853629</v>
      </c>
      <c r="G188" s="42" t="n">
        <f aca="false">IF(D188="","",D188/SUMIFS($D$5:$D$1369,$B$5:$B$1369,B188,$C$5:$C$1369,C188))</f>
        <v>0.00545867960024932</v>
      </c>
      <c r="H188" s="42" t="n">
        <f aca="false">E188/SUMIFS($E$5:$E$1369,$B$5:$B$1369,B188,$C$5:$C$1369,C188)</f>
        <v>0.0117210337381508</v>
      </c>
      <c r="I188" s="43" t="n">
        <f aca="false">IF(G188="",H188,p_beta_alloc*G188+(1-p_beta_alloc)*H188)*F188^p_phi</f>
        <v>0.00676140339993068</v>
      </c>
      <c r="J188" s="16" t="n">
        <f aca="false">INDEX(Sector_Params!$C$17:$E$17,MATCH(B188,Sector_Params!$C$15:$E$15,0))*I188/SUMIFS($I$5:$I$1369,$B$5:$B$1369,B188,$C$5:$C$1369,C188)</f>
        <v>4.15863548885236</v>
      </c>
      <c r="K188" s="28" t="n">
        <f aca="false">INDEX(Sector_Params!$F$6:$H$6,MATCH(B188,Sector_Params!$C$15:$E$15,0))</f>
        <v>0.38</v>
      </c>
      <c r="L188" s="16" t="n">
        <f aca="false">J188*K188</f>
        <v>1.5802814857639</v>
      </c>
      <c r="M188" s="44" t="n">
        <f aca="false">Country_Data!$DW$31+Sector_Params!$E$6</f>
        <v>0.0546</v>
      </c>
      <c r="N188" s="44" t="n">
        <f aca="false">Country_Data!$DX$31+Sector_Params!$E$6</f>
        <v>0.0696</v>
      </c>
      <c r="O188" s="11" t="n">
        <f aca="false">IF(p_use_ibrd=1,p_r_ibrd,p_r_wb)</f>
        <v>0.06</v>
      </c>
      <c r="P188" s="45" t="n">
        <f aca="false">Sector_Params!$D$6</f>
        <v>40</v>
      </c>
      <c r="Q188" s="46" t="n">
        <f aca="false">M188/(1-(1+M188)^-P188)</f>
        <v>0.0619932177809311</v>
      </c>
      <c r="R188" s="46" t="n">
        <f aca="false">N188/(1-(1+N188)^-P188)</f>
        <v>0.0746610211894533</v>
      </c>
      <c r="S188" s="46" t="n">
        <f aca="false">O188/(1-(1+O188)^-P188)</f>
        <v>0.0664615359206755</v>
      </c>
      <c r="T188" s="37" t="n">
        <f aca="false">p_grid_credit*IF(AND(p_eng=1,ISNUMBER(Country_Data!$CZ$31)),Country_Data!$CZ$31,Country_Data!$CM$31)*Sector_Params!$I$6</f>
        <v>0</v>
      </c>
      <c r="U188" s="37" t="n">
        <f aca="false">p_grid_credit*IF(AND(p_eng=1,ISNUMBER(Country_Data!$DA$31)),Country_Data!$DA$31,Country_Data!$CN$31)*Sector_Params!$J$6</f>
        <v>0</v>
      </c>
      <c r="V188" s="37" t="n">
        <f aca="false">p_grid_credit*IF(AND(p_eng=1,ISNUMBER(Country_Data!$DB$31)),Country_Data!$DB$31,p_a)</f>
        <v>0</v>
      </c>
      <c r="W188" s="16" t="n">
        <f aca="false">T188*L188</f>
        <v>0</v>
      </c>
      <c r="X188" s="16" t="n">
        <f aca="false">U188*L188</f>
        <v>0</v>
      </c>
      <c r="Y188" s="16" t="n">
        <f aca="false">V188*L188</f>
        <v>0</v>
      </c>
      <c r="Z188" s="16" t="n">
        <f aca="false">Q188*L188</f>
        <v>0.0979667343021346</v>
      </c>
      <c r="AA188" s="16" t="n">
        <f aca="false">R188*L188</f>
        <v>0.117985429493919</v>
      </c>
      <c r="AB188" s="16" t="n">
        <f aca="false">S188*L188</f>
        <v>0.105027934730876</v>
      </c>
      <c r="AC188" s="16" t="n">
        <f aca="false">Z188-W188</f>
        <v>0.0979667343021346</v>
      </c>
      <c r="AD188" s="16" t="n">
        <f aca="false">AA188-W188</f>
        <v>0.117985429493919</v>
      </c>
      <c r="AE188" s="16" t="n">
        <f aca="false">AB188-W188</f>
        <v>0.105027934730876</v>
      </c>
      <c r="AF188" s="16" t="n">
        <f aca="false">AE188-X188</f>
        <v>0.105027934730876</v>
      </c>
      <c r="AG188" s="16" t="n">
        <f aca="false">AF188-p_spc_lo*Y188/1000</f>
        <v>0.105027934730876</v>
      </c>
      <c r="AH188" s="16" t="n">
        <f aca="false">AF188-p_spc_hi*Y188/1000</f>
        <v>0.105027934730876</v>
      </c>
      <c r="AI188" s="16" t="n">
        <f aca="false">Q188*J188</f>
        <v>0.257807195531933</v>
      </c>
      <c r="AJ188" s="16" t="n">
        <f aca="false">S188*J188</f>
        <v>0.276389301923357</v>
      </c>
      <c r="AK188" s="16" t="n">
        <f aca="false">T188*J188</f>
        <v>0</v>
      </c>
      <c r="AL188" s="16" t="n">
        <f aca="false">U188*J188</f>
        <v>0</v>
      </c>
      <c r="AM188" s="16" t="n">
        <f aca="false">AI188-AJ188</f>
        <v>-0.0185821063914236</v>
      </c>
      <c r="AN188" s="16" t="n">
        <f aca="false">J188*Country_Data!$EB$31</f>
        <v>4.34505707973194</v>
      </c>
      <c r="AO188" s="16" t="n">
        <f aca="false">L188*Country_Data!$EB$31</f>
        <v>1.65112169029814</v>
      </c>
    </row>
    <row r="189" customFormat="false" ht="15" hidden="false" customHeight="false" outlineLevel="0" collapsed="false">
      <c r="A189" s="14" t="str">
        <f aca="false">Country_Data!$A$31</f>
        <v>SGP</v>
      </c>
      <c r="B189" s="14" t="str">
        <f aca="false">Country_Data!$E$31</f>
        <v>AE</v>
      </c>
      <c r="C189" s="35" t="s">
        <v>473</v>
      </c>
      <c r="D189" s="37" t="n">
        <f aca="false">IF(Country_Data!$CA$31="","",Country_Data!$CA$31)</f>
        <v>0.0970482678578732</v>
      </c>
      <c r="E189" s="40" t="n">
        <f aca="false">Country_Data!$BW$31</f>
        <v>924.612</v>
      </c>
      <c r="F189" s="41" t="n">
        <f aca="false">Country_Data!$BX$31</f>
        <v>0.619586377853629</v>
      </c>
      <c r="G189" s="42" t="n">
        <f aca="false">IF(D189="","",D189/SUMIFS($D$5:$D$1369,$B$5:$B$1369,B189,$C$5:$C$1369,C189))</f>
        <v>0.00189981397507705</v>
      </c>
      <c r="H189" s="42" t="n">
        <f aca="false">E189/SUMIFS($E$5:$E$1369,$B$5:$B$1369,B189,$C$5:$C$1369,C189)</f>
        <v>0.0117210337381508</v>
      </c>
      <c r="I189" s="43" t="n">
        <f aca="false">IF(G189="",H189,p_beta_alloc*G189+(1-p_beta_alloc)*H189)*F189^p_phi</f>
        <v>0.00536074404875567</v>
      </c>
      <c r="J189" s="16" t="n">
        <f aca="false">INDEX(Sector_Params!$C$18:$E$18,MATCH(B189,Sector_Params!$C$15:$E$15,0))*I189/SUMIFS($I$5:$I$1369,$B$5:$B$1369,B189,$C$5:$C$1369,C189)</f>
        <v>2.02021333895826</v>
      </c>
      <c r="K189" s="28" t="n">
        <f aca="false">INDEX(Sector_Params!$F$7:$H$7,MATCH(B189,Sector_Params!$C$15:$E$15,0))</f>
        <v>0.38</v>
      </c>
      <c r="L189" s="16" t="n">
        <f aca="false">J189*K189</f>
        <v>0.767681068804137</v>
      </c>
      <c r="M189" s="44" t="n">
        <f aca="false">Country_Data!$DW$31+Sector_Params!$E$7</f>
        <v>0.0546</v>
      </c>
      <c r="N189" s="44" t="n">
        <f aca="false">Country_Data!$DX$31+Sector_Params!$E$7</f>
        <v>0.0696</v>
      </c>
      <c r="O189" s="11" t="n">
        <f aca="false">IF(p_use_ibrd=1,p_r_ibrd,p_r_wb)</f>
        <v>0.06</v>
      </c>
      <c r="P189" s="45" t="n">
        <f aca="false">Sector_Params!$D$7</f>
        <v>12</v>
      </c>
      <c r="Q189" s="46" t="n">
        <f aca="false">M189/(1-(1+M189)^-P189)</f>
        <v>0.115771298789671</v>
      </c>
      <c r="R189" s="46" t="n">
        <f aca="false">N189/(1-(1+N189)^-P189)</f>
        <v>0.125633727615801</v>
      </c>
      <c r="S189" s="46" t="n">
        <f aca="false">O189/(1-(1+O189)^-P189)</f>
        <v>0.119277029380664</v>
      </c>
      <c r="T189" s="37" t="n">
        <f aca="false">IF(AND(p_eng=1,ISNUMBER(Country_Data!$DE$31)),Country_Data!$DE$31,Country_Data!$CM$31)*Sector_Params!$I$7</f>
        <v>0.08593353</v>
      </c>
      <c r="U189" s="37" t="n">
        <f aca="false">IF(AND(p_eng=1,ISNUMBER(Country_Data!$DF$31)),Country_Data!$DF$31,Country_Data!$CN$31)*Sector_Params!$J$7</f>
        <v>0.048035475</v>
      </c>
      <c r="V189" s="37" t="n">
        <f aca="false">IF(AND(p_eng=1,ISNUMBER(Country_Data!$DG$31)),Country_Data!$DG$31,p_a)</f>
        <v>0.310663232169576</v>
      </c>
      <c r="W189" s="16" t="n">
        <f aca="false">T189*L189</f>
        <v>0.0659695441565124</v>
      </c>
      <c r="X189" s="16" t="n">
        <f aca="false">U189*L189</f>
        <v>0.0368759247885144</v>
      </c>
      <c r="Y189" s="16" t="n">
        <f aca="false">V189*L189</f>
        <v>0.238490282110088</v>
      </c>
      <c r="Z189" s="16" t="n">
        <f aca="false">Q189*L189</f>
        <v>0.088875434391698</v>
      </c>
      <c r="AA189" s="16" t="n">
        <f aca="false">R189*L189</f>
        <v>0.096446634293946</v>
      </c>
      <c r="AB189" s="16" t="n">
        <f aca="false">S189*L189</f>
        <v>0.0915667173987303</v>
      </c>
      <c r="AC189" s="16" t="n">
        <f aca="false">Z189-W189</f>
        <v>0.0229058902351857</v>
      </c>
      <c r="AD189" s="16" t="n">
        <f aca="false">AA189-W189</f>
        <v>0.0304770901374337</v>
      </c>
      <c r="AE189" s="16" t="n">
        <f aca="false">AB189-W189</f>
        <v>0.0255971732422179</v>
      </c>
      <c r="AF189" s="16" t="n">
        <f aca="false">AE189-X189</f>
        <v>-0.0112787515462965</v>
      </c>
      <c r="AG189" s="16" t="n">
        <f aca="false">AF189-p_spc_lo*Y189/1000</f>
        <v>-0.0232032656518009</v>
      </c>
      <c r="AH189" s="16" t="n">
        <f aca="false">AF189-p_spc_hi*Y189/1000</f>
        <v>-0.0351277797573053</v>
      </c>
      <c r="AI189" s="16" t="n">
        <f aca="false">Q189*J189</f>
        <v>0.233882722083416</v>
      </c>
      <c r="AJ189" s="16" t="n">
        <f aca="false">S189*J189</f>
        <v>0.240965045786132</v>
      </c>
      <c r="AK189" s="16" t="n">
        <f aca="false">T189*J189</f>
        <v>0.173604063569769</v>
      </c>
      <c r="AL189" s="16" t="n">
        <f aca="false">U189*J189</f>
        <v>0.0970419073381958</v>
      </c>
      <c r="AM189" s="16" t="n">
        <f aca="false">AI189-AJ189</f>
        <v>-0.00708232370271633</v>
      </c>
      <c r="AN189" s="16" t="n">
        <f aca="false">J189*Country_Data!$EB$31</f>
        <v>2.11077462656673</v>
      </c>
      <c r="AO189" s="16" t="n">
        <f aca="false">L189*Country_Data!$EB$31</f>
        <v>0.802094358095357</v>
      </c>
    </row>
    <row r="190" customFormat="false" ht="15" hidden="false" customHeight="false" outlineLevel="0" collapsed="false">
      <c r="A190" s="14" t="str">
        <f aca="false">Country_Data!$A$31</f>
        <v>SGP</v>
      </c>
      <c r="B190" s="14" t="str">
        <f aca="false">Country_Data!$E$31</f>
        <v>AE</v>
      </c>
      <c r="C190" s="35" t="s">
        <v>477</v>
      </c>
      <c r="D190" s="37" t="n">
        <f aca="false">IF(Country_Data!$CB$31="","",Country_Data!$CB$31)</f>
        <v>0.043100615538437</v>
      </c>
      <c r="E190" s="40" t="n">
        <f aca="false">Country_Data!$BW$31</f>
        <v>924.612</v>
      </c>
      <c r="F190" s="41" t="n">
        <f aca="false">Country_Data!$BX$31</f>
        <v>0.619586377853629</v>
      </c>
      <c r="G190" s="42" t="n">
        <f aca="false">IF(D190="","",D190/SUMIFS($D$5:$D$1369,$B$5:$B$1369,B190,$C$5:$C$1369,C190))</f>
        <v>0.00110833694481693</v>
      </c>
      <c r="H190" s="42" t="n">
        <f aca="false">E190/SUMIFS($E$5:$E$1369,$B$5:$B$1369,B190,$C$5:$C$1369,C190)</f>
        <v>0.0117210337381508</v>
      </c>
      <c r="I190" s="43" t="n">
        <f aca="false">IF(G190="",H190,p_beta_alloc*G190+(1-p_beta_alloc)*H190)*F190^p_phi</f>
        <v>0.0050492431885285</v>
      </c>
      <c r="J190" s="16" t="n">
        <f aca="false">INDEX(Sector_Params!$C$19:$E$19,MATCH(B190,Sector_Params!$C$15:$E$15,0))*I190/SUMIFS($I$5:$I$1369,$B$5:$B$1369,B190,$C$5:$C$1369,C190)</f>
        <v>1.48425996340077</v>
      </c>
      <c r="K190" s="28" t="n">
        <f aca="false">INDEX(Sector_Params!$F$8:$H$8,MATCH(B190,Sector_Params!$C$15:$E$15,0))</f>
        <v>0.38</v>
      </c>
      <c r="L190" s="16" t="n">
        <f aca="false">J190*K190</f>
        <v>0.564018786092294</v>
      </c>
      <c r="M190" s="44" t="n">
        <f aca="false">Country_Data!$DW$31+Sector_Params!$E$8</f>
        <v>0.0546</v>
      </c>
      <c r="N190" s="44" t="n">
        <f aca="false">Country_Data!$DX$31+Sector_Params!$E$8</f>
        <v>0.0696</v>
      </c>
      <c r="O190" s="11" t="n">
        <f aca="false">IF(p_use_ibrd=1,p_r_ibrd,p_r_wb)</f>
        <v>0.06</v>
      </c>
      <c r="P190" s="45" t="n">
        <f aca="false">Sector_Params!$D$8</f>
        <v>25</v>
      </c>
      <c r="Q190" s="46" t="n">
        <f aca="false">M190/(1-(1+M190)^-P190)</f>
        <v>0.0742585997709224</v>
      </c>
      <c r="R190" s="46" t="n">
        <f aca="false">N190/(1-(1+N190)^-P190)</f>
        <v>0.08550153526198</v>
      </c>
      <c r="S190" s="46" t="n">
        <f aca="false">O190/(1-(1+O190)^-P190)</f>
        <v>0.078226718212274</v>
      </c>
      <c r="T190" s="37" t="n">
        <f aca="false">Country_Data!$CM$31*Sector_Params!$I$8</f>
        <v>0.323326662778398</v>
      </c>
      <c r="U190" s="37" t="n">
        <f aca="false">Country_Data!$CN$31*Sector_Params!$J$8</f>
        <v>0.0943064751210732</v>
      </c>
      <c r="V190" s="37" t="n">
        <f aca="false">p_a</f>
        <v>0.35</v>
      </c>
      <c r="W190" s="16" t="n">
        <f aca="false">T190*L190</f>
        <v>0.182362311851545</v>
      </c>
      <c r="X190" s="16" t="n">
        <f aca="false">U190*L190</f>
        <v>0.0531906236184308</v>
      </c>
      <c r="Y190" s="16" t="n">
        <f aca="false">V190*L190</f>
        <v>0.197406575132303</v>
      </c>
      <c r="Z190" s="16" t="n">
        <f aca="false">Q190*L190</f>
        <v>0.0418832452997091</v>
      </c>
      <c r="AA190" s="16" t="n">
        <f aca="false">R190*L190</f>
        <v>0.0482244721274895</v>
      </c>
      <c r="AB190" s="16" t="n">
        <f aca="false">S190*L190</f>
        <v>0.0441213386460707</v>
      </c>
      <c r="AC190" s="16" t="n">
        <f aca="false">Z190-W190</f>
        <v>-0.140479066551836</v>
      </c>
      <c r="AD190" s="16" t="n">
        <f aca="false">AA190-W190</f>
        <v>-0.134137839724055</v>
      </c>
      <c r="AE190" s="16" t="n">
        <f aca="false">AB190-W190</f>
        <v>-0.138240973205474</v>
      </c>
      <c r="AF190" s="16" t="n">
        <f aca="false">AE190-X190</f>
        <v>-0.191431596823905</v>
      </c>
      <c r="AG190" s="16" t="n">
        <f aca="false">AF190-p_spc_lo*Y190/1000</f>
        <v>-0.20130192558052</v>
      </c>
      <c r="AH190" s="16" t="n">
        <f aca="false">AF190-p_spc_hi*Y190/1000</f>
        <v>-0.211172254337135</v>
      </c>
      <c r="AI190" s="16" t="n">
        <f aca="false">Q190*J190</f>
        <v>0.110219066578182</v>
      </c>
      <c r="AJ190" s="16" t="n">
        <f aca="false">S190*J190</f>
        <v>0.116108785910712</v>
      </c>
      <c r="AK190" s="16" t="n">
        <f aca="false">T190*J190</f>
        <v>0.47990082066196</v>
      </c>
      <c r="AL190" s="16" t="n">
        <f aca="false">U190*J190</f>
        <v>0.13997532531166</v>
      </c>
      <c r="AM190" s="16" t="n">
        <f aca="false">AI190-AJ190</f>
        <v>-0.00588971933253042</v>
      </c>
      <c r="AN190" s="16" t="n">
        <f aca="false">J190*Country_Data!$EB$31</f>
        <v>1.55079575486357</v>
      </c>
      <c r="AO190" s="16" t="n">
        <f aca="false">L190*Country_Data!$EB$31</f>
        <v>0.589302386848155</v>
      </c>
    </row>
    <row r="191" customFormat="false" ht="15" hidden="false" customHeight="false" outlineLevel="0" collapsed="false">
      <c r="A191" s="14" t="str">
        <f aca="false">Country_Data!$A$31</f>
        <v>SGP</v>
      </c>
      <c r="B191" s="14" t="str">
        <f aca="false">Country_Data!$E$31</f>
        <v>AE</v>
      </c>
      <c r="C191" s="35" t="s">
        <v>481</v>
      </c>
      <c r="D191" s="37" t="n">
        <f aca="false">IF(Country_Data!$CC$31="","",Country_Data!$CC$31)</f>
        <v>0.422745331244663</v>
      </c>
      <c r="E191" s="40" t="n">
        <f aca="false">Country_Data!$BW$31</f>
        <v>924.612</v>
      </c>
      <c r="F191" s="41" t="n">
        <f aca="false">Country_Data!$BX$31</f>
        <v>0.619586377853629</v>
      </c>
      <c r="G191" s="42" t="n">
        <f aca="false">IF(D191="","",D191/SUMIFS($D$5:$D$1369,$B$5:$B$1369,B191,$C$5:$C$1369,C191))</f>
        <v>0.00769728908103367</v>
      </c>
      <c r="H191" s="42" t="n">
        <f aca="false">E191/SUMIFS($E$5:$E$1369,$B$5:$B$1369,B191,$C$5:$C$1369,C191)</f>
        <v>0.0117210337381508</v>
      </c>
      <c r="I191" s="43" t="n">
        <f aca="false">IF(G191="",H191,p_beta_alloc*G191+(1-p_beta_alloc)*H191)*F191^p_phi</f>
        <v>0.00764245079905462</v>
      </c>
      <c r="J191" s="16" t="n">
        <f aca="false">INDEX(Sector_Params!$C$20:$E$20,MATCH(B191,Sector_Params!$C$15:$E$15,0))*I191/SUMIFS($I$5:$I$1369,$B$5:$B$1369,B191,$C$5:$C$1369,C191)</f>
        <v>1.29782075563023</v>
      </c>
      <c r="K191" s="28" t="n">
        <f aca="false">INDEX(Sector_Params!$F$9:$H$9,MATCH(B191,Sector_Params!$C$15:$E$15,0))</f>
        <v>0.38</v>
      </c>
      <c r="L191" s="16" t="n">
        <f aca="false">J191*K191</f>
        <v>0.493171887139486</v>
      </c>
      <c r="M191" s="44" t="n">
        <f aca="false">Country_Data!$DW$31+Sector_Params!$E$9</f>
        <v>0.0546</v>
      </c>
      <c r="N191" s="44" t="n">
        <f aca="false">Country_Data!$DX$31+Sector_Params!$E$9</f>
        <v>0.0696</v>
      </c>
      <c r="O191" s="11" t="n">
        <f aca="false">IF(p_use_ibrd=1,p_r_ibrd,p_r_wb)</f>
        <v>0.06</v>
      </c>
      <c r="P191" s="45" t="n">
        <f aca="false">Sector_Params!$D$9</f>
        <v>25</v>
      </c>
      <c r="Q191" s="46" t="n">
        <f aca="false">M191/(1-(1+M191)^-P191)</f>
        <v>0.0742585997709224</v>
      </c>
      <c r="R191" s="46" t="n">
        <f aca="false">N191/(1-(1+N191)^-P191)</f>
        <v>0.08550153526198</v>
      </c>
      <c r="S191" s="46" t="n">
        <f aca="false">O191/(1-(1+O191)^-P191)</f>
        <v>0.078226718212274</v>
      </c>
      <c r="T191" s="37" t="n">
        <f aca="false">Country_Data!$CM$31*Sector_Params!$I$9</f>
        <v>0.323326662778398</v>
      </c>
      <c r="U191" s="37" t="n">
        <f aca="false">Country_Data!$CN$31*Sector_Params!$J$9</f>
        <v>0.0943064751210732</v>
      </c>
      <c r="V191" s="37" t="n">
        <f aca="false">p_a</f>
        <v>0.35</v>
      </c>
      <c r="W191" s="16" t="n">
        <f aca="false">T191*L191</f>
        <v>0.159455620444935</v>
      </c>
      <c r="X191" s="16" t="n">
        <f aca="false">U191*L191</f>
        <v>0.0465093023049326</v>
      </c>
      <c r="Y191" s="16" t="n">
        <f aca="false">V191*L191</f>
        <v>0.17261016049882</v>
      </c>
      <c r="Z191" s="16" t="n">
        <f aca="false">Q191*L191</f>
        <v>0.0366222537853616</v>
      </c>
      <c r="AA191" s="16" t="n">
        <f aca="false">R191*L191</f>
        <v>0.042166953498474</v>
      </c>
      <c r="AB191" s="16" t="n">
        <f aca="false">S191*L191</f>
        <v>0.0385792182454759</v>
      </c>
      <c r="AC191" s="16" t="n">
        <f aca="false">Z191-W191</f>
        <v>-0.122833366659573</v>
      </c>
      <c r="AD191" s="16" t="n">
        <f aca="false">AA191-W191</f>
        <v>-0.117288666946461</v>
      </c>
      <c r="AE191" s="16" t="n">
        <f aca="false">AB191-W191</f>
        <v>-0.120876402199459</v>
      </c>
      <c r="AF191" s="16" t="n">
        <f aca="false">AE191-X191</f>
        <v>-0.167385704504392</v>
      </c>
      <c r="AG191" s="16" t="n">
        <f aca="false">AF191-p_spc_lo*Y191/1000</f>
        <v>-0.176016212529333</v>
      </c>
      <c r="AH191" s="16" t="n">
        <f aca="false">AF191-p_spc_hi*Y191/1000</f>
        <v>-0.184646720554274</v>
      </c>
      <c r="AI191" s="16" t="n">
        <f aca="false">Q191*J191</f>
        <v>0.096374352066741</v>
      </c>
      <c r="AJ191" s="16" t="n">
        <f aca="false">S191*J191</f>
        <v>0.101524258540726</v>
      </c>
      <c r="AK191" s="16" t="n">
        <f aca="false">T191*J191</f>
        <v>0.41962005380246</v>
      </c>
      <c r="AL191" s="16" t="n">
        <f aca="false">U191*J191</f>
        <v>0.122392900802454</v>
      </c>
      <c r="AM191" s="16" t="n">
        <f aca="false">AI191-AJ191</f>
        <v>-0.00514990647398513</v>
      </c>
      <c r="AN191" s="16" t="n">
        <f aca="false">J191*Country_Data!$EB$31</f>
        <v>1.35599892743434</v>
      </c>
      <c r="AO191" s="16" t="n">
        <f aca="false">L191*Country_Data!$EB$31</f>
        <v>0.515279592425049</v>
      </c>
    </row>
    <row r="192" customFormat="false" ht="15" hidden="false" customHeight="false" outlineLevel="0" collapsed="false">
      <c r="A192" s="14" t="str">
        <f aca="false">Country_Data!$A$31</f>
        <v>SGP</v>
      </c>
      <c r="B192" s="14" t="str">
        <f aca="false">Country_Data!$E$31</f>
        <v>AE</v>
      </c>
      <c r="C192" s="35" t="s">
        <v>484</v>
      </c>
      <c r="D192" s="37" t="n">
        <f aca="false">IF(Country_Data!$CD$31="","",Country_Data!$CD$31)</f>
        <v>0.716475558883411</v>
      </c>
      <c r="E192" s="40" t="n">
        <f aca="false">Country_Data!$BW$31</f>
        <v>924.612</v>
      </c>
      <c r="F192" s="41" t="n">
        <f aca="false">Country_Data!$BX$31</f>
        <v>0.619586377853629</v>
      </c>
      <c r="G192" s="42" t="n">
        <f aca="false">IF(D192="","",D192/SUMIFS($D$5:$D$1369,$B$5:$B$1369,B192,$C$5:$C$1369,C192))</f>
        <v>0.00484759669047821</v>
      </c>
      <c r="H192" s="42" t="n">
        <f aca="false">E192/SUMIFS($E$5:$E$1369,$B$5:$B$1369,B192,$C$5:$C$1369,C192)</f>
        <v>0.0117210337381508</v>
      </c>
      <c r="I192" s="43" t="n">
        <f aca="false">IF(G192="",H192,p_beta_alloc*G192+(1-p_beta_alloc)*H192)*F192^p_phi</f>
        <v>0.00652090008172161</v>
      </c>
      <c r="J192" s="16" t="n">
        <f aca="false">INDEX(Sector_Params!$C$21:$E$21,MATCH(B192,Sector_Params!$C$15:$E$15,0))*I192/SUMIFS($I$5:$I$1369,$B$5:$B$1369,B192,$C$5:$C$1369,C192)</f>
        <v>1.32863166840266</v>
      </c>
      <c r="K192" s="28" t="n">
        <f aca="false">INDEX(Sector_Params!$F$10:$H$10,MATCH(B192,Sector_Params!$C$15:$E$15,0))</f>
        <v>0.38</v>
      </c>
      <c r="L192" s="16" t="n">
        <f aca="false">J192*K192</f>
        <v>0.50488003399301</v>
      </c>
      <c r="M192" s="44" t="n">
        <f aca="false">Country_Data!$DW$31+Sector_Params!$E$10</f>
        <v>0.0546</v>
      </c>
      <c r="N192" s="44" t="n">
        <f aca="false">Country_Data!$DX$31+Sector_Params!$E$10</f>
        <v>0.0696</v>
      </c>
      <c r="O192" s="11" t="n">
        <f aca="false">IF(p_use_ibrd=1,p_r_ibrd,p_r_wb)</f>
        <v>0.06</v>
      </c>
      <c r="P192" s="45" t="n">
        <f aca="false">Sector_Params!$D$10</f>
        <v>20</v>
      </c>
      <c r="Q192" s="46" t="n">
        <f aca="false">M192/(1-(1+M192)^-P192)</f>
        <v>0.0834018459479837</v>
      </c>
      <c r="R192" s="46" t="n">
        <f aca="false">N192/(1-(1+N192)^-P192)</f>
        <v>0.0940996685257792</v>
      </c>
      <c r="S192" s="46" t="n">
        <f aca="false">O192/(1-(1+O192)^-P192)</f>
        <v>0.0871845569768514</v>
      </c>
      <c r="T192" s="37" t="n">
        <f aca="false">0*Sector_Params!$I$10</f>
        <v>0</v>
      </c>
      <c r="U192" s="37" t="n">
        <f aca="false">0*Sector_Params!$J$10</f>
        <v>0</v>
      </c>
      <c r="V192" s="37" t="n">
        <f aca="false">1000*p_r_wb/(1-(1+p_r_wb)^-Sector_Params!$D$10)/p_cpt_fuel</f>
        <v>0.871845569768514</v>
      </c>
      <c r="W192" s="16" t="n">
        <f aca="false">T192*L192</f>
        <v>0</v>
      </c>
      <c r="X192" s="16" t="n">
        <f aca="false">U192*L192</f>
        <v>0</v>
      </c>
      <c r="Y192" s="16" t="n">
        <f aca="false">V192*L192</f>
        <v>0.440177420901382</v>
      </c>
      <c r="Z192" s="16" t="n">
        <f aca="false">Q192*L192</f>
        <v>0.0421079268172978</v>
      </c>
      <c r="AA192" s="16" t="n">
        <f aca="false">R192*L192</f>
        <v>0.0475090438440263</v>
      </c>
      <c r="AB192" s="16" t="n">
        <f aca="false">S192*L192</f>
        <v>0.0440177420901382</v>
      </c>
      <c r="AC192" s="16" t="n">
        <f aca="false">Z192-W192</f>
        <v>0.0421079268172978</v>
      </c>
      <c r="AD192" s="16" t="n">
        <f aca="false">AA192-W192</f>
        <v>0.0475090438440263</v>
      </c>
      <c r="AE192" s="16" t="n">
        <f aca="false">AB192-W192</f>
        <v>0.0440177420901382</v>
      </c>
      <c r="AF192" s="16" t="n">
        <f aca="false">AE192-X192</f>
        <v>0.0440177420901382</v>
      </c>
      <c r="AG192" s="16" t="n">
        <f aca="false">AF192-p_spc_lo*Y192/1000</f>
        <v>0.0220088710450691</v>
      </c>
      <c r="AH192" s="16" t="n">
        <f aca="false">AF192-p_spc_hi*Y192/1000</f>
        <v>0</v>
      </c>
      <c r="AI192" s="16" t="n">
        <f aca="false">Q192*J192</f>
        <v>0.110810333729731</v>
      </c>
      <c r="AJ192" s="16" t="n">
        <f aca="false">S192*J192</f>
        <v>0.115836163395101</v>
      </c>
      <c r="AK192" s="16" t="n">
        <f aca="false">T192*J192</f>
        <v>0</v>
      </c>
      <c r="AL192" s="16" t="n">
        <f aca="false">U192*J192</f>
        <v>0</v>
      </c>
      <c r="AM192" s="16" t="n">
        <f aca="false">AI192-AJ192</f>
        <v>-0.00502582966536962</v>
      </c>
      <c r="AN192" s="16" t="n">
        <f aca="false">J192*Country_Data!$EB$31</f>
        <v>1.38819101905519</v>
      </c>
      <c r="AO192" s="16" t="n">
        <f aca="false">L192*Country_Data!$EB$31</f>
        <v>0.527512587240972</v>
      </c>
    </row>
    <row r="193" customFormat="false" ht="15" hidden="false" customHeight="false" outlineLevel="0" collapsed="false">
      <c r="A193" s="14" t="str">
        <f aca="false">Country_Data!$A$31</f>
        <v>SGP</v>
      </c>
      <c r="B193" s="14" t="str">
        <f aca="false">Country_Data!$E$31</f>
        <v>AE</v>
      </c>
      <c r="C193" s="35" t="s">
        <v>488</v>
      </c>
      <c r="D193" s="37" t="n">
        <f aca="false">IF(Country_Data!$CE$31="","",Country_Data!$CE$31)</f>
        <v>17.761</v>
      </c>
      <c r="E193" s="40" t="n">
        <f aca="false">Country_Data!$BW$31</f>
        <v>924.612</v>
      </c>
      <c r="F193" s="41" t="n">
        <f aca="false">Country_Data!$BX$31</f>
        <v>0.619586377853629</v>
      </c>
      <c r="G193" s="42" t="n">
        <f aca="false">IF(D193="","",D193/SUMIFS($D$5:$D$1369,$B$5:$B$1369,B193,$C$5:$C$1369,C193))</f>
        <v>0.00677829875806882</v>
      </c>
      <c r="H193" s="42" t="n">
        <f aca="false">E193/SUMIFS($E$5:$E$1369,$B$5:$B$1369,B193,$C$5:$C$1369,C193)</f>
        <v>0.0117210337381508</v>
      </c>
      <c r="I193" s="43" t="n">
        <f aca="false">IF(G193="",H193,p_beta_alloc*G193+(1-p_beta_alloc)*H193)*F193^p_phi</f>
        <v>0.0072807646537853</v>
      </c>
      <c r="J193" s="16" t="n">
        <f aca="false">INDEX(Sector_Params!$C$22:$E$22,MATCH(B193,Sector_Params!$C$15:$E$15,0))*I193/SUMIFS($I$5:$I$1369,$B$5:$B$1369,B193,$C$5:$C$1369,C193)</f>
        <v>0.2821123216006</v>
      </c>
      <c r="K193" s="28" t="n">
        <f aca="false">INDEX(Sector_Params!$F$11:$H$11,MATCH(B193,Sector_Params!$C$15:$E$15,0))</f>
        <v>0.38</v>
      </c>
      <c r="L193" s="16" t="n">
        <f aca="false">J193*K193</f>
        <v>0.107202682208228</v>
      </c>
      <c r="M193" s="44" t="n">
        <f aca="false">Country_Data!$DW$31+Sector_Params!$E$11</f>
        <v>0.0546</v>
      </c>
      <c r="N193" s="44" t="n">
        <f aca="false">Country_Data!$DX$31+Sector_Params!$E$11</f>
        <v>0.0696</v>
      </c>
      <c r="O193" s="11" t="n">
        <f aca="false">IF(p_use_ibrd=1,p_r_ibrd,p_r_wb)</f>
        <v>0.06</v>
      </c>
      <c r="P193" s="45" t="n">
        <f aca="false">Sector_Params!$D$11</f>
        <v>30</v>
      </c>
      <c r="Q193" s="46" t="n">
        <f aca="false">M193/(1-(1+M193)^-P193)</f>
        <v>0.0685017171662604</v>
      </c>
      <c r="R193" s="46" t="n">
        <f aca="false">N193/(1-(1+N193)^-P193)</f>
        <v>0.0802628344085575</v>
      </c>
      <c r="S193" s="46" t="n">
        <f aca="false">O193/(1-(1+O193)^-P193)</f>
        <v>0.0726489114900472</v>
      </c>
      <c r="T193" s="37" t="n">
        <f aca="false">0*Sector_Params!$I$11</f>
        <v>0</v>
      </c>
      <c r="U193" s="37" t="n">
        <f aca="false">p_c*Sector_Params!$J$11</f>
        <v>0.129</v>
      </c>
      <c r="V193" s="37" t="n">
        <f aca="false">1000*p_r_wb/(1-(1+p_r_wb)^-Sector_Params!$D$11)/p_cpt_afolu</f>
        <v>1.45297822980094</v>
      </c>
      <c r="W193" s="16" t="n">
        <f aca="false">T193*L193</f>
        <v>0</v>
      </c>
      <c r="X193" s="16" t="n">
        <f aca="false">U193*L193</f>
        <v>0.0138291460048614</v>
      </c>
      <c r="Y193" s="16" t="n">
        <f aca="false">V193*L193</f>
        <v>0.155763163424824</v>
      </c>
      <c r="Z193" s="16" t="n">
        <f aca="false">Q193*L193</f>
        <v>0.00734356781609252</v>
      </c>
      <c r="AA193" s="16" t="n">
        <f aca="false">R193*L193</f>
        <v>0.0086043911302322</v>
      </c>
      <c r="AB193" s="16" t="n">
        <f aca="false">S193*L193</f>
        <v>0.0077881581712412</v>
      </c>
      <c r="AC193" s="16" t="n">
        <f aca="false">Z193-W193</f>
        <v>0.00734356781609252</v>
      </c>
      <c r="AD193" s="16" t="n">
        <f aca="false">AA193-W193</f>
        <v>0.0086043911302322</v>
      </c>
      <c r="AE193" s="16" t="n">
        <f aca="false">AB193-W193</f>
        <v>0.0077881581712412</v>
      </c>
      <c r="AF193" s="16" t="n">
        <f aca="false">AE193-X193</f>
        <v>-0.00604098783362019</v>
      </c>
      <c r="AG193" s="16" t="n">
        <f aca="false">AF193-p_spc_lo*Y193/1000</f>
        <v>-0.0138291460048614</v>
      </c>
      <c r="AH193" s="16" t="n">
        <f aca="false">AF193-p_spc_hi*Y193/1000</f>
        <v>-0.0216173041761026</v>
      </c>
      <c r="AI193" s="16" t="n">
        <f aca="false">Q193*J193</f>
        <v>0.0193251784634014</v>
      </c>
      <c r="AJ193" s="16" t="n">
        <f aca="false">S193*J193</f>
        <v>0.0204951530822137</v>
      </c>
      <c r="AK193" s="16" t="n">
        <f aca="false">T193*J193</f>
        <v>0</v>
      </c>
      <c r="AL193" s="16" t="n">
        <f aca="false">U193*J193</f>
        <v>0.0363924894864773</v>
      </c>
      <c r="AM193" s="16" t="n">
        <f aca="false">AI193-AJ193</f>
        <v>-0.00116997461881231</v>
      </c>
      <c r="AN193" s="16" t="n">
        <f aca="false">J193*Country_Data!$EB$31</f>
        <v>0.294758736017178</v>
      </c>
      <c r="AO193" s="16" t="n">
        <f aca="false">L193*Country_Data!$EB$31</f>
        <v>0.112008319686528</v>
      </c>
    </row>
    <row r="194" customFormat="false" ht="15" hidden="false" customHeight="false" outlineLevel="0" collapsed="false">
      <c r="A194" s="14" t="str">
        <f aca="false">Country_Data!$A$32</f>
        <v>ARE</v>
      </c>
      <c r="B194" s="14" t="str">
        <f aca="false">Country_Data!$E$32</f>
        <v>EMDC</v>
      </c>
      <c r="C194" s="35" t="s">
        <v>466</v>
      </c>
      <c r="D194" s="37" t="n">
        <f aca="false">IF(Country_Data!$BZ$32="","",Country_Data!$BZ$32)</f>
        <v>159.315034156555</v>
      </c>
      <c r="E194" s="40" t="n">
        <f aca="false">Country_Data!$BW$32</f>
        <v>871.702</v>
      </c>
      <c r="F194" s="41" t="n">
        <f aca="false">Country_Data!$BX$32</f>
        <v>0.633616763526985</v>
      </c>
      <c r="G194" s="42" t="n">
        <f aca="false">IF(D194="","",D194/SUMIFS($D$5:$D$1369,$B$5:$B$1369,B194,$C$5:$C$1369,C194))</f>
        <v>0.0181877445052788</v>
      </c>
      <c r="H194" s="42" t="n">
        <f aca="false">E194/SUMIFS($E$5:$E$1369,$B$5:$B$1369,B194,$C$5:$C$1369,C194)</f>
        <v>0.0107974927875465</v>
      </c>
      <c r="I194" s="43" t="n">
        <f aca="false">IF(G194="",H194,p_beta_alloc*G194+(1-p_beta_alloc)*H194)*F194^p_phi</f>
        <v>0.0115361313932367</v>
      </c>
      <c r="J194" s="16" t="n">
        <f aca="false">INDEX(Sector_Params!$C$16:$E$16,MATCH(B194,Sector_Params!$C$15:$E$15,0))*I194/SUMIFS($I$5:$I$1369,$B$5:$B$1369,B194,$C$5:$C$1369,C194)</f>
        <v>11.1580387496849</v>
      </c>
      <c r="K194" s="28" t="n">
        <f aca="false">INDEX(Sector_Params!$F$5:$H$5,MATCH(B194,Sector_Params!$C$15:$E$15,0))</f>
        <v>0.24</v>
      </c>
      <c r="L194" s="16" t="n">
        <f aca="false">J194*K194</f>
        <v>2.67792929992438</v>
      </c>
      <c r="M194" s="44" t="n">
        <f aca="false">Country_Data!$DW$32+Sector_Params!$E$5</f>
        <v>0.0535</v>
      </c>
      <c r="N194" s="44" t="n">
        <f aca="false">Country_Data!$DX$32+Sector_Params!$E$5</f>
        <v>0.0985</v>
      </c>
      <c r="O194" s="11" t="n">
        <f aca="false">IF(p_use_ibrd=1,p_r_ibrd,p_r_wb)</f>
        <v>0.06</v>
      </c>
      <c r="P194" s="45" t="n">
        <f aca="false">Sector_Params!$D$5</f>
        <v>25</v>
      </c>
      <c r="Q194" s="46" t="n">
        <f aca="false">M194/(1-(1+M194)^-P194)</f>
        <v>0.0734616969251709</v>
      </c>
      <c r="R194" s="46" t="n">
        <f aca="false">N194/(1-(1+N194)^-P194)</f>
        <v>0.108899814914231</v>
      </c>
      <c r="S194" s="46" t="n">
        <f aca="false">O194/(1-(1+O194)^-P194)</f>
        <v>0.078226718212274</v>
      </c>
      <c r="T194" s="37" t="n">
        <f aca="false">IF(AND(p_eng=1,ISNUMBER(Country_Data!$CZ$32)),Country_Data!$CZ$32,Country_Data!$CM$32)*Sector_Params!$I$5</f>
        <v>0.0554013145875341</v>
      </c>
      <c r="U194" s="37" t="n">
        <f aca="false">IF(AND(p_eng=1,ISNUMBER(Country_Data!$DA$32)),Country_Data!$DA$32,Country_Data!$CN$32)*Sector_Params!$J$5</f>
        <v>0.00261421584393911</v>
      </c>
      <c r="V194" s="37" t="n">
        <f aca="false">IF(AND(p_eng=1,ISNUMBER(Country_Data!$DB$32)),Country_Data!$DB$32,p_a)</f>
        <v>0.661006485081283</v>
      </c>
      <c r="W194" s="16" t="n">
        <f aca="false">T194*L194</f>
        <v>0.148360803588286</v>
      </c>
      <c r="X194" s="16" t="n">
        <f aca="false">U194*L194</f>
        <v>0.00700068520481109</v>
      </c>
      <c r="Y194" s="16" t="n">
        <f aca="false">V194*L194</f>
        <v>1.77012863383919</v>
      </c>
      <c r="Z194" s="16" t="n">
        <f aca="false">Q194*L194</f>
        <v>0.19672523061808</v>
      </c>
      <c r="AA194" s="16" t="n">
        <f aca="false">R194*L194</f>
        <v>0.291626005115162</v>
      </c>
      <c r="AB194" s="16" t="n">
        <f aca="false">S194*L194</f>
        <v>0.209485620737577</v>
      </c>
      <c r="AC194" s="16" t="n">
        <f aca="false">Z194-W194</f>
        <v>0.0483644270297944</v>
      </c>
      <c r="AD194" s="16" t="n">
        <f aca="false">AA194-W194</f>
        <v>0.143265201526877</v>
      </c>
      <c r="AE194" s="16" t="n">
        <f aca="false">AB194-W194</f>
        <v>0.061124817149291</v>
      </c>
      <c r="AF194" s="16" t="n">
        <f aca="false">AE194-X194</f>
        <v>0.0541241319444799</v>
      </c>
      <c r="AG194" s="16" t="n">
        <f aca="false">AF194-p_spc_lo*Y194/1000</f>
        <v>-0.0343822997474798</v>
      </c>
      <c r="AH194" s="16" t="n">
        <f aca="false">AF194-p_spc_hi*Y194/1000</f>
        <v>-0.12288873143944</v>
      </c>
      <c r="AI194" s="16" t="n">
        <f aca="false">Q194*J194</f>
        <v>0.819688460908667</v>
      </c>
      <c r="AJ194" s="16" t="n">
        <f aca="false">S194*J194</f>
        <v>0.872856753073236</v>
      </c>
      <c r="AK194" s="16" t="n">
        <f aca="false">T194*J194</f>
        <v>0.61817001495119</v>
      </c>
      <c r="AL194" s="16" t="n">
        <f aca="false">U194*J194</f>
        <v>0.0291695216867129</v>
      </c>
      <c r="AM194" s="16" t="n">
        <f aca="false">AI194-AJ194</f>
        <v>-0.0531682921645695</v>
      </c>
      <c r="AN194" s="16" t="n">
        <f aca="false">J194*Country_Data!$EB$32</f>
        <v>12.8088170852547</v>
      </c>
      <c r="AO194" s="16" t="n">
        <f aca="false">L194*Country_Data!$EB$32</f>
        <v>3.07411610046114</v>
      </c>
    </row>
    <row r="195" customFormat="false" ht="15" hidden="false" customHeight="false" outlineLevel="0" collapsed="false">
      <c r="A195" s="14" t="str">
        <f aca="false">Country_Data!$A$32</f>
        <v>ARE</v>
      </c>
      <c r="B195" s="14" t="str">
        <f aca="false">Country_Data!$E$32</f>
        <v>EMDC</v>
      </c>
      <c r="C195" s="35" t="s">
        <v>470</v>
      </c>
      <c r="D195" s="37" t="n">
        <f aca="false">IF(Country_Data!$BZ$32="","",Country_Data!$BZ$32)</f>
        <v>159.315034156555</v>
      </c>
      <c r="E195" s="40" t="n">
        <f aca="false">Country_Data!$BW$32</f>
        <v>871.702</v>
      </c>
      <c r="F195" s="41" t="n">
        <f aca="false">Country_Data!$BX$32</f>
        <v>0.633616763526985</v>
      </c>
      <c r="G195" s="42" t="n">
        <f aca="false">IF(D195="","",D195/SUMIFS($D$5:$D$1369,$B$5:$B$1369,B195,$C$5:$C$1369,C195))</f>
        <v>0.0181877445052788</v>
      </c>
      <c r="H195" s="42" t="n">
        <f aca="false">E195/SUMIFS($E$5:$E$1369,$B$5:$B$1369,B195,$C$5:$C$1369,C195)</f>
        <v>0.0107974927875465</v>
      </c>
      <c r="I195" s="43" t="n">
        <f aca="false">IF(G195="",H195,p_beta_alloc*G195+(1-p_beta_alloc)*H195)*F195^p_phi</f>
        <v>0.0115361313932367</v>
      </c>
      <c r="J195" s="16" t="n">
        <f aca="false">INDEX(Sector_Params!$C$17:$E$17,MATCH(B195,Sector_Params!$C$15:$E$15,0))*I195/SUMIFS($I$5:$I$1369,$B$5:$B$1369,B195,$C$5:$C$1369,C195)</f>
        <v>7.65122657121252</v>
      </c>
      <c r="K195" s="28" t="n">
        <f aca="false">INDEX(Sector_Params!$F$6:$H$6,MATCH(B195,Sector_Params!$C$15:$E$15,0))</f>
        <v>0.24</v>
      </c>
      <c r="L195" s="16" t="n">
        <f aca="false">J195*K195</f>
        <v>1.836294377091</v>
      </c>
      <c r="M195" s="44" t="n">
        <f aca="false">Country_Data!$DW$32+Sector_Params!$E$6</f>
        <v>0.0535</v>
      </c>
      <c r="N195" s="44" t="n">
        <f aca="false">Country_Data!$DX$32+Sector_Params!$E$6</f>
        <v>0.0985</v>
      </c>
      <c r="O195" s="11" t="n">
        <f aca="false">IF(p_use_ibrd=1,p_r_ibrd,p_r_wb)</f>
        <v>0.06</v>
      </c>
      <c r="P195" s="45" t="n">
        <f aca="false">Sector_Params!$D$6</f>
        <v>40</v>
      </c>
      <c r="Q195" s="46" t="n">
        <f aca="false">M195/(1-(1+M195)^-P195)</f>
        <v>0.061096923325076</v>
      </c>
      <c r="R195" s="46" t="n">
        <f aca="false">N195/(1-(1+N195)^-P195)</f>
        <v>0.100853357524714</v>
      </c>
      <c r="S195" s="46" t="n">
        <f aca="false">O195/(1-(1+O195)^-P195)</f>
        <v>0.0664615359206755</v>
      </c>
      <c r="T195" s="37" t="n">
        <f aca="false">p_grid_credit*IF(AND(p_eng=1,ISNUMBER(Country_Data!$CZ$32)),Country_Data!$CZ$32,Country_Data!$CM$32)*Sector_Params!$I$6</f>
        <v>0</v>
      </c>
      <c r="U195" s="37" t="n">
        <f aca="false">p_grid_credit*IF(AND(p_eng=1,ISNUMBER(Country_Data!$DA$32)),Country_Data!$DA$32,Country_Data!$CN$32)*Sector_Params!$J$6</f>
        <v>0</v>
      </c>
      <c r="V195" s="37" t="n">
        <f aca="false">p_grid_credit*IF(AND(p_eng=1,ISNUMBER(Country_Data!$DB$32)),Country_Data!$DB$32,p_a)</f>
        <v>0</v>
      </c>
      <c r="W195" s="16" t="n">
        <f aca="false">T195*L195</f>
        <v>0</v>
      </c>
      <c r="X195" s="16" t="n">
        <f aca="false">U195*L195</f>
        <v>0</v>
      </c>
      <c r="Y195" s="16" t="n">
        <f aca="false">V195*L195</f>
        <v>0</v>
      </c>
      <c r="Z195" s="16" t="n">
        <f aca="false">Q195*L195</f>
        <v>0.112191936759397</v>
      </c>
      <c r="AA195" s="16" t="n">
        <f aca="false">R195*L195</f>
        <v>0.185196453333382</v>
      </c>
      <c r="AB195" s="16" t="n">
        <f aca="false">S195*L195</f>
        <v>0.122042944703968</v>
      </c>
      <c r="AC195" s="16" t="n">
        <f aca="false">Z195-W195</f>
        <v>0.112191936759397</v>
      </c>
      <c r="AD195" s="16" t="n">
        <f aca="false">AA195-W195</f>
        <v>0.185196453333382</v>
      </c>
      <c r="AE195" s="16" t="n">
        <f aca="false">AB195-W195</f>
        <v>0.122042944703968</v>
      </c>
      <c r="AF195" s="16" t="n">
        <f aca="false">AE195-X195</f>
        <v>0.122042944703968</v>
      </c>
      <c r="AG195" s="16" t="n">
        <f aca="false">AF195-p_spc_lo*Y195/1000</f>
        <v>0.122042944703968</v>
      </c>
      <c r="AH195" s="16" t="n">
        <f aca="false">AF195-p_spc_hi*Y195/1000</f>
        <v>0.122042944703968</v>
      </c>
      <c r="AI195" s="16" t="n">
        <f aca="false">Q195*J195</f>
        <v>0.467466403164155</v>
      </c>
      <c r="AJ195" s="16" t="n">
        <f aca="false">S195*J195</f>
        <v>0.508512269599868</v>
      </c>
      <c r="AK195" s="16" t="n">
        <f aca="false">T195*J195</f>
        <v>0</v>
      </c>
      <c r="AL195" s="16" t="n">
        <f aca="false">U195*J195</f>
        <v>0</v>
      </c>
      <c r="AM195" s="16" t="n">
        <f aca="false">AI195-AJ195</f>
        <v>-0.0410458664357125</v>
      </c>
      <c r="AN195" s="16" t="n">
        <f aca="false">J195*Country_Data!$EB$32</f>
        <v>8.7831888584604</v>
      </c>
      <c r="AO195" s="16" t="n">
        <f aca="false">L195*Country_Data!$EB$32</f>
        <v>2.1079653260305</v>
      </c>
    </row>
    <row r="196" customFormat="false" ht="15" hidden="false" customHeight="false" outlineLevel="0" collapsed="false">
      <c r="A196" s="14" t="str">
        <f aca="false">Country_Data!$A$32</f>
        <v>ARE</v>
      </c>
      <c r="B196" s="14" t="str">
        <f aca="false">Country_Data!$E$32</f>
        <v>EMDC</v>
      </c>
      <c r="C196" s="35" t="s">
        <v>473</v>
      </c>
      <c r="D196" s="37" t="n">
        <f aca="false">IF(Country_Data!$CA$32="","",Country_Data!$CA$32)</f>
        <v>0.506863814903164</v>
      </c>
      <c r="E196" s="40" t="n">
        <f aca="false">Country_Data!$BW$32</f>
        <v>871.702</v>
      </c>
      <c r="F196" s="41" t="n">
        <f aca="false">Country_Data!$BX$32</f>
        <v>0.633616763526985</v>
      </c>
      <c r="G196" s="42" t="n">
        <f aca="false">IF(D196="","",D196/SUMIFS($D$5:$D$1369,$B$5:$B$1369,B196,$C$5:$C$1369,C196))</f>
        <v>0.0117097334516053</v>
      </c>
      <c r="H196" s="42" t="n">
        <f aca="false">E196/SUMIFS($E$5:$E$1369,$B$5:$B$1369,B196,$C$5:$C$1369,C196)</f>
        <v>0.0107974927875465</v>
      </c>
      <c r="I196" s="43" t="n">
        <f aca="false">IF(G196="",H196,p_beta_alloc*G196+(1-p_beta_alloc)*H196)*F196^p_phi</f>
        <v>0.00895788144044041</v>
      </c>
      <c r="J196" s="16" t="n">
        <f aca="false">INDEX(Sector_Params!$C$18:$E$18,MATCH(B196,Sector_Params!$C$15:$E$15,0))*I196/SUMIFS($I$5:$I$1369,$B$5:$B$1369,B196,$C$5:$C$1369,C196)</f>
        <v>3.66804049550769</v>
      </c>
      <c r="K196" s="28" t="n">
        <f aca="false">INDEX(Sector_Params!$F$7:$H$7,MATCH(B196,Sector_Params!$C$15:$E$15,0))</f>
        <v>0.24</v>
      </c>
      <c r="L196" s="16" t="n">
        <f aca="false">J196*K196</f>
        <v>0.880329718921846</v>
      </c>
      <c r="M196" s="44" t="n">
        <f aca="false">Country_Data!$DW$32+Sector_Params!$E$7</f>
        <v>0.0535</v>
      </c>
      <c r="N196" s="44" t="n">
        <f aca="false">Country_Data!$DX$32+Sector_Params!$E$7</f>
        <v>0.0985</v>
      </c>
      <c r="O196" s="11" t="n">
        <f aca="false">IF(p_use_ibrd=1,p_r_ibrd,p_r_wb)</f>
        <v>0.06</v>
      </c>
      <c r="P196" s="45" t="n">
        <f aca="false">Sector_Params!$D$7</f>
        <v>12</v>
      </c>
      <c r="Q196" s="46" t="n">
        <f aca="false">M196/(1-(1+M196)^-P196)</f>
        <v>0.115063438601332</v>
      </c>
      <c r="R196" s="46" t="n">
        <f aca="false">N196/(1-(1+N196)^-P196)</f>
        <v>0.14568663008575</v>
      </c>
      <c r="S196" s="46" t="n">
        <f aca="false">O196/(1-(1+O196)^-P196)</f>
        <v>0.119277029380664</v>
      </c>
      <c r="T196" s="37" t="n">
        <f aca="false">IF(AND(p_eng=1,ISNUMBER(Country_Data!$DE$32)),Country_Data!$DE$32,Country_Data!$CM$32)*Sector_Params!$I$7</f>
        <v>0.16074</v>
      </c>
      <c r="U196" s="37" t="n">
        <f aca="false">IF(AND(p_eng=1,ISNUMBER(Country_Data!$DF$32)),Country_Data!$DF$32,Country_Data!$CN$32)*Sector_Params!$J$7</f>
        <v>0.011440125</v>
      </c>
      <c r="V196" s="37" t="n">
        <f aca="false">IF(AND(p_eng=1,ISNUMBER(Country_Data!$DG$32)),Country_Data!$DG$32,p_a)</f>
        <v>0.378157570574298</v>
      </c>
      <c r="W196" s="16" t="n">
        <f aca="false">T196*L196</f>
        <v>0.141504199019498</v>
      </c>
      <c r="X196" s="16" t="n">
        <f aca="false">U196*L196</f>
        <v>0.0100710820256808</v>
      </c>
      <c r="Y196" s="16" t="n">
        <f aca="false">V196*L196</f>
        <v>0.33290334781184</v>
      </c>
      <c r="Z196" s="16" t="n">
        <f aca="false">Q196*L196</f>
        <v>0.101293764562091</v>
      </c>
      <c r="AA196" s="16" t="n">
        <f aca="false">R196*L196</f>
        <v>0.128252270114059</v>
      </c>
      <c r="AB196" s="16" t="n">
        <f aca="false">S196*L196</f>
        <v>0.105003113748512</v>
      </c>
      <c r="AC196" s="16" t="n">
        <f aca="false">Z196-W196</f>
        <v>-0.0402104344574063</v>
      </c>
      <c r="AD196" s="16" t="n">
        <f aca="false">AA196-W196</f>
        <v>-0.0132519289054387</v>
      </c>
      <c r="AE196" s="16" t="n">
        <f aca="false">AB196-W196</f>
        <v>-0.0365010852709853</v>
      </c>
      <c r="AF196" s="16" t="n">
        <f aca="false">AE196-X196</f>
        <v>-0.0465721672966661</v>
      </c>
      <c r="AG196" s="16" t="n">
        <f aca="false">AF196-p_spc_lo*Y196/1000</f>
        <v>-0.063217334687258</v>
      </c>
      <c r="AH196" s="16" t="n">
        <f aca="false">AF196-p_spc_hi*Y196/1000</f>
        <v>-0.07986250207785</v>
      </c>
      <c r="AI196" s="16" t="n">
        <f aca="false">Q196*J196</f>
        <v>0.422057352342047</v>
      </c>
      <c r="AJ196" s="16" t="n">
        <f aca="false">S196*J196</f>
        <v>0.437512973952135</v>
      </c>
      <c r="AK196" s="16" t="n">
        <f aca="false">T196*J196</f>
        <v>0.589600829247907</v>
      </c>
      <c r="AL196" s="16" t="n">
        <f aca="false">U196*J196</f>
        <v>0.04196284177367</v>
      </c>
      <c r="AM196" s="16" t="n">
        <f aca="false">AI196-AJ196</f>
        <v>-0.0154556216100877</v>
      </c>
      <c r="AN196" s="16" t="n">
        <f aca="false">J196*Country_Data!$EB$32</f>
        <v>4.21070950032253</v>
      </c>
      <c r="AO196" s="16" t="n">
        <f aca="false">L196*Country_Data!$EB$32</f>
        <v>1.01057028007741</v>
      </c>
    </row>
    <row r="197" customFormat="false" ht="15" hidden="false" customHeight="false" outlineLevel="0" collapsed="false">
      <c r="A197" s="14" t="str">
        <f aca="false">Country_Data!$A$32</f>
        <v>ARE</v>
      </c>
      <c r="B197" s="14" t="str">
        <f aca="false">Country_Data!$E$32</f>
        <v>EMDC</v>
      </c>
      <c r="C197" s="35" t="s">
        <v>477</v>
      </c>
      <c r="D197" s="37" t="n">
        <f aca="false">IF(Country_Data!$CB$32="","",Country_Data!$CB$32)</f>
        <v>0.212934382568272</v>
      </c>
      <c r="E197" s="40" t="n">
        <f aca="false">Country_Data!$BW$32</f>
        <v>871.702</v>
      </c>
      <c r="F197" s="41" t="n">
        <f aca="false">Country_Data!$BX$32</f>
        <v>0.633616763526985</v>
      </c>
      <c r="G197" s="42" t="n">
        <f aca="false">IF(D197="","",D197/SUMIFS($D$5:$D$1369,$B$5:$B$1369,B197,$C$5:$C$1369,C197))</f>
        <v>0.00671446946763994</v>
      </c>
      <c r="H197" s="42" t="n">
        <f aca="false">E197/SUMIFS($E$5:$E$1369,$B$5:$B$1369,B197,$C$5:$C$1369,C197)</f>
        <v>0.0107974927875465</v>
      </c>
      <c r="I197" s="43" t="n">
        <f aca="false">IF(G197="",H197,p_beta_alloc*G197+(1-p_beta_alloc)*H197)*F197^p_phi</f>
        <v>0.00696976517695232</v>
      </c>
      <c r="J197" s="16" t="n">
        <f aca="false">INDEX(Sector_Params!$C$19:$E$19,MATCH(B197,Sector_Params!$C$15:$E$15,0))*I197/SUMIFS($I$5:$I$1369,$B$5:$B$1369,B197,$C$5:$C$1369,C197)</f>
        <v>2.24330671702678</v>
      </c>
      <c r="K197" s="28" t="n">
        <f aca="false">INDEX(Sector_Params!$F$8:$H$8,MATCH(B197,Sector_Params!$C$15:$E$15,0))</f>
        <v>0.24</v>
      </c>
      <c r="L197" s="16" t="n">
        <f aca="false">J197*K197</f>
        <v>0.538393612086428</v>
      </c>
      <c r="M197" s="44" t="n">
        <f aca="false">Country_Data!$DW$32+Sector_Params!$E$8</f>
        <v>0.0535</v>
      </c>
      <c r="N197" s="44" t="n">
        <f aca="false">Country_Data!$DX$32+Sector_Params!$E$8</f>
        <v>0.0985</v>
      </c>
      <c r="O197" s="11" t="n">
        <f aca="false">IF(p_use_ibrd=1,p_r_ibrd,p_r_wb)</f>
        <v>0.06</v>
      </c>
      <c r="P197" s="45" t="n">
        <f aca="false">Sector_Params!$D$8</f>
        <v>25</v>
      </c>
      <c r="Q197" s="46" t="n">
        <f aca="false">M197/(1-(1+M197)^-P197)</f>
        <v>0.0734616969251709</v>
      </c>
      <c r="R197" s="46" t="n">
        <f aca="false">N197/(1-(1+N197)^-P197)</f>
        <v>0.108899814914231</v>
      </c>
      <c r="S197" s="46" t="n">
        <f aca="false">O197/(1-(1+O197)^-P197)</f>
        <v>0.078226718212274</v>
      </c>
      <c r="T197" s="37" t="n">
        <f aca="false">Country_Data!$CM$32*Sector_Params!$I$8</f>
        <v>0.103690996317383</v>
      </c>
      <c r="U197" s="37" t="n">
        <f aca="false">Country_Data!$CN$32*Sector_Params!$J$8</f>
        <v>0.03225</v>
      </c>
      <c r="V197" s="37" t="n">
        <f aca="false">p_a</f>
        <v>0.35</v>
      </c>
      <c r="W197" s="16" t="n">
        <f aca="false">T197*L197</f>
        <v>0.0558265700481566</v>
      </c>
      <c r="X197" s="16" t="n">
        <f aca="false">U197*L197</f>
        <v>0.0173631939897873</v>
      </c>
      <c r="Y197" s="16" t="n">
        <f aca="false">V197*L197</f>
        <v>0.18843776423025</v>
      </c>
      <c r="Z197" s="16" t="n">
        <f aca="false">Q197*L197</f>
        <v>0.0395513083575412</v>
      </c>
      <c r="AA197" s="16" t="n">
        <f aca="false">R197*L197</f>
        <v>0.0586309647072165</v>
      </c>
      <c r="AB197" s="16" t="n">
        <f aca="false">S197*L197</f>
        <v>0.0421167653799733</v>
      </c>
      <c r="AC197" s="16" t="n">
        <f aca="false">Z197-W197</f>
        <v>-0.0162752616906154</v>
      </c>
      <c r="AD197" s="16" t="n">
        <f aca="false">AA197-W197</f>
        <v>0.00280439465905993</v>
      </c>
      <c r="AE197" s="16" t="n">
        <f aca="false">AB197-W197</f>
        <v>-0.0137098046681832</v>
      </c>
      <c r="AF197" s="16" t="n">
        <f aca="false">AE197-X197</f>
        <v>-0.0310729986579705</v>
      </c>
      <c r="AG197" s="16" t="n">
        <f aca="false">AF197-p_spc_lo*Y197/1000</f>
        <v>-0.040494886869483</v>
      </c>
      <c r="AH197" s="16" t="n">
        <f aca="false">AF197-p_spc_hi*Y197/1000</f>
        <v>-0.0499167750809955</v>
      </c>
      <c r="AI197" s="16" t="n">
        <f aca="false">Q197*J197</f>
        <v>0.164797118156422</v>
      </c>
      <c r="AJ197" s="16" t="n">
        <f aca="false">S197*J197</f>
        <v>0.175486522416556</v>
      </c>
      <c r="AK197" s="16" t="n">
        <f aca="false">T197*J197</f>
        <v>0.232610708533986</v>
      </c>
      <c r="AL197" s="16" t="n">
        <f aca="false">U197*J197</f>
        <v>0.0723466416241138</v>
      </c>
      <c r="AM197" s="16" t="n">
        <f aca="false">AI197-AJ197</f>
        <v>-0.0106894042601339</v>
      </c>
      <c r="AN197" s="16" t="n">
        <f aca="false">J197*Country_Data!$EB$32</f>
        <v>2.57519319023075</v>
      </c>
      <c r="AO197" s="16" t="n">
        <f aca="false">L197*Country_Data!$EB$32</f>
        <v>0.618046365655379</v>
      </c>
    </row>
    <row r="198" customFormat="false" ht="15" hidden="false" customHeight="false" outlineLevel="0" collapsed="false">
      <c r="A198" s="14" t="str">
        <f aca="false">Country_Data!$A$32</f>
        <v>ARE</v>
      </c>
      <c r="B198" s="14" t="str">
        <f aca="false">Country_Data!$E$32</f>
        <v>EMDC</v>
      </c>
      <c r="C198" s="35" t="s">
        <v>481</v>
      </c>
      <c r="D198" s="37" t="n">
        <f aca="false">IF(Country_Data!$CC$32="","",Country_Data!$CC$32)</f>
        <v>1.77033117643344</v>
      </c>
      <c r="E198" s="40" t="n">
        <f aca="false">Country_Data!$BW$32</f>
        <v>871.702</v>
      </c>
      <c r="F198" s="41" t="n">
        <f aca="false">Country_Data!$BX$32</f>
        <v>0.633616763526985</v>
      </c>
      <c r="G198" s="42" t="n">
        <f aca="false">IF(D198="","",D198/SUMIFS($D$5:$D$1369,$B$5:$B$1369,B198,$C$5:$C$1369,C198))</f>
        <v>0.0252878235625375</v>
      </c>
      <c r="H198" s="42" t="n">
        <f aca="false">E198/SUMIFS($E$5:$E$1369,$B$5:$B$1369,B198,$C$5:$C$1369,C198)</f>
        <v>0.0107974927875465</v>
      </c>
      <c r="I198" s="43" t="n">
        <f aca="false">IF(G198="",H198,p_beta_alloc*G198+(1-p_beta_alloc)*H198)*F198^p_phi</f>
        <v>0.0143619645606326</v>
      </c>
      <c r="J198" s="16" t="n">
        <f aca="false">INDEX(Sector_Params!$C$20:$E$20,MATCH(B198,Sector_Params!$C$15:$E$15,0))*I198/SUMIFS($I$5:$I$1369,$B$5:$B$1369,B198,$C$5:$C$1369,C198)</f>
        <v>2.62134774906247</v>
      </c>
      <c r="K198" s="28" t="n">
        <f aca="false">INDEX(Sector_Params!$F$9:$H$9,MATCH(B198,Sector_Params!$C$15:$E$15,0))</f>
        <v>0.24</v>
      </c>
      <c r="L198" s="16" t="n">
        <f aca="false">J198*K198</f>
        <v>0.629123459774993</v>
      </c>
      <c r="M198" s="44" t="n">
        <f aca="false">Country_Data!$DW$32+Sector_Params!$E$9</f>
        <v>0.0535</v>
      </c>
      <c r="N198" s="44" t="n">
        <f aca="false">Country_Data!$DX$32+Sector_Params!$E$9</f>
        <v>0.0985</v>
      </c>
      <c r="O198" s="11" t="n">
        <f aca="false">IF(p_use_ibrd=1,p_r_ibrd,p_r_wb)</f>
        <v>0.06</v>
      </c>
      <c r="P198" s="45" t="n">
        <f aca="false">Sector_Params!$D$9</f>
        <v>25</v>
      </c>
      <c r="Q198" s="46" t="n">
        <f aca="false">M198/(1-(1+M198)^-P198)</f>
        <v>0.0734616969251709</v>
      </c>
      <c r="R198" s="46" t="n">
        <f aca="false">N198/(1-(1+N198)^-P198)</f>
        <v>0.108899814914231</v>
      </c>
      <c r="S198" s="46" t="n">
        <f aca="false">O198/(1-(1+O198)^-P198)</f>
        <v>0.078226718212274</v>
      </c>
      <c r="T198" s="37" t="n">
        <f aca="false">Country_Data!$CM$32*Sector_Params!$I$9</f>
        <v>0.103690996317383</v>
      </c>
      <c r="U198" s="37" t="n">
        <f aca="false">Country_Data!$CN$32*Sector_Params!$J$9</f>
        <v>0.03225</v>
      </c>
      <c r="V198" s="37" t="n">
        <f aca="false">p_a</f>
        <v>0.35</v>
      </c>
      <c r="W198" s="16" t="n">
        <f aca="false">T198*L198</f>
        <v>0.0652344383507083</v>
      </c>
      <c r="X198" s="16" t="n">
        <f aca="false">U198*L198</f>
        <v>0.0202892315777435</v>
      </c>
      <c r="Y198" s="16" t="n">
        <f aca="false">V198*L198</f>
        <v>0.220193210921248</v>
      </c>
      <c r="Z198" s="16" t="n">
        <f aca="false">Q198*L198</f>
        <v>0.0462164769305055</v>
      </c>
      <c r="AA198" s="16" t="n">
        <f aca="false">R198*L198</f>
        <v>0.0685114283276976</v>
      </c>
      <c r="AB198" s="16" t="n">
        <f aca="false">S198*L198</f>
        <v>0.0492142636085493</v>
      </c>
      <c r="AC198" s="16" t="n">
        <f aca="false">Z198-W198</f>
        <v>-0.0190179614202028</v>
      </c>
      <c r="AD198" s="16" t="n">
        <f aca="false">AA198-W198</f>
        <v>0.0032769899769893</v>
      </c>
      <c r="AE198" s="16" t="n">
        <f aca="false">AB198-W198</f>
        <v>-0.0160201747421591</v>
      </c>
      <c r="AF198" s="16" t="n">
        <f aca="false">AE198-X198</f>
        <v>-0.0363094063199026</v>
      </c>
      <c r="AG198" s="16" t="n">
        <f aca="false">AF198-p_spc_lo*Y198/1000</f>
        <v>-0.047319066865965</v>
      </c>
      <c r="AH198" s="16" t="n">
        <f aca="false">AF198-p_spc_hi*Y198/1000</f>
        <v>-0.0583287274120273</v>
      </c>
      <c r="AI198" s="16" t="n">
        <f aca="false">Q198*J198</f>
        <v>0.192568653877106</v>
      </c>
      <c r="AJ198" s="16" t="n">
        <f aca="false">S198*J198</f>
        <v>0.205059431702289</v>
      </c>
      <c r="AK198" s="16" t="n">
        <f aca="false">T198*J198</f>
        <v>0.271810159794618</v>
      </c>
      <c r="AL198" s="16" t="n">
        <f aca="false">U198*J198</f>
        <v>0.0845384649072647</v>
      </c>
      <c r="AM198" s="16" t="n">
        <f aca="false">AI198-AJ198</f>
        <v>-0.0124907778251824</v>
      </c>
      <c r="AN198" s="16" t="n">
        <f aca="false">J198*Country_Data!$EB$32</f>
        <v>3.00916358043062</v>
      </c>
      <c r="AO198" s="16" t="n">
        <f aca="false">L198*Country_Data!$EB$32</f>
        <v>0.722199259303348</v>
      </c>
    </row>
    <row r="199" customFormat="false" ht="15" hidden="false" customHeight="false" outlineLevel="0" collapsed="false">
      <c r="A199" s="14" t="str">
        <f aca="false">Country_Data!$A$32</f>
        <v>ARE</v>
      </c>
      <c r="B199" s="14" t="str">
        <f aca="false">Country_Data!$E$32</f>
        <v>EMDC</v>
      </c>
      <c r="C199" s="35" t="s">
        <v>484</v>
      </c>
      <c r="D199" s="37" t="n">
        <f aca="false">IF(Country_Data!$CD$32="","",Country_Data!$CD$32)</f>
        <v>3.16337954239443</v>
      </c>
      <c r="E199" s="40" t="n">
        <f aca="false">Country_Data!$BW$32</f>
        <v>871.702</v>
      </c>
      <c r="F199" s="41" t="n">
        <f aca="false">Country_Data!$BX$32</f>
        <v>0.633616763526985</v>
      </c>
      <c r="G199" s="42" t="n">
        <f aca="false">IF(D199="","",D199/SUMIFS($D$5:$D$1369,$B$5:$B$1369,B199,$C$5:$C$1369,C199))</f>
        <v>0.017665467008422</v>
      </c>
      <c r="H199" s="42" t="n">
        <f aca="false">E199/SUMIFS($E$5:$E$1369,$B$5:$B$1369,B199,$C$5:$C$1369,C199)</f>
        <v>0.0107974927875465</v>
      </c>
      <c r="I199" s="43" t="n">
        <f aca="false">IF(G199="",H199,p_beta_alloc*G199+(1-p_beta_alloc)*H199)*F199^p_phi</f>
        <v>0.011328264824245</v>
      </c>
      <c r="J199" s="16" t="n">
        <f aca="false">INDEX(Sector_Params!$C$21:$E$21,MATCH(B199,Sector_Params!$C$15:$E$15,0))*I199/SUMIFS($I$5:$I$1369,$B$5:$B$1369,B199,$C$5:$C$1369,C199)</f>
        <v>2.51249388716762</v>
      </c>
      <c r="K199" s="28" t="n">
        <f aca="false">INDEX(Sector_Params!$F$10:$H$10,MATCH(B199,Sector_Params!$C$15:$E$15,0))</f>
        <v>0.24</v>
      </c>
      <c r="L199" s="16" t="n">
        <f aca="false">J199*K199</f>
        <v>0.602998532920228</v>
      </c>
      <c r="M199" s="44" t="n">
        <f aca="false">Country_Data!$DW$32+Sector_Params!$E$10</f>
        <v>0.0535</v>
      </c>
      <c r="N199" s="44" t="n">
        <f aca="false">Country_Data!$DX$32+Sector_Params!$E$10</f>
        <v>0.0985</v>
      </c>
      <c r="O199" s="11" t="n">
        <f aca="false">IF(p_use_ibrd=1,p_r_ibrd,p_r_wb)</f>
        <v>0.06</v>
      </c>
      <c r="P199" s="45" t="n">
        <f aca="false">Sector_Params!$D$10</f>
        <v>20</v>
      </c>
      <c r="Q199" s="46" t="n">
        <f aca="false">M199/(1-(1+M199)^-P199)</f>
        <v>0.0826410325407908</v>
      </c>
      <c r="R199" s="46" t="n">
        <f aca="false">N199/(1-(1+N199)^-P199)</f>
        <v>0.116259330646315</v>
      </c>
      <c r="S199" s="46" t="n">
        <f aca="false">O199/(1-(1+O199)^-P199)</f>
        <v>0.0871845569768514</v>
      </c>
      <c r="T199" s="37" t="n">
        <f aca="false">0*Sector_Params!$I$10</f>
        <v>0</v>
      </c>
      <c r="U199" s="37" t="n">
        <f aca="false">0*Sector_Params!$J$10</f>
        <v>0</v>
      </c>
      <c r="V199" s="37" t="n">
        <f aca="false">1000*p_r_wb/(1-(1+p_r_wb)^-Sector_Params!$D$10)/p_cpt_fuel</f>
        <v>0.871845569768514</v>
      </c>
      <c r="W199" s="16" t="n">
        <f aca="false">T199*L199</f>
        <v>0</v>
      </c>
      <c r="X199" s="16" t="n">
        <f aca="false">U199*L199</f>
        <v>0</v>
      </c>
      <c r="Y199" s="16" t="n">
        <f aca="false">V199*L199</f>
        <v>0.525721599503415</v>
      </c>
      <c r="Z199" s="16" t="n">
        <f aca="false">Q199*L199</f>
        <v>0.0498324213811097</v>
      </c>
      <c r="AA199" s="16" t="n">
        <f aca="false">R199*L199</f>
        <v>0.0701042058180157</v>
      </c>
      <c r="AB199" s="16" t="n">
        <f aca="false">S199*L199</f>
        <v>0.0525721599503414</v>
      </c>
      <c r="AC199" s="16" t="n">
        <f aca="false">Z199-W199</f>
        <v>0.0498324213811097</v>
      </c>
      <c r="AD199" s="16" t="n">
        <f aca="false">AA199-W199</f>
        <v>0.0701042058180157</v>
      </c>
      <c r="AE199" s="16" t="n">
        <f aca="false">AB199-W199</f>
        <v>0.0525721599503414</v>
      </c>
      <c r="AF199" s="16" t="n">
        <f aca="false">AE199-X199</f>
        <v>0.0525721599503414</v>
      </c>
      <c r="AG199" s="16" t="n">
        <f aca="false">AF199-p_spc_lo*Y199/1000</f>
        <v>0.0262860799751707</v>
      </c>
      <c r="AH199" s="16" t="n">
        <f aca="false">AF199-p_spc_hi*Y199/1000</f>
        <v>0</v>
      </c>
      <c r="AI199" s="16" t="n">
        <f aca="false">Q199*J199</f>
        <v>0.207635089087957</v>
      </c>
      <c r="AJ199" s="16" t="n">
        <f aca="false">S199*J199</f>
        <v>0.219050666459756</v>
      </c>
      <c r="AK199" s="16" t="n">
        <f aca="false">T199*J199</f>
        <v>0</v>
      </c>
      <c r="AL199" s="16" t="n">
        <f aca="false">U199*J199</f>
        <v>0</v>
      </c>
      <c r="AM199" s="16" t="n">
        <f aca="false">AI199-AJ199</f>
        <v>-0.011415577371799</v>
      </c>
      <c r="AN199" s="16" t="n">
        <f aca="false">J199*Country_Data!$EB$32</f>
        <v>2.8842053115705</v>
      </c>
      <c r="AO199" s="16" t="n">
        <f aca="false">L199*Country_Data!$EB$32</f>
        <v>0.69220927477692</v>
      </c>
    </row>
    <row r="200" customFormat="false" ht="15" hidden="false" customHeight="false" outlineLevel="0" collapsed="false">
      <c r="A200" s="14" t="str">
        <f aca="false">Country_Data!$A$32</f>
        <v>ARE</v>
      </c>
      <c r="B200" s="14" t="str">
        <f aca="false">Country_Data!$E$32</f>
        <v>EMDC</v>
      </c>
      <c r="C200" s="35" t="s">
        <v>488</v>
      </c>
      <c r="D200" s="37" t="n">
        <f aca="false">IF(Country_Data!$CE$32="","",Country_Data!$CE$32)</f>
        <v>83.16</v>
      </c>
      <c r="E200" s="40" t="n">
        <f aca="false">Country_Data!$BW$32</f>
        <v>871.702</v>
      </c>
      <c r="F200" s="41" t="n">
        <f aca="false">Country_Data!$BX$32</f>
        <v>0.633616763526985</v>
      </c>
      <c r="G200" s="42" t="n">
        <f aca="false">IF(D200="","",D200/SUMIFS($D$5:$D$1369,$B$5:$B$1369,B200,$C$5:$C$1369,C200))</f>
        <v>0.00681409787358521</v>
      </c>
      <c r="H200" s="42" t="n">
        <f aca="false">E200/SUMIFS($E$5:$E$1369,$B$5:$B$1369,B200,$C$5:$C$1369,C200)</f>
        <v>0.0107974927875465</v>
      </c>
      <c r="I200" s="43" t="n">
        <f aca="false">IF(G200="",H200,p_beta_alloc*G200+(1-p_beta_alloc)*H200)*F200^p_phi</f>
        <v>0.00700941730640954</v>
      </c>
      <c r="J200" s="16" t="n">
        <f aca="false">INDEX(Sector_Params!$C$22:$E$22,MATCH(B200,Sector_Params!$C$15:$E$15,0))*I200/SUMIFS($I$5:$I$1369,$B$5:$B$1369,B200,$C$5:$C$1369,C200)</f>
        <v>4.22533554883038</v>
      </c>
      <c r="K200" s="28" t="n">
        <f aca="false">INDEX(Sector_Params!$F$11:$H$11,MATCH(B200,Sector_Params!$C$15:$E$15,0))</f>
        <v>0.24</v>
      </c>
      <c r="L200" s="16" t="n">
        <f aca="false">J200*K200</f>
        <v>1.01408053171929</v>
      </c>
      <c r="M200" s="44" t="n">
        <f aca="false">Country_Data!$DW$32+Sector_Params!$E$11</f>
        <v>0.0535</v>
      </c>
      <c r="N200" s="44" t="n">
        <f aca="false">Country_Data!$DX$32+Sector_Params!$E$11</f>
        <v>0.0985</v>
      </c>
      <c r="O200" s="11" t="n">
        <f aca="false">IF(p_use_ibrd=1,p_r_ibrd,p_r_wb)</f>
        <v>0.06</v>
      </c>
      <c r="P200" s="45" t="n">
        <f aca="false">Sector_Params!$D$11</f>
        <v>30</v>
      </c>
      <c r="Q200" s="46" t="n">
        <f aca="false">M200/(1-(1+M200)^-P200)</f>
        <v>0.0676695925921606</v>
      </c>
      <c r="R200" s="46" t="n">
        <f aca="false">N200/(1-(1+N200)^-P200)</f>
        <v>0.104754166943966</v>
      </c>
      <c r="S200" s="46" t="n">
        <f aca="false">O200/(1-(1+O200)^-P200)</f>
        <v>0.0726489114900472</v>
      </c>
      <c r="T200" s="37" t="n">
        <f aca="false">0*Sector_Params!$I$11</f>
        <v>0</v>
      </c>
      <c r="U200" s="37" t="n">
        <f aca="false">p_c*Sector_Params!$J$11</f>
        <v>0.129</v>
      </c>
      <c r="V200" s="37" t="n">
        <f aca="false">1000*p_r_wb/(1-(1+p_r_wb)^-Sector_Params!$D$11)/p_cpt_afolu</f>
        <v>1.45297822980094</v>
      </c>
      <c r="W200" s="16" t="n">
        <f aca="false">T200*L200</f>
        <v>0</v>
      </c>
      <c r="X200" s="16" t="n">
        <f aca="false">U200*L200</f>
        <v>0.130816388591789</v>
      </c>
      <c r="Y200" s="16" t="n">
        <f aca="false">V200*L200</f>
        <v>1.4734369358531</v>
      </c>
      <c r="Z200" s="16" t="n">
        <f aca="false">Q200*L200</f>
        <v>0.0686224164370861</v>
      </c>
      <c r="AA200" s="16" t="n">
        <f aca="false">R200*L200</f>
        <v>0.106229161314349</v>
      </c>
      <c r="AB200" s="16" t="n">
        <f aca="false">S200*L200</f>
        <v>0.0736718467926548</v>
      </c>
      <c r="AC200" s="16" t="n">
        <f aca="false">Z200-W200</f>
        <v>0.0686224164370861</v>
      </c>
      <c r="AD200" s="16" t="n">
        <f aca="false">AA200-W200</f>
        <v>0.106229161314349</v>
      </c>
      <c r="AE200" s="16" t="n">
        <f aca="false">AB200-W200</f>
        <v>0.0736718467926548</v>
      </c>
      <c r="AF200" s="16" t="n">
        <f aca="false">AE200-X200</f>
        <v>-0.0571445417991338</v>
      </c>
      <c r="AG200" s="16" t="n">
        <f aca="false">AF200-p_spc_lo*Y200/1000</f>
        <v>-0.130816388591789</v>
      </c>
      <c r="AH200" s="16" t="n">
        <f aca="false">AF200-p_spc_hi*Y200/1000</f>
        <v>-0.204488235384443</v>
      </c>
      <c r="AI200" s="16" t="n">
        <f aca="false">Q200*J200</f>
        <v>0.285926735154525</v>
      </c>
      <c r="AJ200" s="16" t="n">
        <f aca="false">S200*J200</f>
        <v>0.306966028302728</v>
      </c>
      <c r="AK200" s="16" t="n">
        <f aca="false">T200*J200</f>
        <v>0</v>
      </c>
      <c r="AL200" s="16" t="n">
        <f aca="false">U200*J200</f>
        <v>0.545068285799119</v>
      </c>
      <c r="AM200" s="16" t="n">
        <f aca="false">AI200-AJ200</f>
        <v>-0.021039293148203</v>
      </c>
      <c r="AN200" s="16" t="n">
        <f aca="false">J200*Country_Data!$EB$32</f>
        <v>4.85045368482173</v>
      </c>
      <c r="AO200" s="16" t="n">
        <f aca="false">L200*Country_Data!$EB$32</f>
        <v>1.16410888435721</v>
      </c>
    </row>
    <row r="201" customFormat="false" ht="15" hidden="false" customHeight="false" outlineLevel="0" collapsed="false">
      <c r="A201" s="14" t="str">
        <f aca="false">Country_Data!$A$33</f>
        <v>ISR</v>
      </c>
      <c r="B201" s="14" t="str">
        <f aca="false">Country_Data!$E$33</f>
        <v>AE</v>
      </c>
      <c r="C201" s="35" t="s">
        <v>466</v>
      </c>
      <c r="D201" s="37" t="n">
        <f aca="false">IF(Country_Data!$BZ$33="","",Country_Data!$BZ$33)</f>
        <v>78.7744926719968</v>
      </c>
      <c r="E201" s="40" t="n">
        <f aca="false">Country_Data!$BW$33</f>
        <v>540.608</v>
      </c>
      <c r="F201" s="41" t="n">
        <f aca="false">Country_Data!$BX$33</f>
        <v>1.00310206286255</v>
      </c>
      <c r="G201" s="42" t="n">
        <f aca="false">IF(D201="","",D201/SUMIFS($D$5:$D$1369,$B$5:$B$1369,B201,$C$5:$C$1369,C201))</f>
        <v>0.00805020547134661</v>
      </c>
      <c r="H201" s="42" t="n">
        <f aca="false">E201/SUMIFS($E$5:$E$1369,$B$5:$B$1369,B201,$C$5:$C$1369,C201)</f>
        <v>0.00685312823877933</v>
      </c>
      <c r="I201" s="43" t="n">
        <f aca="false">IF(G201="",H201,p_beta_alloc*G201+(1-p_beta_alloc)*H201)*F201^p_phi</f>
        <v>0.00746321567521405</v>
      </c>
      <c r="J201" s="16" t="n">
        <f aca="false">INDEX(Sector_Params!$C$16:$E$16,MATCH(B201,Sector_Params!$C$15:$E$15,0))*I201/SUMIFS($I$5:$I$1369,$B$5:$B$1369,B201,$C$5:$C$1369,C201)</f>
        <v>6.69417100898381</v>
      </c>
      <c r="K201" s="28" t="n">
        <f aca="false">INDEX(Sector_Params!$F$5:$H$5,MATCH(B201,Sector_Params!$C$15:$E$15,0))</f>
        <v>0.38</v>
      </c>
      <c r="L201" s="16" t="n">
        <f aca="false">J201*K201</f>
        <v>2.54378498341385</v>
      </c>
      <c r="M201" s="44" t="n">
        <f aca="false">Country_Data!$DW$33+Sector_Params!$E$5</f>
        <v>0.055</v>
      </c>
      <c r="N201" s="44" t="n">
        <f aca="false">Country_Data!$DX$33+Sector_Params!$E$5</f>
        <v>0.07</v>
      </c>
      <c r="O201" s="11" t="n">
        <f aca="false">IF(p_use_ibrd=1,p_r_ibrd,p_r_wb)</f>
        <v>0.06</v>
      </c>
      <c r="P201" s="45" t="n">
        <f aca="false">Sector_Params!$D$5</f>
        <v>25</v>
      </c>
      <c r="Q201" s="46" t="n">
        <f aca="false">M201/(1-(1+M201)^-P201)</f>
        <v>0.0745493529464385</v>
      </c>
      <c r="R201" s="46" t="n">
        <f aca="false">N201/(1-(1+N201)^-P201)</f>
        <v>0.0858105172206656</v>
      </c>
      <c r="S201" s="46" t="n">
        <f aca="false">O201/(1-(1+O201)^-P201)</f>
        <v>0.078226718212274</v>
      </c>
      <c r="T201" s="37" t="n">
        <f aca="false">IF(AND(p_eng=1,ISNUMBER(Country_Data!$CZ$33)),Country_Data!$CZ$33,Country_Data!$CM$33)*Sector_Params!$I$5</f>
        <v>0.0281884310833365</v>
      </c>
      <c r="U201" s="37" t="n">
        <f aca="false">IF(AND(p_eng=1,ISNUMBER(Country_Data!$DA$33)),Country_Data!$DA$33,Country_Data!$CN$33)*Sector_Params!$J$5</f>
        <v>0.00579407068917437</v>
      </c>
      <c r="V201" s="37" t="n">
        <f aca="false">IF(AND(p_eng=1,ISNUMBER(Country_Data!$DB$33)),Country_Data!$DB$33,p_a)</f>
        <v>0.845558169257092</v>
      </c>
      <c r="W201" s="16" t="n">
        <f aca="false">T201*L201</f>
        <v>0.0717053076957874</v>
      </c>
      <c r="X201" s="16" t="n">
        <f aca="false">U201*L201</f>
        <v>0.0147388700119601</v>
      </c>
      <c r="Y201" s="16" t="n">
        <f aca="false">V201*L201</f>
        <v>2.15091817355909</v>
      </c>
      <c r="Z201" s="16" t="n">
        <f aca="false">Q201*L201</f>
        <v>0.189637524548369</v>
      </c>
      <c r="AA201" s="16" t="n">
        <f aca="false">R201*L201</f>
        <v>0.218283505124904</v>
      </c>
      <c r="AB201" s="16" t="n">
        <f aca="false">S201*L201</f>
        <v>0.198991951090129</v>
      </c>
      <c r="AC201" s="16" t="n">
        <f aca="false">Z201-W201</f>
        <v>0.117932216852582</v>
      </c>
      <c r="AD201" s="16" t="n">
        <f aca="false">AA201-W201</f>
        <v>0.146578197429117</v>
      </c>
      <c r="AE201" s="16" t="n">
        <f aca="false">AB201-W201</f>
        <v>0.127286643394341</v>
      </c>
      <c r="AF201" s="16" t="n">
        <f aca="false">AE201-X201</f>
        <v>0.112547773382381</v>
      </c>
      <c r="AG201" s="16" t="n">
        <f aca="false">AF201-p_spc_lo*Y201/1000</f>
        <v>0.00500186470442671</v>
      </c>
      <c r="AH201" s="16" t="n">
        <f aca="false">AF201-p_spc_hi*Y201/1000</f>
        <v>-0.102544043973528</v>
      </c>
      <c r="AI201" s="16" t="n">
        <f aca="false">Q201*J201</f>
        <v>0.49904611723255</v>
      </c>
      <c r="AJ201" s="16" t="n">
        <f aca="false">S201*J201</f>
        <v>0.52366302918455</v>
      </c>
      <c r="AK201" s="16" t="n">
        <f aca="false">T201*J201</f>
        <v>0.188698178146809</v>
      </c>
      <c r="AL201" s="16" t="n">
        <f aca="false">U201*J201</f>
        <v>0.0387865000314739</v>
      </c>
      <c r="AM201" s="16" t="n">
        <f aca="false">AI201-AJ201</f>
        <v>-0.0246169119519996</v>
      </c>
      <c r="AN201" s="16" t="n">
        <f aca="false">J201*Country_Data!$EB$33</f>
        <v>6.99425453697273</v>
      </c>
      <c r="AO201" s="16" t="n">
        <f aca="false">L201*Country_Data!$EB$33</f>
        <v>2.65781672404964</v>
      </c>
    </row>
    <row r="202" customFormat="false" ht="15" hidden="false" customHeight="false" outlineLevel="0" collapsed="false">
      <c r="A202" s="14" t="str">
        <f aca="false">Country_Data!$A$33</f>
        <v>ISR</v>
      </c>
      <c r="B202" s="14" t="str">
        <f aca="false">Country_Data!$E$33</f>
        <v>AE</v>
      </c>
      <c r="C202" s="35" t="s">
        <v>470</v>
      </c>
      <c r="D202" s="37" t="n">
        <f aca="false">IF(Country_Data!$BZ$33="","",Country_Data!$BZ$33)</f>
        <v>78.7744926719968</v>
      </c>
      <c r="E202" s="40" t="n">
        <f aca="false">Country_Data!$BW$33</f>
        <v>540.608</v>
      </c>
      <c r="F202" s="41" t="n">
        <f aca="false">Country_Data!$BX$33</f>
        <v>1.00310206286255</v>
      </c>
      <c r="G202" s="42" t="n">
        <f aca="false">IF(D202="","",D202/SUMIFS($D$5:$D$1369,$B$5:$B$1369,B202,$C$5:$C$1369,C202))</f>
        <v>0.00805020547134661</v>
      </c>
      <c r="H202" s="42" t="n">
        <f aca="false">E202/SUMIFS($E$5:$E$1369,$B$5:$B$1369,B202,$C$5:$C$1369,C202)</f>
        <v>0.00685312823877933</v>
      </c>
      <c r="I202" s="43" t="n">
        <f aca="false">IF(G202="",H202,p_beta_alloc*G202+(1-p_beta_alloc)*H202)*F202^p_phi</f>
        <v>0.00746321567521405</v>
      </c>
      <c r="J202" s="16" t="n">
        <f aca="false">INDEX(Sector_Params!$C$17:$E$17,MATCH(B202,Sector_Params!$C$15:$E$15,0))*I202/SUMIFS($I$5:$I$1369,$B$5:$B$1369,B202,$C$5:$C$1369,C202)</f>
        <v>4.59028869187461</v>
      </c>
      <c r="K202" s="28" t="n">
        <f aca="false">INDEX(Sector_Params!$F$6:$H$6,MATCH(B202,Sector_Params!$C$15:$E$15,0))</f>
        <v>0.38</v>
      </c>
      <c r="L202" s="16" t="n">
        <f aca="false">J202*K202</f>
        <v>1.74430970291235</v>
      </c>
      <c r="M202" s="44" t="n">
        <f aca="false">Country_Data!$DW$33+Sector_Params!$E$6</f>
        <v>0.055</v>
      </c>
      <c r="N202" s="44" t="n">
        <f aca="false">Country_Data!$DX$33+Sector_Params!$E$6</f>
        <v>0.07</v>
      </c>
      <c r="O202" s="11" t="n">
        <f aca="false">IF(p_use_ibrd=1,p_r_ibrd,p_r_wb)</f>
        <v>0.06</v>
      </c>
      <c r="P202" s="45" t="n">
        <f aca="false">Sector_Params!$D$6</f>
        <v>40</v>
      </c>
      <c r="Q202" s="46" t="n">
        <f aca="false">M202/(1-(1+M202)^-P202)</f>
        <v>0.062320343360638</v>
      </c>
      <c r="R202" s="46" t="n">
        <f aca="false">N202/(1-(1+N202)^-P202)</f>
        <v>0.0750091388736103</v>
      </c>
      <c r="S202" s="46" t="n">
        <f aca="false">O202/(1-(1+O202)^-P202)</f>
        <v>0.0664615359206755</v>
      </c>
      <c r="T202" s="37" t="n">
        <f aca="false">p_grid_credit*IF(AND(p_eng=1,ISNUMBER(Country_Data!$CZ$33)),Country_Data!$CZ$33,Country_Data!$CM$33)*Sector_Params!$I$6</f>
        <v>0</v>
      </c>
      <c r="U202" s="37" t="n">
        <f aca="false">p_grid_credit*IF(AND(p_eng=1,ISNUMBER(Country_Data!$DA$33)),Country_Data!$DA$33,Country_Data!$CN$33)*Sector_Params!$J$6</f>
        <v>0</v>
      </c>
      <c r="V202" s="37" t="n">
        <f aca="false">p_grid_credit*IF(AND(p_eng=1,ISNUMBER(Country_Data!$DB$33)),Country_Data!$DB$33,p_a)</f>
        <v>0</v>
      </c>
      <c r="W202" s="16" t="n">
        <f aca="false">T202*L202</f>
        <v>0</v>
      </c>
      <c r="X202" s="16" t="n">
        <f aca="false">U202*L202</f>
        <v>0</v>
      </c>
      <c r="Y202" s="16" t="n">
        <f aca="false">V202*L202</f>
        <v>0</v>
      </c>
      <c r="Z202" s="16" t="n">
        <f aca="false">Q202*L202</f>
        <v>0.10870597961279</v>
      </c>
      <c r="AA202" s="16" t="n">
        <f aca="false">R202*L202</f>
        <v>0.130839168744339</v>
      </c>
      <c r="AB202" s="16" t="n">
        <f aca="false">S202*L202</f>
        <v>0.115929501976892</v>
      </c>
      <c r="AC202" s="16" t="n">
        <f aca="false">Z202-W202</f>
        <v>0.10870597961279</v>
      </c>
      <c r="AD202" s="16" t="n">
        <f aca="false">AA202-W202</f>
        <v>0.130839168744339</v>
      </c>
      <c r="AE202" s="16" t="n">
        <f aca="false">AB202-W202</f>
        <v>0.115929501976892</v>
      </c>
      <c r="AF202" s="16" t="n">
        <f aca="false">AE202-X202</f>
        <v>0.115929501976892</v>
      </c>
      <c r="AG202" s="16" t="n">
        <f aca="false">AF202-p_spc_lo*Y202/1000</f>
        <v>0.115929501976892</v>
      </c>
      <c r="AH202" s="16" t="n">
        <f aca="false">AF202-p_spc_hi*Y202/1000</f>
        <v>0.115929501976892</v>
      </c>
      <c r="AI202" s="16" t="n">
        <f aca="false">Q202*J202</f>
        <v>0.286068367402079</v>
      </c>
      <c r="AJ202" s="16" t="n">
        <f aca="false">S202*J202</f>
        <v>0.305077636781295</v>
      </c>
      <c r="AK202" s="16" t="n">
        <f aca="false">T202*J202</f>
        <v>0</v>
      </c>
      <c r="AL202" s="16" t="n">
        <f aca="false">U202*J202</f>
        <v>0</v>
      </c>
      <c r="AM202" s="16" t="n">
        <f aca="false">AI202-AJ202</f>
        <v>-0.0190092693792157</v>
      </c>
      <c r="AN202" s="16" t="n">
        <f aca="false">J202*Country_Data!$EB$33</f>
        <v>4.79606025392416</v>
      </c>
      <c r="AO202" s="16" t="n">
        <f aca="false">L202*Country_Data!$EB$33</f>
        <v>1.82250289649118</v>
      </c>
    </row>
    <row r="203" customFormat="false" ht="15" hidden="false" customHeight="false" outlineLevel="0" collapsed="false">
      <c r="A203" s="14" t="str">
        <f aca="false">Country_Data!$A$33</f>
        <v>ISR</v>
      </c>
      <c r="B203" s="14" t="str">
        <f aca="false">Country_Data!$E$33</f>
        <v>AE</v>
      </c>
      <c r="C203" s="35" t="s">
        <v>473</v>
      </c>
      <c r="D203" s="37" t="n">
        <f aca="false">IF(Country_Data!$CA$33="","",Country_Data!$CA$33)</f>
        <v>0.287589216640658</v>
      </c>
      <c r="E203" s="40" t="n">
        <f aca="false">Country_Data!$BW$33</f>
        <v>540.608</v>
      </c>
      <c r="F203" s="41" t="n">
        <f aca="false">Country_Data!$BX$33</f>
        <v>1.00310206286255</v>
      </c>
      <c r="G203" s="42" t="n">
        <f aca="false">IF(D203="","",D203/SUMIFS($D$5:$D$1369,$B$5:$B$1369,B203,$C$5:$C$1369,C203))</f>
        <v>0.00562983786228452</v>
      </c>
      <c r="H203" s="42" t="n">
        <f aca="false">E203/SUMIFS($E$5:$E$1369,$B$5:$B$1369,B203,$C$5:$C$1369,C203)</f>
        <v>0.00685312823877933</v>
      </c>
      <c r="I203" s="43" t="n">
        <f aca="false">IF(G203="",H203,p_beta_alloc*G203+(1-p_beta_alloc)*H203)*F203^p_phi</f>
        <v>0.00625115629097982</v>
      </c>
      <c r="J203" s="16" t="n">
        <f aca="false">INDEX(Sector_Params!$C$18:$E$18,MATCH(B203,Sector_Params!$C$15:$E$15,0))*I203/SUMIFS($I$5:$I$1369,$B$5:$B$1369,B203,$C$5:$C$1369,C203)</f>
        <v>2.35576800684629</v>
      </c>
      <c r="K203" s="28" t="n">
        <f aca="false">INDEX(Sector_Params!$F$7:$H$7,MATCH(B203,Sector_Params!$C$15:$E$15,0))</f>
        <v>0.38</v>
      </c>
      <c r="L203" s="16" t="n">
        <f aca="false">J203*K203</f>
        <v>0.895191842601589</v>
      </c>
      <c r="M203" s="44" t="n">
        <f aca="false">Country_Data!$DW$33+Sector_Params!$E$7</f>
        <v>0.055</v>
      </c>
      <c r="N203" s="44" t="n">
        <f aca="false">Country_Data!$DX$33+Sector_Params!$E$7</f>
        <v>0.07</v>
      </c>
      <c r="O203" s="11" t="n">
        <f aca="false">IF(p_use_ibrd=1,p_r_ibrd,p_r_wb)</f>
        <v>0.06</v>
      </c>
      <c r="P203" s="45" t="n">
        <f aca="false">Sector_Params!$D$7</f>
        <v>12</v>
      </c>
      <c r="Q203" s="46" t="n">
        <f aca="false">M203/(1-(1+M203)^-P203)</f>
        <v>0.116029231191614</v>
      </c>
      <c r="R203" s="46" t="n">
        <f aca="false">N203/(1-(1+N203)^-P203)</f>
        <v>0.12590198865502</v>
      </c>
      <c r="S203" s="46" t="n">
        <f aca="false">O203/(1-(1+O203)^-P203)</f>
        <v>0.119277029380664</v>
      </c>
      <c r="T203" s="37" t="n">
        <f aca="false">IF(AND(p_eng=1,ISNUMBER(Country_Data!$DE$33)),Country_Data!$DE$33,Country_Data!$CM$33)*Sector_Params!$I$7</f>
        <v>0.13429566</v>
      </c>
      <c r="U203" s="37" t="n">
        <f aca="false">IF(AND(p_eng=1,ISNUMBER(Country_Data!$DF$33)),Country_Data!$DF$33,Country_Data!$CN$33)*Sector_Params!$J$7</f>
        <v>0.0099459</v>
      </c>
      <c r="V203" s="37" t="n">
        <f aca="false">IF(AND(p_eng=1,ISNUMBER(Country_Data!$DG$33)),Country_Data!$DG$33,p_a)</f>
        <v>0.334852306333739</v>
      </c>
      <c r="W203" s="16" t="n">
        <f aca="false">T203*L203</f>
        <v>0.120220379328797</v>
      </c>
      <c r="X203" s="16" t="n">
        <f aca="false">U203*L203</f>
        <v>0.00890348854733114</v>
      </c>
      <c r="Y203" s="16" t="n">
        <f aca="false">V203*L203</f>
        <v>0.299757053106292</v>
      </c>
      <c r="Z203" s="16" t="n">
        <f aca="false">Q203*L203</f>
        <v>0.103868421266067</v>
      </c>
      <c r="AA203" s="16" t="n">
        <f aca="false">R203*L203</f>
        <v>0.112706433211292</v>
      </c>
      <c r="AB203" s="16" t="n">
        <f aca="false">S203*L203</f>
        <v>0.10677582371132</v>
      </c>
      <c r="AC203" s="16" t="n">
        <f aca="false">Z203-W203</f>
        <v>-0.0163519580627294</v>
      </c>
      <c r="AD203" s="16" t="n">
        <f aca="false">AA203-W203</f>
        <v>-0.00751394611750443</v>
      </c>
      <c r="AE203" s="16" t="n">
        <f aca="false">AB203-W203</f>
        <v>-0.0134445556174764</v>
      </c>
      <c r="AF203" s="16" t="n">
        <f aca="false">AE203-X203</f>
        <v>-0.0223480441648076</v>
      </c>
      <c r="AG203" s="16" t="n">
        <f aca="false">AF203-p_spc_lo*Y203/1000</f>
        <v>-0.0373358968201222</v>
      </c>
      <c r="AH203" s="16" t="n">
        <f aca="false">AF203-p_spc_hi*Y203/1000</f>
        <v>-0.0523237494754368</v>
      </c>
      <c r="AI203" s="16" t="n">
        <f aca="false">Q203*J203</f>
        <v>0.273337950700177</v>
      </c>
      <c r="AJ203" s="16" t="n">
        <f aca="false">S203*J203</f>
        <v>0.280989009766632</v>
      </c>
      <c r="AK203" s="16" t="n">
        <f aca="false">T203*J203</f>
        <v>0.316369419286307</v>
      </c>
      <c r="AL203" s="16" t="n">
        <f aca="false">U203*J203</f>
        <v>0.0234302330192925</v>
      </c>
      <c r="AM203" s="16" t="n">
        <f aca="false">AI203-AJ203</f>
        <v>-0.00765105906645519</v>
      </c>
      <c r="AN203" s="16" t="n">
        <f aca="false">J203*Country_Data!$EB$33</f>
        <v>2.46137140025664</v>
      </c>
      <c r="AO203" s="16" t="n">
        <f aca="false">L203*Country_Data!$EB$33</f>
        <v>0.935321132097522</v>
      </c>
    </row>
    <row r="204" customFormat="false" ht="15" hidden="false" customHeight="false" outlineLevel="0" collapsed="false">
      <c r="A204" s="14" t="str">
        <f aca="false">Country_Data!$A$33</f>
        <v>ISR</v>
      </c>
      <c r="B204" s="14" t="str">
        <f aca="false">Country_Data!$E$33</f>
        <v>AE</v>
      </c>
      <c r="C204" s="35" t="s">
        <v>477</v>
      </c>
      <c r="D204" s="37" t="n">
        <f aca="false">IF(Country_Data!$CB$33="","",Country_Data!$CB$33)</f>
        <v>0.13290076649535</v>
      </c>
      <c r="E204" s="40" t="n">
        <f aca="false">Country_Data!$BW$33</f>
        <v>540.608</v>
      </c>
      <c r="F204" s="41" t="n">
        <f aca="false">Country_Data!$BX$33</f>
        <v>1.00310206286255</v>
      </c>
      <c r="G204" s="42" t="n">
        <f aca="false">IF(D204="","",D204/SUMIFS($D$5:$D$1369,$B$5:$B$1369,B204,$C$5:$C$1369,C204))</f>
        <v>0.00341755744462452</v>
      </c>
      <c r="H204" s="42" t="n">
        <f aca="false">E204/SUMIFS($E$5:$E$1369,$B$5:$B$1369,B204,$C$5:$C$1369,C204)</f>
        <v>0.00685312823877933</v>
      </c>
      <c r="I204" s="43" t="n">
        <f aca="false">IF(G204="",H204,p_beta_alloc*G204+(1-p_beta_alloc)*H204)*F204^p_phi</f>
        <v>0.00514330175237875</v>
      </c>
      <c r="J204" s="16" t="n">
        <f aca="false">INDEX(Sector_Params!$C$19:$E$19,MATCH(B204,Sector_Params!$C$15:$E$15,0))*I204/SUMIFS($I$5:$I$1369,$B$5:$B$1369,B204,$C$5:$C$1369,C204)</f>
        <v>1.51190912889454</v>
      </c>
      <c r="K204" s="28" t="n">
        <f aca="false">INDEX(Sector_Params!$F$8:$H$8,MATCH(B204,Sector_Params!$C$15:$E$15,0))</f>
        <v>0.38</v>
      </c>
      <c r="L204" s="16" t="n">
        <f aca="false">J204*K204</f>
        <v>0.574525468979926</v>
      </c>
      <c r="M204" s="44" t="n">
        <f aca="false">Country_Data!$DW$33+Sector_Params!$E$8</f>
        <v>0.055</v>
      </c>
      <c r="N204" s="44" t="n">
        <f aca="false">Country_Data!$DX$33+Sector_Params!$E$8</f>
        <v>0.07</v>
      </c>
      <c r="O204" s="11" t="n">
        <f aca="false">IF(p_use_ibrd=1,p_r_ibrd,p_r_wb)</f>
        <v>0.06</v>
      </c>
      <c r="P204" s="45" t="n">
        <f aca="false">Sector_Params!$D$8</f>
        <v>25</v>
      </c>
      <c r="Q204" s="46" t="n">
        <f aca="false">M204/(1-(1+M204)^-P204)</f>
        <v>0.0745493529464385</v>
      </c>
      <c r="R204" s="46" t="n">
        <f aca="false">N204/(1-(1+N204)^-P204)</f>
        <v>0.0858105172206656</v>
      </c>
      <c r="S204" s="46" t="n">
        <f aca="false">O204/(1-(1+O204)^-P204)</f>
        <v>0.078226718212274</v>
      </c>
      <c r="T204" s="37" t="n">
        <f aca="false">Country_Data!$CM$33*Sector_Params!$I$8</f>
        <v>0.127905984223955</v>
      </c>
      <c r="U204" s="37" t="n">
        <f aca="false">Country_Data!$CN$33*Sector_Params!$J$8</f>
        <v>0.0370454409908063</v>
      </c>
      <c r="V204" s="37" t="n">
        <f aca="false">p_a</f>
        <v>0.35</v>
      </c>
      <c r="W204" s="16" t="n">
        <f aca="false">T204*L204</f>
        <v>0.0734852455716065</v>
      </c>
      <c r="X204" s="16" t="n">
        <f aca="false">U204*L204</f>
        <v>0.0212835493588112</v>
      </c>
      <c r="Y204" s="16" t="n">
        <f aca="false">V204*L204</f>
        <v>0.201083914142974</v>
      </c>
      <c r="Z204" s="16" t="n">
        <f aca="false">Q204*L204</f>
        <v>0.0428305019637026</v>
      </c>
      <c r="AA204" s="16" t="n">
        <f aca="false">R204*L204</f>
        <v>0.0493003276496129</v>
      </c>
      <c r="AB204" s="16" t="n">
        <f aca="false">S204*L204</f>
        <v>0.0449432419676672</v>
      </c>
      <c r="AC204" s="16" t="n">
        <f aca="false">Z204-W204</f>
        <v>-0.0306547436079039</v>
      </c>
      <c r="AD204" s="16" t="n">
        <f aca="false">AA204-W204</f>
        <v>-0.0241849179219936</v>
      </c>
      <c r="AE204" s="16" t="n">
        <f aca="false">AB204-W204</f>
        <v>-0.0285420036039393</v>
      </c>
      <c r="AF204" s="16" t="n">
        <f aca="false">AE204-X204</f>
        <v>-0.0498255529627505</v>
      </c>
      <c r="AG204" s="16" t="n">
        <f aca="false">AF204-p_spc_lo*Y204/1000</f>
        <v>-0.0598797486698992</v>
      </c>
      <c r="AH204" s="16" t="n">
        <f aca="false">AF204-p_spc_hi*Y204/1000</f>
        <v>-0.0699339443770479</v>
      </c>
      <c r="AI204" s="16" t="n">
        <f aca="false">Q204*J204</f>
        <v>0.112711847272902</v>
      </c>
      <c r="AJ204" s="16" t="n">
        <f aca="false">S204*J204</f>
        <v>0.118271689388598</v>
      </c>
      <c r="AK204" s="16" t="n">
        <f aca="false">T204*J204</f>
        <v>0.193382225188438</v>
      </c>
      <c r="AL204" s="16" t="n">
        <f aca="false">U204*J204</f>
        <v>0.0560093404179241</v>
      </c>
      <c r="AM204" s="16" t="n">
        <f aca="false">AI204-AJ204</f>
        <v>-0.00555984211569628</v>
      </c>
      <c r="AN204" s="16" t="n">
        <f aca="false">J204*Country_Data!$EB$33</f>
        <v>1.57968436570706</v>
      </c>
      <c r="AO204" s="16" t="n">
        <f aca="false">L204*Country_Data!$EB$33</f>
        <v>0.600280058968681</v>
      </c>
    </row>
    <row r="205" customFormat="false" ht="15" hidden="false" customHeight="false" outlineLevel="0" collapsed="false">
      <c r="A205" s="14" t="str">
        <f aca="false">Country_Data!$A$33</f>
        <v>ISR</v>
      </c>
      <c r="B205" s="14" t="str">
        <f aca="false">Country_Data!$E$33</f>
        <v>AE</v>
      </c>
      <c r="C205" s="35" t="s">
        <v>481</v>
      </c>
      <c r="D205" s="37" t="n">
        <f aca="false">IF(Country_Data!$CC$33="","",Country_Data!$CC$33)</f>
        <v>0.266904347337791</v>
      </c>
      <c r="E205" s="40" t="n">
        <f aca="false">Country_Data!$BW$33</f>
        <v>540.608</v>
      </c>
      <c r="F205" s="41" t="n">
        <f aca="false">Country_Data!$BX$33</f>
        <v>1.00310206286255</v>
      </c>
      <c r="G205" s="42" t="n">
        <f aca="false">IF(D205="","",D205/SUMIFS($D$5:$D$1369,$B$5:$B$1369,B205,$C$5:$C$1369,C205))</f>
        <v>0.00485975779411883</v>
      </c>
      <c r="H205" s="42" t="n">
        <f aca="false">E205/SUMIFS($E$5:$E$1369,$B$5:$B$1369,B205,$C$5:$C$1369,C205)</f>
        <v>0.00685312823877933</v>
      </c>
      <c r="I205" s="43" t="n">
        <f aca="false">IF(G205="",H205,p_beta_alloc*G205+(1-p_beta_alloc)*H205)*F205^p_phi</f>
        <v>0.00586551951012996</v>
      </c>
      <c r="J205" s="16" t="n">
        <f aca="false">INDEX(Sector_Params!$C$20:$E$20,MATCH(B205,Sector_Params!$C$15:$E$15,0))*I205/SUMIFS($I$5:$I$1369,$B$5:$B$1369,B205,$C$5:$C$1369,C205)</f>
        <v>0.996066989890514</v>
      </c>
      <c r="K205" s="28" t="n">
        <f aca="false">INDEX(Sector_Params!$F$9:$H$9,MATCH(B205,Sector_Params!$C$15:$E$15,0))</f>
        <v>0.38</v>
      </c>
      <c r="L205" s="16" t="n">
        <f aca="false">J205*K205</f>
        <v>0.378505456158395</v>
      </c>
      <c r="M205" s="44" t="n">
        <f aca="false">Country_Data!$DW$33+Sector_Params!$E$9</f>
        <v>0.055</v>
      </c>
      <c r="N205" s="44" t="n">
        <f aca="false">Country_Data!$DX$33+Sector_Params!$E$9</f>
        <v>0.07</v>
      </c>
      <c r="O205" s="11" t="n">
        <f aca="false">IF(p_use_ibrd=1,p_r_ibrd,p_r_wb)</f>
        <v>0.06</v>
      </c>
      <c r="P205" s="45" t="n">
        <f aca="false">Sector_Params!$D$9</f>
        <v>25</v>
      </c>
      <c r="Q205" s="46" t="n">
        <f aca="false">M205/(1-(1+M205)^-P205)</f>
        <v>0.0745493529464385</v>
      </c>
      <c r="R205" s="46" t="n">
        <f aca="false">N205/(1-(1+N205)^-P205)</f>
        <v>0.0858105172206656</v>
      </c>
      <c r="S205" s="46" t="n">
        <f aca="false">O205/(1-(1+O205)^-P205)</f>
        <v>0.078226718212274</v>
      </c>
      <c r="T205" s="37" t="n">
        <f aca="false">Country_Data!$CM$33*Sector_Params!$I$9</f>
        <v>0.127905984223955</v>
      </c>
      <c r="U205" s="37" t="n">
        <f aca="false">Country_Data!$CN$33*Sector_Params!$J$9</f>
        <v>0.0370454409908063</v>
      </c>
      <c r="V205" s="37" t="n">
        <f aca="false">p_a</f>
        <v>0.35</v>
      </c>
      <c r="W205" s="16" t="n">
        <f aca="false">T205*L205</f>
        <v>0.0484131129040765</v>
      </c>
      <c r="X205" s="16" t="n">
        <f aca="false">U205*L205</f>
        <v>0.0140219015408141</v>
      </c>
      <c r="Y205" s="16" t="n">
        <f aca="false">V205*L205</f>
        <v>0.132476909655438</v>
      </c>
      <c r="Z205" s="16" t="n">
        <f aca="false">Q205*L205</f>
        <v>0.0282173368433049</v>
      </c>
      <c r="AA205" s="16" t="n">
        <f aca="false">R205*L205</f>
        <v>0.0324797489637959</v>
      </c>
      <c r="AB205" s="16" t="n">
        <f aca="false">S205*L205</f>
        <v>0.029609239660711</v>
      </c>
      <c r="AC205" s="16" t="n">
        <f aca="false">Z205-W205</f>
        <v>-0.0201957760607715</v>
      </c>
      <c r="AD205" s="16" t="n">
        <f aca="false">AA205-W205</f>
        <v>-0.0159333639402806</v>
      </c>
      <c r="AE205" s="16" t="n">
        <f aca="false">AB205-W205</f>
        <v>-0.0188038732433654</v>
      </c>
      <c r="AF205" s="16" t="n">
        <f aca="false">AE205-X205</f>
        <v>-0.0328257747841795</v>
      </c>
      <c r="AG205" s="16" t="n">
        <f aca="false">AF205-p_spc_lo*Y205/1000</f>
        <v>-0.0394496202669514</v>
      </c>
      <c r="AH205" s="16" t="n">
        <f aca="false">AF205-p_spc_hi*Y205/1000</f>
        <v>-0.0460734657497233</v>
      </c>
      <c r="AI205" s="16" t="n">
        <f aca="false">Q205*J205</f>
        <v>0.0742561495876446</v>
      </c>
      <c r="AJ205" s="16" t="n">
        <f aca="false">S205*J205</f>
        <v>0.0779190517387132</v>
      </c>
      <c r="AK205" s="16" t="n">
        <f aca="false">T205*J205</f>
        <v>0.127402928694938</v>
      </c>
      <c r="AL205" s="16" t="n">
        <f aca="false">U205*J205</f>
        <v>0.0368997408968791</v>
      </c>
      <c r="AM205" s="16" t="n">
        <f aca="false">AI205-AJ205</f>
        <v>-0.00366290215106863</v>
      </c>
      <c r="AN205" s="16" t="n">
        <f aca="false">J205*Country_Data!$EB$33</f>
        <v>1.04071826874768</v>
      </c>
      <c r="AO205" s="16" t="n">
        <f aca="false">L205*Country_Data!$EB$33</f>
        <v>0.395472942124117</v>
      </c>
    </row>
    <row r="206" customFormat="false" ht="15" hidden="false" customHeight="false" outlineLevel="0" collapsed="false">
      <c r="A206" s="14" t="str">
        <f aca="false">Country_Data!$A$33</f>
        <v>ISR</v>
      </c>
      <c r="B206" s="14" t="str">
        <f aca="false">Country_Data!$E$33</f>
        <v>AE</v>
      </c>
      <c r="C206" s="35" t="s">
        <v>484</v>
      </c>
      <c r="D206" s="37" t="n">
        <f aca="false">IF(Country_Data!$CD$33="","",Country_Data!$CD$33)</f>
        <v>0.908470280742414</v>
      </c>
      <c r="E206" s="40" t="n">
        <f aca="false">Country_Data!$BW$33</f>
        <v>540.608</v>
      </c>
      <c r="F206" s="41" t="n">
        <f aca="false">Country_Data!$BX$33</f>
        <v>1.00310206286255</v>
      </c>
      <c r="G206" s="42" t="n">
        <f aca="false">IF(D206="","",D206/SUMIFS($D$5:$D$1369,$B$5:$B$1369,B206,$C$5:$C$1369,C206))</f>
        <v>0.00614661236063374</v>
      </c>
      <c r="H206" s="42" t="n">
        <f aca="false">E206/SUMIFS($E$5:$E$1369,$B$5:$B$1369,B206,$C$5:$C$1369,C206)</f>
        <v>0.00685312823877933</v>
      </c>
      <c r="I206" s="43" t="n">
        <f aca="false">IF(G206="",H206,p_beta_alloc*G206+(1-p_beta_alloc)*H206)*F206^p_phi</f>
        <v>0.00650994399657956</v>
      </c>
      <c r="J206" s="16" t="n">
        <f aca="false">INDEX(Sector_Params!$C$21:$E$21,MATCH(B206,Sector_Params!$C$15:$E$15,0))*I206/SUMIFS($I$5:$I$1369,$B$5:$B$1369,B206,$C$5:$C$1369,C206)</f>
        <v>1.32639936895028</v>
      </c>
      <c r="K206" s="28" t="n">
        <f aca="false">INDEX(Sector_Params!$F$10:$H$10,MATCH(B206,Sector_Params!$C$15:$E$15,0))</f>
        <v>0.38</v>
      </c>
      <c r="L206" s="16" t="n">
        <f aca="false">J206*K206</f>
        <v>0.504031760201106</v>
      </c>
      <c r="M206" s="44" t="n">
        <f aca="false">Country_Data!$DW$33+Sector_Params!$E$10</f>
        <v>0.055</v>
      </c>
      <c r="N206" s="44" t="n">
        <f aca="false">Country_Data!$DX$33+Sector_Params!$E$10</f>
        <v>0.07</v>
      </c>
      <c r="O206" s="11" t="n">
        <f aca="false">IF(p_use_ibrd=1,p_r_ibrd,p_r_wb)</f>
        <v>0.06</v>
      </c>
      <c r="P206" s="45" t="n">
        <f aca="false">Sector_Params!$D$10</f>
        <v>20</v>
      </c>
      <c r="Q206" s="46" t="n">
        <f aca="false">M206/(1-(1+M206)^-P206)</f>
        <v>0.0836793300349332</v>
      </c>
      <c r="R206" s="46" t="n">
        <f aca="false">N206/(1-(1+N206)^-P206)</f>
        <v>0.0943929257432557</v>
      </c>
      <c r="S206" s="46" t="n">
        <f aca="false">O206/(1-(1+O206)^-P206)</f>
        <v>0.0871845569768514</v>
      </c>
      <c r="T206" s="37" t="n">
        <f aca="false">0*Sector_Params!$I$10</f>
        <v>0</v>
      </c>
      <c r="U206" s="37" t="n">
        <f aca="false">0*Sector_Params!$J$10</f>
        <v>0</v>
      </c>
      <c r="V206" s="37" t="n">
        <f aca="false">1000*p_r_wb/(1-(1+p_r_wb)^-Sector_Params!$D$10)/p_cpt_fuel</f>
        <v>0.871845569768514</v>
      </c>
      <c r="W206" s="16" t="n">
        <f aca="false">T206*L206</f>
        <v>0</v>
      </c>
      <c r="X206" s="16" t="n">
        <f aca="false">U206*L206</f>
        <v>0</v>
      </c>
      <c r="Y206" s="16" t="n">
        <f aca="false">V206*L206</f>
        <v>0.43943785715396</v>
      </c>
      <c r="Z206" s="16" t="n">
        <f aca="false">Q206*L206</f>
        <v>0.0421770400099567</v>
      </c>
      <c r="AA206" s="16" t="n">
        <f aca="false">R206*L206</f>
        <v>0.0475770325129054</v>
      </c>
      <c r="AB206" s="16" t="n">
        <f aca="false">S206*L206</f>
        <v>0.043943785715396</v>
      </c>
      <c r="AC206" s="16" t="n">
        <f aca="false">Z206-W206</f>
        <v>0.0421770400099567</v>
      </c>
      <c r="AD206" s="16" t="n">
        <f aca="false">AA206-W206</f>
        <v>0.0475770325129054</v>
      </c>
      <c r="AE206" s="16" t="n">
        <f aca="false">AB206-W206</f>
        <v>0.043943785715396</v>
      </c>
      <c r="AF206" s="16" t="n">
        <f aca="false">AE206-X206</f>
        <v>0.043943785715396</v>
      </c>
      <c r="AG206" s="16" t="n">
        <f aca="false">AF206-p_spc_lo*Y206/1000</f>
        <v>0.021971892857698</v>
      </c>
      <c r="AH206" s="16" t="n">
        <f aca="false">AF206-p_spc_hi*Y206/1000</f>
        <v>0</v>
      </c>
      <c r="AI206" s="16" t="n">
        <f aca="false">Q206*J206</f>
        <v>0.110992210552518</v>
      </c>
      <c r="AJ206" s="16" t="n">
        <f aca="false">S206*J206</f>
        <v>0.115641541356305</v>
      </c>
      <c r="AK206" s="16" t="n">
        <f aca="false">T206*J206</f>
        <v>0</v>
      </c>
      <c r="AL206" s="16" t="n">
        <f aca="false">U206*J206</f>
        <v>0</v>
      </c>
      <c r="AM206" s="16" t="n">
        <f aca="false">AI206-AJ206</f>
        <v>-0.00464933080378779</v>
      </c>
      <c r="AN206" s="16" t="n">
        <f aca="false">J206*Country_Data!$EB$33</f>
        <v>1.38585865100667</v>
      </c>
      <c r="AO206" s="16" t="n">
        <f aca="false">L206*Country_Data!$EB$33</f>
        <v>0.526626287382535</v>
      </c>
    </row>
    <row r="207" customFormat="false" ht="15" hidden="false" customHeight="false" outlineLevel="0" collapsed="false">
      <c r="A207" s="14" t="str">
        <f aca="false">Country_Data!$A$33</f>
        <v>ISR</v>
      </c>
      <c r="B207" s="14" t="str">
        <f aca="false">Country_Data!$E$33</f>
        <v>AE</v>
      </c>
      <c r="C207" s="35" t="s">
        <v>488</v>
      </c>
      <c r="D207" s="37" t="n">
        <f aca="false">IF(Country_Data!$CE$33="","",Country_Data!$CE$33)</f>
        <v>28.256</v>
      </c>
      <c r="E207" s="40" t="n">
        <f aca="false">Country_Data!$BW$33</f>
        <v>540.608</v>
      </c>
      <c r="F207" s="41" t="n">
        <f aca="false">Country_Data!$BX$33</f>
        <v>1.00310206286255</v>
      </c>
      <c r="G207" s="42" t="n">
        <f aca="false">IF(D207="","",D207/SUMIFS($D$5:$D$1369,$B$5:$B$1369,B207,$C$5:$C$1369,C207))</f>
        <v>0.0107836050733626</v>
      </c>
      <c r="H207" s="42" t="n">
        <f aca="false">E207/SUMIFS($E$5:$E$1369,$B$5:$B$1369,B207,$C$5:$C$1369,C207)</f>
        <v>0.00685312823877933</v>
      </c>
      <c r="I207" s="43" t="n">
        <f aca="false">IF(G207="",H207,p_beta_alloc*G207+(1-p_beta_alloc)*H207)*F207^p_phi</f>
        <v>0.00883203362918153</v>
      </c>
      <c r="J207" s="16" t="n">
        <f aca="false">INDEX(Sector_Params!$C$22:$E$22,MATCH(B207,Sector_Params!$C$15:$E$15,0))*I207/SUMIFS($I$5:$I$1369,$B$5:$B$1369,B207,$C$5:$C$1369,C207)</f>
        <v>0.342220306528871</v>
      </c>
      <c r="K207" s="28" t="n">
        <f aca="false">INDEX(Sector_Params!$F$11:$H$11,MATCH(B207,Sector_Params!$C$15:$E$15,0))</f>
        <v>0.38</v>
      </c>
      <c r="L207" s="16" t="n">
        <f aca="false">J207*K207</f>
        <v>0.130043716480971</v>
      </c>
      <c r="M207" s="44" t="n">
        <f aca="false">Country_Data!$DW$33+Sector_Params!$E$11</f>
        <v>0.055</v>
      </c>
      <c r="N207" s="44" t="n">
        <f aca="false">Country_Data!$DX$33+Sector_Params!$E$11</f>
        <v>0.07</v>
      </c>
      <c r="O207" s="11" t="n">
        <f aca="false">IF(p_use_ibrd=1,p_r_ibrd,p_r_wb)</f>
        <v>0.06</v>
      </c>
      <c r="P207" s="45" t="n">
        <f aca="false">Sector_Params!$D$11</f>
        <v>30</v>
      </c>
      <c r="Q207" s="46" t="n">
        <f aca="false">M207/(1-(1+M207)^-P207)</f>
        <v>0.0688053896793896</v>
      </c>
      <c r="R207" s="46" t="n">
        <f aca="false">N207/(1-(1+N207)^-P207)</f>
        <v>0.0805864035111112</v>
      </c>
      <c r="S207" s="46" t="n">
        <f aca="false">O207/(1-(1+O207)^-P207)</f>
        <v>0.0726489114900472</v>
      </c>
      <c r="T207" s="37" t="n">
        <f aca="false">0*Sector_Params!$I$11</f>
        <v>0</v>
      </c>
      <c r="U207" s="37" t="n">
        <f aca="false">p_c*Sector_Params!$J$11</f>
        <v>0.129</v>
      </c>
      <c r="V207" s="37" t="n">
        <f aca="false">1000*p_r_wb/(1-(1+p_r_wb)^-Sector_Params!$D$11)/p_cpt_afolu</f>
        <v>1.45297822980094</v>
      </c>
      <c r="W207" s="16" t="n">
        <f aca="false">T207*L207</f>
        <v>0</v>
      </c>
      <c r="X207" s="16" t="n">
        <f aca="false">U207*L207</f>
        <v>0.0167756394260452</v>
      </c>
      <c r="Y207" s="16" t="n">
        <f aca="false">V207*L207</f>
        <v>0.188950688969257</v>
      </c>
      <c r="Z207" s="16" t="n">
        <f aca="false">Q207*L207</f>
        <v>0.00894770858782925</v>
      </c>
      <c r="AA207" s="16" t="n">
        <f aca="false">R207*L207</f>
        <v>0.0104797554104201</v>
      </c>
      <c r="AB207" s="16" t="n">
        <f aca="false">S207*L207</f>
        <v>0.00944753444846284</v>
      </c>
      <c r="AC207" s="16" t="n">
        <f aca="false">Z207-W207</f>
        <v>0.00894770858782925</v>
      </c>
      <c r="AD207" s="16" t="n">
        <f aca="false">AA207-W207</f>
        <v>0.0104797554104201</v>
      </c>
      <c r="AE207" s="16" t="n">
        <f aca="false">AB207-W207</f>
        <v>0.00944753444846284</v>
      </c>
      <c r="AF207" s="16" t="n">
        <f aca="false">AE207-X207</f>
        <v>-0.00732810497758239</v>
      </c>
      <c r="AG207" s="16" t="n">
        <f aca="false">AF207-p_spc_lo*Y207/1000</f>
        <v>-0.0167756394260452</v>
      </c>
      <c r="AH207" s="16" t="n">
        <f aca="false">AF207-p_spc_hi*Y207/1000</f>
        <v>-0.0262231738745081</v>
      </c>
      <c r="AI207" s="16" t="n">
        <f aca="false">Q207*J207</f>
        <v>0.0235466015469191</v>
      </c>
      <c r="AJ207" s="16" t="n">
        <f aca="false">S207*J207</f>
        <v>0.0248619327591127</v>
      </c>
      <c r="AK207" s="16" t="n">
        <f aca="false">T207*J207</f>
        <v>0</v>
      </c>
      <c r="AL207" s="16" t="n">
        <f aca="false">U207*J207</f>
        <v>0.0441464195422243</v>
      </c>
      <c r="AM207" s="16" t="n">
        <f aca="false">AI207-AJ207</f>
        <v>-0.00131533121219365</v>
      </c>
      <c r="AN207" s="16" t="n">
        <f aca="false">J207*Country_Data!$EB$33</f>
        <v>0.357561216821544</v>
      </c>
      <c r="AO207" s="16" t="n">
        <f aca="false">L207*Country_Data!$EB$33</f>
        <v>0.135873262392187</v>
      </c>
    </row>
    <row r="208" customFormat="false" ht="15" hidden="false" customHeight="false" outlineLevel="0" collapsed="false">
      <c r="A208" s="14" t="str">
        <f aca="false">Country_Data!$A$34</f>
        <v>AUT</v>
      </c>
      <c r="B208" s="14" t="str">
        <f aca="false">Country_Data!$E$34</f>
        <v>AE</v>
      </c>
      <c r="C208" s="35" t="s">
        <v>466</v>
      </c>
      <c r="D208" s="37" t="n">
        <f aca="false">IF(Country_Data!$BZ$34="","",Country_Data!$BZ$34)</f>
        <v>62.6277151136259</v>
      </c>
      <c r="E208" s="40" t="n">
        <f aca="false">Country_Data!$BW$34</f>
        <v>672.857</v>
      </c>
      <c r="F208" s="41" t="n">
        <f aca="false">Country_Data!$BX$34</f>
        <v>0.794567047678779</v>
      </c>
      <c r="G208" s="42" t="n">
        <f aca="false">IF(D208="","",D208/SUMIFS($D$5:$D$1369,$B$5:$B$1369,B208,$C$5:$C$1369,C208))</f>
        <v>0.00640011706536667</v>
      </c>
      <c r="H208" s="42" t="n">
        <f aca="false">E208/SUMIFS($E$5:$E$1369,$B$5:$B$1369,B208,$C$5:$C$1369,C208)</f>
        <v>0.00852960982331069</v>
      </c>
      <c r="I208" s="43" t="n">
        <f aca="false">IF(G208="",H208,p_beta_alloc*G208+(1-p_beta_alloc)*H208)*F208^p_phi</f>
        <v>0.00665406658721598</v>
      </c>
      <c r="J208" s="16" t="n">
        <f aca="false">INDEX(Sector_Params!$C$16:$E$16,MATCH(B208,Sector_Params!$C$15:$E$15,0))*I208/SUMIFS($I$5:$I$1369,$B$5:$B$1369,B208,$C$5:$C$1369,C208)</f>
        <v>5.96840042931112</v>
      </c>
      <c r="K208" s="28" t="n">
        <f aca="false">INDEX(Sector_Params!$F$5:$H$5,MATCH(B208,Sector_Params!$C$15:$E$15,0))</f>
        <v>0.38</v>
      </c>
      <c r="L208" s="16" t="n">
        <f aca="false">J208*K208</f>
        <v>2.26799216313823</v>
      </c>
      <c r="M208" s="44" t="n">
        <f aca="false">Country_Data!$DW$34+Sector_Params!$E$5</f>
        <v>0.0611</v>
      </c>
      <c r="N208" s="44" t="n">
        <f aca="false">Country_Data!$DX$34+Sector_Params!$E$5</f>
        <v>0.0761</v>
      </c>
      <c r="O208" s="11" t="n">
        <f aca="false">IF(p_use_ibrd=1,p_r_ibrd,p_r_wb)</f>
        <v>0.06</v>
      </c>
      <c r="P208" s="45" t="n">
        <f aca="false">Sector_Params!$D$5</f>
        <v>25</v>
      </c>
      <c r="Q208" s="46" t="n">
        <f aca="false">M208/(1-(1+M208)^-P208)</f>
        <v>0.0790462336852539</v>
      </c>
      <c r="R208" s="46" t="n">
        <f aca="false">N208/(1-(1+N208)^-P208)</f>
        <v>0.0905779353178579</v>
      </c>
      <c r="S208" s="46" t="n">
        <f aca="false">O208/(1-(1+O208)^-P208)</f>
        <v>0.078226718212274</v>
      </c>
      <c r="T208" s="37" t="n">
        <f aca="false">IF(AND(p_eng=1,ISNUMBER(Country_Data!$CZ$34)),Country_Data!$CZ$34,Country_Data!$CM$34)*Sector_Params!$I$5</f>
        <v>0.0322572804766226</v>
      </c>
      <c r="U208" s="37" t="n">
        <f aca="false">IF(AND(p_eng=1,ISNUMBER(Country_Data!$DA$34)),Country_Data!$DA$34,Country_Data!$CN$34)*Sector_Params!$J$5</f>
        <v>0.004900536617082</v>
      </c>
      <c r="V208" s="37" t="n">
        <f aca="false">IF(AND(p_eng=1,ISNUMBER(Country_Data!$DB$34)),Country_Data!$DB$34,p_a)</f>
        <v>0.199788317602126</v>
      </c>
      <c r="W208" s="16" t="n">
        <f aca="false">T208*L208</f>
        <v>0.0731592593251318</v>
      </c>
      <c r="X208" s="16" t="n">
        <f aca="false">U208*L208</f>
        <v>0.0111143786427139</v>
      </c>
      <c r="Y208" s="16" t="n">
        <f aca="false">V208*L208</f>
        <v>0.453118338608193</v>
      </c>
      <c r="Z208" s="16" t="n">
        <f aca="false">Q208*L208</f>
        <v>0.179276238523749</v>
      </c>
      <c r="AA208" s="16" t="n">
        <f aca="false">R208*L208</f>
        <v>0.205430047454143</v>
      </c>
      <c r="AB208" s="16" t="n">
        <f aca="false">S208*L208</f>
        <v>0.17741758385346</v>
      </c>
      <c r="AC208" s="16" t="n">
        <f aca="false">Z208-W208</f>
        <v>0.106116979198617</v>
      </c>
      <c r="AD208" s="16" t="n">
        <f aca="false">AA208-W208</f>
        <v>0.132270788129011</v>
      </c>
      <c r="AE208" s="16" t="n">
        <f aca="false">AB208-W208</f>
        <v>0.104258324528328</v>
      </c>
      <c r="AF208" s="16" t="n">
        <f aca="false">AE208-X208</f>
        <v>0.093143945885614</v>
      </c>
      <c r="AG208" s="16" t="n">
        <f aca="false">AF208-p_spc_lo*Y208/1000</f>
        <v>0.0704880289552043</v>
      </c>
      <c r="AH208" s="16" t="n">
        <f aca="false">AF208-p_spc_hi*Y208/1000</f>
        <v>0.0478321120247947</v>
      </c>
      <c r="AI208" s="16" t="n">
        <f aca="false">Q208*J208</f>
        <v>0.471779575062496</v>
      </c>
      <c r="AJ208" s="16" t="n">
        <f aca="false">S208*J208</f>
        <v>0.466888378561736</v>
      </c>
      <c r="AK208" s="16" t="n">
        <f aca="false">T208*J208</f>
        <v>0.192524366645084</v>
      </c>
      <c r="AL208" s="16" t="n">
        <f aca="false">U208*J208</f>
        <v>0.0292483648492471</v>
      </c>
      <c r="AM208" s="16" t="n">
        <f aca="false">AI208-AJ208</f>
        <v>0.00489119650076059</v>
      </c>
      <c r="AN208" s="16" t="n">
        <f aca="false">J208*Country_Data!$EB$34</f>
        <v>6.23594941407334</v>
      </c>
      <c r="AO208" s="16" t="n">
        <f aca="false">L208*Country_Data!$EB$34</f>
        <v>2.36966077734787</v>
      </c>
    </row>
    <row r="209" customFormat="false" ht="15" hidden="false" customHeight="false" outlineLevel="0" collapsed="false">
      <c r="A209" s="14" t="str">
        <f aca="false">Country_Data!$A$34</f>
        <v>AUT</v>
      </c>
      <c r="B209" s="14" t="str">
        <f aca="false">Country_Data!$E$34</f>
        <v>AE</v>
      </c>
      <c r="C209" s="35" t="s">
        <v>470</v>
      </c>
      <c r="D209" s="37" t="n">
        <f aca="false">IF(Country_Data!$BZ$34="","",Country_Data!$BZ$34)</f>
        <v>62.6277151136259</v>
      </c>
      <c r="E209" s="40" t="n">
        <f aca="false">Country_Data!$BW$34</f>
        <v>672.857</v>
      </c>
      <c r="F209" s="41" t="n">
        <f aca="false">Country_Data!$BX$34</f>
        <v>0.794567047678779</v>
      </c>
      <c r="G209" s="42" t="n">
        <f aca="false">IF(D209="","",D209/SUMIFS($D$5:$D$1369,$B$5:$B$1369,B209,$C$5:$C$1369,C209))</f>
        <v>0.00640011706536667</v>
      </c>
      <c r="H209" s="42" t="n">
        <f aca="false">E209/SUMIFS($E$5:$E$1369,$B$5:$B$1369,B209,$C$5:$C$1369,C209)</f>
        <v>0.00852960982331069</v>
      </c>
      <c r="I209" s="43" t="n">
        <f aca="false">IF(G209="",H209,p_beta_alloc*G209+(1-p_beta_alloc)*H209)*F209^p_phi</f>
        <v>0.00665406658721598</v>
      </c>
      <c r="J209" s="16" t="n">
        <f aca="false">INDEX(Sector_Params!$C$17:$E$17,MATCH(B209,Sector_Params!$C$15:$E$15,0))*I209/SUMIFS($I$5:$I$1369,$B$5:$B$1369,B209,$C$5:$C$1369,C209)</f>
        <v>4.09261743724191</v>
      </c>
      <c r="K209" s="28" t="n">
        <f aca="false">INDEX(Sector_Params!$F$6:$H$6,MATCH(B209,Sector_Params!$C$15:$E$15,0))</f>
        <v>0.38</v>
      </c>
      <c r="L209" s="16" t="n">
        <f aca="false">J209*K209</f>
        <v>1.55519462615193</v>
      </c>
      <c r="M209" s="44" t="n">
        <f aca="false">Country_Data!$DW$34+Sector_Params!$E$6</f>
        <v>0.0611</v>
      </c>
      <c r="N209" s="44" t="n">
        <f aca="false">Country_Data!$DX$34+Sector_Params!$E$6</f>
        <v>0.0761</v>
      </c>
      <c r="O209" s="11" t="n">
        <f aca="false">IF(p_use_ibrd=1,p_r_ibrd,p_r_wb)</f>
        <v>0.06</v>
      </c>
      <c r="P209" s="45" t="n">
        <f aca="false">Sector_Params!$D$6</f>
        <v>40</v>
      </c>
      <c r="Q209" s="46" t="n">
        <f aca="false">M209/(1-(1+M209)^-P209)</f>
        <v>0.0673850856967473</v>
      </c>
      <c r="R209" s="46" t="n">
        <f aca="false">N209/(1-(1+N209)^-P209)</f>
        <v>0.0803758277624644</v>
      </c>
      <c r="S209" s="46" t="n">
        <f aca="false">O209/(1-(1+O209)^-P209)</f>
        <v>0.0664615359206755</v>
      </c>
      <c r="T209" s="37" t="n">
        <f aca="false">p_grid_credit*IF(AND(p_eng=1,ISNUMBER(Country_Data!$CZ$34)),Country_Data!$CZ$34,Country_Data!$CM$34)*Sector_Params!$I$6</f>
        <v>0</v>
      </c>
      <c r="U209" s="37" t="n">
        <f aca="false">p_grid_credit*IF(AND(p_eng=1,ISNUMBER(Country_Data!$DA$34)),Country_Data!$DA$34,Country_Data!$CN$34)*Sector_Params!$J$6</f>
        <v>0</v>
      </c>
      <c r="V209" s="37" t="n">
        <f aca="false">p_grid_credit*IF(AND(p_eng=1,ISNUMBER(Country_Data!$DB$34)),Country_Data!$DB$34,p_a)</f>
        <v>0</v>
      </c>
      <c r="W209" s="16" t="n">
        <f aca="false">T209*L209</f>
        <v>0</v>
      </c>
      <c r="X209" s="16" t="n">
        <f aca="false">U209*L209</f>
        <v>0</v>
      </c>
      <c r="Y209" s="16" t="n">
        <f aca="false">V209*L209</f>
        <v>0</v>
      </c>
      <c r="Z209" s="16" t="n">
        <f aca="false">Q209*L209</f>
        <v>0.104796923158368</v>
      </c>
      <c r="AA209" s="16" t="n">
        <f aca="false">R209*L209</f>
        <v>0.125000055408697</v>
      </c>
      <c r="AB209" s="16" t="n">
        <f aca="false">S209*L209</f>
        <v>0.103360623509638</v>
      </c>
      <c r="AC209" s="16" t="n">
        <f aca="false">Z209-W209</f>
        <v>0.104796923158368</v>
      </c>
      <c r="AD209" s="16" t="n">
        <f aca="false">AA209-W209</f>
        <v>0.125000055408697</v>
      </c>
      <c r="AE209" s="16" t="n">
        <f aca="false">AB209-W209</f>
        <v>0.103360623509638</v>
      </c>
      <c r="AF209" s="16" t="n">
        <f aca="false">AE209-X209</f>
        <v>0.103360623509638</v>
      </c>
      <c r="AG209" s="16" t="n">
        <f aca="false">AF209-p_spc_lo*Y209/1000</f>
        <v>0.103360623509638</v>
      </c>
      <c r="AH209" s="16" t="n">
        <f aca="false">AF209-p_spc_hi*Y209/1000</f>
        <v>0.103360623509638</v>
      </c>
      <c r="AI209" s="16" t="n">
        <f aca="false">Q209*J209</f>
        <v>0.275781376732549</v>
      </c>
      <c r="AJ209" s="16" t="n">
        <f aca="false">S209*J209</f>
        <v>0.272001640814836</v>
      </c>
      <c r="AK209" s="16" t="n">
        <f aca="false">T209*J209</f>
        <v>0</v>
      </c>
      <c r="AL209" s="16" t="n">
        <f aca="false">U209*J209</f>
        <v>0</v>
      </c>
      <c r="AM209" s="16" t="n">
        <f aca="false">AI209-AJ209</f>
        <v>0.00377973591771247</v>
      </c>
      <c r="AN209" s="16" t="n">
        <f aca="false">J209*Country_Data!$EB$34</f>
        <v>4.27607959822172</v>
      </c>
      <c r="AO209" s="16" t="n">
        <f aca="false">L209*Country_Data!$EB$34</f>
        <v>1.62491024732425</v>
      </c>
    </row>
    <row r="210" customFormat="false" ht="15" hidden="false" customHeight="false" outlineLevel="0" collapsed="false">
      <c r="A210" s="14" t="str">
        <f aca="false">Country_Data!$A$34</f>
        <v>AUT</v>
      </c>
      <c r="B210" s="14" t="str">
        <f aca="false">Country_Data!$E$34</f>
        <v>AE</v>
      </c>
      <c r="C210" s="35" t="s">
        <v>473</v>
      </c>
      <c r="D210" s="37" t="n">
        <f aca="false">IF(Country_Data!$CA$34="","",Country_Data!$CA$34)</f>
        <v>0.383223633840699</v>
      </c>
      <c r="E210" s="40" t="n">
        <f aca="false">Country_Data!$BW$34</f>
        <v>672.857</v>
      </c>
      <c r="F210" s="41" t="n">
        <f aca="false">Country_Data!$BX$34</f>
        <v>0.794567047678779</v>
      </c>
      <c r="G210" s="42" t="n">
        <f aca="false">IF(D210="","",D210/SUMIFS($D$5:$D$1369,$B$5:$B$1369,B210,$C$5:$C$1369,C210))</f>
        <v>0.00750197433937309</v>
      </c>
      <c r="H210" s="42" t="n">
        <f aca="false">E210/SUMIFS($E$5:$E$1369,$B$5:$B$1369,B210,$C$5:$C$1369,C210)</f>
        <v>0.00852960982331069</v>
      </c>
      <c r="I210" s="43" t="n">
        <f aca="false">IF(G210="",H210,p_beta_alloc*G210+(1-p_beta_alloc)*H210)*F210^p_phi</f>
        <v>0.00714515605760726</v>
      </c>
      <c r="J210" s="16" t="n">
        <f aca="false">INDEX(Sector_Params!$C$18:$E$18,MATCH(B210,Sector_Params!$C$15:$E$15,0))*I210/SUMIFS($I$5:$I$1369,$B$5:$B$1369,B210,$C$5:$C$1369,C210)</f>
        <v>2.69267464464511</v>
      </c>
      <c r="K210" s="28" t="n">
        <f aca="false">INDEX(Sector_Params!$F$7:$H$7,MATCH(B210,Sector_Params!$C$15:$E$15,0))</f>
        <v>0.38</v>
      </c>
      <c r="L210" s="16" t="n">
        <f aca="false">J210*K210</f>
        <v>1.02321636496514</v>
      </c>
      <c r="M210" s="44" t="n">
        <f aca="false">Country_Data!$DW$34+Sector_Params!$E$7</f>
        <v>0.0611</v>
      </c>
      <c r="N210" s="44" t="n">
        <f aca="false">Country_Data!$DX$34+Sector_Params!$E$7</f>
        <v>0.0761</v>
      </c>
      <c r="O210" s="11" t="n">
        <f aca="false">IF(p_use_ibrd=1,p_r_ibrd,p_r_wb)</f>
        <v>0.06</v>
      </c>
      <c r="P210" s="45" t="n">
        <f aca="false">Sector_Params!$D$7</f>
        <v>12</v>
      </c>
      <c r="Q210" s="46" t="n">
        <f aca="false">M210/(1-(1+M210)^-P210)</f>
        <v>0.119997383579626</v>
      </c>
      <c r="R210" s="46" t="n">
        <f aca="false">N210/(1-(1+N210)^-P210)</f>
        <v>0.130026088765948</v>
      </c>
      <c r="S210" s="46" t="n">
        <f aca="false">O210/(1-(1+O210)^-P210)</f>
        <v>0.119277029380664</v>
      </c>
      <c r="T210" s="37" t="n">
        <f aca="false">IF(AND(p_eng=1,ISNUMBER(Country_Data!$DE$34)),Country_Data!$DE$34,Country_Data!$CM$34)*Sector_Params!$I$7</f>
        <v>0.0402669</v>
      </c>
      <c r="U210" s="37" t="n">
        <f aca="false">IF(AND(p_eng=1,ISNUMBER(Country_Data!$DF$34)),Country_Data!$DF$34,Country_Data!$CN$34)*Sector_Params!$J$7</f>
        <v>0.007314075</v>
      </c>
      <c r="V210" s="37" t="n">
        <f aca="false">IF(AND(p_eng=1,ISNUMBER(Country_Data!$DG$34)),Country_Data!$DG$34,p_a)</f>
        <v>0.486382942260442</v>
      </c>
      <c r="W210" s="16" t="n">
        <f aca="false">T210*L210</f>
        <v>0.0412017510464149</v>
      </c>
      <c r="X210" s="16" t="n">
        <f aca="false">U210*L210</f>
        <v>0.00748388123458242</v>
      </c>
      <c r="Y210" s="16" t="n">
        <f aca="false">V210*L210</f>
        <v>0.49767498616078</v>
      </c>
      <c r="Z210" s="16" t="n">
        <f aca="false">Q210*L210</f>
        <v>0.122783286631672</v>
      </c>
      <c r="AA210" s="16" t="n">
        <f aca="false">R210*L210</f>
        <v>0.133044821897728</v>
      </c>
      <c r="AB210" s="16" t="n">
        <f aca="false">S210*L210</f>
        <v>0.122046208426723</v>
      </c>
      <c r="AC210" s="16" t="n">
        <f aca="false">Z210-W210</f>
        <v>0.0815815355852576</v>
      </c>
      <c r="AD210" s="16" t="n">
        <f aca="false">AA210-W210</f>
        <v>0.0918430708513128</v>
      </c>
      <c r="AE210" s="16" t="n">
        <f aca="false">AB210-W210</f>
        <v>0.0808444573803081</v>
      </c>
      <c r="AF210" s="16" t="n">
        <f aca="false">AE210-X210</f>
        <v>0.0733605761457257</v>
      </c>
      <c r="AG210" s="16" t="n">
        <f aca="false">AF210-p_spc_lo*Y210/1000</f>
        <v>0.0484768268376867</v>
      </c>
      <c r="AH210" s="16" t="n">
        <f aca="false">AF210-p_spc_hi*Y210/1000</f>
        <v>0.0235930775296477</v>
      </c>
      <c r="AI210" s="16" t="n">
        <f aca="false">Q210*J210</f>
        <v>0.323113912188612</v>
      </c>
      <c r="AJ210" s="16" t="n">
        <f aca="false">S210*J210</f>
        <v>0.321174232701903</v>
      </c>
      <c r="AK210" s="16" t="n">
        <f aca="false">T210*J210</f>
        <v>0.10842566064846</v>
      </c>
      <c r="AL210" s="16" t="n">
        <f aca="false">U210*J210</f>
        <v>0.0196944243015327</v>
      </c>
      <c r="AM210" s="16" t="n">
        <f aca="false">AI210-AJ210</f>
        <v>0.0019396794867092</v>
      </c>
      <c r="AN210" s="16" t="n">
        <f aca="false">J210*Country_Data!$EB$34</f>
        <v>2.81338074940506</v>
      </c>
      <c r="AO210" s="16" t="n">
        <f aca="false">L210*Country_Data!$EB$34</f>
        <v>1.06908468477392</v>
      </c>
    </row>
    <row r="211" customFormat="false" ht="15" hidden="false" customHeight="false" outlineLevel="0" collapsed="false">
      <c r="A211" s="14" t="str">
        <f aca="false">Country_Data!$A$34</f>
        <v>AUT</v>
      </c>
      <c r="B211" s="14" t="str">
        <f aca="false">Country_Data!$E$34</f>
        <v>AE</v>
      </c>
      <c r="C211" s="35" t="s">
        <v>477</v>
      </c>
      <c r="D211" s="37" t="n">
        <f aca="false">IF(Country_Data!$CB$34="","",Country_Data!$CB$34)</f>
        <v>0.191557045233683</v>
      </c>
      <c r="E211" s="40" t="n">
        <f aca="false">Country_Data!$BW$34</f>
        <v>672.857</v>
      </c>
      <c r="F211" s="41" t="n">
        <f aca="false">Country_Data!$BX$34</f>
        <v>0.794567047678779</v>
      </c>
      <c r="G211" s="42" t="n">
        <f aca="false">IF(D211="","",D211/SUMIFS($D$5:$D$1369,$B$5:$B$1369,B211,$C$5:$C$1369,C211))</f>
        <v>0.00492590993469968</v>
      </c>
      <c r="H211" s="42" t="n">
        <f aca="false">E211/SUMIFS($E$5:$E$1369,$B$5:$B$1369,B211,$C$5:$C$1369,C211)</f>
        <v>0.00852960982331069</v>
      </c>
      <c r="I211" s="43" t="n">
        <f aca="false">IF(G211="",H211,p_beta_alloc*G211+(1-p_beta_alloc)*H211)*F211^p_phi</f>
        <v>0.00599702359614518</v>
      </c>
      <c r="J211" s="16" t="n">
        <f aca="false">INDEX(Sector_Params!$C$19:$E$19,MATCH(B211,Sector_Params!$C$15:$E$15,0))*I211/SUMIFS($I$5:$I$1369,$B$5:$B$1369,B211,$C$5:$C$1369,C211)</f>
        <v>1.76286657048936</v>
      </c>
      <c r="K211" s="28" t="n">
        <f aca="false">INDEX(Sector_Params!$F$8:$H$8,MATCH(B211,Sector_Params!$C$15:$E$15,0))</f>
        <v>0.38</v>
      </c>
      <c r="L211" s="16" t="n">
        <f aca="false">J211*K211</f>
        <v>0.669889296785958</v>
      </c>
      <c r="M211" s="44" t="n">
        <f aca="false">Country_Data!$DW$34+Sector_Params!$E$8</f>
        <v>0.0611</v>
      </c>
      <c r="N211" s="44" t="n">
        <f aca="false">Country_Data!$DX$34+Sector_Params!$E$8</f>
        <v>0.0761</v>
      </c>
      <c r="O211" s="11" t="n">
        <f aca="false">IF(p_use_ibrd=1,p_r_ibrd,p_r_wb)</f>
        <v>0.06</v>
      </c>
      <c r="P211" s="45" t="n">
        <f aca="false">Sector_Params!$D$8</f>
        <v>25</v>
      </c>
      <c r="Q211" s="46" t="n">
        <f aca="false">M211/(1-(1+M211)^-P211)</f>
        <v>0.0790462336852539</v>
      </c>
      <c r="R211" s="46" t="n">
        <f aca="false">N211/(1-(1+N211)^-P211)</f>
        <v>0.0905779353178579</v>
      </c>
      <c r="S211" s="46" t="n">
        <f aca="false">O211/(1-(1+O211)^-P211)</f>
        <v>0.078226718212274</v>
      </c>
      <c r="T211" s="37" t="n">
        <f aca="false">Country_Data!$CM$34*Sector_Params!$I$8</f>
        <v>0.215856403291651</v>
      </c>
      <c r="U211" s="37" t="n">
        <f aca="false">Country_Data!$CN$34*Sector_Params!$J$8</f>
        <v>0.03225</v>
      </c>
      <c r="V211" s="37" t="n">
        <f aca="false">p_a</f>
        <v>0.35</v>
      </c>
      <c r="W211" s="16" t="n">
        <f aca="false">T211*L211</f>
        <v>0.14459989420779</v>
      </c>
      <c r="X211" s="16" t="n">
        <f aca="false">U211*L211</f>
        <v>0.0216039298213472</v>
      </c>
      <c r="Y211" s="16" t="n">
        <f aca="false">V211*L211</f>
        <v>0.234461253875085</v>
      </c>
      <c r="Z211" s="16" t="n">
        <f aca="false">Q211*L211</f>
        <v>0.0529522258969933</v>
      </c>
      <c r="AA211" s="16" t="n">
        <f aca="false">R211*L211</f>
        <v>0.0606771893944039</v>
      </c>
      <c r="AB211" s="16" t="n">
        <f aca="false">S211*L211</f>
        <v>0.0524032412530935</v>
      </c>
      <c r="AC211" s="16" t="n">
        <f aca="false">Z211-W211</f>
        <v>-0.0916476683107971</v>
      </c>
      <c r="AD211" s="16" t="n">
        <f aca="false">AA211-W211</f>
        <v>-0.0839227048133865</v>
      </c>
      <c r="AE211" s="16" t="n">
        <f aca="false">AB211-W211</f>
        <v>-0.0921966529546968</v>
      </c>
      <c r="AF211" s="16" t="n">
        <f aca="false">AE211-X211</f>
        <v>-0.113800582776044</v>
      </c>
      <c r="AG211" s="16" t="n">
        <f aca="false">AF211-p_spc_lo*Y211/1000</f>
        <v>-0.125523645469798</v>
      </c>
      <c r="AH211" s="16" t="n">
        <f aca="false">AF211-p_spc_hi*Y211/1000</f>
        <v>-0.137246708163553</v>
      </c>
      <c r="AI211" s="16" t="n">
        <f aca="false">Q211*J211</f>
        <v>0.139347962886824</v>
      </c>
      <c r="AJ211" s="16" t="n">
        <f aca="false">S211*J211</f>
        <v>0.137903266455509</v>
      </c>
      <c r="AK211" s="16" t="n">
        <f aca="false">T211*J211</f>
        <v>0.380526037388922</v>
      </c>
      <c r="AL211" s="16" t="n">
        <f aca="false">U211*J211</f>
        <v>0.056852446898282</v>
      </c>
      <c r="AM211" s="16" t="n">
        <f aca="false">AI211-AJ211</f>
        <v>0.00144469643131512</v>
      </c>
      <c r="AN211" s="16" t="n">
        <f aca="false">J211*Country_Data!$EB$34</f>
        <v>1.84189162364923</v>
      </c>
      <c r="AO211" s="16" t="n">
        <f aca="false">L211*Country_Data!$EB$34</f>
        <v>0.699918816986708</v>
      </c>
    </row>
    <row r="212" customFormat="false" ht="15" hidden="false" customHeight="false" outlineLevel="0" collapsed="false">
      <c r="A212" s="14" t="str">
        <f aca="false">Country_Data!$A$34</f>
        <v>AUT</v>
      </c>
      <c r="B212" s="14" t="str">
        <f aca="false">Country_Data!$E$34</f>
        <v>AE</v>
      </c>
      <c r="C212" s="35" t="s">
        <v>481</v>
      </c>
      <c r="D212" s="37" t="n">
        <f aca="false">IF(Country_Data!$CC$34="","",Country_Data!$CC$34)</f>
        <v>0.335626044488752</v>
      </c>
      <c r="E212" s="40" t="n">
        <f aca="false">Country_Data!$BW$34</f>
        <v>672.857</v>
      </c>
      <c r="F212" s="41" t="n">
        <f aca="false">Country_Data!$BX$34</f>
        <v>0.794567047678779</v>
      </c>
      <c r="G212" s="42" t="n">
        <f aca="false">IF(D212="","",D212/SUMIFS($D$5:$D$1369,$B$5:$B$1369,B212,$C$5:$C$1369,C212))</f>
        <v>0.00611103304192058</v>
      </c>
      <c r="H212" s="42" t="n">
        <f aca="false">E212/SUMIFS($E$5:$E$1369,$B$5:$B$1369,B212,$C$5:$C$1369,C212)</f>
        <v>0.00852960982331069</v>
      </c>
      <c r="I212" s="43" t="n">
        <f aca="false">IF(G212="",H212,p_beta_alloc*G212+(1-p_beta_alloc)*H212)*F212^p_phi</f>
        <v>0.00652522401992364</v>
      </c>
      <c r="J212" s="16" t="n">
        <f aca="false">INDEX(Sector_Params!$C$20:$E$20,MATCH(B212,Sector_Params!$C$15:$E$15,0))*I212/SUMIFS($I$5:$I$1369,$B$5:$B$1369,B212,$C$5:$C$1369,C212)</f>
        <v>1.10809626268597</v>
      </c>
      <c r="K212" s="28" t="n">
        <f aca="false">INDEX(Sector_Params!$F$9:$H$9,MATCH(B212,Sector_Params!$C$15:$E$15,0))</f>
        <v>0.38</v>
      </c>
      <c r="L212" s="16" t="n">
        <f aca="false">J212*K212</f>
        <v>0.421076579820667</v>
      </c>
      <c r="M212" s="44" t="n">
        <f aca="false">Country_Data!$DW$34+Sector_Params!$E$9</f>
        <v>0.0611</v>
      </c>
      <c r="N212" s="44" t="n">
        <f aca="false">Country_Data!$DX$34+Sector_Params!$E$9</f>
        <v>0.0761</v>
      </c>
      <c r="O212" s="11" t="n">
        <f aca="false">IF(p_use_ibrd=1,p_r_ibrd,p_r_wb)</f>
        <v>0.06</v>
      </c>
      <c r="P212" s="45" t="n">
        <f aca="false">Sector_Params!$D$9</f>
        <v>25</v>
      </c>
      <c r="Q212" s="46" t="n">
        <f aca="false">M212/(1-(1+M212)^-P212)</f>
        <v>0.0790462336852539</v>
      </c>
      <c r="R212" s="46" t="n">
        <f aca="false">N212/(1-(1+N212)^-P212)</f>
        <v>0.0905779353178579</v>
      </c>
      <c r="S212" s="46" t="n">
        <f aca="false">O212/(1-(1+O212)^-P212)</f>
        <v>0.078226718212274</v>
      </c>
      <c r="T212" s="37" t="n">
        <f aca="false">Country_Data!$CM$34*Sector_Params!$I$9</f>
        <v>0.215856403291651</v>
      </c>
      <c r="U212" s="37" t="n">
        <f aca="false">Country_Data!$CN$34*Sector_Params!$J$9</f>
        <v>0.03225</v>
      </c>
      <c r="V212" s="37" t="n">
        <f aca="false">p_a</f>
        <v>0.35</v>
      </c>
      <c r="W212" s="16" t="n">
        <f aca="false">T212*L212</f>
        <v>0.090892076030439</v>
      </c>
      <c r="X212" s="16" t="n">
        <f aca="false">U212*L212</f>
        <v>0.0135797196992165</v>
      </c>
      <c r="Y212" s="16" t="n">
        <f aca="false">V212*L212</f>
        <v>0.147376802937233</v>
      </c>
      <c r="Z212" s="16" t="n">
        <f aca="false">Q212*L212</f>
        <v>0.0332845177278919</v>
      </c>
      <c r="AA212" s="16" t="n">
        <f aca="false">R212*L212</f>
        <v>0.0381402472108612</v>
      </c>
      <c r="AB212" s="16" t="n">
        <f aca="false">S212*L212</f>
        <v>0.0329394389554194</v>
      </c>
      <c r="AC212" s="16" t="n">
        <f aca="false">Z212-W212</f>
        <v>-0.0576075583025471</v>
      </c>
      <c r="AD212" s="16" t="n">
        <f aca="false">AA212-W212</f>
        <v>-0.0527518288195778</v>
      </c>
      <c r="AE212" s="16" t="n">
        <f aca="false">AB212-W212</f>
        <v>-0.0579526370750196</v>
      </c>
      <c r="AF212" s="16" t="n">
        <f aca="false">AE212-X212</f>
        <v>-0.0715323567742361</v>
      </c>
      <c r="AG212" s="16" t="n">
        <f aca="false">AF212-p_spc_lo*Y212/1000</f>
        <v>-0.0789011969210978</v>
      </c>
      <c r="AH212" s="16" t="n">
        <f aca="false">AF212-p_spc_hi*Y212/1000</f>
        <v>-0.0862700370679595</v>
      </c>
      <c r="AI212" s="16" t="n">
        <f aca="false">Q212*J212</f>
        <v>0.0875908361260313</v>
      </c>
      <c r="AJ212" s="16" t="n">
        <f aca="false">S212*J212</f>
        <v>0.0866827340932089</v>
      </c>
      <c r="AK212" s="16" t="n">
        <f aca="false">T212*J212</f>
        <v>0.239189673764313</v>
      </c>
      <c r="AL212" s="16" t="n">
        <f aca="false">U212*J212</f>
        <v>0.0357361044716224</v>
      </c>
      <c r="AM212" s="16" t="n">
        <f aca="false">AI212-AJ212</f>
        <v>0.000908102032822392</v>
      </c>
      <c r="AN212" s="16" t="n">
        <f aca="false">J212*Country_Data!$EB$34</f>
        <v>1.15776954342706</v>
      </c>
      <c r="AO212" s="16" t="n">
        <f aca="false">L212*Country_Data!$EB$34</f>
        <v>0.439952426502283</v>
      </c>
    </row>
    <row r="213" customFormat="false" ht="15" hidden="false" customHeight="false" outlineLevel="0" collapsed="false">
      <c r="A213" s="14" t="str">
        <f aca="false">Country_Data!$A$34</f>
        <v>AUT</v>
      </c>
      <c r="B213" s="14" t="str">
        <f aca="false">Country_Data!$E$34</f>
        <v>AE</v>
      </c>
      <c r="C213" s="35" t="s">
        <v>484</v>
      </c>
      <c r="D213" s="37" t="n">
        <f aca="false">IF(Country_Data!$CD$34="","",Country_Data!$CD$34)</f>
        <v>0.762926345617022</v>
      </c>
      <c r="E213" s="40" t="n">
        <f aca="false">Country_Data!$BW$34</f>
        <v>672.857</v>
      </c>
      <c r="F213" s="41" t="n">
        <f aca="false">Country_Data!$BX$34</f>
        <v>0.794567047678779</v>
      </c>
      <c r="G213" s="42" t="n">
        <f aca="false">IF(D213="","",D213/SUMIFS($D$5:$D$1369,$B$5:$B$1369,B213,$C$5:$C$1369,C213))</f>
        <v>0.00516187772525752</v>
      </c>
      <c r="H213" s="42" t="n">
        <f aca="false">E213/SUMIFS($E$5:$E$1369,$B$5:$B$1369,B213,$C$5:$C$1369,C213)</f>
        <v>0.00852960982331069</v>
      </c>
      <c r="I213" s="43" t="n">
        <f aca="false">IF(G213="",H213,p_beta_alloc*G213+(1-p_beta_alloc)*H213)*F213^p_phi</f>
        <v>0.00610219265935161</v>
      </c>
      <c r="J213" s="16" t="n">
        <f aca="false">INDEX(Sector_Params!$C$21:$E$21,MATCH(B213,Sector_Params!$C$15:$E$15,0))*I213/SUMIFS($I$5:$I$1369,$B$5:$B$1369,B213,$C$5:$C$1369,C213)</f>
        <v>1.24332014174465</v>
      </c>
      <c r="K213" s="28" t="n">
        <f aca="false">INDEX(Sector_Params!$F$10:$H$10,MATCH(B213,Sector_Params!$C$15:$E$15,0))</f>
        <v>0.38</v>
      </c>
      <c r="L213" s="16" t="n">
        <f aca="false">J213*K213</f>
        <v>0.472461653862965</v>
      </c>
      <c r="M213" s="44" t="n">
        <f aca="false">Country_Data!$DW$34+Sector_Params!$E$10</f>
        <v>0.0611</v>
      </c>
      <c r="N213" s="44" t="n">
        <f aca="false">Country_Data!$DX$34+Sector_Params!$E$10</f>
        <v>0.0761</v>
      </c>
      <c r="O213" s="11" t="n">
        <f aca="false">IF(p_use_ibrd=1,p_r_ibrd,p_r_wb)</f>
        <v>0.06</v>
      </c>
      <c r="P213" s="45" t="n">
        <f aca="false">Sector_Params!$D$10</f>
        <v>20</v>
      </c>
      <c r="Q213" s="46" t="n">
        <f aca="false">M213/(1-(1+M213)^-P213)</f>
        <v>0.0879647124738956</v>
      </c>
      <c r="R213" s="46" t="n">
        <f aca="false">N213/(1-(1+N213)^-P213)</f>
        <v>0.0989142526086535</v>
      </c>
      <c r="S213" s="46" t="n">
        <f aca="false">O213/(1-(1+O213)^-P213)</f>
        <v>0.0871845569768514</v>
      </c>
      <c r="T213" s="37" t="n">
        <f aca="false">0*Sector_Params!$I$10</f>
        <v>0</v>
      </c>
      <c r="U213" s="37" t="n">
        <f aca="false">0*Sector_Params!$J$10</f>
        <v>0</v>
      </c>
      <c r="V213" s="37" t="n">
        <f aca="false">1000*p_r_wb/(1-(1+p_r_wb)^-Sector_Params!$D$10)/p_cpt_fuel</f>
        <v>0.871845569768514</v>
      </c>
      <c r="W213" s="16" t="n">
        <f aca="false">T213*L213</f>
        <v>0</v>
      </c>
      <c r="X213" s="16" t="n">
        <f aca="false">U213*L213</f>
        <v>0</v>
      </c>
      <c r="Y213" s="16" t="n">
        <f aca="false">V213*L213</f>
        <v>0.411913599805931</v>
      </c>
      <c r="Z213" s="16" t="n">
        <f aca="false">Q213*L213</f>
        <v>0.0415599535369969</v>
      </c>
      <c r="AA213" s="16" t="n">
        <f aca="false">R213*L213</f>
        <v>0.0467331913781036</v>
      </c>
      <c r="AB213" s="16" t="n">
        <f aca="false">S213*L213</f>
        <v>0.0411913599805931</v>
      </c>
      <c r="AC213" s="16" t="n">
        <f aca="false">Z213-W213</f>
        <v>0.0415599535369969</v>
      </c>
      <c r="AD213" s="16" t="n">
        <f aca="false">AA213-W213</f>
        <v>0.0467331913781036</v>
      </c>
      <c r="AE213" s="16" t="n">
        <f aca="false">AB213-W213</f>
        <v>0.0411913599805931</v>
      </c>
      <c r="AF213" s="16" t="n">
        <f aca="false">AE213-X213</f>
        <v>0.0411913599805931</v>
      </c>
      <c r="AG213" s="16" t="n">
        <f aca="false">AF213-p_spc_lo*Y213/1000</f>
        <v>0.0205956799902966</v>
      </c>
      <c r="AH213" s="16" t="n">
        <f aca="false">AF213-p_spc_hi*Y213/1000</f>
        <v>0</v>
      </c>
      <c r="AI213" s="16" t="n">
        <f aca="false">Q213*J213</f>
        <v>0.109368298781571</v>
      </c>
      <c r="AJ213" s="16" t="n">
        <f aca="false">S213*J213</f>
        <v>0.108398315738403</v>
      </c>
      <c r="AK213" s="16" t="n">
        <f aca="false">T213*J213</f>
        <v>0</v>
      </c>
      <c r="AL213" s="16" t="n">
        <f aca="false">U213*J213</f>
        <v>0</v>
      </c>
      <c r="AM213" s="16" t="n">
        <f aca="false">AI213-AJ213</f>
        <v>0.000969983043167907</v>
      </c>
      <c r="AN213" s="16" t="n">
        <f aca="false">J213*Country_Data!$EB$34</f>
        <v>1.29905518258147</v>
      </c>
      <c r="AO213" s="16" t="n">
        <f aca="false">L213*Country_Data!$EB$34</f>
        <v>0.49364096938096</v>
      </c>
    </row>
    <row r="214" customFormat="false" ht="15" hidden="false" customHeight="false" outlineLevel="0" collapsed="false">
      <c r="A214" s="14" t="str">
        <f aca="false">Country_Data!$A$34</f>
        <v>AUT</v>
      </c>
      <c r="B214" s="14" t="str">
        <f aca="false">Country_Data!$E$34</f>
        <v>AE</v>
      </c>
      <c r="C214" s="35" t="s">
        <v>488</v>
      </c>
      <c r="D214" s="37" t="n">
        <f aca="false">IF(Country_Data!$CE$34="","",Country_Data!$CE$34)</f>
        <v>11.891</v>
      </c>
      <c r="E214" s="40" t="n">
        <f aca="false">Country_Data!$BW$34</f>
        <v>672.857</v>
      </c>
      <c r="F214" s="41" t="n">
        <f aca="false">Country_Data!$BX$34</f>
        <v>0.794567047678779</v>
      </c>
      <c r="G214" s="42" t="n">
        <f aca="false">IF(D214="","",D214/SUMIFS($D$5:$D$1369,$B$5:$B$1369,B214,$C$5:$C$1369,C214))</f>
        <v>0.00453807502574158</v>
      </c>
      <c r="H214" s="42" t="n">
        <f aca="false">E214/SUMIFS($E$5:$E$1369,$B$5:$B$1369,B214,$C$5:$C$1369,C214)</f>
        <v>0.00852960982331069</v>
      </c>
      <c r="I214" s="43" t="n">
        <f aca="false">IF(G214="",H214,p_beta_alloc*G214+(1-p_beta_alloc)*H214)*F214^p_phi</f>
        <v>0.00582416850453522</v>
      </c>
      <c r="J214" s="16" t="n">
        <f aca="false">INDEX(Sector_Params!$C$22:$E$22,MATCH(B214,Sector_Params!$C$15:$E$15,0))*I214/SUMIFS($I$5:$I$1369,$B$5:$B$1369,B214,$C$5:$C$1369,C214)</f>
        <v>0.225672683617549</v>
      </c>
      <c r="K214" s="28" t="n">
        <f aca="false">INDEX(Sector_Params!$F$11:$H$11,MATCH(B214,Sector_Params!$C$15:$E$15,0))</f>
        <v>0.38</v>
      </c>
      <c r="L214" s="16" t="n">
        <f aca="false">J214*K214</f>
        <v>0.0857556197746685</v>
      </c>
      <c r="M214" s="44" t="n">
        <f aca="false">Country_Data!$DW$34+Sector_Params!$E$11</f>
        <v>0.0611</v>
      </c>
      <c r="N214" s="44" t="n">
        <f aca="false">Country_Data!$DX$34+Sector_Params!$E$11</f>
        <v>0.0761</v>
      </c>
      <c r="O214" s="11" t="n">
        <f aca="false">IF(p_use_ibrd=1,p_r_ibrd,p_r_wb)</f>
        <v>0.06</v>
      </c>
      <c r="P214" s="45" t="n">
        <f aca="false">Sector_Params!$D$11</f>
        <v>30</v>
      </c>
      <c r="Q214" s="46" t="n">
        <f aca="false">M214/(1-(1+M214)^-P214)</f>
        <v>0.0735060542086148</v>
      </c>
      <c r="R214" s="46" t="n">
        <f aca="false">N214/(1-(1+N214)^-P214)</f>
        <v>0.0855796318639184</v>
      </c>
      <c r="S214" s="46" t="n">
        <f aca="false">O214/(1-(1+O214)^-P214)</f>
        <v>0.0726489114900472</v>
      </c>
      <c r="T214" s="37" t="n">
        <f aca="false">0*Sector_Params!$I$11</f>
        <v>0</v>
      </c>
      <c r="U214" s="37" t="n">
        <f aca="false">p_c*Sector_Params!$J$11</f>
        <v>0.129</v>
      </c>
      <c r="V214" s="37" t="n">
        <f aca="false">1000*p_r_wb/(1-(1+p_r_wb)^-Sector_Params!$D$11)/p_cpt_afolu</f>
        <v>1.45297822980094</v>
      </c>
      <c r="W214" s="16" t="n">
        <f aca="false">T214*L214</f>
        <v>0</v>
      </c>
      <c r="X214" s="16" t="n">
        <f aca="false">U214*L214</f>
        <v>0.0110624749509322</v>
      </c>
      <c r="Y214" s="16" t="n">
        <f aca="false">V214*L214</f>
        <v>0.124601048615681</v>
      </c>
      <c r="Z214" s="16" t="n">
        <f aca="false">Q214*L214</f>
        <v>0.00630355723585014</v>
      </c>
      <c r="AA214" s="16" t="n">
        <f aca="false">R214*L214</f>
        <v>0.00733893437057829</v>
      </c>
      <c r="AB214" s="16" t="n">
        <f aca="false">S214*L214</f>
        <v>0.00623005243078403</v>
      </c>
      <c r="AC214" s="16" t="n">
        <f aca="false">Z214-W214</f>
        <v>0.00630355723585014</v>
      </c>
      <c r="AD214" s="16" t="n">
        <f aca="false">AA214-W214</f>
        <v>0.00733893437057829</v>
      </c>
      <c r="AE214" s="16" t="n">
        <f aca="false">AB214-W214</f>
        <v>0.00623005243078403</v>
      </c>
      <c r="AF214" s="16" t="n">
        <f aca="false">AE214-X214</f>
        <v>-0.0048324225201482</v>
      </c>
      <c r="AG214" s="16" t="n">
        <f aca="false">AF214-p_spc_lo*Y214/1000</f>
        <v>-0.0110624749509322</v>
      </c>
      <c r="AH214" s="16" t="n">
        <f aca="false">AF214-p_spc_hi*Y214/1000</f>
        <v>-0.0172925273817163</v>
      </c>
      <c r="AI214" s="16" t="n">
        <f aca="false">Q214*J214</f>
        <v>0.0165883085153951</v>
      </c>
      <c r="AJ214" s="16" t="n">
        <f aca="false">S214*J214</f>
        <v>0.0163948748178527</v>
      </c>
      <c r="AK214" s="16" t="n">
        <f aca="false">T214*J214</f>
        <v>0</v>
      </c>
      <c r="AL214" s="16" t="n">
        <f aca="false">U214*J214</f>
        <v>0.0291117761866638</v>
      </c>
      <c r="AM214" s="16" t="n">
        <f aca="false">AI214-AJ214</f>
        <v>0.000193433697542385</v>
      </c>
      <c r="AN214" s="16" t="n">
        <f aca="false">J214*Country_Data!$EB$34</f>
        <v>0.235789045296956</v>
      </c>
      <c r="AO214" s="16" t="n">
        <f aca="false">L214*Country_Data!$EB$34</f>
        <v>0.0895998372128433</v>
      </c>
    </row>
    <row r="215" customFormat="false" ht="15" hidden="false" customHeight="false" outlineLevel="0" collapsed="false">
      <c r="A215" s="14" t="str">
        <f aca="false">Country_Data!$A$35</f>
        <v>THA</v>
      </c>
      <c r="B215" s="14" t="str">
        <f aca="false">Country_Data!$E$35</f>
        <v>EMDC</v>
      </c>
      <c r="C215" s="35" t="s">
        <v>466</v>
      </c>
      <c r="D215" s="37" t="n">
        <f aca="false">IF(Country_Data!$BZ$35="","",Country_Data!$BZ$35)</f>
        <v>218.754276781519</v>
      </c>
      <c r="E215" s="40" t="n">
        <f aca="false">Country_Data!$BW$35</f>
        <v>1785.79</v>
      </c>
      <c r="F215" s="41" t="n">
        <f aca="false">Country_Data!$BX$35</f>
        <v>0.29644359079175</v>
      </c>
      <c r="G215" s="42" t="n">
        <f aca="false">IF(D215="","",D215/SUMIFS($D$5:$D$1369,$B$5:$B$1369,B215,$C$5:$C$1369,C215))</f>
        <v>0.0249734553716355</v>
      </c>
      <c r="H215" s="42" t="n">
        <f aca="false">E215/SUMIFS($E$5:$E$1369,$B$5:$B$1369,B215,$C$5:$C$1369,C215)</f>
        <v>0.0221200073477779</v>
      </c>
      <c r="I215" s="43" t="n">
        <f aca="false">IF(G215="",H215,p_beta_alloc*G215+(1-p_beta_alloc)*H215)*F215^p_phi</f>
        <v>0.0128204025428869</v>
      </c>
      <c r="J215" s="16" t="n">
        <f aca="false">INDEX(Sector_Params!$C$16:$E$16,MATCH(B215,Sector_Params!$C$15:$E$15,0))*I215/SUMIFS($I$5:$I$1369,$B$5:$B$1369,B215,$C$5:$C$1369,C215)</f>
        <v>12.4002183647073</v>
      </c>
      <c r="K215" s="28" t="n">
        <f aca="false">INDEX(Sector_Params!$F$5:$H$5,MATCH(B215,Sector_Params!$C$15:$E$15,0))</f>
        <v>0.24</v>
      </c>
      <c r="L215" s="16" t="n">
        <f aca="false">J215*K215</f>
        <v>2.97605240752976</v>
      </c>
      <c r="M215" s="44" t="n">
        <f aca="false">Country_Data!$DW$35+Sector_Params!$E$5</f>
        <v>0.0904499999999999</v>
      </c>
      <c r="N215" s="44" t="n">
        <f aca="false">Country_Data!$DX$35+Sector_Params!$E$5</f>
        <v>0.13545</v>
      </c>
      <c r="O215" s="11" t="n">
        <f aca="false">IF(p_use_ibrd=1,p_r_ibrd,p_r_wb)</f>
        <v>0.06</v>
      </c>
      <c r="P215" s="45" t="n">
        <f aca="false">Sector_Params!$D$5</f>
        <v>25</v>
      </c>
      <c r="Q215" s="46" t="n">
        <f aca="false">M215/(1-(1+M215)^-P215)</f>
        <v>0.102177680290729</v>
      </c>
      <c r="R215" s="46" t="n">
        <f aca="false">N215/(1-(1+N215)^-P215)</f>
        <v>0.141353452232347</v>
      </c>
      <c r="S215" s="46" t="n">
        <f aca="false">O215/(1-(1+O215)^-P215)</f>
        <v>0.078226718212274</v>
      </c>
      <c r="T215" s="37" t="n">
        <f aca="false">IF(AND(p_eng=1,ISNUMBER(Country_Data!$CZ$35)),Country_Data!$CZ$35,Country_Data!$CM$35)*Sector_Params!$I$5</f>
        <v>0.132735519336363</v>
      </c>
      <c r="U215" s="37" t="n">
        <f aca="false">IF(AND(p_eng=1,ISNUMBER(Country_Data!$DA$35)),Country_Data!$DA$35,Country_Data!$CN$35)*Sector_Params!$J$5</f>
        <v>0.0312870924574645</v>
      </c>
      <c r="V215" s="37" t="n">
        <f aca="false">IF(AND(p_eng=1,ISNUMBER(Country_Data!$DB$35)),Country_Data!$DB$35,p_a)</f>
        <v>1.02395168476693</v>
      </c>
      <c r="W215" s="16" t="n">
        <f aca="false">T215*L215</f>
        <v>0.395027861885696</v>
      </c>
      <c r="X215" s="16" t="n">
        <f aca="false">U215*L215</f>
        <v>0.0931120268326435</v>
      </c>
      <c r="Y215" s="16" t="n">
        <f aca="false">V215*L215</f>
        <v>3.04733387664477</v>
      </c>
      <c r="Z215" s="16" t="n">
        <f aca="false">Q215*L215</f>
        <v>0.30408613142503</v>
      </c>
      <c r="AA215" s="16" t="n">
        <f aca="false">R215*L215</f>
        <v>0.420675281828721</v>
      </c>
      <c r="AB215" s="16" t="n">
        <f aca="false">S215*L215</f>
        <v>0.23280681306879</v>
      </c>
      <c r="AC215" s="16" t="n">
        <f aca="false">Z215-W215</f>
        <v>-0.0909417304606664</v>
      </c>
      <c r="AD215" s="16" t="n">
        <f aca="false">AA215-W215</f>
        <v>0.0256474199430243</v>
      </c>
      <c r="AE215" s="16" t="n">
        <f aca="false">AB215-W215</f>
        <v>-0.162221048816906</v>
      </c>
      <c r="AF215" s="16" t="n">
        <f aca="false">AE215-X215</f>
        <v>-0.25533307564955</v>
      </c>
      <c r="AG215" s="16" t="n">
        <f aca="false">AF215-p_spc_lo*Y215/1000</f>
        <v>-0.407699769481788</v>
      </c>
      <c r="AH215" s="16" t="n">
        <f aca="false">AF215-p_spc_hi*Y215/1000</f>
        <v>-0.560066463314026</v>
      </c>
      <c r="AI215" s="16" t="n">
        <f aca="false">Q215*J215</f>
        <v>1.26702554760429</v>
      </c>
      <c r="AJ215" s="16" t="n">
        <f aca="false">S215*J215</f>
        <v>0.970028387786626</v>
      </c>
      <c r="AK215" s="16" t="n">
        <f aca="false">T215*J215</f>
        <v>1.64594942452373</v>
      </c>
      <c r="AL215" s="16" t="n">
        <f aca="false">U215*J215</f>
        <v>0.387966778469348</v>
      </c>
      <c r="AM215" s="16" t="n">
        <f aca="false">AI215-AJ215</f>
        <v>0.296997159817666</v>
      </c>
      <c r="AN215" s="16" t="n">
        <f aca="false">J215*Country_Data!$EB$35</f>
        <v>14.234771218664</v>
      </c>
      <c r="AO215" s="16" t="n">
        <f aca="false">L215*Country_Data!$EB$35</f>
        <v>3.41634509247937</v>
      </c>
    </row>
    <row r="216" customFormat="false" ht="15" hidden="false" customHeight="false" outlineLevel="0" collapsed="false">
      <c r="A216" s="14" t="str">
        <f aca="false">Country_Data!$A$35</f>
        <v>THA</v>
      </c>
      <c r="B216" s="14" t="str">
        <f aca="false">Country_Data!$E$35</f>
        <v>EMDC</v>
      </c>
      <c r="C216" s="35" t="s">
        <v>470</v>
      </c>
      <c r="D216" s="37" t="n">
        <f aca="false">IF(Country_Data!$BZ$35="","",Country_Data!$BZ$35)</f>
        <v>218.754276781519</v>
      </c>
      <c r="E216" s="40" t="n">
        <f aca="false">Country_Data!$BW$35</f>
        <v>1785.79</v>
      </c>
      <c r="F216" s="41" t="n">
        <f aca="false">Country_Data!$BX$35</f>
        <v>0.29644359079175</v>
      </c>
      <c r="G216" s="42" t="n">
        <f aca="false">IF(D216="","",D216/SUMIFS($D$5:$D$1369,$B$5:$B$1369,B216,$C$5:$C$1369,C216))</f>
        <v>0.0249734553716355</v>
      </c>
      <c r="H216" s="42" t="n">
        <f aca="false">E216/SUMIFS($E$5:$E$1369,$B$5:$B$1369,B216,$C$5:$C$1369,C216)</f>
        <v>0.0221200073477779</v>
      </c>
      <c r="I216" s="43" t="n">
        <f aca="false">IF(G216="",H216,p_beta_alloc*G216+(1-p_beta_alloc)*H216)*F216^p_phi</f>
        <v>0.0128204025428869</v>
      </c>
      <c r="J216" s="16" t="n">
        <f aca="false">INDEX(Sector_Params!$C$17:$E$17,MATCH(B216,Sector_Params!$C$15:$E$15,0))*I216/SUMIFS($I$5:$I$1369,$B$5:$B$1369,B216,$C$5:$C$1369,C216)</f>
        <v>8.50300687865646</v>
      </c>
      <c r="K216" s="28" t="n">
        <f aca="false">INDEX(Sector_Params!$F$6:$H$6,MATCH(B216,Sector_Params!$C$15:$E$15,0))</f>
        <v>0.24</v>
      </c>
      <c r="L216" s="16" t="n">
        <f aca="false">J216*K216</f>
        <v>2.04072165087755</v>
      </c>
      <c r="M216" s="44" t="n">
        <f aca="false">Country_Data!$DW$35+Sector_Params!$E$6</f>
        <v>0.0904499999999999</v>
      </c>
      <c r="N216" s="44" t="n">
        <f aca="false">Country_Data!$DX$35+Sector_Params!$E$6</f>
        <v>0.13545</v>
      </c>
      <c r="O216" s="11" t="n">
        <f aca="false">IF(p_use_ibrd=1,p_r_ibrd,p_r_wb)</f>
        <v>0.06</v>
      </c>
      <c r="P216" s="45" t="n">
        <f aca="false">Sector_Params!$D$6</f>
        <v>40</v>
      </c>
      <c r="Q216" s="46" t="n">
        <f aca="false">M216/(1-(1+M216)^-P216)</f>
        <v>0.0933741273506804</v>
      </c>
      <c r="R216" s="46" t="n">
        <f aca="false">N216/(1-(1+N216)^-P216)</f>
        <v>0.136296769048582</v>
      </c>
      <c r="S216" s="46" t="n">
        <f aca="false">O216/(1-(1+O216)^-P216)</f>
        <v>0.0664615359206755</v>
      </c>
      <c r="T216" s="37" t="n">
        <f aca="false">p_grid_credit*IF(AND(p_eng=1,ISNUMBER(Country_Data!$CZ$35)),Country_Data!$CZ$35,Country_Data!$CM$35)*Sector_Params!$I$6</f>
        <v>0</v>
      </c>
      <c r="U216" s="37" t="n">
        <f aca="false">p_grid_credit*IF(AND(p_eng=1,ISNUMBER(Country_Data!$DA$35)),Country_Data!$DA$35,Country_Data!$CN$35)*Sector_Params!$J$6</f>
        <v>0</v>
      </c>
      <c r="V216" s="37" t="n">
        <f aca="false">p_grid_credit*IF(AND(p_eng=1,ISNUMBER(Country_Data!$DB$35)),Country_Data!$DB$35,p_a)</f>
        <v>0</v>
      </c>
      <c r="W216" s="16" t="n">
        <f aca="false">T216*L216</f>
        <v>0</v>
      </c>
      <c r="X216" s="16" t="n">
        <f aca="false">U216*L216</f>
        <v>0</v>
      </c>
      <c r="Y216" s="16" t="n">
        <f aca="false">V216*L216</f>
        <v>0</v>
      </c>
      <c r="Z216" s="16" t="n">
        <f aca="false">Q216*L216</f>
        <v>0.190550603316331</v>
      </c>
      <c r="AA216" s="16" t="n">
        <f aca="false">R216*L216</f>
        <v>0.278143767542099</v>
      </c>
      <c r="AB216" s="16" t="n">
        <f aca="false">S216*L216</f>
        <v>0.135629495303899</v>
      </c>
      <c r="AC216" s="16" t="n">
        <f aca="false">Z216-W216</f>
        <v>0.190550603316331</v>
      </c>
      <c r="AD216" s="16" t="n">
        <f aca="false">AA216-W216</f>
        <v>0.278143767542099</v>
      </c>
      <c r="AE216" s="16" t="n">
        <f aca="false">AB216-W216</f>
        <v>0.135629495303899</v>
      </c>
      <c r="AF216" s="16" t="n">
        <f aca="false">AE216-X216</f>
        <v>0.135629495303899</v>
      </c>
      <c r="AG216" s="16" t="n">
        <f aca="false">AF216-p_spc_lo*Y216/1000</f>
        <v>0.135629495303899</v>
      </c>
      <c r="AH216" s="16" t="n">
        <f aca="false">AF216-p_spc_hi*Y216/1000</f>
        <v>0.135629495303899</v>
      </c>
      <c r="AI216" s="16" t="n">
        <f aca="false">Q216*J216</f>
        <v>0.79396084715138</v>
      </c>
      <c r="AJ216" s="16" t="n">
        <f aca="false">S216*J216</f>
        <v>0.565122897099577</v>
      </c>
      <c r="AK216" s="16" t="n">
        <f aca="false">T216*J216</f>
        <v>0</v>
      </c>
      <c r="AL216" s="16" t="n">
        <f aca="false">U216*J216</f>
        <v>0</v>
      </c>
      <c r="AM216" s="16" t="n">
        <f aca="false">AI216-AJ216</f>
        <v>0.228837950051803</v>
      </c>
      <c r="AN216" s="16" t="n">
        <f aca="false">J216*Country_Data!$EB$35</f>
        <v>9.76098597851248</v>
      </c>
      <c r="AO216" s="16" t="n">
        <f aca="false">L216*Country_Data!$EB$35</f>
        <v>2.342636634843</v>
      </c>
    </row>
    <row r="217" customFormat="false" ht="15" hidden="false" customHeight="false" outlineLevel="0" collapsed="false">
      <c r="A217" s="14" t="str">
        <f aca="false">Country_Data!$A$35</f>
        <v>THA</v>
      </c>
      <c r="B217" s="14" t="str">
        <f aca="false">Country_Data!$E$35</f>
        <v>EMDC</v>
      </c>
      <c r="C217" s="35" t="s">
        <v>473</v>
      </c>
      <c r="D217" s="37" t="n">
        <f aca="false">IF(Country_Data!$CA$35="","",Country_Data!$CA$35)</f>
        <v>1.17419236221126</v>
      </c>
      <c r="E217" s="40" t="n">
        <f aca="false">Country_Data!$BW$35</f>
        <v>1785.79</v>
      </c>
      <c r="F217" s="41" t="n">
        <f aca="false">Country_Data!$BX$35</f>
        <v>0.29644359079175</v>
      </c>
      <c r="G217" s="42" t="n">
        <f aca="false">IF(D217="","",D217/SUMIFS($D$5:$D$1369,$B$5:$B$1369,B217,$C$5:$C$1369,C217))</f>
        <v>0.0271265755773698</v>
      </c>
      <c r="H217" s="42" t="n">
        <f aca="false">E217/SUMIFS($E$5:$E$1369,$B$5:$B$1369,B217,$C$5:$C$1369,C217)</f>
        <v>0.0221200073477779</v>
      </c>
      <c r="I217" s="43" t="n">
        <f aca="false">IF(G217="",H217,p_beta_alloc*G217+(1-p_beta_alloc)*H217)*F217^p_phi</f>
        <v>0.013406553277336</v>
      </c>
      <c r="J217" s="16" t="n">
        <f aca="false">INDEX(Sector_Params!$C$18:$E$18,MATCH(B217,Sector_Params!$C$15:$E$15,0))*I217/SUMIFS($I$5:$I$1369,$B$5:$B$1369,B217,$C$5:$C$1369,C217)</f>
        <v>5.48966635173866</v>
      </c>
      <c r="K217" s="28" t="n">
        <f aca="false">INDEX(Sector_Params!$F$7:$H$7,MATCH(B217,Sector_Params!$C$15:$E$15,0))</f>
        <v>0.24</v>
      </c>
      <c r="L217" s="16" t="n">
        <f aca="false">J217*K217</f>
        <v>1.31751992441728</v>
      </c>
      <c r="M217" s="44" t="n">
        <f aca="false">Country_Data!$DW$35+Sector_Params!$E$7</f>
        <v>0.0904499999999999</v>
      </c>
      <c r="N217" s="44" t="n">
        <f aca="false">Country_Data!$DX$35+Sector_Params!$E$7</f>
        <v>0.13545</v>
      </c>
      <c r="O217" s="11" t="n">
        <f aca="false">IF(p_use_ibrd=1,p_r_ibrd,p_r_wb)</f>
        <v>0.06</v>
      </c>
      <c r="P217" s="45" t="n">
        <f aca="false">Sector_Params!$D$7</f>
        <v>12</v>
      </c>
      <c r="Q217" s="46" t="n">
        <f aca="false">M217/(1-(1+M217)^-P217)</f>
        <v>0.139967396507284</v>
      </c>
      <c r="R217" s="46" t="n">
        <f aca="false">N217/(1-(1+N217)^-P217)</f>
        <v>0.173157210471553</v>
      </c>
      <c r="S217" s="46" t="n">
        <f aca="false">O217/(1-(1+O217)^-P217)</f>
        <v>0.119277029380664</v>
      </c>
      <c r="T217" s="37" t="n">
        <f aca="false">IF(AND(p_eng=1,ISNUMBER(Country_Data!$DE$35)),Country_Data!$DE$35,Country_Data!$CM$35)*Sector_Params!$I$7</f>
        <v>0.143754795</v>
      </c>
      <c r="U217" s="37" t="n">
        <f aca="false">IF(AND(p_eng=1,ISNUMBER(Country_Data!$DF$35)),Country_Data!$DF$35,Country_Data!$CN$35)*Sector_Params!$J$7</f>
        <v>0.010194525</v>
      </c>
      <c r="V217" s="37" t="n">
        <f aca="false">IF(AND(p_eng=1,ISNUMBER(Country_Data!$DG$35)),Country_Data!$DG$35,p_a)</f>
        <v>0.292992063429664</v>
      </c>
      <c r="W217" s="16" t="n">
        <f aca="false">T217*L217</f>
        <v>0.189399806643021</v>
      </c>
      <c r="X217" s="16" t="n">
        <f aca="false">U217*L217</f>
        <v>0.01343148980747</v>
      </c>
      <c r="Y217" s="16" t="n">
        <f aca="false">V217*L217</f>
        <v>0.386022881264713</v>
      </c>
      <c r="Z217" s="16" t="n">
        <f aca="false">Q217*L217</f>
        <v>0.18440983366716</v>
      </c>
      <c r="AA217" s="16" t="n">
        <f aca="false">R217*L217</f>
        <v>0.228138074852787</v>
      </c>
      <c r="AB217" s="16" t="n">
        <f aca="false">S217*L217</f>
        <v>0.157149862734329</v>
      </c>
      <c r="AC217" s="16" t="n">
        <f aca="false">Z217-W217</f>
        <v>-0.0049899729758616</v>
      </c>
      <c r="AD217" s="16" t="n">
        <f aca="false">AA217-W217</f>
        <v>0.0387382682097654</v>
      </c>
      <c r="AE217" s="16" t="n">
        <f aca="false">AB217-W217</f>
        <v>-0.032249943908692</v>
      </c>
      <c r="AF217" s="16" t="n">
        <f aca="false">AE217-X217</f>
        <v>-0.0456814337161621</v>
      </c>
      <c r="AG217" s="16" t="n">
        <f aca="false">AF217-p_spc_lo*Y217/1000</f>
        <v>-0.0649825777793977</v>
      </c>
      <c r="AH217" s="16" t="n">
        <f aca="false">AF217-p_spc_hi*Y217/1000</f>
        <v>-0.0842837218426334</v>
      </c>
      <c r="AI217" s="16" t="n">
        <f aca="false">Q217*J217</f>
        <v>0.768374306946499</v>
      </c>
      <c r="AJ217" s="16" t="n">
        <f aca="false">S217*J217</f>
        <v>0.654791094726372</v>
      </c>
      <c r="AK217" s="16" t="n">
        <f aca="false">T217*J217</f>
        <v>0.789165861012589</v>
      </c>
      <c r="AL217" s="16" t="n">
        <f aca="false">U217*J217</f>
        <v>0.0559645408644585</v>
      </c>
      <c r="AM217" s="16" t="n">
        <f aca="false">AI217-AJ217</f>
        <v>0.113583212220127</v>
      </c>
      <c r="AN217" s="16" t="n">
        <f aca="false">J217*Country_Data!$EB$35</f>
        <v>6.30183616816027</v>
      </c>
      <c r="AO217" s="16" t="n">
        <f aca="false">L217*Country_Data!$EB$35</f>
        <v>1.51244068035846</v>
      </c>
    </row>
    <row r="218" customFormat="false" ht="15" hidden="false" customHeight="false" outlineLevel="0" collapsed="false">
      <c r="A218" s="14" t="str">
        <f aca="false">Country_Data!$A$35</f>
        <v>THA</v>
      </c>
      <c r="B218" s="14" t="str">
        <f aca="false">Country_Data!$E$35</f>
        <v>EMDC</v>
      </c>
      <c r="C218" s="35" t="s">
        <v>477</v>
      </c>
      <c r="D218" s="37" t="n">
        <f aca="false">IF(Country_Data!$CB$35="","",Country_Data!$CB$35)</f>
        <v>0.450133550062972</v>
      </c>
      <c r="E218" s="40" t="n">
        <f aca="false">Country_Data!$BW$35</f>
        <v>1785.79</v>
      </c>
      <c r="F218" s="41" t="n">
        <f aca="false">Country_Data!$BX$35</f>
        <v>0.29644359079175</v>
      </c>
      <c r="G218" s="42" t="n">
        <f aca="false">IF(D218="","",D218/SUMIFS($D$5:$D$1369,$B$5:$B$1369,B218,$C$5:$C$1369,C218))</f>
        <v>0.0141940814902879</v>
      </c>
      <c r="H218" s="42" t="n">
        <f aca="false">E218/SUMIFS($E$5:$E$1369,$B$5:$B$1369,B218,$C$5:$C$1369,C218)</f>
        <v>0.0221200073477779</v>
      </c>
      <c r="I218" s="43" t="n">
        <f aca="false">IF(G218="",H218,p_beta_alloc*G218+(1-p_beta_alloc)*H218)*F218^p_phi</f>
        <v>0.00988589944332635</v>
      </c>
      <c r="J218" s="16" t="n">
        <f aca="false">INDEX(Sector_Params!$C$19:$E$19,MATCH(B218,Sector_Params!$C$15:$E$15,0))*I218/SUMIFS($I$5:$I$1369,$B$5:$B$1369,B218,$C$5:$C$1369,C218)</f>
        <v>3.18190126381887</v>
      </c>
      <c r="K218" s="28" t="n">
        <f aca="false">INDEX(Sector_Params!$F$8:$H$8,MATCH(B218,Sector_Params!$C$15:$E$15,0))</f>
        <v>0.24</v>
      </c>
      <c r="L218" s="16" t="n">
        <f aca="false">J218*K218</f>
        <v>0.76365630331653</v>
      </c>
      <c r="M218" s="44" t="n">
        <f aca="false">Country_Data!$DW$35+Sector_Params!$E$8</f>
        <v>0.0904499999999999</v>
      </c>
      <c r="N218" s="44" t="n">
        <f aca="false">Country_Data!$DX$35+Sector_Params!$E$8</f>
        <v>0.13545</v>
      </c>
      <c r="O218" s="11" t="n">
        <f aca="false">IF(p_use_ibrd=1,p_r_ibrd,p_r_wb)</f>
        <v>0.06</v>
      </c>
      <c r="P218" s="45" t="n">
        <f aca="false">Sector_Params!$D$8</f>
        <v>25</v>
      </c>
      <c r="Q218" s="46" t="n">
        <f aca="false">M218/(1-(1+M218)^-P218)</f>
        <v>0.102177680290729</v>
      </c>
      <c r="R218" s="46" t="n">
        <f aca="false">N218/(1-(1+N218)^-P218)</f>
        <v>0.141353452232347</v>
      </c>
      <c r="S218" s="46" t="n">
        <f aca="false">O218/(1-(1+O218)^-P218)</f>
        <v>0.078226718212274</v>
      </c>
      <c r="T218" s="37" t="n">
        <f aca="false">Country_Data!$CM$35*Sector_Params!$I$8</f>
        <v>0.136048254644319</v>
      </c>
      <c r="U218" s="37" t="n">
        <f aca="false">Country_Data!$CN$35*Sector_Params!$J$8</f>
        <v>0.123191472644878</v>
      </c>
      <c r="V218" s="37" t="n">
        <f aca="false">p_a</f>
        <v>0.35</v>
      </c>
      <c r="W218" s="16" t="n">
        <f aca="false">T218*L218</f>
        <v>0.103894107214346</v>
      </c>
      <c r="X218" s="16" t="n">
        <f aca="false">U218*L218</f>
        <v>0.0940759446001071</v>
      </c>
      <c r="Y218" s="16" t="n">
        <f aca="false">V218*L218</f>
        <v>0.267279706160785</v>
      </c>
      <c r="Z218" s="16" t="n">
        <f aca="false">Q218*L218</f>
        <v>0.0780286296122763</v>
      </c>
      <c r="AA218" s="16" t="n">
        <f aca="false">R218*L218</f>
        <v>0.107945454792784</v>
      </c>
      <c r="AB218" s="16" t="n">
        <f aca="false">S218*L218</f>
        <v>0.059738326450569</v>
      </c>
      <c r="AC218" s="16" t="n">
        <f aca="false">Z218-W218</f>
        <v>-0.02586547760207</v>
      </c>
      <c r="AD218" s="16" t="n">
        <f aca="false">AA218-W218</f>
        <v>0.00405134757843782</v>
      </c>
      <c r="AE218" s="16" t="n">
        <f aca="false">AB218-W218</f>
        <v>-0.0441557807637773</v>
      </c>
      <c r="AF218" s="16" t="n">
        <f aca="false">AE218-X218</f>
        <v>-0.138231725363884</v>
      </c>
      <c r="AG218" s="16" t="n">
        <f aca="false">AF218-p_spc_lo*Y218/1000</f>
        <v>-0.151595710671924</v>
      </c>
      <c r="AH218" s="16" t="n">
        <f aca="false">AF218-p_spc_hi*Y218/1000</f>
        <v>-0.164959695979963</v>
      </c>
      <c r="AI218" s="16" t="n">
        <f aca="false">Q218*J218</f>
        <v>0.325119290051151</v>
      </c>
      <c r="AJ218" s="16" t="n">
        <f aca="false">S218*J218</f>
        <v>0.248909693544037</v>
      </c>
      <c r="AK218" s="16" t="n">
        <f aca="false">T218*J218</f>
        <v>0.432892113393109</v>
      </c>
      <c r="AL218" s="16" t="n">
        <f aca="false">U218*J218</f>
        <v>0.391983102500446</v>
      </c>
      <c r="AM218" s="16" t="n">
        <f aca="false">AI218-AJ218</f>
        <v>0.0762095965071137</v>
      </c>
      <c r="AN218" s="16" t="n">
        <f aca="false">J218*Country_Data!$EB$35</f>
        <v>3.65264830010989</v>
      </c>
      <c r="AO218" s="16" t="n">
        <f aca="false">L218*Country_Data!$EB$35</f>
        <v>0.876635592026372</v>
      </c>
    </row>
    <row r="219" customFormat="false" ht="15" hidden="false" customHeight="false" outlineLevel="0" collapsed="false">
      <c r="A219" s="14" t="str">
        <f aca="false">Country_Data!$A$35</f>
        <v>THA</v>
      </c>
      <c r="B219" s="14" t="str">
        <f aca="false">Country_Data!$E$35</f>
        <v>EMDC</v>
      </c>
      <c r="C219" s="35" t="s">
        <v>481</v>
      </c>
      <c r="D219" s="37" t="n">
        <f aca="false">IF(Country_Data!$CC$35="","",Country_Data!$CC$35)</f>
        <v>1.45453304967094</v>
      </c>
      <c r="E219" s="40" t="n">
        <f aca="false">Country_Data!$BW$35</f>
        <v>1785.79</v>
      </c>
      <c r="F219" s="41" t="n">
        <f aca="false">Country_Data!$BX$35</f>
        <v>0.29644359079175</v>
      </c>
      <c r="G219" s="42" t="n">
        <f aca="false">IF(D219="","",D219/SUMIFS($D$5:$D$1369,$B$5:$B$1369,B219,$C$5:$C$1369,C219))</f>
        <v>0.0207768894405736</v>
      </c>
      <c r="H219" s="42" t="n">
        <f aca="false">E219/SUMIFS($E$5:$E$1369,$B$5:$B$1369,B219,$C$5:$C$1369,C219)</f>
        <v>0.0221200073477779</v>
      </c>
      <c r="I219" s="43" t="n">
        <f aca="false">IF(G219="",H219,p_beta_alloc*G219+(1-p_beta_alloc)*H219)*F219^p_phi</f>
        <v>0.0116779581052261</v>
      </c>
      <c r="J219" s="16" t="n">
        <f aca="false">INDEX(Sector_Params!$C$20:$E$20,MATCH(B219,Sector_Params!$C$15:$E$15,0))*I219/SUMIFS($I$5:$I$1369,$B$5:$B$1369,B219,$C$5:$C$1369,C219)</f>
        <v>2.13146252126889</v>
      </c>
      <c r="K219" s="28" t="n">
        <f aca="false">INDEX(Sector_Params!$F$9:$H$9,MATCH(B219,Sector_Params!$C$15:$E$15,0))</f>
        <v>0.24</v>
      </c>
      <c r="L219" s="16" t="n">
        <f aca="false">J219*K219</f>
        <v>0.511551005104533</v>
      </c>
      <c r="M219" s="44" t="n">
        <f aca="false">Country_Data!$DW$35+Sector_Params!$E$9</f>
        <v>0.0904499999999999</v>
      </c>
      <c r="N219" s="44" t="n">
        <f aca="false">Country_Data!$DX$35+Sector_Params!$E$9</f>
        <v>0.13545</v>
      </c>
      <c r="O219" s="11" t="n">
        <f aca="false">IF(p_use_ibrd=1,p_r_ibrd,p_r_wb)</f>
        <v>0.06</v>
      </c>
      <c r="P219" s="45" t="n">
        <f aca="false">Sector_Params!$D$9</f>
        <v>25</v>
      </c>
      <c r="Q219" s="46" t="n">
        <f aca="false">M219/(1-(1+M219)^-P219)</f>
        <v>0.102177680290729</v>
      </c>
      <c r="R219" s="46" t="n">
        <f aca="false">N219/(1-(1+N219)^-P219)</f>
        <v>0.141353452232347</v>
      </c>
      <c r="S219" s="46" t="n">
        <f aca="false">O219/(1-(1+O219)^-P219)</f>
        <v>0.078226718212274</v>
      </c>
      <c r="T219" s="37" t="n">
        <f aca="false">Country_Data!$CM$35*Sector_Params!$I$9</f>
        <v>0.136048254644319</v>
      </c>
      <c r="U219" s="37" t="n">
        <f aca="false">Country_Data!$CN$35*Sector_Params!$J$9</f>
        <v>0.123191472644878</v>
      </c>
      <c r="V219" s="37" t="n">
        <f aca="false">p_a</f>
        <v>0.35</v>
      </c>
      <c r="W219" s="16" t="n">
        <f aca="false">T219*L219</f>
        <v>0.0695956214060187</v>
      </c>
      <c r="X219" s="16" t="n">
        <f aca="false">U219*L219</f>
        <v>0.0630187216517951</v>
      </c>
      <c r="Y219" s="16" t="n">
        <f aca="false">V219*L219</f>
        <v>0.179042851786587</v>
      </c>
      <c r="Z219" s="16" t="n">
        <f aca="false">Q219*L219</f>
        <v>0.052269095051972</v>
      </c>
      <c r="AA219" s="16" t="n">
        <f aca="false">R219*L219</f>
        <v>0.072309500564453</v>
      </c>
      <c r="AB219" s="16" t="n">
        <f aca="false">S219*L219</f>
        <v>0.0400169563275178</v>
      </c>
      <c r="AC219" s="16" t="n">
        <f aca="false">Z219-W219</f>
        <v>-0.0173265263540467</v>
      </c>
      <c r="AD219" s="16" t="n">
        <f aca="false">AA219-W219</f>
        <v>0.00271387915843427</v>
      </c>
      <c r="AE219" s="16" t="n">
        <f aca="false">AB219-W219</f>
        <v>-0.0295786650785009</v>
      </c>
      <c r="AF219" s="16" t="n">
        <f aca="false">AE219-X219</f>
        <v>-0.092597386730296</v>
      </c>
      <c r="AG219" s="16" t="n">
        <f aca="false">AF219-p_spc_lo*Y219/1000</f>
        <v>-0.101549529319625</v>
      </c>
      <c r="AH219" s="16" t="n">
        <f aca="false">AF219-p_spc_hi*Y219/1000</f>
        <v>-0.110501671908955</v>
      </c>
      <c r="AI219" s="16" t="n">
        <f aca="false">Q219*J219</f>
        <v>0.217787896049883</v>
      </c>
      <c r="AJ219" s="16" t="n">
        <f aca="false">S219*J219</f>
        <v>0.166737318031324</v>
      </c>
      <c r="AK219" s="16" t="n">
        <f aca="false">T219*J219</f>
        <v>0.289981755858411</v>
      </c>
      <c r="AL219" s="16" t="n">
        <f aca="false">U219*J219</f>
        <v>0.26257800688248</v>
      </c>
      <c r="AM219" s="16" t="n">
        <f aca="false">AI219-AJ219</f>
        <v>0.0510505780185591</v>
      </c>
      <c r="AN219" s="16" t="n">
        <f aca="false">J219*Country_Data!$EB$35</f>
        <v>2.44680218194977</v>
      </c>
      <c r="AO219" s="16" t="n">
        <f aca="false">L219*Country_Data!$EB$35</f>
        <v>0.587232523667944</v>
      </c>
    </row>
    <row r="220" customFormat="false" ht="15" hidden="false" customHeight="false" outlineLevel="0" collapsed="false">
      <c r="A220" s="14" t="str">
        <f aca="false">Country_Data!$A$35</f>
        <v>THA</v>
      </c>
      <c r="B220" s="14" t="str">
        <f aca="false">Country_Data!$E$35</f>
        <v>EMDC</v>
      </c>
      <c r="C220" s="35" t="s">
        <v>484</v>
      </c>
      <c r="D220" s="37" t="n">
        <f aca="false">IF(Country_Data!$CD$35="","",Country_Data!$CD$35)</f>
        <v>3.51411484719017</v>
      </c>
      <c r="E220" s="40" t="n">
        <f aca="false">Country_Data!$BW$35</f>
        <v>1785.79</v>
      </c>
      <c r="F220" s="41" t="n">
        <f aca="false">Country_Data!$BX$35</f>
        <v>0.29644359079175</v>
      </c>
      <c r="G220" s="42" t="n">
        <f aca="false">IF(D220="","",D220/SUMIFS($D$5:$D$1369,$B$5:$B$1369,B220,$C$5:$C$1369,C220))</f>
        <v>0.0196241010807876</v>
      </c>
      <c r="H220" s="42" t="n">
        <f aca="false">E220/SUMIFS($E$5:$E$1369,$B$5:$B$1369,B220,$C$5:$C$1369,C220)</f>
        <v>0.0221200073477779</v>
      </c>
      <c r="I220" s="43" t="n">
        <f aca="false">IF(G220="",H220,p_beta_alloc*G220+(1-p_beta_alloc)*H220)*F220^p_phi</f>
        <v>0.011364130878138</v>
      </c>
      <c r="J220" s="16" t="n">
        <f aca="false">INDEX(Sector_Params!$C$21:$E$21,MATCH(B220,Sector_Params!$C$15:$E$15,0))*I220/SUMIFS($I$5:$I$1369,$B$5:$B$1369,B220,$C$5:$C$1369,C220)</f>
        <v>2.52044861302909</v>
      </c>
      <c r="K220" s="28" t="n">
        <f aca="false">INDEX(Sector_Params!$F$10:$H$10,MATCH(B220,Sector_Params!$C$15:$E$15,0))</f>
        <v>0.24</v>
      </c>
      <c r="L220" s="16" t="n">
        <f aca="false">J220*K220</f>
        <v>0.60490766712698</v>
      </c>
      <c r="M220" s="44" t="n">
        <f aca="false">Country_Data!$DW$35+Sector_Params!$E$10</f>
        <v>0.0904499999999999</v>
      </c>
      <c r="N220" s="44" t="n">
        <f aca="false">Country_Data!$DX$35+Sector_Params!$E$10</f>
        <v>0.13545</v>
      </c>
      <c r="O220" s="11" t="n">
        <f aca="false">IF(p_use_ibrd=1,p_r_ibrd,p_r_wb)</f>
        <v>0.06</v>
      </c>
      <c r="P220" s="45" t="n">
        <f aca="false">Sector_Params!$D$10</f>
        <v>20</v>
      </c>
      <c r="Q220" s="46" t="n">
        <f aca="false">M220/(1-(1+M220)^-P220)</f>
        <v>0.10989798403222</v>
      </c>
      <c r="R220" s="46" t="n">
        <f aca="false">N220/(1-(1+N220)^-P220)</f>
        <v>0.147039761436744</v>
      </c>
      <c r="S220" s="46" t="n">
        <f aca="false">O220/(1-(1+O220)^-P220)</f>
        <v>0.0871845569768514</v>
      </c>
      <c r="T220" s="37" t="n">
        <f aca="false">0*Sector_Params!$I$10</f>
        <v>0</v>
      </c>
      <c r="U220" s="37" t="n">
        <f aca="false">0*Sector_Params!$J$10</f>
        <v>0</v>
      </c>
      <c r="V220" s="37" t="n">
        <f aca="false">1000*p_r_wb/(1-(1+p_r_wb)^-Sector_Params!$D$10)/p_cpt_fuel</f>
        <v>0.871845569768514</v>
      </c>
      <c r="W220" s="16" t="n">
        <f aca="false">T220*L220</f>
        <v>0</v>
      </c>
      <c r="X220" s="16" t="n">
        <f aca="false">U220*L220</f>
        <v>0</v>
      </c>
      <c r="Y220" s="16" t="n">
        <f aca="false">V220*L220</f>
        <v>0.527386069703665</v>
      </c>
      <c r="Z220" s="16" t="n">
        <f aca="false">Q220*L220</f>
        <v>0.0664781331428882</v>
      </c>
      <c r="AA220" s="16" t="n">
        <f aca="false">R220*L220</f>
        <v>0.0889454790656084</v>
      </c>
      <c r="AB220" s="16" t="n">
        <f aca="false">S220*L220</f>
        <v>0.0527386069703665</v>
      </c>
      <c r="AC220" s="16" t="n">
        <f aca="false">Z220-W220</f>
        <v>0.0664781331428882</v>
      </c>
      <c r="AD220" s="16" t="n">
        <f aca="false">AA220-W220</f>
        <v>0.0889454790656084</v>
      </c>
      <c r="AE220" s="16" t="n">
        <f aca="false">AB220-W220</f>
        <v>0.0527386069703665</v>
      </c>
      <c r="AF220" s="16" t="n">
        <f aca="false">AE220-X220</f>
        <v>0.0527386069703665</v>
      </c>
      <c r="AG220" s="16" t="n">
        <f aca="false">AF220-p_spc_lo*Y220/1000</f>
        <v>0.0263693034851832</v>
      </c>
      <c r="AH220" s="16" t="n">
        <f aca="false">AF220-p_spc_hi*Y220/1000</f>
        <v>0</v>
      </c>
      <c r="AI220" s="16" t="n">
        <f aca="false">Q220*J220</f>
        <v>0.276992221428701</v>
      </c>
      <c r="AJ220" s="16" t="n">
        <f aca="false">S220*J220</f>
        <v>0.21974419570986</v>
      </c>
      <c r="AK220" s="16" t="n">
        <f aca="false">T220*J220</f>
        <v>0</v>
      </c>
      <c r="AL220" s="16" t="n">
        <f aca="false">U220*J220</f>
        <v>0</v>
      </c>
      <c r="AM220" s="16" t="n">
        <f aca="false">AI220-AJ220</f>
        <v>0.0572480257188405</v>
      </c>
      <c r="AN220" s="16" t="n">
        <f aca="false">J220*Country_Data!$EB$35</f>
        <v>2.89333690098407</v>
      </c>
      <c r="AO220" s="16" t="n">
        <f aca="false">L220*Country_Data!$EB$35</f>
        <v>0.694400856236178</v>
      </c>
    </row>
    <row r="221" customFormat="false" ht="15" hidden="false" customHeight="false" outlineLevel="0" collapsed="false">
      <c r="A221" s="14" t="str">
        <f aca="false">Country_Data!$A$35</f>
        <v>THA</v>
      </c>
      <c r="B221" s="14" t="str">
        <f aca="false">Country_Data!$E$35</f>
        <v>EMDC</v>
      </c>
      <c r="C221" s="35" t="s">
        <v>488</v>
      </c>
      <c r="D221" s="37" t="n">
        <f aca="false">IF(Country_Data!$CE$35="","",Country_Data!$CE$35)</f>
        <v>199.707</v>
      </c>
      <c r="E221" s="40" t="n">
        <f aca="false">Country_Data!$BW$35</f>
        <v>1785.79</v>
      </c>
      <c r="F221" s="41" t="n">
        <f aca="false">Country_Data!$BX$35</f>
        <v>0.29644359079175</v>
      </c>
      <c r="G221" s="42" t="n">
        <f aca="false">IF(D221="","",D221/SUMIFS($D$5:$D$1369,$B$5:$B$1369,B221,$C$5:$C$1369,C221))</f>
        <v>0.0163639134684954</v>
      </c>
      <c r="H221" s="42" t="n">
        <f aca="false">E221/SUMIFS($E$5:$E$1369,$B$5:$B$1369,B221,$C$5:$C$1369,C221)</f>
        <v>0.0221200073477779</v>
      </c>
      <c r="I221" s="43" t="n">
        <f aca="false">IF(G221="",H221,p_beta_alloc*G221+(1-p_beta_alloc)*H221)*F221^p_phi</f>
        <v>0.0104765996765369</v>
      </c>
      <c r="J221" s="16" t="n">
        <f aca="false">INDEX(Sector_Params!$C$22:$E$22,MATCH(B221,Sector_Params!$C$15:$E$15,0))*I221/SUMIFS($I$5:$I$1369,$B$5:$B$1369,B221,$C$5:$C$1369,C221)</f>
        <v>6.31538216502783</v>
      </c>
      <c r="K221" s="28" t="n">
        <f aca="false">INDEX(Sector_Params!$F$11:$H$11,MATCH(B221,Sector_Params!$C$15:$E$15,0))</f>
        <v>0.24</v>
      </c>
      <c r="L221" s="16" t="n">
        <f aca="false">J221*K221</f>
        <v>1.51569171960668</v>
      </c>
      <c r="M221" s="44" t="n">
        <f aca="false">Country_Data!$DW$35+Sector_Params!$E$11</f>
        <v>0.0904499999999999</v>
      </c>
      <c r="N221" s="44" t="n">
        <f aca="false">Country_Data!$DX$35+Sector_Params!$E$11</f>
        <v>0.13545</v>
      </c>
      <c r="O221" s="11" t="n">
        <f aca="false">IF(p_use_ibrd=1,p_r_ibrd,p_r_wb)</f>
        <v>0.06</v>
      </c>
      <c r="P221" s="45" t="n">
        <f aca="false">Sector_Params!$D$11</f>
        <v>30</v>
      </c>
      <c r="Q221" s="46" t="n">
        <f aca="false">M221/(1-(1+M221)^-P221)</f>
        <v>0.0977249995770344</v>
      </c>
      <c r="R221" s="46" t="n">
        <f aca="false">N221/(1-(1+N221)^-P221)</f>
        <v>0.138515186844034</v>
      </c>
      <c r="S221" s="46" t="n">
        <f aca="false">O221/(1-(1+O221)^-P221)</f>
        <v>0.0726489114900472</v>
      </c>
      <c r="T221" s="37" t="n">
        <f aca="false">0*Sector_Params!$I$11</f>
        <v>0</v>
      </c>
      <c r="U221" s="37" t="n">
        <f aca="false">p_c*Sector_Params!$J$11</f>
        <v>0.129</v>
      </c>
      <c r="V221" s="37" t="n">
        <f aca="false">1000*p_r_wb/(1-(1+p_r_wb)^-Sector_Params!$D$11)/p_cpt_afolu</f>
        <v>1.45297822980094</v>
      </c>
      <c r="W221" s="16" t="n">
        <f aca="false">T221*L221</f>
        <v>0</v>
      </c>
      <c r="X221" s="16" t="n">
        <f aca="false">U221*L221</f>
        <v>0.195524231829262</v>
      </c>
      <c r="Y221" s="16" t="n">
        <f aca="false">V221*L221</f>
        <v>2.20226707167806</v>
      </c>
      <c r="Z221" s="16" t="n">
        <f aca="false">Q221*L221</f>
        <v>0.148120972657477</v>
      </c>
      <c r="AA221" s="16" t="n">
        <f aca="false">R221*L221</f>
        <v>0.209946321739274</v>
      </c>
      <c r="AB221" s="16" t="n">
        <f aca="false">S221*L221</f>
        <v>0.110113353583903</v>
      </c>
      <c r="AC221" s="16" t="n">
        <f aca="false">Z221-W221</f>
        <v>0.148120972657477</v>
      </c>
      <c r="AD221" s="16" t="n">
        <f aca="false">AA221-W221</f>
        <v>0.209946321739274</v>
      </c>
      <c r="AE221" s="16" t="n">
        <f aca="false">AB221-W221</f>
        <v>0.110113353583903</v>
      </c>
      <c r="AF221" s="16" t="n">
        <f aca="false">AE221-X221</f>
        <v>-0.0854108782453585</v>
      </c>
      <c r="AG221" s="16" t="n">
        <f aca="false">AF221-p_spc_lo*Y221/1000</f>
        <v>-0.195524231829262</v>
      </c>
      <c r="AH221" s="16" t="n">
        <f aca="false">AF221-p_spc_hi*Y221/1000</f>
        <v>-0.305637585413165</v>
      </c>
      <c r="AI221" s="16" t="n">
        <f aca="false">Q221*J221</f>
        <v>0.617170719406155</v>
      </c>
      <c r="AJ221" s="16" t="n">
        <f aca="false">S221*J221</f>
        <v>0.45880563993293</v>
      </c>
      <c r="AK221" s="16" t="n">
        <f aca="false">T221*J221</f>
        <v>0</v>
      </c>
      <c r="AL221" s="16" t="n">
        <f aca="false">U221*J221</f>
        <v>0.81468429928859</v>
      </c>
      <c r="AM221" s="16" t="n">
        <f aca="false">AI221-AJ221</f>
        <v>0.158365079473225</v>
      </c>
      <c r="AN221" s="16" t="n">
        <f aca="false">J221*Country_Data!$EB$35</f>
        <v>7.24971267711414</v>
      </c>
      <c r="AO221" s="16" t="n">
        <f aca="false">L221*Country_Data!$EB$35</f>
        <v>1.73993104250739</v>
      </c>
    </row>
    <row r="222" customFormat="false" ht="15" hidden="false" customHeight="false" outlineLevel="0" collapsed="false">
      <c r="A222" s="14" t="str">
        <f aca="false">Country_Data!$A$36</f>
        <v>NOR</v>
      </c>
      <c r="B222" s="14" t="str">
        <f aca="false">Country_Data!$E$36</f>
        <v>AE</v>
      </c>
      <c r="C222" s="35" t="s">
        <v>466</v>
      </c>
      <c r="D222" s="37" t="n">
        <f aca="false">IF(Country_Data!$BZ$36="","",Country_Data!$BZ$36)</f>
        <v>108.25645371219</v>
      </c>
      <c r="E222" s="40" t="n">
        <f aca="false">Country_Data!$BW$36</f>
        <v>602.87</v>
      </c>
      <c r="F222" s="41" t="n">
        <f aca="false">Country_Data!$BX$36</f>
        <v>0.830835835254698</v>
      </c>
      <c r="G222" s="42" t="n">
        <f aca="false">IF(D222="","",D222/SUMIFS($D$5:$D$1369,$B$5:$B$1369,B222,$C$5:$C$1369,C222))</f>
        <v>0.0110630569162936</v>
      </c>
      <c r="H222" s="42" t="n">
        <f aca="false">E222/SUMIFS($E$5:$E$1369,$B$5:$B$1369,B222,$C$5:$C$1369,C222)</f>
        <v>0.00764240525725275</v>
      </c>
      <c r="I222" s="43" t="n">
        <f aca="false">IF(G222="",H222,p_beta_alloc*G222+(1-p_beta_alloc)*H222)*F222^p_phi</f>
        <v>0.00852503277938798</v>
      </c>
      <c r="J222" s="16" t="n">
        <f aca="false">INDEX(Sector_Params!$C$16:$E$16,MATCH(B222,Sector_Params!$C$15:$E$15,0))*I222/SUMIFS($I$5:$I$1369,$B$5:$B$1369,B222,$C$5:$C$1369,C222)</f>
        <v>7.64657351012155</v>
      </c>
      <c r="K222" s="28" t="n">
        <f aca="false">INDEX(Sector_Params!$F$5:$H$5,MATCH(B222,Sector_Params!$C$15:$E$15,0))</f>
        <v>0.38</v>
      </c>
      <c r="L222" s="16" t="n">
        <f aca="false">J222*K222</f>
        <v>2.90569793384619</v>
      </c>
      <c r="M222" s="44" t="n">
        <f aca="false">Country_Data!$DW$36+Sector_Params!$E$5</f>
        <v>0.0478</v>
      </c>
      <c r="N222" s="44" t="n">
        <f aca="false">Country_Data!$DX$36+Sector_Params!$E$5</f>
        <v>0.0628</v>
      </c>
      <c r="O222" s="11" t="n">
        <f aca="false">IF(p_use_ibrd=1,p_r_ibrd,p_r_wb)</f>
        <v>0.06</v>
      </c>
      <c r="P222" s="45" t="n">
        <f aca="false">Sector_Params!$D$5</f>
        <v>25</v>
      </c>
      <c r="Q222" s="46" t="n">
        <f aca="false">M222/(1-(1+M222)^-P222)</f>
        <v>0.0693960914511099</v>
      </c>
      <c r="R222" s="46" t="n">
        <f aca="false">N222/(1-(1+N222)^-P222)</f>
        <v>0.0803200492488831</v>
      </c>
      <c r="S222" s="46" t="n">
        <f aca="false">O222/(1-(1+O222)^-P222)</f>
        <v>0.078226718212274</v>
      </c>
      <c r="T222" s="37" t="n">
        <f aca="false">IF(AND(p_eng=1,ISNUMBER(Country_Data!$CZ$36)),Country_Data!$CZ$36,Country_Data!$CM$36)*Sector_Params!$I$5</f>
        <v>-0.0132378120659812</v>
      </c>
      <c r="U222" s="37" t="n">
        <f aca="false">IF(AND(p_eng=1,ISNUMBER(Country_Data!$DA$36)),Country_Data!$DA$36,Country_Data!$CN$36)*Sector_Params!$J$5</f>
        <v>3.29393222873374E-005</v>
      </c>
      <c r="V222" s="37" t="n">
        <f aca="false">IF(AND(p_eng=1,ISNUMBER(Country_Data!$DB$36)),Country_Data!$DB$36,p_a)</f>
        <v>0.0136739808035942</v>
      </c>
      <c r="W222" s="16" t="n">
        <f aca="false">T222*L222</f>
        <v>-0.0384650831687657</v>
      </c>
      <c r="X222" s="16" t="n">
        <f aca="false">U222*L222</f>
        <v>9.57117207126101E-005</v>
      </c>
      <c r="Y222" s="16" t="n">
        <f aca="false">V222*L222</f>
        <v>0.0397324577684561</v>
      </c>
      <c r="Z222" s="16" t="n">
        <f aca="false">Q222*L222</f>
        <v>0.201644079546491</v>
      </c>
      <c r="AA222" s="16" t="n">
        <f aca="false">R222*L222</f>
        <v>0.233385801148904</v>
      </c>
      <c r="AB222" s="16" t="n">
        <f aca="false">S222*L222</f>
        <v>0.227303213480973</v>
      </c>
      <c r="AC222" s="16" t="n">
        <f aca="false">Z222-W222</f>
        <v>0.240109162715257</v>
      </c>
      <c r="AD222" s="16" t="n">
        <f aca="false">AA222-W222</f>
        <v>0.271850884317669</v>
      </c>
      <c r="AE222" s="16" t="n">
        <f aca="false">AB222-W222</f>
        <v>0.265768296649738</v>
      </c>
      <c r="AF222" s="16" t="n">
        <f aca="false">AE222-X222</f>
        <v>0.265672584929026</v>
      </c>
      <c r="AG222" s="16" t="n">
        <f aca="false">AF222-p_spc_lo*Y222/1000</f>
        <v>0.263685962040603</v>
      </c>
      <c r="AH222" s="16" t="n">
        <f aca="false">AF222-p_spc_hi*Y222/1000</f>
        <v>0.26169933915218</v>
      </c>
      <c r="AI222" s="16" t="n">
        <f aca="false">Q222*J222</f>
        <v>0.530642314596029</v>
      </c>
      <c r="AJ222" s="16" t="n">
        <f aca="false">S222*J222</f>
        <v>0.598166351265717</v>
      </c>
      <c r="AK222" s="16" t="n">
        <f aca="false">T222*J222</f>
        <v>-0.101223903075699</v>
      </c>
      <c r="AL222" s="16" t="n">
        <f aca="false">U222*J222</f>
        <v>0.000251872949243711</v>
      </c>
      <c r="AM222" s="16" t="n">
        <f aca="false">AI222-AJ222</f>
        <v>-0.0675240366696878</v>
      </c>
      <c r="AN222" s="16" t="n">
        <f aca="false">J222*Country_Data!$EB$36</f>
        <v>7.9893509433339</v>
      </c>
      <c r="AO222" s="16" t="n">
        <f aca="false">L222*Country_Data!$EB$36</f>
        <v>3.03595335846688</v>
      </c>
    </row>
    <row r="223" customFormat="false" ht="15" hidden="false" customHeight="false" outlineLevel="0" collapsed="false">
      <c r="A223" s="14" t="str">
        <f aca="false">Country_Data!$A$36</f>
        <v>NOR</v>
      </c>
      <c r="B223" s="14" t="str">
        <f aca="false">Country_Data!$E$36</f>
        <v>AE</v>
      </c>
      <c r="C223" s="35" t="s">
        <v>470</v>
      </c>
      <c r="D223" s="37" t="n">
        <f aca="false">IF(Country_Data!$BZ$36="","",Country_Data!$BZ$36)</f>
        <v>108.25645371219</v>
      </c>
      <c r="E223" s="40" t="n">
        <f aca="false">Country_Data!$BW$36</f>
        <v>602.87</v>
      </c>
      <c r="F223" s="41" t="n">
        <f aca="false">Country_Data!$BX$36</f>
        <v>0.830835835254698</v>
      </c>
      <c r="G223" s="42" t="n">
        <f aca="false">IF(D223="","",D223/SUMIFS($D$5:$D$1369,$B$5:$B$1369,B223,$C$5:$C$1369,C223))</f>
        <v>0.0110630569162936</v>
      </c>
      <c r="H223" s="42" t="n">
        <f aca="false">E223/SUMIFS($E$5:$E$1369,$B$5:$B$1369,B223,$C$5:$C$1369,C223)</f>
        <v>0.00764240525725275</v>
      </c>
      <c r="I223" s="43" t="n">
        <f aca="false">IF(G223="",H223,p_beta_alloc*G223+(1-p_beta_alloc)*H223)*F223^p_phi</f>
        <v>0.00852503277938798</v>
      </c>
      <c r="J223" s="16" t="n">
        <f aca="false">INDEX(Sector_Params!$C$17:$E$17,MATCH(B223,Sector_Params!$C$15:$E$15,0))*I223/SUMIFS($I$5:$I$1369,$B$5:$B$1369,B223,$C$5:$C$1369,C223)</f>
        <v>5.24336469265478</v>
      </c>
      <c r="K223" s="28" t="n">
        <f aca="false">INDEX(Sector_Params!$F$6:$H$6,MATCH(B223,Sector_Params!$C$15:$E$15,0))</f>
        <v>0.38</v>
      </c>
      <c r="L223" s="16" t="n">
        <f aca="false">J223*K223</f>
        <v>1.99247858320882</v>
      </c>
      <c r="M223" s="44" t="n">
        <f aca="false">Country_Data!$DW$36+Sector_Params!$E$6</f>
        <v>0.0478</v>
      </c>
      <c r="N223" s="44" t="n">
        <f aca="false">Country_Data!$DX$36+Sector_Params!$E$6</f>
        <v>0.0628</v>
      </c>
      <c r="O223" s="11" t="n">
        <f aca="false">IF(p_use_ibrd=1,p_r_ibrd,p_r_wb)</f>
        <v>0.06</v>
      </c>
      <c r="P223" s="45" t="n">
        <f aca="false">Sector_Params!$D$6</f>
        <v>40</v>
      </c>
      <c r="Q223" s="46" t="n">
        <f aca="false">M223/(1-(1+M223)^-P223)</f>
        <v>0.05653306677756</v>
      </c>
      <c r="R223" s="46" t="n">
        <f aca="false">N223/(1-(1+N223)^-P223)</f>
        <v>0.0688208560032495</v>
      </c>
      <c r="S223" s="46" t="n">
        <f aca="false">O223/(1-(1+O223)^-P223)</f>
        <v>0.0664615359206755</v>
      </c>
      <c r="T223" s="37" t="n">
        <f aca="false">p_grid_credit*IF(AND(p_eng=1,ISNUMBER(Country_Data!$CZ$36)),Country_Data!$CZ$36,Country_Data!$CM$36)*Sector_Params!$I$6</f>
        <v>-0</v>
      </c>
      <c r="U223" s="37" t="n">
        <f aca="false">p_grid_credit*IF(AND(p_eng=1,ISNUMBER(Country_Data!$DA$36)),Country_Data!$DA$36,Country_Data!$CN$36)*Sector_Params!$J$6</f>
        <v>0</v>
      </c>
      <c r="V223" s="37" t="n">
        <f aca="false">p_grid_credit*IF(AND(p_eng=1,ISNUMBER(Country_Data!$DB$36)),Country_Data!$DB$36,p_a)</f>
        <v>0</v>
      </c>
      <c r="W223" s="16" t="n">
        <f aca="false">T223*L223</f>
        <v>-0</v>
      </c>
      <c r="X223" s="16" t="n">
        <f aca="false">U223*L223</f>
        <v>0</v>
      </c>
      <c r="Y223" s="16" t="n">
        <f aca="false">V223*L223</f>
        <v>0</v>
      </c>
      <c r="Z223" s="16" t="n">
        <f aca="false">Q223*L223</f>
        <v>0.112640924797402</v>
      </c>
      <c r="AA223" s="16" t="n">
        <f aca="false">R223*L223</f>
        <v>0.137124081664572</v>
      </c>
      <c r="AB223" s="16" t="n">
        <f aca="false">S223*L223</f>
        <v>0.132423186929109</v>
      </c>
      <c r="AC223" s="16" t="n">
        <f aca="false">Z223-W223</f>
        <v>0.112640924797402</v>
      </c>
      <c r="AD223" s="16" t="n">
        <f aca="false">AA223-W223</f>
        <v>0.137124081664572</v>
      </c>
      <c r="AE223" s="16" t="n">
        <f aca="false">AB223-W223</f>
        <v>0.132423186929109</v>
      </c>
      <c r="AF223" s="16" t="n">
        <f aca="false">AE223-X223</f>
        <v>0.132423186929109</v>
      </c>
      <c r="AG223" s="16" t="n">
        <f aca="false">AF223-p_spc_lo*Y223/1000</f>
        <v>0.132423186929109</v>
      </c>
      <c r="AH223" s="16" t="n">
        <f aca="false">AF223-p_spc_hi*Y223/1000</f>
        <v>0.132423186929109</v>
      </c>
      <c r="AI223" s="16" t="n">
        <f aca="false">Q223*J223</f>
        <v>0.296423486308953</v>
      </c>
      <c r="AJ223" s="16" t="n">
        <f aca="false">S223*J223</f>
        <v>0.348482070866077</v>
      </c>
      <c r="AK223" s="16" t="n">
        <f aca="false">T223*J223</f>
        <v>-0</v>
      </c>
      <c r="AL223" s="16" t="n">
        <f aca="false">U223*J223</f>
        <v>0</v>
      </c>
      <c r="AM223" s="16" t="n">
        <f aca="false">AI223-AJ223</f>
        <v>-0.0520585845571244</v>
      </c>
      <c r="AN223" s="16" t="n">
        <f aca="false">J223*Country_Data!$EB$36</f>
        <v>5.47841207542896</v>
      </c>
      <c r="AO223" s="16" t="n">
        <f aca="false">L223*Country_Data!$EB$36</f>
        <v>2.081796588663</v>
      </c>
    </row>
    <row r="224" customFormat="false" ht="15" hidden="false" customHeight="false" outlineLevel="0" collapsed="false">
      <c r="A224" s="14" t="str">
        <f aca="false">Country_Data!$A$36</f>
        <v>NOR</v>
      </c>
      <c r="B224" s="14" t="str">
        <f aca="false">Country_Data!$E$36</f>
        <v>AE</v>
      </c>
      <c r="C224" s="35" t="s">
        <v>473</v>
      </c>
      <c r="D224" s="37" t="n">
        <f aca="false">IF(Country_Data!$CA$36="","",Country_Data!$CA$36)</f>
        <v>0.228555065840059</v>
      </c>
      <c r="E224" s="40" t="n">
        <f aca="false">Country_Data!$BW$36</f>
        <v>602.87</v>
      </c>
      <c r="F224" s="41" t="n">
        <f aca="false">Country_Data!$BX$36</f>
        <v>0.830835835254698</v>
      </c>
      <c r="G224" s="42" t="n">
        <f aca="false">IF(D224="","",D224/SUMIFS($D$5:$D$1369,$B$5:$B$1369,B224,$C$5:$C$1369,C224))</f>
        <v>0.00447418710031488</v>
      </c>
      <c r="H224" s="42" t="n">
        <f aca="false">E224/SUMIFS($E$5:$E$1369,$B$5:$B$1369,B224,$C$5:$C$1369,C224)</f>
        <v>0.00764240525725275</v>
      </c>
      <c r="I224" s="43" t="n">
        <f aca="false">IF(G224="",H224,p_beta_alloc*G224+(1-p_beta_alloc)*H224)*F224^p_phi</f>
        <v>0.00552214888166875</v>
      </c>
      <c r="J224" s="16" t="n">
        <f aca="false">INDEX(Sector_Params!$C$18:$E$18,MATCH(B224,Sector_Params!$C$15:$E$15,0))*I224/SUMIFS($I$5:$I$1369,$B$5:$B$1369,B224,$C$5:$C$1369,C224)</f>
        <v>2.08103926040829</v>
      </c>
      <c r="K224" s="28" t="n">
        <f aca="false">INDEX(Sector_Params!$F$7:$H$7,MATCH(B224,Sector_Params!$C$15:$E$15,0))</f>
        <v>0.38</v>
      </c>
      <c r="L224" s="16" t="n">
        <f aca="false">J224*K224</f>
        <v>0.790794918955149</v>
      </c>
      <c r="M224" s="44" t="n">
        <f aca="false">Country_Data!$DW$36+Sector_Params!$E$7</f>
        <v>0.0478</v>
      </c>
      <c r="N224" s="44" t="n">
        <f aca="false">Country_Data!$DX$36+Sector_Params!$E$7</f>
        <v>0.0628</v>
      </c>
      <c r="O224" s="11" t="n">
        <f aca="false">IF(p_use_ibrd=1,p_r_ibrd,p_r_wb)</f>
        <v>0.06</v>
      </c>
      <c r="P224" s="45" t="n">
        <f aca="false">Sector_Params!$D$7</f>
        <v>12</v>
      </c>
      <c r="Q224" s="46" t="n">
        <f aca="false">M224/(1-(1+M224)^-P224)</f>
        <v>0.111429821691513</v>
      </c>
      <c r="R224" s="46" t="n">
        <f aca="false">N224/(1-(1+N224)^-P224)</f>
        <v>0.121114768150972</v>
      </c>
      <c r="S224" s="46" t="n">
        <f aca="false">O224/(1-(1+O224)^-P224)</f>
        <v>0.119277029380664</v>
      </c>
      <c r="T224" s="37" t="n">
        <f aca="false">IF(AND(p_eng=1,ISNUMBER(Country_Data!$DE$36)),Country_Data!$DE$36,Country_Data!$CM$36)*Sector_Params!$I$7</f>
        <v>0.13411818</v>
      </c>
      <c r="U224" s="37" t="n">
        <f aca="false">IF(AND(p_eng=1,ISNUMBER(Country_Data!$DF$36)),Country_Data!$DF$36,Country_Data!$CN$36)*Sector_Params!$J$7</f>
        <v>0.003603825</v>
      </c>
      <c r="V224" s="37" t="n">
        <f aca="false">IF(AND(p_eng=1,ISNUMBER(Country_Data!$DG$36)),Country_Data!$DG$36,p_a)</f>
        <v>0.530054884730167</v>
      </c>
      <c r="W224" s="16" t="n">
        <f aca="false">T224*L224</f>
        <v>0.106059975283512</v>
      </c>
      <c r="X224" s="16" t="n">
        <f aca="false">U224*L224</f>
        <v>0.00284988649880354</v>
      </c>
      <c r="Y224" s="16" t="n">
        <f aca="false">V224*L224</f>
        <v>0.419164709611973</v>
      </c>
      <c r="Z224" s="16" t="n">
        <f aca="false">Q224*L224</f>
        <v>0.0881181368137269</v>
      </c>
      <c r="AA224" s="16" t="n">
        <f aca="false">R224*L224</f>
        <v>0.0957769432642192</v>
      </c>
      <c r="AB224" s="16" t="n">
        <f aca="false">S224*L224</f>
        <v>0.0943236687822927</v>
      </c>
      <c r="AC224" s="16" t="n">
        <f aca="false">Z224-W224</f>
        <v>-0.0179418384697852</v>
      </c>
      <c r="AD224" s="16" t="n">
        <f aca="false">AA224-W224</f>
        <v>-0.0102830320192928</v>
      </c>
      <c r="AE224" s="16" t="n">
        <f aca="false">AB224-W224</f>
        <v>-0.0117363065012193</v>
      </c>
      <c r="AF224" s="16" t="n">
        <f aca="false">AE224-X224</f>
        <v>-0.0145861930000228</v>
      </c>
      <c r="AG224" s="16" t="n">
        <f aca="false">AF224-p_spc_lo*Y224/1000</f>
        <v>-0.0355444284806215</v>
      </c>
      <c r="AH224" s="16" t="n">
        <f aca="false">AF224-p_spc_hi*Y224/1000</f>
        <v>-0.0565026639612201</v>
      </c>
      <c r="AI224" s="16" t="n">
        <f aca="false">Q224*J224</f>
        <v>0.231889833720334</v>
      </c>
      <c r="AJ224" s="16" t="n">
        <f aca="false">S224*J224</f>
        <v>0.248220181006033</v>
      </c>
      <c r="AK224" s="16" t="n">
        <f aca="false">T224*J224</f>
        <v>0.279105198114505</v>
      </c>
      <c r="AL224" s="16" t="n">
        <f aca="false">U224*J224</f>
        <v>0.00749970131264089</v>
      </c>
      <c r="AM224" s="16" t="n">
        <f aca="false">AI224-AJ224</f>
        <v>-0.0163303472856996</v>
      </c>
      <c r="AN224" s="16" t="n">
        <f aca="false">J224*Country_Data!$EB$36</f>
        <v>2.17432722725417</v>
      </c>
      <c r="AO224" s="16" t="n">
        <f aca="false">L224*Country_Data!$EB$36</f>
        <v>0.826244346356586</v>
      </c>
    </row>
    <row r="225" customFormat="false" ht="15" hidden="false" customHeight="false" outlineLevel="0" collapsed="false">
      <c r="A225" s="14" t="str">
        <f aca="false">Country_Data!$A$36</f>
        <v>NOR</v>
      </c>
      <c r="B225" s="14" t="str">
        <f aca="false">Country_Data!$E$36</f>
        <v>AE</v>
      </c>
      <c r="C225" s="35" t="s">
        <v>477</v>
      </c>
      <c r="D225" s="37" t="n">
        <f aca="false">IF(Country_Data!$CB$36="","",Country_Data!$CB$36)</f>
        <v>0.16222366659365</v>
      </c>
      <c r="E225" s="40" t="n">
        <f aca="false">Country_Data!$BW$36</f>
        <v>602.87</v>
      </c>
      <c r="F225" s="41" t="n">
        <f aca="false">Country_Data!$BX$36</f>
        <v>0.830835835254698</v>
      </c>
      <c r="G225" s="42" t="n">
        <f aca="false">IF(D225="","",D225/SUMIFS($D$5:$D$1369,$B$5:$B$1369,B225,$C$5:$C$1369,C225))</f>
        <v>0.00417159896125062</v>
      </c>
      <c r="H225" s="42" t="n">
        <f aca="false">E225/SUMIFS($E$5:$E$1369,$B$5:$B$1369,B225,$C$5:$C$1369,C225)</f>
        <v>0.00764240525725275</v>
      </c>
      <c r="I225" s="43" t="n">
        <f aca="false">IF(G225="",H225,p_beta_alloc*G225+(1-p_beta_alloc)*H225)*F225^p_phi</f>
        <v>0.00538424403974376</v>
      </c>
      <c r="J225" s="16" t="n">
        <f aca="false">INDEX(Sector_Params!$C$19:$E$19,MATCH(B225,Sector_Params!$C$15:$E$15,0))*I225/SUMIFS($I$5:$I$1369,$B$5:$B$1369,B225,$C$5:$C$1369,C225)</f>
        <v>1.58273578098343</v>
      </c>
      <c r="K225" s="28" t="n">
        <f aca="false">INDEX(Sector_Params!$F$8:$H$8,MATCH(B225,Sector_Params!$C$15:$E$15,0))</f>
        <v>0.38</v>
      </c>
      <c r="L225" s="16" t="n">
        <f aca="false">J225*K225</f>
        <v>0.601439596773702</v>
      </c>
      <c r="M225" s="44" t="n">
        <f aca="false">Country_Data!$DW$36+Sector_Params!$E$8</f>
        <v>0.0478</v>
      </c>
      <c r="N225" s="44" t="n">
        <f aca="false">Country_Data!$DX$36+Sector_Params!$E$8</f>
        <v>0.0628</v>
      </c>
      <c r="O225" s="11" t="n">
        <f aca="false">IF(p_use_ibrd=1,p_r_ibrd,p_r_wb)</f>
        <v>0.06</v>
      </c>
      <c r="P225" s="45" t="n">
        <f aca="false">Sector_Params!$D$8</f>
        <v>25</v>
      </c>
      <c r="Q225" s="46" t="n">
        <f aca="false">M225/(1-(1+M225)^-P225)</f>
        <v>0.0693960914511099</v>
      </c>
      <c r="R225" s="46" t="n">
        <f aca="false">N225/(1-(1+N225)^-P225)</f>
        <v>0.0803200492488831</v>
      </c>
      <c r="S225" s="46" t="n">
        <f aca="false">O225/(1-(1+O225)^-P225)</f>
        <v>0.078226718212274</v>
      </c>
      <c r="T225" s="37" t="n">
        <f aca="false">Country_Data!$CM$36*Sector_Params!$I$8</f>
        <v>0.140035494905011</v>
      </c>
      <c r="U225" s="37" t="n">
        <f aca="false">Country_Data!$CN$36*Sector_Params!$J$8</f>
        <v>0.03225</v>
      </c>
      <c r="V225" s="37" t="n">
        <f aca="false">p_a</f>
        <v>0.35</v>
      </c>
      <c r="W225" s="16" t="n">
        <f aca="false">T225*L225</f>
        <v>0.0842228915896756</v>
      </c>
      <c r="X225" s="16" t="n">
        <f aca="false">U225*L225</f>
        <v>0.0193964269959519</v>
      </c>
      <c r="Y225" s="16" t="n">
        <f aca="false">V225*L225</f>
        <v>0.210503858870796</v>
      </c>
      <c r="Z225" s="16" t="n">
        <f aca="false">Q225*L225</f>
        <v>0.0417375572600265</v>
      </c>
      <c r="AA225" s="16" t="n">
        <f aca="false">R225*L225</f>
        <v>0.0483076580330921</v>
      </c>
      <c r="AB225" s="16" t="n">
        <f aca="false">S225*L225</f>
        <v>0.04704864585852</v>
      </c>
      <c r="AC225" s="16" t="n">
        <f aca="false">Z225-W225</f>
        <v>-0.0424853343296492</v>
      </c>
      <c r="AD225" s="16" t="n">
        <f aca="false">AA225-W225</f>
        <v>-0.0359152335565835</v>
      </c>
      <c r="AE225" s="16" t="n">
        <f aca="false">AB225-W225</f>
        <v>-0.0371742457311556</v>
      </c>
      <c r="AF225" s="16" t="n">
        <f aca="false">AE225-X225</f>
        <v>-0.0565706727271075</v>
      </c>
      <c r="AG225" s="16" t="n">
        <f aca="false">AF225-p_spc_lo*Y225/1000</f>
        <v>-0.0670958656706473</v>
      </c>
      <c r="AH225" s="16" t="n">
        <f aca="false">AF225-p_spc_hi*Y225/1000</f>
        <v>-0.077621058614187</v>
      </c>
      <c r="AI225" s="16" t="n">
        <f aca="false">Q225*J225</f>
        <v>0.10983567700007</v>
      </c>
      <c r="AJ225" s="16" t="n">
        <f aca="false">S225*J225</f>
        <v>0.123812225943474</v>
      </c>
      <c r="AK225" s="16" t="n">
        <f aca="false">T225*J225</f>
        <v>0.221639188393883</v>
      </c>
      <c r="AL225" s="16" t="n">
        <f aca="false">U225*J225</f>
        <v>0.0510432289367155</v>
      </c>
      <c r="AM225" s="16" t="n">
        <f aca="false">AI225-AJ225</f>
        <v>-0.0139765489434042</v>
      </c>
      <c r="AN225" s="16" t="n">
        <f aca="false">J225*Country_Data!$EB$36</f>
        <v>1.6536860056482</v>
      </c>
      <c r="AO225" s="16" t="n">
        <f aca="false">L225*Country_Data!$EB$36</f>
        <v>0.628400682146316</v>
      </c>
    </row>
    <row r="226" customFormat="false" ht="15" hidden="false" customHeight="false" outlineLevel="0" collapsed="false">
      <c r="A226" s="14" t="str">
        <f aca="false">Country_Data!$A$36</f>
        <v>NOR</v>
      </c>
      <c r="B226" s="14" t="str">
        <f aca="false">Country_Data!$E$36</f>
        <v>AE</v>
      </c>
      <c r="C226" s="35" t="s">
        <v>481</v>
      </c>
      <c r="D226" s="37" t="n">
        <f aca="false">IF(Country_Data!$CC$36="","",Country_Data!$CC$36)</f>
        <v>0.506713684350062</v>
      </c>
      <c r="E226" s="40" t="n">
        <f aca="false">Country_Data!$BW$36</f>
        <v>602.87</v>
      </c>
      <c r="F226" s="41" t="n">
        <f aca="false">Country_Data!$BX$36</f>
        <v>0.830835835254698</v>
      </c>
      <c r="G226" s="42" t="n">
        <f aca="false">IF(D226="","",D226/SUMIFS($D$5:$D$1369,$B$5:$B$1369,B226,$C$5:$C$1369,C226))</f>
        <v>0.00922617335187263</v>
      </c>
      <c r="H226" s="42" t="n">
        <f aca="false">E226/SUMIFS($E$5:$E$1369,$B$5:$B$1369,B226,$C$5:$C$1369,C226)</f>
        <v>0.00764240525725275</v>
      </c>
      <c r="I226" s="43" t="n">
        <f aca="false">IF(G226="",H226,p_beta_alloc*G226+(1-p_beta_alloc)*H226)*F226^p_phi</f>
        <v>0.00768787128862548</v>
      </c>
      <c r="J226" s="16" t="n">
        <f aca="false">INDEX(Sector_Params!$C$20:$E$20,MATCH(B226,Sector_Params!$C$15:$E$15,0))*I226/SUMIFS($I$5:$I$1369,$B$5:$B$1369,B226,$C$5:$C$1369,C226)</f>
        <v>1.30553394288466</v>
      </c>
      <c r="K226" s="28" t="n">
        <f aca="false">INDEX(Sector_Params!$F$9:$H$9,MATCH(B226,Sector_Params!$C$15:$E$15,0))</f>
        <v>0.38</v>
      </c>
      <c r="L226" s="16" t="n">
        <f aca="false">J226*K226</f>
        <v>0.496102898296172</v>
      </c>
      <c r="M226" s="44" t="n">
        <f aca="false">Country_Data!$DW$36+Sector_Params!$E$9</f>
        <v>0.0478</v>
      </c>
      <c r="N226" s="44" t="n">
        <f aca="false">Country_Data!$DX$36+Sector_Params!$E$9</f>
        <v>0.0628</v>
      </c>
      <c r="O226" s="11" t="n">
        <f aca="false">IF(p_use_ibrd=1,p_r_ibrd,p_r_wb)</f>
        <v>0.06</v>
      </c>
      <c r="P226" s="45" t="n">
        <f aca="false">Sector_Params!$D$9</f>
        <v>25</v>
      </c>
      <c r="Q226" s="46" t="n">
        <f aca="false">M226/(1-(1+M226)^-P226)</f>
        <v>0.0693960914511099</v>
      </c>
      <c r="R226" s="46" t="n">
        <f aca="false">N226/(1-(1+N226)^-P226)</f>
        <v>0.0803200492488831</v>
      </c>
      <c r="S226" s="46" t="n">
        <f aca="false">O226/(1-(1+O226)^-P226)</f>
        <v>0.078226718212274</v>
      </c>
      <c r="T226" s="37" t="n">
        <f aca="false">Country_Data!$CM$36*Sector_Params!$I$9</f>
        <v>0.140035494905011</v>
      </c>
      <c r="U226" s="37" t="n">
        <f aca="false">Country_Data!$CN$36*Sector_Params!$J$9</f>
        <v>0.03225</v>
      </c>
      <c r="V226" s="37" t="n">
        <f aca="false">p_a</f>
        <v>0.35</v>
      </c>
      <c r="W226" s="16" t="n">
        <f aca="false">T226*L226</f>
        <v>0.0694720148867149</v>
      </c>
      <c r="X226" s="16" t="n">
        <f aca="false">U226*L226</f>
        <v>0.0159993184700516</v>
      </c>
      <c r="Y226" s="16" t="n">
        <f aca="false">V226*L226</f>
        <v>0.17363601440366</v>
      </c>
      <c r="Z226" s="16" t="n">
        <f aca="false">Q226*L226</f>
        <v>0.0344276020993218</v>
      </c>
      <c r="AA226" s="16" t="n">
        <f aca="false">R226*L226</f>
        <v>0.0398470092236622</v>
      </c>
      <c r="AB226" s="16" t="n">
        <f aca="false">S226*L226</f>
        <v>0.0388085016293071</v>
      </c>
      <c r="AC226" s="16" t="n">
        <f aca="false">Z226-W226</f>
        <v>-0.035044412787393</v>
      </c>
      <c r="AD226" s="16" t="n">
        <f aca="false">AA226-W226</f>
        <v>-0.0296250056630527</v>
      </c>
      <c r="AE226" s="16" t="n">
        <f aca="false">AB226-W226</f>
        <v>-0.0306635132574078</v>
      </c>
      <c r="AF226" s="16" t="n">
        <f aca="false">AE226-X226</f>
        <v>-0.0466628317274593</v>
      </c>
      <c r="AG226" s="16" t="n">
        <f aca="false">AF226-p_spc_lo*Y226/1000</f>
        <v>-0.0553446324476424</v>
      </c>
      <c r="AH226" s="16" t="n">
        <f aca="false">AF226-p_spc_hi*Y226/1000</f>
        <v>-0.0640264331678254</v>
      </c>
      <c r="AI226" s="16" t="n">
        <f aca="false">Q226*J226</f>
        <v>0.0905989528929522</v>
      </c>
      <c r="AJ226" s="16" t="n">
        <f aca="false">S226*J226</f>
        <v>0.102127635866598</v>
      </c>
      <c r="AK226" s="16" t="n">
        <f aca="false">T226*J226</f>
        <v>0.182821091807144</v>
      </c>
      <c r="AL226" s="16" t="n">
        <f aca="false">U226*J226</f>
        <v>0.0421034696580304</v>
      </c>
      <c r="AM226" s="16" t="n">
        <f aca="false">AI226-AJ226</f>
        <v>-0.0115286829736454</v>
      </c>
      <c r="AN226" s="16" t="n">
        <f aca="false">J226*Country_Data!$EB$36</f>
        <v>1.36405787825536</v>
      </c>
      <c r="AO226" s="16" t="n">
        <f aca="false">L226*Country_Data!$EB$36</f>
        <v>0.518341993737035</v>
      </c>
    </row>
    <row r="227" customFormat="false" ht="15" hidden="false" customHeight="false" outlineLevel="0" collapsed="false">
      <c r="A227" s="14" t="str">
        <f aca="false">Country_Data!$A$36</f>
        <v>NOR</v>
      </c>
      <c r="B227" s="14" t="str">
        <f aca="false">Country_Data!$E$36</f>
        <v>AE</v>
      </c>
      <c r="C227" s="35" t="s">
        <v>484</v>
      </c>
      <c r="D227" s="37" t="n">
        <f aca="false">IF(Country_Data!$CD$36="","",Country_Data!$CD$36)</f>
        <v>0.515107200007583</v>
      </c>
      <c r="E227" s="40" t="n">
        <f aca="false">Country_Data!$BW$36</f>
        <v>602.87</v>
      </c>
      <c r="F227" s="41" t="n">
        <f aca="false">Country_Data!$BX$36</f>
        <v>0.830835835254698</v>
      </c>
      <c r="G227" s="42" t="n">
        <f aca="false">IF(D227="","",D227/SUMIFS($D$5:$D$1369,$B$5:$B$1369,B227,$C$5:$C$1369,C227))</f>
        <v>0.00348515999888363</v>
      </c>
      <c r="H227" s="42" t="n">
        <f aca="false">E227/SUMIFS($E$5:$E$1369,$B$5:$B$1369,B227,$C$5:$C$1369,C227)</f>
        <v>0.00764240525725275</v>
      </c>
      <c r="I227" s="43" t="n">
        <f aca="false">IF(G227="",H227,p_beta_alloc*G227+(1-p_beta_alloc)*H227)*F227^p_phi</f>
        <v>0.00507139880764339</v>
      </c>
      <c r="J227" s="16" t="n">
        <f aca="false">INDEX(Sector_Params!$C$21:$E$21,MATCH(B227,Sector_Params!$C$15:$E$15,0))*I227/SUMIFS($I$5:$I$1369,$B$5:$B$1369,B227,$C$5:$C$1369,C227)</f>
        <v>1.03329616686222</v>
      </c>
      <c r="K227" s="28" t="n">
        <f aca="false">INDEX(Sector_Params!$F$10:$H$10,MATCH(B227,Sector_Params!$C$15:$E$15,0))</f>
        <v>0.38</v>
      </c>
      <c r="L227" s="16" t="n">
        <f aca="false">J227*K227</f>
        <v>0.392652543407644</v>
      </c>
      <c r="M227" s="44" t="n">
        <f aca="false">Country_Data!$DW$36+Sector_Params!$E$10</f>
        <v>0.0478</v>
      </c>
      <c r="N227" s="44" t="n">
        <f aca="false">Country_Data!$DX$36+Sector_Params!$E$10</f>
        <v>0.0628</v>
      </c>
      <c r="O227" s="11" t="n">
        <f aca="false">IF(p_use_ibrd=1,p_r_ibrd,p_r_wb)</f>
        <v>0.06</v>
      </c>
      <c r="P227" s="45" t="n">
        <f aca="false">Sector_Params!$D$10</f>
        <v>20</v>
      </c>
      <c r="Q227" s="46" t="n">
        <f aca="false">M227/(1-(1+M227)^-P227)</f>
        <v>0.078752586288762</v>
      </c>
      <c r="R227" s="46" t="n">
        <f aca="false">N227/(1-(1+N227)^-P227)</f>
        <v>0.0891767019452862</v>
      </c>
      <c r="S227" s="46" t="n">
        <f aca="false">O227/(1-(1+O227)^-P227)</f>
        <v>0.0871845569768514</v>
      </c>
      <c r="T227" s="37" t="n">
        <f aca="false">0*Sector_Params!$I$10</f>
        <v>0</v>
      </c>
      <c r="U227" s="37" t="n">
        <f aca="false">0*Sector_Params!$J$10</f>
        <v>0</v>
      </c>
      <c r="V227" s="37" t="n">
        <f aca="false">1000*p_r_wb/(1-(1+p_r_wb)^-Sector_Params!$D$10)/p_cpt_fuel</f>
        <v>0.871845569768514</v>
      </c>
      <c r="W227" s="16" t="n">
        <f aca="false">T227*L227</f>
        <v>0</v>
      </c>
      <c r="X227" s="16" t="n">
        <f aca="false">U227*L227</f>
        <v>0</v>
      </c>
      <c r="Y227" s="16" t="n">
        <f aca="false">V227*L227</f>
        <v>0.342332380428294</v>
      </c>
      <c r="Z227" s="16" t="n">
        <f aca="false">Q227*L227</f>
        <v>0.0309224033062124</v>
      </c>
      <c r="AA227" s="16" t="n">
        <f aca="false">R227*L227</f>
        <v>0.035015458831522</v>
      </c>
      <c r="AB227" s="16" t="n">
        <f aca="false">S227*L227</f>
        <v>0.0342332380428294</v>
      </c>
      <c r="AC227" s="16" t="n">
        <f aca="false">Z227-W227</f>
        <v>0.0309224033062124</v>
      </c>
      <c r="AD227" s="16" t="n">
        <f aca="false">AA227-W227</f>
        <v>0.035015458831522</v>
      </c>
      <c r="AE227" s="16" t="n">
        <f aca="false">AB227-W227</f>
        <v>0.0342332380428294</v>
      </c>
      <c r="AF227" s="16" t="n">
        <f aca="false">AE227-X227</f>
        <v>0.0342332380428294</v>
      </c>
      <c r="AG227" s="16" t="n">
        <f aca="false">AF227-p_spc_lo*Y227/1000</f>
        <v>0.0171166190214147</v>
      </c>
      <c r="AH227" s="16" t="n">
        <f aca="false">AF227-p_spc_hi*Y227/1000</f>
        <v>0</v>
      </c>
      <c r="AI227" s="16" t="n">
        <f aca="false">Q227*J227</f>
        <v>0.0813747455426642</v>
      </c>
      <c r="AJ227" s="16" t="n">
        <f aca="false">S227*J227</f>
        <v>0.0900874685337616</v>
      </c>
      <c r="AK227" s="16" t="n">
        <f aca="false">T227*J227</f>
        <v>0</v>
      </c>
      <c r="AL227" s="16" t="n">
        <f aca="false">U227*J227</f>
        <v>0</v>
      </c>
      <c r="AM227" s="16" t="n">
        <f aca="false">AI227-AJ227</f>
        <v>-0.00871272299109738</v>
      </c>
      <c r="AN227" s="16" t="n">
        <f aca="false">J227*Country_Data!$EB$36</f>
        <v>1.07961633985949</v>
      </c>
      <c r="AO227" s="16" t="n">
        <f aca="false">L227*Country_Data!$EB$36</f>
        <v>0.410254209146608</v>
      </c>
    </row>
    <row r="228" customFormat="false" ht="15" hidden="false" customHeight="false" outlineLevel="0" collapsed="false">
      <c r="A228" s="14" t="str">
        <f aca="false">Country_Data!$A$36</f>
        <v>NOR</v>
      </c>
      <c r="B228" s="14" t="str">
        <f aca="false">Country_Data!$E$36</f>
        <v>AE</v>
      </c>
      <c r="C228" s="35" t="s">
        <v>488</v>
      </c>
      <c r="D228" s="37" t="n">
        <f aca="false">IF(Country_Data!$CE$36="","",Country_Data!$CE$36)</f>
        <v>8.578</v>
      </c>
      <c r="E228" s="40" t="n">
        <f aca="false">Country_Data!$BW$36</f>
        <v>602.87</v>
      </c>
      <c r="F228" s="41" t="n">
        <f aca="false">Country_Data!$BX$36</f>
        <v>0.830835835254698</v>
      </c>
      <c r="G228" s="42" t="n">
        <f aca="false">IF(D228="","",D228/SUMIFS($D$5:$D$1369,$B$5:$B$1369,B228,$C$5:$C$1369,C228))</f>
        <v>0.00327370343712146</v>
      </c>
      <c r="H228" s="42" t="n">
        <f aca="false">E228/SUMIFS($E$5:$E$1369,$B$5:$B$1369,B228,$C$5:$C$1369,C228)</f>
        <v>0.00764240525725275</v>
      </c>
      <c r="I228" s="43" t="n">
        <f aca="false">IF(G228="",H228,p_beta_alloc*G228+(1-p_beta_alloc)*H228)*F228^p_phi</f>
        <v>0.00497502727168698</v>
      </c>
      <c r="J228" s="16" t="n">
        <f aca="false">INDEX(Sector_Params!$C$22:$E$22,MATCH(B228,Sector_Params!$C$15:$E$15,0))*I228/SUMIFS($I$5:$I$1369,$B$5:$B$1369,B228,$C$5:$C$1369,C228)</f>
        <v>0.192770479528166</v>
      </c>
      <c r="K228" s="28" t="n">
        <f aca="false">INDEX(Sector_Params!$F$11:$H$11,MATCH(B228,Sector_Params!$C$15:$E$15,0))</f>
        <v>0.38</v>
      </c>
      <c r="L228" s="16" t="n">
        <f aca="false">J228*K228</f>
        <v>0.0732527822207029</v>
      </c>
      <c r="M228" s="44" t="n">
        <f aca="false">Country_Data!$DW$36+Sector_Params!$E$11</f>
        <v>0.0478</v>
      </c>
      <c r="N228" s="44" t="n">
        <f aca="false">Country_Data!$DX$36+Sector_Params!$E$11</f>
        <v>0.0628</v>
      </c>
      <c r="O228" s="11" t="n">
        <f aca="false">IF(p_use_ibrd=1,p_r_ibrd,p_r_wb)</f>
        <v>0.06</v>
      </c>
      <c r="P228" s="45" t="n">
        <f aca="false">Sector_Params!$D$11</f>
        <v>30</v>
      </c>
      <c r="Q228" s="46" t="n">
        <f aca="false">M228/(1-(1+M228)^-P228)</f>
        <v>0.0634292316065265</v>
      </c>
      <c r="R228" s="46" t="n">
        <f aca="false">N228/(1-(1+N228)^-P228)</f>
        <v>0.0748387089397432</v>
      </c>
      <c r="S228" s="46" t="n">
        <f aca="false">O228/(1-(1+O228)^-P228)</f>
        <v>0.0726489114900472</v>
      </c>
      <c r="T228" s="37" t="n">
        <f aca="false">0*Sector_Params!$I$11</f>
        <v>0</v>
      </c>
      <c r="U228" s="37" t="n">
        <f aca="false">p_c*Sector_Params!$J$11</f>
        <v>0.129</v>
      </c>
      <c r="V228" s="37" t="n">
        <f aca="false">1000*p_r_wb/(1-(1+p_r_wb)^-Sector_Params!$D$11)/p_cpt_afolu</f>
        <v>1.45297822980094</v>
      </c>
      <c r="W228" s="16" t="n">
        <f aca="false">T228*L228</f>
        <v>0</v>
      </c>
      <c r="X228" s="16" t="n">
        <f aca="false">U228*L228</f>
        <v>0.00944960890647068</v>
      </c>
      <c r="Y228" s="16" t="n">
        <f aca="false">V228*L228</f>
        <v>0.106434697839031</v>
      </c>
      <c r="Z228" s="16" t="n">
        <f aca="false">Q228*L228</f>
        <v>0.00464636768929941</v>
      </c>
      <c r="AA228" s="16" t="n">
        <f aca="false">R228*L228</f>
        <v>0.00548214364764158</v>
      </c>
      <c r="AB228" s="16" t="n">
        <f aca="false">S228*L228</f>
        <v>0.00532173489195155</v>
      </c>
      <c r="AC228" s="16" t="n">
        <f aca="false">Z228-W228</f>
        <v>0.00464636768929941</v>
      </c>
      <c r="AD228" s="16" t="n">
        <f aca="false">AA228-W228</f>
        <v>0.00548214364764158</v>
      </c>
      <c r="AE228" s="16" t="n">
        <f aca="false">AB228-W228</f>
        <v>0.00532173489195155</v>
      </c>
      <c r="AF228" s="16" t="n">
        <f aca="false">AE228-X228</f>
        <v>-0.00412787401451913</v>
      </c>
      <c r="AG228" s="16" t="n">
        <f aca="false">AF228-p_spc_lo*Y228/1000</f>
        <v>-0.00944960890647068</v>
      </c>
      <c r="AH228" s="16" t="n">
        <f aca="false">AF228-p_spc_hi*Y228/1000</f>
        <v>-0.0147713437984222</v>
      </c>
      <c r="AI228" s="16" t="n">
        <f aca="false">Q228*J228</f>
        <v>0.0122272833928932</v>
      </c>
      <c r="AJ228" s="16" t="n">
        <f aca="false">S228*J228</f>
        <v>0.0140045655051357</v>
      </c>
      <c r="AK228" s="16" t="n">
        <f aca="false">T228*J228</f>
        <v>0</v>
      </c>
      <c r="AL228" s="16" t="n">
        <f aca="false">U228*J228</f>
        <v>0.0248673918591334</v>
      </c>
      <c r="AM228" s="16" t="n">
        <f aca="false">AI228-AJ228</f>
        <v>-0.00177728211224248</v>
      </c>
      <c r="AN228" s="16" t="n">
        <f aca="false">J228*Country_Data!$EB$36</f>
        <v>0.201411914817359</v>
      </c>
      <c r="AO228" s="16" t="n">
        <f aca="false">L228*Country_Data!$EB$36</f>
        <v>0.0765365276305965</v>
      </c>
    </row>
    <row r="229" customFormat="false" ht="15" hidden="false" customHeight="false" outlineLevel="0" collapsed="false">
      <c r="A229" s="14" t="str">
        <f aca="false">Country_Data!$A$37</f>
        <v>PHL</v>
      </c>
      <c r="B229" s="14" t="str">
        <f aca="false">Country_Data!$E$37</f>
        <v>EMDC</v>
      </c>
      <c r="C229" s="35" t="s">
        <v>466</v>
      </c>
      <c r="D229" s="37" t="n">
        <f aca="false">IF(Country_Data!$BZ$37="","",Country_Data!$BZ$37)</f>
        <v>113.348425019253</v>
      </c>
      <c r="E229" s="40" t="n">
        <f aca="false">Country_Data!$BW$37</f>
        <v>1368.259</v>
      </c>
      <c r="F229" s="41" t="n">
        <f aca="false">Country_Data!$BX$37</f>
        <v>0.337375453039227</v>
      </c>
      <c r="G229" s="42" t="n">
        <f aca="false">IF(D229="","",D229/SUMIFS($D$5:$D$1369,$B$5:$B$1369,B229,$C$5:$C$1369,C229))</f>
        <v>0.0129400982477278</v>
      </c>
      <c r="H229" s="42" t="n">
        <f aca="false">E229/SUMIFS($E$5:$E$1369,$B$5:$B$1369,B229,$C$5:$C$1369,C229)</f>
        <v>0.0169481849118112</v>
      </c>
      <c r="I229" s="43" t="n">
        <f aca="false">IF(G229="",H229,p_beta_alloc*G229+(1-p_beta_alloc)*H229)*F229^p_phi</f>
        <v>0.00868015966473712</v>
      </c>
      <c r="J229" s="16" t="n">
        <f aca="false">INDEX(Sector_Params!$C$16:$E$16,MATCH(B229,Sector_Params!$C$15:$E$15,0))*I229/SUMIFS($I$5:$I$1369,$B$5:$B$1369,B229,$C$5:$C$1369,C229)</f>
        <v>8.39567048875422</v>
      </c>
      <c r="K229" s="28" t="n">
        <f aca="false">INDEX(Sector_Params!$F$5:$H$5,MATCH(B229,Sector_Params!$C$15:$E$15,0))</f>
        <v>0.24</v>
      </c>
      <c r="L229" s="16" t="n">
        <f aca="false">J229*K229</f>
        <v>2.01496091730101</v>
      </c>
      <c r="M229" s="44" t="n">
        <f aca="false">Country_Data!$DW$37+Sector_Params!$E$5</f>
        <v>0.0781399999999999</v>
      </c>
      <c r="N229" s="44" t="n">
        <f aca="false">Country_Data!$DX$37+Sector_Params!$E$5</f>
        <v>0.12314</v>
      </c>
      <c r="O229" s="11" t="n">
        <f aca="false">IF(p_use_ibrd=1,p_r_ibrd,p_r_wb)</f>
        <v>0.06</v>
      </c>
      <c r="P229" s="45" t="n">
        <f aca="false">Sector_Params!$D$5</f>
        <v>25</v>
      </c>
      <c r="Q229" s="46" t="n">
        <f aca="false">M229/(1-(1+M229)^-P229)</f>
        <v>0.092194906143389</v>
      </c>
      <c r="R229" s="46" t="n">
        <f aca="false">N229/(1-(1+N229)^-P229)</f>
        <v>0.130285780160679</v>
      </c>
      <c r="S229" s="46" t="n">
        <f aca="false">O229/(1-(1+O229)^-P229)</f>
        <v>0.078226718212274</v>
      </c>
      <c r="T229" s="37" t="n">
        <f aca="false">IF(AND(p_eng=1,ISNUMBER(Country_Data!$CZ$37)),Country_Data!$CZ$37,Country_Data!$CM$37)*Sector_Params!$I$5</f>
        <v>0.0713159656996776</v>
      </c>
      <c r="U229" s="37" t="n">
        <f aca="false">IF(AND(p_eng=1,ISNUMBER(Country_Data!$DA$37)),Country_Data!$DA$37,Country_Data!$CN$37)*Sector_Params!$J$5</f>
        <v>0.06078884353849</v>
      </c>
      <c r="V229" s="37" t="n">
        <f aca="false">IF(AND(p_eng=1,ISNUMBER(Country_Data!$DB$37)),Country_Data!$DB$37,p_a)</f>
        <v>1.45845691720266</v>
      </c>
      <c r="W229" s="16" t="n">
        <f aca="false">T229*L229</f>
        <v>0.14369888366443</v>
      </c>
      <c r="X229" s="16" t="n">
        <f aca="false">U229*L229</f>
        <v>0.122487143937984</v>
      </c>
      <c r="Y229" s="16" t="n">
        <f aca="false">V229*L229</f>
        <v>2.93873368773068</v>
      </c>
      <c r="Z229" s="16" t="n">
        <f aca="false">Q229*L229</f>
        <v>0.185769132653164</v>
      </c>
      <c r="AA229" s="16" t="n">
        <f aca="false">R229*L229</f>
        <v>0.26252075510384</v>
      </c>
      <c r="AB229" s="16" t="n">
        <f aca="false">S229*L229</f>
        <v>0.157623779886451</v>
      </c>
      <c r="AC229" s="16" t="n">
        <f aca="false">Z229-W229</f>
        <v>0.0420702489887339</v>
      </c>
      <c r="AD229" s="16" t="n">
        <f aca="false">AA229-W229</f>
        <v>0.11882187143941</v>
      </c>
      <c r="AE229" s="16" t="n">
        <f aca="false">AB229-W229</f>
        <v>0.0139248962220213</v>
      </c>
      <c r="AF229" s="16" t="n">
        <f aca="false">AE229-X229</f>
        <v>-0.108562247715962</v>
      </c>
      <c r="AG229" s="16" t="n">
        <f aca="false">AF229-p_spc_lo*Y229/1000</f>
        <v>-0.255498932102496</v>
      </c>
      <c r="AH229" s="16" t="n">
        <f aca="false">AF229-p_spc_hi*Y229/1000</f>
        <v>-0.40243561648903</v>
      </c>
      <c r="AI229" s="16" t="n">
        <f aca="false">Q229*J229</f>
        <v>0.774038052721517</v>
      </c>
      <c r="AJ229" s="16" t="n">
        <f aca="false">S229*J229</f>
        <v>0.656765749526881</v>
      </c>
      <c r="AK229" s="16" t="n">
        <f aca="false">T229*J229</f>
        <v>0.598745348601792</v>
      </c>
      <c r="AL229" s="16" t="n">
        <f aca="false">U229*J229</f>
        <v>0.510363099741598</v>
      </c>
      <c r="AM229" s="16" t="n">
        <f aca="false">AI229-AJ229</f>
        <v>0.117272303194636</v>
      </c>
      <c r="AN229" s="16" t="n">
        <f aca="false">J229*Country_Data!$EB$37</f>
        <v>9.34287433876752</v>
      </c>
      <c r="AO229" s="16" t="n">
        <f aca="false">L229*Country_Data!$EB$37</f>
        <v>2.24228984130421</v>
      </c>
    </row>
    <row r="230" customFormat="false" ht="15" hidden="false" customHeight="false" outlineLevel="0" collapsed="false">
      <c r="A230" s="14" t="str">
        <f aca="false">Country_Data!$A$37</f>
        <v>PHL</v>
      </c>
      <c r="B230" s="14" t="str">
        <f aca="false">Country_Data!$E$37</f>
        <v>EMDC</v>
      </c>
      <c r="C230" s="35" t="s">
        <v>470</v>
      </c>
      <c r="D230" s="37" t="n">
        <f aca="false">IF(Country_Data!$BZ$37="","",Country_Data!$BZ$37)</f>
        <v>113.348425019253</v>
      </c>
      <c r="E230" s="40" t="n">
        <f aca="false">Country_Data!$BW$37</f>
        <v>1368.259</v>
      </c>
      <c r="F230" s="41" t="n">
        <f aca="false">Country_Data!$BX$37</f>
        <v>0.337375453039227</v>
      </c>
      <c r="G230" s="42" t="n">
        <f aca="false">IF(D230="","",D230/SUMIFS($D$5:$D$1369,$B$5:$B$1369,B230,$C$5:$C$1369,C230))</f>
        <v>0.0129400982477278</v>
      </c>
      <c r="H230" s="42" t="n">
        <f aca="false">E230/SUMIFS($E$5:$E$1369,$B$5:$B$1369,B230,$C$5:$C$1369,C230)</f>
        <v>0.0169481849118112</v>
      </c>
      <c r="I230" s="43" t="n">
        <f aca="false">IF(G230="",H230,p_beta_alloc*G230+(1-p_beta_alloc)*H230)*F230^p_phi</f>
        <v>0.00868015966473712</v>
      </c>
      <c r="J230" s="16" t="n">
        <f aca="false">INDEX(Sector_Params!$C$17:$E$17,MATCH(B230,Sector_Params!$C$15:$E$15,0))*I230/SUMIFS($I$5:$I$1369,$B$5:$B$1369,B230,$C$5:$C$1369,C230)</f>
        <v>5.75703119228861</v>
      </c>
      <c r="K230" s="28" t="n">
        <f aca="false">INDEX(Sector_Params!$F$6:$H$6,MATCH(B230,Sector_Params!$C$15:$E$15,0))</f>
        <v>0.24</v>
      </c>
      <c r="L230" s="16" t="n">
        <f aca="false">J230*K230</f>
        <v>1.38168748614927</v>
      </c>
      <c r="M230" s="44" t="n">
        <f aca="false">Country_Data!$DW$37+Sector_Params!$E$6</f>
        <v>0.0781399999999999</v>
      </c>
      <c r="N230" s="44" t="n">
        <f aca="false">Country_Data!$DX$37+Sector_Params!$E$6</f>
        <v>0.12314</v>
      </c>
      <c r="O230" s="11" t="n">
        <f aca="false">IF(p_use_ibrd=1,p_r_ibrd,p_r_wb)</f>
        <v>0.06</v>
      </c>
      <c r="P230" s="45" t="n">
        <f aca="false">Sector_Params!$D$6</f>
        <v>40</v>
      </c>
      <c r="Q230" s="46" t="n">
        <f aca="false">M230/(1-(1+M230)^-P230)</f>
        <v>0.0821935091700806</v>
      </c>
      <c r="R230" s="46" t="n">
        <f aca="false">N230/(1-(1+N230)^-P230)</f>
        <v>0.124334638061796</v>
      </c>
      <c r="S230" s="46" t="n">
        <f aca="false">O230/(1-(1+O230)^-P230)</f>
        <v>0.0664615359206755</v>
      </c>
      <c r="T230" s="37" t="n">
        <f aca="false">p_grid_credit*IF(AND(p_eng=1,ISNUMBER(Country_Data!$CZ$37)),Country_Data!$CZ$37,Country_Data!$CM$37)*Sector_Params!$I$6</f>
        <v>0</v>
      </c>
      <c r="U230" s="37" t="n">
        <f aca="false">p_grid_credit*IF(AND(p_eng=1,ISNUMBER(Country_Data!$DA$37)),Country_Data!$DA$37,Country_Data!$CN$37)*Sector_Params!$J$6</f>
        <v>0</v>
      </c>
      <c r="V230" s="37" t="n">
        <f aca="false">p_grid_credit*IF(AND(p_eng=1,ISNUMBER(Country_Data!$DB$37)),Country_Data!$DB$37,p_a)</f>
        <v>0</v>
      </c>
      <c r="W230" s="16" t="n">
        <f aca="false">T230*L230</f>
        <v>0</v>
      </c>
      <c r="X230" s="16" t="n">
        <f aca="false">U230*L230</f>
        <v>0</v>
      </c>
      <c r="Y230" s="16" t="n">
        <f aca="false">V230*L230</f>
        <v>0</v>
      </c>
      <c r="Z230" s="16" t="n">
        <f aca="false">Q230*L230</f>
        <v>0.113565743062995</v>
      </c>
      <c r="AA230" s="16" t="n">
        <f aca="false">R230*L230</f>
        <v>0.171791613504882</v>
      </c>
      <c r="AB230" s="16" t="n">
        <f aca="false">S230*L230</f>
        <v>0.0918290724918573</v>
      </c>
      <c r="AC230" s="16" t="n">
        <f aca="false">Z230-W230</f>
        <v>0.113565743062995</v>
      </c>
      <c r="AD230" s="16" t="n">
        <f aca="false">AA230-W230</f>
        <v>0.171791613504882</v>
      </c>
      <c r="AE230" s="16" t="n">
        <f aca="false">AB230-W230</f>
        <v>0.0918290724918573</v>
      </c>
      <c r="AF230" s="16" t="n">
        <f aca="false">AE230-X230</f>
        <v>0.0918290724918573</v>
      </c>
      <c r="AG230" s="16" t="n">
        <f aca="false">AF230-p_spc_lo*Y230/1000</f>
        <v>0.0918290724918573</v>
      </c>
      <c r="AH230" s="16" t="n">
        <f aca="false">AF230-p_spc_hi*Y230/1000</f>
        <v>0.0918290724918573</v>
      </c>
      <c r="AI230" s="16" t="n">
        <f aca="false">Q230*J230</f>
        <v>0.473190596095814</v>
      </c>
      <c r="AJ230" s="16" t="n">
        <f aca="false">S230*J230</f>
        <v>0.382621135382739</v>
      </c>
      <c r="AK230" s="16" t="n">
        <f aca="false">T230*J230</f>
        <v>0</v>
      </c>
      <c r="AL230" s="16" t="n">
        <f aca="false">U230*J230</f>
        <v>0</v>
      </c>
      <c r="AM230" s="16" t="n">
        <f aca="false">AI230-AJ230</f>
        <v>0.0905694607130751</v>
      </c>
      <c r="AN230" s="16" t="n">
        <f aca="false">J230*Country_Data!$EB$37</f>
        <v>6.4065424037263</v>
      </c>
      <c r="AO230" s="16" t="n">
        <f aca="false">L230*Country_Data!$EB$37</f>
        <v>1.53757017689431</v>
      </c>
    </row>
    <row r="231" customFormat="false" ht="15" hidden="false" customHeight="false" outlineLevel="0" collapsed="false">
      <c r="A231" s="14" t="str">
        <f aca="false">Country_Data!$A$37</f>
        <v>PHL</v>
      </c>
      <c r="B231" s="14" t="str">
        <f aca="false">Country_Data!$E$37</f>
        <v>EMDC</v>
      </c>
      <c r="C231" s="35" t="s">
        <v>473</v>
      </c>
      <c r="D231" s="37" t="n">
        <f aca="false">IF(Country_Data!$CA$37="","",Country_Data!$CA$37)</f>
        <v>0.700283302815954</v>
      </c>
      <c r="E231" s="40" t="n">
        <f aca="false">Country_Data!$BW$37</f>
        <v>1368.259</v>
      </c>
      <c r="F231" s="41" t="n">
        <f aca="false">Country_Data!$BX$37</f>
        <v>0.337375453039227</v>
      </c>
      <c r="G231" s="42" t="n">
        <f aca="false">IF(D231="","",D231/SUMIFS($D$5:$D$1369,$B$5:$B$1369,B231,$C$5:$C$1369,C231))</f>
        <v>0.0161781736543005</v>
      </c>
      <c r="H231" s="42" t="n">
        <f aca="false">E231/SUMIFS($E$5:$E$1369,$B$5:$B$1369,B231,$C$5:$C$1369,C231)</f>
        <v>0.0169481849118112</v>
      </c>
      <c r="I231" s="43" t="n">
        <f aca="false">IF(G231="",H231,p_beta_alloc*G231+(1-p_beta_alloc)*H231)*F231^p_phi</f>
        <v>0.00962056200854119</v>
      </c>
      <c r="J231" s="16" t="n">
        <f aca="false">INDEX(Sector_Params!$C$18:$E$18,MATCH(B231,Sector_Params!$C$15:$E$15,0))*I231/SUMIFS($I$5:$I$1369,$B$5:$B$1369,B231,$C$5:$C$1369,C231)</f>
        <v>3.93939250831801</v>
      </c>
      <c r="K231" s="28" t="n">
        <f aca="false">INDEX(Sector_Params!$F$7:$H$7,MATCH(B231,Sector_Params!$C$15:$E$15,0))</f>
        <v>0.24</v>
      </c>
      <c r="L231" s="16" t="n">
        <f aca="false">J231*K231</f>
        <v>0.945454201996323</v>
      </c>
      <c r="M231" s="44" t="n">
        <f aca="false">Country_Data!$DW$37+Sector_Params!$E$7</f>
        <v>0.0781399999999999</v>
      </c>
      <c r="N231" s="44" t="n">
        <f aca="false">Country_Data!$DX$37+Sector_Params!$E$7</f>
        <v>0.12314</v>
      </c>
      <c r="O231" s="11" t="n">
        <f aca="false">IF(p_use_ibrd=1,p_r_ibrd,p_r_wb)</f>
        <v>0.06</v>
      </c>
      <c r="P231" s="45" t="n">
        <f aca="false">Sector_Params!$D$7</f>
        <v>12</v>
      </c>
      <c r="Q231" s="46" t="n">
        <f aca="false">M231/(1-(1+M231)^-P231)</f>
        <v>0.131419038060519</v>
      </c>
      <c r="R231" s="46" t="n">
        <f aca="false">N231/(1-(1+N231)^-P231)</f>
        <v>0.163792502130338</v>
      </c>
      <c r="S231" s="46" t="n">
        <f aca="false">O231/(1-(1+O231)^-P231)</f>
        <v>0.119277029380664</v>
      </c>
      <c r="T231" s="37" t="n">
        <f aca="false">IF(AND(p_eng=1,ISNUMBER(Country_Data!$DE$37)),Country_Data!$DE$37,Country_Data!$CM$37)*Sector_Params!$I$7</f>
        <v>0.125679825</v>
      </c>
      <c r="U231" s="37" t="n">
        <f aca="false">IF(AND(p_eng=1,ISNUMBER(Country_Data!$DF$37)),Country_Data!$DF$37,Country_Data!$CN$37)*Sector_Params!$J$7</f>
        <v>0.008816175</v>
      </c>
      <c r="V231" s="37" t="n">
        <f aca="false">IF(AND(p_eng=1,ISNUMBER(Country_Data!$DG$37)),Country_Data!$DG$37,p_a)</f>
        <v>0.191034912572078</v>
      </c>
      <c r="W231" s="16" t="n">
        <f aca="false">T231*L231</f>
        <v>0.118824518652413</v>
      </c>
      <c r="X231" s="16" t="n">
        <f aca="false">U231*L231</f>
        <v>0.00833528969928493</v>
      </c>
      <c r="Y231" s="16" t="n">
        <f aca="false">V231*L231</f>
        <v>0.180614760819272</v>
      </c>
      <c r="Z231" s="16" t="n">
        <f aca="false">Q231*L231</f>
        <v>0.124250681756632</v>
      </c>
      <c r="AA231" s="16" t="n">
        <f aca="false">R231*L231</f>
        <v>0.15485830939462</v>
      </c>
      <c r="AB231" s="16" t="n">
        <f aca="false">S231*L231</f>
        <v>0.112770968629587</v>
      </c>
      <c r="AC231" s="16" t="n">
        <f aca="false">Z231-W231</f>
        <v>0.00542616310421953</v>
      </c>
      <c r="AD231" s="16" t="n">
        <f aca="false">AA231-W231</f>
        <v>0.0360337907422071</v>
      </c>
      <c r="AE231" s="16" t="n">
        <f aca="false">AB231-W231</f>
        <v>-0.00605355002282529</v>
      </c>
      <c r="AF231" s="16" t="n">
        <f aca="false">AE231-X231</f>
        <v>-0.0143888397221102</v>
      </c>
      <c r="AG231" s="16" t="n">
        <f aca="false">AF231-p_spc_lo*Y231/1000</f>
        <v>-0.0234195777630738</v>
      </c>
      <c r="AH231" s="16" t="n">
        <f aca="false">AF231-p_spc_hi*Y231/1000</f>
        <v>-0.0324503158040374</v>
      </c>
      <c r="AI231" s="16" t="n">
        <f aca="false">Q231*J231</f>
        <v>0.517711173985967</v>
      </c>
      <c r="AJ231" s="16" t="n">
        <f aca="false">S231*J231</f>
        <v>0.469879035956614</v>
      </c>
      <c r="AK231" s="16" t="n">
        <f aca="false">T231*J231</f>
        <v>0.495102161051719</v>
      </c>
      <c r="AL231" s="16" t="n">
        <f aca="false">U231*J231</f>
        <v>0.0347303737470206</v>
      </c>
      <c r="AM231" s="16" t="n">
        <f aca="false">AI231-AJ231</f>
        <v>0.0478321380293534</v>
      </c>
      <c r="AN231" s="16" t="n">
        <f aca="false">J231*Country_Data!$EB$37</f>
        <v>4.38383679130774</v>
      </c>
      <c r="AO231" s="16" t="n">
        <f aca="false">L231*Country_Data!$EB$37</f>
        <v>1.05212082991386</v>
      </c>
    </row>
    <row r="232" customFormat="false" ht="15" hidden="false" customHeight="false" outlineLevel="0" collapsed="false">
      <c r="A232" s="14" t="str">
        <f aca="false">Country_Data!$A$37</f>
        <v>PHL</v>
      </c>
      <c r="B232" s="14" t="str">
        <f aca="false">Country_Data!$E$37</f>
        <v>EMDC</v>
      </c>
      <c r="C232" s="35" t="s">
        <v>477</v>
      </c>
      <c r="D232" s="37" t="n">
        <f aca="false">IF(Country_Data!$CB$37="","",Country_Data!$CB$37)</f>
        <v>0.282690766735936</v>
      </c>
      <c r="E232" s="40" t="n">
        <f aca="false">Country_Data!$BW$37</f>
        <v>1368.259</v>
      </c>
      <c r="F232" s="41" t="n">
        <f aca="false">Country_Data!$BX$37</f>
        <v>0.337375453039227</v>
      </c>
      <c r="G232" s="42" t="n">
        <f aca="false">IF(D232="","",D232/SUMIFS($D$5:$D$1369,$B$5:$B$1369,B232,$C$5:$C$1369,C232))</f>
        <v>0.00891410066865826</v>
      </c>
      <c r="H232" s="42" t="n">
        <f aca="false">E232/SUMIFS($E$5:$E$1369,$B$5:$B$1369,B232,$C$5:$C$1369,C232)</f>
        <v>0.0169481849118112</v>
      </c>
      <c r="I232" s="43" t="n">
        <f aca="false">IF(G232="",H232,p_beta_alloc*G232+(1-p_beta_alloc)*H232)*F232^p_phi</f>
        <v>0.00751092884576935</v>
      </c>
      <c r="J232" s="16" t="n">
        <f aca="false">INDEX(Sector_Params!$C$19:$E$19,MATCH(B232,Sector_Params!$C$15:$E$15,0))*I232/SUMIFS($I$5:$I$1369,$B$5:$B$1369,B232,$C$5:$C$1369,C232)</f>
        <v>2.41748706061749</v>
      </c>
      <c r="K232" s="28" t="n">
        <f aca="false">INDEX(Sector_Params!$F$8:$H$8,MATCH(B232,Sector_Params!$C$15:$E$15,0))</f>
        <v>0.24</v>
      </c>
      <c r="L232" s="16" t="n">
        <f aca="false">J232*K232</f>
        <v>0.580196894548198</v>
      </c>
      <c r="M232" s="44" t="n">
        <f aca="false">Country_Data!$DW$37+Sector_Params!$E$8</f>
        <v>0.0781399999999999</v>
      </c>
      <c r="N232" s="44" t="n">
        <f aca="false">Country_Data!$DX$37+Sector_Params!$E$8</f>
        <v>0.12314</v>
      </c>
      <c r="O232" s="11" t="n">
        <f aca="false">IF(p_use_ibrd=1,p_r_ibrd,p_r_wb)</f>
        <v>0.06</v>
      </c>
      <c r="P232" s="45" t="n">
        <f aca="false">Sector_Params!$D$8</f>
        <v>25</v>
      </c>
      <c r="Q232" s="46" t="n">
        <f aca="false">M232/(1-(1+M232)^-P232)</f>
        <v>0.092194906143389</v>
      </c>
      <c r="R232" s="46" t="n">
        <f aca="false">N232/(1-(1+N232)^-P232)</f>
        <v>0.130285780160679</v>
      </c>
      <c r="S232" s="46" t="n">
        <f aca="false">O232/(1-(1+O232)^-P232)</f>
        <v>0.078226718212274</v>
      </c>
      <c r="T232" s="37" t="n">
        <f aca="false">Country_Data!$CM$37*Sector_Params!$I$8</f>
        <v>0.133971295307173</v>
      </c>
      <c r="U232" s="37" t="n">
        <f aca="false">Country_Data!$CN$37*Sector_Params!$J$8</f>
        <v>0.139617844875924</v>
      </c>
      <c r="V232" s="37" t="n">
        <f aca="false">p_a</f>
        <v>0.35</v>
      </c>
      <c r="W232" s="16" t="n">
        <f aca="false">T232*L232</f>
        <v>0.0777297294958214</v>
      </c>
      <c r="X232" s="16" t="n">
        <f aca="false">U232*L232</f>
        <v>0.081005840020523</v>
      </c>
      <c r="Y232" s="16" t="n">
        <f aca="false">V232*L232</f>
        <v>0.203068913091869</v>
      </c>
      <c r="Z232" s="16" t="n">
        <f aca="false">Q232*L232</f>
        <v>0.0534911982375569</v>
      </c>
      <c r="AA232" s="16" t="n">
        <f aca="false">R232*L232</f>
        <v>0.0755914050530153</v>
      </c>
      <c r="AB232" s="16" t="n">
        <f aca="false">S232*L232</f>
        <v>0.0453868989774583</v>
      </c>
      <c r="AC232" s="16" t="n">
        <f aca="false">Z232-W232</f>
        <v>-0.0242385312582645</v>
      </c>
      <c r="AD232" s="16" t="n">
        <f aca="false">AA232-W232</f>
        <v>-0.00213832444280612</v>
      </c>
      <c r="AE232" s="16" t="n">
        <f aca="false">AB232-W232</f>
        <v>-0.0323428305183631</v>
      </c>
      <c r="AF232" s="16" t="n">
        <f aca="false">AE232-X232</f>
        <v>-0.113348670538886</v>
      </c>
      <c r="AG232" s="16" t="n">
        <f aca="false">AF232-p_spc_lo*Y232/1000</f>
        <v>-0.12350211619348</v>
      </c>
      <c r="AH232" s="16" t="n">
        <f aca="false">AF232-p_spc_hi*Y232/1000</f>
        <v>-0.133655561848073</v>
      </c>
      <c r="AI232" s="16" t="n">
        <f aca="false">Q232*J232</f>
        <v>0.222879992656487</v>
      </c>
      <c r="AJ232" s="16" t="n">
        <f aca="false">S232*J232</f>
        <v>0.189112079072743</v>
      </c>
      <c r="AK232" s="16" t="n">
        <f aca="false">T232*J232</f>
        <v>0.323873872899256</v>
      </c>
      <c r="AL232" s="16" t="n">
        <f aca="false">U232*J232</f>
        <v>0.337524333418846</v>
      </c>
      <c r="AM232" s="16" t="n">
        <f aca="false">AI232-AJ232</f>
        <v>0.0337679135837441</v>
      </c>
      <c r="AN232" s="16" t="n">
        <f aca="false">J232*Country_Data!$EB$37</f>
        <v>2.69022919053331</v>
      </c>
      <c r="AO232" s="16" t="n">
        <f aca="false">L232*Country_Data!$EB$37</f>
        <v>0.645655005727995</v>
      </c>
    </row>
    <row r="233" customFormat="false" ht="15" hidden="false" customHeight="false" outlineLevel="0" collapsed="false">
      <c r="A233" s="14" t="str">
        <f aca="false">Country_Data!$A$37</f>
        <v>PHL</v>
      </c>
      <c r="B233" s="14" t="str">
        <f aca="false">Country_Data!$E$37</f>
        <v>EMDC</v>
      </c>
      <c r="C233" s="35" t="s">
        <v>481</v>
      </c>
      <c r="D233" s="37" t="n">
        <f aca="false">IF(Country_Data!$CC$37="","",Country_Data!$CC$37)</f>
        <v>0.383477855402064</v>
      </c>
      <c r="E233" s="40" t="n">
        <f aca="false">Country_Data!$BW$37</f>
        <v>1368.259</v>
      </c>
      <c r="F233" s="41" t="n">
        <f aca="false">Country_Data!$BX$37</f>
        <v>0.337375453039227</v>
      </c>
      <c r="G233" s="42" t="n">
        <f aca="false">IF(D233="","",D233/SUMIFS($D$5:$D$1369,$B$5:$B$1369,B233,$C$5:$C$1369,C233))</f>
        <v>0.0054776871563004</v>
      </c>
      <c r="H233" s="42" t="n">
        <f aca="false">E233/SUMIFS($E$5:$E$1369,$B$5:$B$1369,B233,$C$5:$C$1369,C233)</f>
        <v>0.0169481849118112</v>
      </c>
      <c r="I233" s="43" t="n">
        <f aca="false">IF(G233="",H233,p_beta_alloc*G233+(1-p_beta_alloc)*H233)*F233^p_phi</f>
        <v>0.00651292511962336</v>
      </c>
      <c r="J233" s="16" t="n">
        <f aca="false">INDEX(Sector_Params!$C$20:$E$20,MATCH(B233,Sector_Params!$C$15:$E$15,0))*I233/SUMIFS($I$5:$I$1369,$B$5:$B$1369,B233,$C$5:$C$1369,C233)</f>
        <v>1.18873998957878</v>
      </c>
      <c r="K233" s="28" t="n">
        <f aca="false">INDEX(Sector_Params!$F$9:$H$9,MATCH(B233,Sector_Params!$C$15:$E$15,0))</f>
        <v>0.24</v>
      </c>
      <c r="L233" s="16" t="n">
        <f aca="false">J233*K233</f>
        <v>0.285297597498906</v>
      </c>
      <c r="M233" s="44" t="n">
        <f aca="false">Country_Data!$DW$37+Sector_Params!$E$9</f>
        <v>0.0781399999999999</v>
      </c>
      <c r="N233" s="44" t="n">
        <f aca="false">Country_Data!$DX$37+Sector_Params!$E$9</f>
        <v>0.12314</v>
      </c>
      <c r="O233" s="11" t="n">
        <f aca="false">IF(p_use_ibrd=1,p_r_ibrd,p_r_wb)</f>
        <v>0.06</v>
      </c>
      <c r="P233" s="45" t="n">
        <f aca="false">Sector_Params!$D$9</f>
        <v>25</v>
      </c>
      <c r="Q233" s="46" t="n">
        <f aca="false">M233/(1-(1+M233)^-P233)</f>
        <v>0.092194906143389</v>
      </c>
      <c r="R233" s="46" t="n">
        <f aca="false">N233/(1-(1+N233)^-P233)</f>
        <v>0.130285780160679</v>
      </c>
      <c r="S233" s="46" t="n">
        <f aca="false">O233/(1-(1+O233)^-P233)</f>
        <v>0.078226718212274</v>
      </c>
      <c r="T233" s="37" t="n">
        <f aca="false">Country_Data!$CM$37*Sector_Params!$I$9</f>
        <v>0.133971295307173</v>
      </c>
      <c r="U233" s="37" t="n">
        <f aca="false">Country_Data!$CN$37*Sector_Params!$J$9</f>
        <v>0.139617844875924</v>
      </c>
      <c r="V233" s="37" t="n">
        <f aca="false">p_a</f>
        <v>0.35</v>
      </c>
      <c r="W233" s="16" t="n">
        <f aca="false">T233*L233</f>
        <v>0.038221688684953</v>
      </c>
      <c r="X233" s="16" t="n">
        <f aca="false">U233*L233</f>
        <v>0.039832635711076</v>
      </c>
      <c r="Y233" s="16" t="n">
        <f aca="false">V233*L233</f>
        <v>0.0998541591246172</v>
      </c>
      <c r="Z233" s="16" t="n">
        <f aca="false">Q233*L233</f>
        <v>0.026302985224346</v>
      </c>
      <c r="AA233" s="16" t="n">
        <f aca="false">R233*L233</f>
        <v>0.0371702200681124</v>
      </c>
      <c r="AB233" s="16" t="n">
        <f aca="false">S233*L233</f>
        <v>0.0223178947661857</v>
      </c>
      <c r="AC233" s="16" t="n">
        <f aca="false">Z233-W233</f>
        <v>-0.011918703460607</v>
      </c>
      <c r="AD233" s="16" t="n">
        <f aca="false">AA233-W233</f>
        <v>-0.00105146861684055</v>
      </c>
      <c r="AE233" s="16" t="n">
        <f aca="false">AB233-W233</f>
        <v>-0.0159037939187673</v>
      </c>
      <c r="AF233" s="16" t="n">
        <f aca="false">AE233-X233</f>
        <v>-0.0557364296298433</v>
      </c>
      <c r="AG233" s="16" t="n">
        <f aca="false">AF233-p_spc_lo*Y233/1000</f>
        <v>-0.0607291375860742</v>
      </c>
      <c r="AH233" s="16" t="n">
        <f aca="false">AF233-p_spc_hi*Y233/1000</f>
        <v>-0.065721845542305</v>
      </c>
      <c r="AI233" s="16" t="n">
        <f aca="false">Q233*J233</f>
        <v>0.109595771768108</v>
      </c>
      <c r="AJ233" s="16" t="n">
        <f aca="false">S233*J233</f>
        <v>0.0929912281924404</v>
      </c>
      <c r="AK233" s="16" t="n">
        <f aca="false">T233*J233</f>
        <v>0.159257036187304</v>
      </c>
      <c r="AL233" s="16" t="n">
        <f aca="false">U233*J233</f>
        <v>0.165969315462817</v>
      </c>
      <c r="AM233" s="16" t="n">
        <f aca="false">AI233-AJ233</f>
        <v>0.0166045435756681</v>
      </c>
      <c r="AN233" s="16" t="n">
        <f aca="false">J233*Country_Data!$EB$37</f>
        <v>1.3228542448133</v>
      </c>
      <c r="AO233" s="16" t="n">
        <f aca="false">L233*Country_Data!$EB$37</f>
        <v>0.317485018755193</v>
      </c>
    </row>
    <row r="234" customFormat="false" ht="15" hidden="false" customHeight="false" outlineLevel="0" collapsed="false">
      <c r="A234" s="14" t="str">
        <f aca="false">Country_Data!$A$37</f>
        <v>PHL</v>
      </c>
      <c r="B234" s="14" t="str">
        <f aca="false">Country_Data!$E$37</f>
        <v>EMDC</v>
      </c>
      <c r="C234" s="35" t="s">
        <v>484</v>
      </c>
      <c r="D234" s="37" t="n">
        <f aca="false">IF(Country_Data!$CD$37="","",Country_Data!$CD$37)</f>
        <v>1.79968843327951</v>
      </c>
      <c r="E234" s="40" t="n">
        <f aca="false">Country_Data!$BW$37</f>
        <v>1368.259</v>
      </c>
      <c r="F234" s="41" t="n">
        <f aca="false">Country_Data!$BX$37</f>
        <v>0.337375453039227</v>
      </c>
      <c r="G234" s="42" t="n">
        <f aca="false">IF(D234="","",D234/SUMIFS($D$5:$D$1369,$B$5:$B$1369,B234,$C$5:$C$1369,C234))</f>
        <v>0.0100501176724035</v>
      </c>
      <c r="H234" s="42" t="n">
        <f aca="false">E234/SUMIFS($E$5:$E$1369,$B$5:$B$1369,B234,$C$5:$C$1369,C234)</f>
        <v>0.0169481849118112</v>
      </c>
      <c r="I234" s="43" t="n">
        <f aca="false">IF(G234="",H234,p_beta_alloc*G234+(1-p_beta_alloc)*H234)*F234^p_phi</f>
        <v>0.00784085107387891</v>
      </c>
      <c r="J234" s="16" t="n">
        <f aca="false">INDEX(Sector_Params!$C$21:$E$21,MATCH(B234,Sector_Params!$C$15:$E$15,0))*I234/SUMIFS($I$5:$I$1369,$B$5:$B$1369,B234,$C$5:$C$1369,C234)</f>
        <v>1.7390209973861</v>
      </c>
      <c r="K234" s="28" t="n">
        <f aca="false">INDEX(Sector_Params!$F$10:$H$10,MATCH(B234,Sector_Params!$C$15:$E$15,0))</f>
        <v>0.24</v>
      </c>
      <c r="L234" s="16" t="n">
        <f aca="false">J234*K234</f>
        <v>0.417365039372664</v>
      </c>
      <c r="M234" s="44" t="n">
        <f aca="false">Country_Data!$DW$37+Sector_Params!$E$10</f>
        <v>0.0781399999999999</v>
      </c>
      <c r="N234" s="44" t="n">
        <f aca="false">Country_Data!$DX$37+Sector_Params!$E$10</f>
        <v>0.12314</v>
      </c>
      <c r="O234" s="11" t="n">
        <f aca="false">IF(p_use_ibrd=1,p_r_ibrd,p_r_wb)</f>
        <v>0.06</v>
      </c>
      <c r="P234" s="45" t="n">
        <f aca="false">Sector_Params!$D$10</f>
        <v>20</v>
      </c>
      <c r="Q234" s="46" t="n">
        <f aca="false">M234/(1-(1+M234)^-P234)</f>
        <v>0.1004465128446</v>
      </c>
      <c r="R234" s="46" t="n">
        <f aca="false">N234/(1-(1+N234)^-P234)</f>
        <v>0.136522127180901</v>
      </c>
      <c r="S234" s="46" t="n">
        <f aca="false">O234/(1-(1+O234)^-P234)</f>
        <v>0.0871845569768514</v>
      </c>
      <c r="T234" s="37" t="n">
        <f aca="false">0*Sector_Params!$I$10</f>
        <v>0</v>
      </c>
      <c r="U234" s="37" t="n">
        <f aca="false">0*Sector_Params!$J$10</f>
        <v>0</v>
      </c>
      <c r="V234" s="37" t="n">
        <f aca="false">1000*p_r_wb/(1-(1+p_r_wb)^-Sector_Params!$D$10)/p_cpt_fuel</f>
        <v>0.871845569768514</v>
      </c>
      <c r="W234" s="16" t="n">
        <f aca="false">T234*L234</f>
        <v>0</v>
      </c>
      <c r="X234" s="16" t="n">
        <f aca="false">U234*L234</f>
        <v>0</v>
      </c>
      <c r="Y234" s="16" t="n">
        <f aca="false">V234*L234</f>
        <v>0.363877860553318</v>
      </c>
      <c r="Z234" s="16" t="n">
        <f aca="false">Q234*L234</f>
        <v>0.0419228627882334</v>
      </c>
      <c r="AA234" s="16" t="n">
        <f aca="false">R234*L234</f>
        <v>0.0569795629860964</v>
      </c>
      <c r="AB234" s="16" t="n">
        <f aca="false">S234*L234</f>
        <v>0.0363877860553318</v>
      </c>
      <c r="AC234" s="16" t="n">
        <f aca="false">Z234-W234</f>
        <v>0.0419228627882334</v>
      </c>
      <c r="AD234" s="16" t="n">
        <f aca="false">AA234-W234</f>
        <v>0.0569795629860964</v>
      </c>
      <c r="AE234" s="16" t="n">
        <f aca="false">AB234-W234</f>
        <v>0.0363877860553318</v>
      </c>
      <c r="AF234" s="16" t="n">
        <f aca="false">AE234-X234</f>
        <v>0.0363877860553318</v>
      </c>
      <c r="AG234" s="16" t="n">
        <f aca="false">AF234-p_spc_lo*Y234/1000</f>
        <v>0.0181938930276659</v>
      </c>
      <c r="AH234" s="16" t="n">
        <f aca="false">AF234-p_spc_hi*Y234/1000</f>
        <v>0</v>
      </c>
      <c r="AI234" s="16" t="n">
        <f aca="false">Q234*J234</f>
        <v>0.174678594950973</v>
      </c>
      <c r="AJ234" s="16" t="n">
        <f aca="false">S234*J234</f>
        <v>0.151615775230549</v>
      </c>
      <c r="AK234" s="16" t="n">
        <f aca="false">T234*J234</f>
        <v>0</v>
      </c>
      <c r="AL234" s="16" t="n">
        <f aca="false">U234*J234</f>
        <v>0</v>
      </c>
      <c r="AM234" s="16" t="n">
        <f aca="false">AI234-AJ234</f>
        <v>0.0230628197204233</v>
      </c>
      <c r="AN234" s="16" t="n">
        <f aca="false">J234*Country_Data!$EB$37</f>
        <v>1.93521823811684</v>
      </c>
      <c r="AO234" s="16" t="n">
        <f aca="false">L234*Country_Data!$EB$37</f>
        <v>0.464452377148041</v>
      </c>
    </row>
    <row r="235" customFormat="false" ht="15" hidden="false" customHeight="false" outlineLevel="0" collapsed="false">
      <c r="A235" s="14" t="str">
        <f aca="false">Country_Data!$A$37</f>
        <v>PHL</v>
      </c>
      <c r="B235" s="14" t="str">
        <f aca="false">Country_Data!$E$37</f>
        <v>EMDC</v>
      </c>
      <c r="C235" s="35" t="s">
        <v>488</v>
      </c>
      <c r="D235" s="37" t="n">
        <f aca="false">IF(Country_Data!$CE$37="","",Country_Data!$CE$37)</f>
        <v>116.008</v>
      </c>
      <c r="E235" s="40" t="n">
        <f aca="false">Country_Data!$BW$37</f>
        <v>1368.259</v>
      </c>
      <c r="F235" s="41" t="n">
        <f aca="false">Country_Data!$BX$37</f>
        <v>0.337375453039227</v>
      </c>
      <c r="G235" s="42" t="n">
        <f aca="false">IF(D235="","",D235/SUMIFS($D$5:$D$1369,$B$5:$B$1369,B235,$C$5:$C$1369,C235))</f>
        <v>0.00950565014572959</v>
      </c>
      <c r="H235" s="42" t="n">
        <f aca="false">E235/SUMIFS($E$5:$E$1369,$B$5:$B$1369,B235,$C$5:$C$1369,C235)</f>
        <v>0.0169481849118112</v>
      </c>
      <c r="I235" s="43" t="n">
        <f aca="false">IF(G235="",H235,p_beta_alloc*G235+(1-p_beta_alloc)*H235)*F235^p_phi</f>
        <v>0.0076827267333617</v>
      </c>
      <c r="J235" s="16" t="n">
        <f aca="false">INDEX(Sector_Params!$C$22:$E$22,MATCH(B235,Sector_Params!$C$15:$E$15,0))*I235/SUMIFS($I$5:$I$1369,$B$5:$B$1369,B235,$C$5:$C$1369,C235)</f>
        <v>4.63121211926401</v>
      </c>
      <c r="K235" s="28" t="n">
        <f aca="false">INDEX(Sector_Params!$F$11:$H$11,MATCH(B235,Sector_Params!$C$15:$E$15,0))</f>
        <v>0.24</v>
      </c>
      <c r="L235" s="16" t="n">
        <f aca="false">J235*K235</f>
        <v>1.11149090862336</v>
      </c>
      <c r="M235" s="44" t="n">
        <f aca="false">Country_Data!$DW$37+Sector_Params!$E$11</f>
        <v>0.0781399999999999</v>
      </c>
      <c r="N235" s="44" t="n">
        <f aca="false">Country_Data!$DX$37+Sector_Params!$E$11</f>
        <v>0.12314</v>
      </c>
      <c r="O235" s="11" t="n">
        <f aca="false">IF(p_use_ibrd=1,p_r_ibrd,p_r_wb)</f>
        <v>0.06</v>
      </c>
      <c r="P235" s="45" t="n">
        <f aca="false">Sector_Params!$D$11</f>
        <v>30</v>
      </c>
      <c r="Q235" s="46" t="n">
        <f aca="false">M235/(1-(1+M235)^-P235)</f>
        <v>0.0872732742279304</v>
      </c>
      <c r="R235" s="46" t="n">
        <f aca="false">N235/(1-(1+N235)^-P235)</f>
        <v>0.127038694282297</v>
      </c>
      <c r="S235" s="46" t="n">
        <f aca="false">O235/(1-(1+O235)^-P235)</f>
        <v>0.0726489114900472</v>
      </c>
      <c r="T235" s="37" t="n">
        <f aca="false">0*Sector_Params!$I$11</f>
        <v>0</v>
      </c>
      <c r="U235" s="37" t="n">
        <f aca="false">p_c*Sector_Params!$J$11</f>
        <v>0.129</v>
      </c>
      <c r="V235" s="37" t="n">
        <f aca="false">1000*p_r_wb/(1-(1+p_r_wb)^-Sector_Params!$D$11)/p_cpt_afolu</f>
        <v>1.45297822980094</v>
      </c>
      <c r="W235" s="16" t="n">
        <f aca="false">T235*L235</f>
        <v>0</v>
      </c>
      <c r="X235" s="16" t="n">
        <f aca="false">U235*L235</f>
        <v>0.143382327212414</v>
      </c>
      <c r="Y235" s="16" t="n">
        <f aca="false">V235*L235</f>
        <v>1.61497209285141</v>
      </c>
      <c r="Z235" s="16" t="n">
        <f aca="false">Q235*L235</f>
        <v>0.0970034508701381</v>
      </c>
      <c r="AA235" s="16" t="n">
        <f aca="false">R235*L235</f>
        <v>0.141202353738156</v>
      </c>
      <c r="AB235" s="16" t="n">
        <f aca="false">S235*L235</f>
        <v>0.0807486046425707</v>
      </c>
      <c r="AC235" s="16" t="n">
        <f aca="false">Z235-W235</f>
        <v>0.0970034508701381</v>
      </c>
      <c r="AD235" s="16" t="n">
        <f aca="false">AA235-W235</f>
        <v>0.141202353738156</v>
      </c>
      <c r="AE235" s="16" t="n">
        <f aca="false">AB235-W235</f>
        <v>0.0807486046425707</v>
      </c>
      <c r="AF235" s="16" t="n">
        <f aca="false">AE235-X235</f>
        <v>-0.0626337225698429</v>
      </c>
      <c r="AG235" s="16" t="n">
        <f aca="false">AF235-p_spc_lo*Y235/1000</f>
        <v>-0.143382327212414</v>
      </c>
      <c r="AH235" s="16" t="n">
        <f aca="false">AF235-p_spc_hi*Y235/1000</f>
        <v>-0.224130931854984</v>
      </c>
      <c r="AI235" s="16" t="n">
        <f aca="false">Q235*J235</f>
        <v>0.404181045292242</v>
      </c>
      <c r="AJ235" s="16" t="n">
        <f aca="false">S235*J235</f>
        <v>0.336452519344045</v>
      </c>
      <c r="AK235" s="16" t="n">
        <f aca="false">T235*J235</f>
        <v>0</v>
      </c>
      <c r="AL235" s="16" t="n">
        <f aca="false">U235*J235</f>
        <v>0.597426363385057</v>
      </c>
      <c r="AM235" s="16" t="n">
        <f aca="false">AI235-AJ235</f>
        <v>0.0677285259481973</v>
      </c>
      <c r="AN235" s="16" t="n">
        <f aca="false">J235*Country_Data!$EB$37</f>
        <v>5.15370784553994</v>
      </c>
      <c r="AO235" s="16" t="n">
        <f aca="false">L235*Country_Data!$EB$37</f>
        <v>1.23688988292959</v>
      </c>
    </row>
    <row r="236" customFormat="false" ht="15" hidden="false" customHeight="false" outlineLevel="0" collapsed="false">
      <c r="A236" s="14" t="str">
        <f aca="false">Country_Data!$A$38</f>
        <v>VNM</v>
      </c>
      <c r="B236" s="14" t="str">
        <f aca="false">Country_Data!$E$38</f>
        <v>EMDC</v>
      </c>
      <c r="C236" s="35" t="s">
        <v>466</v>
      </c>
      <c r="D236" s="37" t="n">
        <f aca="false">IF(Country_Data!$BZ$38="","",Country_Data!$BZ$38)</f>
        <v>241.467012254174</v>
      </c>
      <c r="E236" s="40" t="n">
        <f aca="false">Country_Data!$BW$38</f>
        <v>1654.976</v>
      </c>
      <c r="F236" s="41" t="n">
        <f aca="false">Country_Data!$BX$38</f>
        <v>0.277616110445106</v>
      </c>
      <c r="G236" s="42" t="n">
        <f aca="false">IF(D236="","",D236/SUMIFS($D$5:$D$1369,$B$5:$B$1369,B236,$C$5:$C$1369,C236))</f>
        <v>0.0275663897546309</v>
      </c>
      <c r="H236" s="42" t="n">
        <f aca="false">E236/SUMIFS($E$5:$E$1369,$B$5:$B$1369,B236,$C$5:$C$1369,C236)</f>
        <v>0.0204996563315934</v>
      </c>
      <c r="I236" s="43" t="n">
        <f aca="false">IF(G236="",H236,p_beta_alloc*G236+(1-p_beta_alloc)*H236)*F236^p_phi</f>
        <v>0.0126628288049831</v>
      </c>
      <c r="J236" s="16" t="n">
        <f aca="false">INDEX(Sector_Params!$C$16:$E$16,MATCH(B236,Sector_Params!$C$15:$E$15,0))*I236/SUMIFS($I$5:$I$1369,$B$5:$B$1369,B236,$C$5:$C$1369,C236)</f>
        <v>12.2478090505681</v>
      </c>
      <c r="K236" s="28" t="n">
        <f aca="false">INDEX(Sector_Params!$F$5:$H$5,MATCH(B236,Sector_Params!$C$15:$E$15,0))</f>
        <v>0.24</v>
      </c>
      <c r="L236" s="16" t="n">
        <f aca="false">J236*K236</f>
        <v>2.93947417213634</v>
      </c>
      <c r="M236" s="44" t="n">
        <f aca="false">Country_Data!$DW$38+Sector_Params!$E$5</f>
        <v>0.0931000000000001</v>
      </c>
      <c r="N236" s="44" t="n">
        <f aca="false">Country_Data!$DX$38+Sector_Params!$E$5</f>
        <v>0.1381</v>
      </c>
      <c r="O236" s="11" t="n">
        <f aca="false">IF(p_use_ibrd=1,p_r_ibrd,p_r_wb)</f>
        <v>0.06</v>
      </c>
      <c r="P236" s="45" t="n">
        <f aca="false">Sector_Params!$D$5</f>
        <v>25</v>
      </c>
      <c r="Q236" s="46" t="n">
        <f aca="false">M236/(1-(1+M236)^-P236)</f>
        <v>0.10437449300121</v>
      </c>
      <c r="R236" s="46" t="n">
        <f aca="false">N236/(1-(1+N236)^-P236)</f>
        <v>0.143764221571054</v>
      </c>
      <c r="S236" s="46" t="n">
        <f aca="false">O236/(1-(1+O236)^-P236)</f>
        <v>0.078226718212274</v>
      </c>
      <c r="T236" s="37" t="n">
        <f aca="false">IF(AND(p_eng=1,ISNUMBER(Country_Data!$CZ$38)),Country_Data!$CZ$38,Country_Data!$CM$38)*Sector_Params!$I$5</f>
        <v>0.0658484411714052</v>
      </c>
      <c r="U236" s="37" t="n">
        <f aca="false">IF(AND(p_eng=1,ISNUMBER(Country_Data!$DA$38)),Country_Data!$DA$38,Country_Data!$CN$38)*Sector_Params!$J$5</f>
        <v>0.0239420527760484</v>
      </c>
      <c r="V236" s="37" t="n">
        <f aca="false">IF(AND(p_eng=1,ISNUMBER(Country_Data!$DB$38)),Country_Data!$DB$38,p_a)</f>
        <v>1.11566620711286</v>
      </c>
      <c r="W236" s="16" t="n">
        <f aca="false">T236*L236</f>
        <v>0.193559792098785</v>
      </c>
      <c r="X236" s="16" t="n">
        <f aca="false">U236*L236</f>
        <v>0.0703770457631195</v>
      </c>
      <c r="Y236" s="16" t="n">
        <f aca="false">V236*L236</f>
        <v>3.27947200053356</v>
      </c>
      <c r="Z236" s="16" t="n">
        <f aca="false">Q236*L236</f>
        <v>0.306806126406883</v>
      </c>
      <c r="AA236" s="16" t="n">
        <f aca="false">R236*L236</f>
        <v>0.422591216185398</v>
      </c>
      <c r="AB236" s="16" t="n">
        <f aca="false">S236*L236</f>
        <v>0.229945417755967</v>
      </c>
      <c r="AC236" s="16" t="n">
        <f aca="false">Z236-W236</f>
        <v>0.113246334308098</v>
      </c>
      <c r="AD236" s="16" t="n">
        <f aca="false">AA236-W236</f>
        <v>0.229031424086613</v>
      </c>
      <c r="AE236" s="16" t="n">
        <f aca="false">AB236-W236</f>
        <v>0.036385625657182</v>
      </c>
      <c r="AF236" s="16" t="n">
        <f aca="false">AE236-X236</f>
        <v>-0.0339914201059376</v>
      </c>
      <c r="AG236" s="16" t="n">
        <f aca="false">AF236-p_spc_lo*Y236/1000</f>
        <v>-0.197965020132616</v>
      </c>
      <c r="AH236" s="16" t="n">
        <f aca="false">AF236-p_spc_hi*Y236/1000</f>
        <v>-0.361938620159294</v>
      </c>
      <c r="AI236" s="16" t="n">
        <f aca="false">Q236*J236</f>
        <v>1.27835886002868</v>
      </c>
      <c r="AJ236" s="16" t="n">
        <f aca="false">S236*J236</f>
        <v>0.958105907316528</v>
      </c>
      <c r="AK236" s="16" t="n">
        <f aca="false">T236*J236</f>
        <v>0.806499133744937</v>
      </c>
      <c r="AL236" s="16" t="n">
        <f aca="false">U236*J236</f>
        <v>0.293237690679665</v>
      </c>
      <c r="AM236" s="16" t="n">
        <f aca="false">AI236-AJ236</f>
        <v>0.320252952712149</v>
      </c>
      <c r="AN236" s="16" t="n">
        <f aca="false">J236*Country_Data!$EB$38</f>
        <v>14.9442259268172</v>
      </c>
      <c r="AO236" s="16" t="n">
        <f aca="false">L236*Country_Data!$EB$38</f>
        <v>3.58661422243612</v>
      </c>
    </row>
    <row r="237" customFormat="false" ht="15" hidden="false" customHeight="false" outlineLevel="0" collapsed="false">
      <c r="A237" s="14" t="str">
        <f aca="false">Country_Data!$A$38</f>
        <v>VNM</v>
      </c>
      <c r="B237" s="14" t="str">
        <f aca="false">Country_Data!$E$38</f>
        <v>EMDC</v>
      </c>
      <c r="C237" s="35" t="s">
        <v>470</v>
      </c>
      <c r="D237" s="37" t="n">
        <f aca="false">IF(Country_Data!$BZ$38="","",Country_Data!$BZ$38)</f>
        <v>241.467012254174</v>
      </c>
      <c r="E237" s="40" t="n">
        <f aca="false">Country_Data!$BW$38</f>
        <v>1654.976</v>
      </c>
      <c r="F237" s="41" t="n">
        <f aca="false">Country_Data!$BX$38</f>
        <v>0.277616110445106</v>
      </c>
      <c r="G237" s="42" t="n">
        <f aca="false">IF(D237="","",D237/SUMIFS($D$5:$D$1369,$B$5:$B$1369,B237,$C$5:$C$1369,C237))</f>
        <v>0.0275663897546309</v>
      </c>
      <c r="H237" s="42" t="n">
        <f aca="false">E237/SUMIFS($E$5:$E$1369,$B$5:$B$1369,B237,$C$5:$C$1369,C237)</f>
        <v>0.0204996563315934</v>
      </c>
      <c r="I237" s="43" t="n">
        <f aca="false">IF(G237="",H237,p_beta_alloc*G237+(1-p_beta_alloc)*H237)*F237^p_phi</f>
        <v>0.0126628288049831</v>
      </c>
      <c r="J237" s="16" t="n">
        <f aca="false">INDEX(Sector_Params!$C$17:$E$17,MATCH(B237,Sector_Params!$C$15:$E$15,0))*I237/SUMIFS($I$5:$I$1369,$B$5:$B$1369,B237,$C$5:$C$1369,C237)</f>
        <v>8.39849763467526</v>
      </c>
      <c r="K237" s="28" t="n">
        <f aca="false">INDEX(Sector_Params!$F$6:$H$6,MATCH(B237,Sector_Params!$C$15:$E$15,0))</f>
        <v>0.24</v>
      </c>
      <c r="L237" s="16" t="n">
        <f aca="false">J237*K237</f>
        <v>2.01563943232206</v>
      </c>
      <c r="M237" s="44" t="n">
        <f aca="false">Country_Data!$DW$38+Sector_Params!$E$6</f>
        <v>0.0931000000000001</v>
      </c>
      <c r="N237" s="44" t="n">
        <f aca="false">Country_Data!$DX$38+Sector_Params!$E$6</f>
        <v>0.1381</v>
      </c>
      <c r="O237" s="11" t="n">
        <f aca="false">IF(p_use_ibrd=1,p_r_ibrd,p_r_wb)</f>
        <v>0.06</v>
      </c>
      <c r="P237" s="45" t="n">
        <f aca="false">Sector_Params!$D$6</f>
        <v>40</v>
      </c>
      <c r="Q237" s="46" t="n">
        <f aca="false">M237/(1-(1+M237)^-P237)</f>
        <v>0.0958231700509563</v>
      </c>
      <c r="R237" s="46" t="n">
        <f aca="false">N237/(1-(1+N237)^-P237)</f>
        <v>0.138886034565855</v>
      </c>
      <c r="S237" s="46" t="n">
        <f aca="false">O237/(1-(1+O237)^-P237)</f>
        <v>0.0664615359206755</v>
      </c>
      <c r="T237" s="37" t="n">
        <f aca="false">p_grid_credit*IF(AND(p_eng=1,ISNUMBER(Country_Data!$CZ$38)),Country_Data!$CZ$38,Country_Data!$CM$38)*Sector_Params!$I$6</f>
        <v>0</v>
      </c>
      <c r="U237" s="37" t="n">
        <f aca="false">p_grid_credit*IF(AND(p_eng=1,ISNUMBER(Country_Data!$DA$38)),Country_Data!$DA$38,Country_Data!$CN$38)*Sector_Params!$J$6</f>
        <v>0</v>
      </c>
      <c r="V237" s="37" t="n">
        <f aca="false">p_grid_credit*IF(AND(p_eng=1,ISNUMBER(Country_Data!$DB$38)),Country_Data!$DB$38,p_a)</f>
        <v>0</v>
      </c>
      <c r="W237" s="16" t="n">
        <f aca="false">T237*L237</f>
        <v>0</v>
      </c>
      <c r="X237" s="16" t="n">
        <f aca="false">U237*L237</f>
        <v>0</v>
      </c>
      <c r="Y237" s="16" t="n">
        <f aca="false">V237*L237</f>
        <v>0</v>
      </c>
      <c r="Z237" s="16" t="n">
        <f aca="false">Q237*L237</f>
        <v>0.19314496008481</v>
      </c>
      <c r="AA237" s="16" t="n">
        <f aca="false">R237*L237</f>
        <v>0.279944167869782</v>
      </c>
      <c r="AB237" s="16" t="n">
        <f aca="false">S237*L237</f>
        <v>0.133962492534403</v>
      </c>
      <c r="AC237" s="16" t="n">
        <f aca="false">Z237-W237</f>
        <v>0.19314496008481</v>
      </c>
      <c r="AD237" s="16" t="n">
        <f aca="false">AA237-W237</f>
        <v>0.279944167869782</v>
      </c>
      <c r="AE237" s="16" t="n">
        <f aca="false">AB237-W237</f>
        <v>0.133962492534403</v>
      </c>
      <c r="AF237" s="16" t="n">
        <f aca="false">AE237-X237</f>
        <v>0.133962492534403</v>
      </c>
      <c r="AG237" s="16" t="n">
        <f aca="false">AF237-p_spc_lo*Y237/1000</f>
        <v>0.133962492534403</v>
      </c>
      <c r="AH237" s="16" t="n">
        <f aca="false">AF237-p_spc_hi*Y237/1000</f>
        <v>0.133962492534403</v>
      </c>
      <c r="AI237" s="16" t="n">
        <f aca="false">Q237*J237</f>
        <v>0.804770667020042</v>
      </c>
      <c r="AJ237" s="16" t="n">
        <f aca="false">S237*J237</f>
        <v>0.558177052226678</v>
      </c>
      <c r="AK237" s="16" t="n">
        <f aca="false">T237*J237</f>
        <v>0</v>
      </c>
      <c r="AL237" s="16" t="n">
        <f aca="false">U237*J237</f>
        <v>0</v>
      </c>
      <c r="AM237" s="16" t="n">
        <f aca="false">AI237-AJ237</f>
        <v>0.246593614793364</v>
      </c>
      <c r="AN237" s="16" t="n">
        <f aca="false">J237*Country_Data!$EB$38</f>
        <v>10.2474692069604</v>
      </c>
      <c r="AO237" s="16" t="n">
        <f aca="false">L237*Country_Data!$EB$38</f>
        <v>2.45939260967049</v>
      </c>
    </row>
    <row r="238" customFormat="false" ht="15" hidden="false" customHeight="false" outlineLevel="0" collapsed="false">
      <c r="A238" s="14" t="str">
        <f aca="false">Country_Data!$A$38</f>
        <v>VNM</v>
      </c>
      <c r="B238" s="14" t="str">
        <f aca="false">Country_Data!$E$38</f>
        <v>EMDC</v>
      </c>
      <c r="C238" s="35" t="s">
        <v>473</v>
      </c>
      <c r="D238" s="37" t="n">
        <f aca="false">IF(Country_Data!$CA$38="","",Country_Data!$CA$38)</f>
        <v>0.54179714324044</v>
      </c>
      <c r="E238" s="40" t="n">
        <f aca="false">Country_Data!$BW$38</f>
        <v>1654.976</v>
      </c>
      <c r="F238" s="41" t="n">
        <f aca="false">Country_Data!$BX$38</f>
        <v>0.277616110445106</v>
      </c>
      <c r="G238" s="42" t="n">
        <f aca="false">IF(D238="","",D238/SUMIFS($D$5:$D$1369,$B$5:$B$1369,B238,$C$5:$C$1369,C238))</f>
        <v>0.0125167746160748</v>
      </c>
      <c r="H238" s="42" t="n">
        <f aca="false">E238/SUMIFS($E$5:$E$1369,$B$5:$B$1369,B238,$C$5:$C$1369,C238)</f>
        <v>0.0204996563315934</v>
      </c>
      <c r="I238" s="43" t="n">
        <f aca="false">IF(G238="",H238,p_beta_alloc*G238+(1-p_beta_alloc)*H238)*F238^p_phi</f>
        <v>0.00869806124872188</v>
      </c>
      <c r="J238" s="16" t="n">
        <f aca="false">INDEX(Sector_Params!$C$18:$E$18,MATCH(B238,Sector_Params!$C$15:$E$15,0))*I238/SUMIFS($I$5:$I$1369,$B$5:$B$1369,B238,$C$5:$C$1369,C238)</f>
        <v>3.5616502746602</v>
      </c>
      <c r="K238" s="28" t="n">
        <f aca="false">INDEX(Sector_Params!$F$7:$H$7,MATCH(B238,Sector_Params!$C$15:$E$15,0))</f>
        <v>0.24</v>
      </c>
      <c r="L238" s="16" t="n">
        <f aca="false">J238*K238</f>
        <v>0.854796065918447</v>
      </c>
      <c r="M238" s="44" t="n">
        <f aca="false">Country_Data!$DW$38+Sector_Params!$E$7</f>
        <v>0.0931000000000001</v>
      </c>
      <c r="N238" s="44" t="n">
        <f aca="false">Country_Data!$DX$38+Sector_Params!$E$7</f>
        <v>0.1381</v>
      </c>
      <c r="O238" s="11" t="n">
        <f aca="false">IF(p_use_ibrd=1,p_r_ibrd,p_r_wb)</f>
        <v>0.06</v>
      </c>
      <c r="P238" s="45" t="n">
        <f aca="false">Sector_Params!$D$7</f>
        <v>12</v>
      </c>
      <c r="Q238" s="46" t="n">
        <f aca="false">M238/(1-(1+M238)^-P238)</f>
        <v>0.141839053817779</v>
      </c>
      <c r="R238" s="46" t="n">
        <f aca="false">N238/(1-(1+N238)^-P238)</f>
        <v>0.175199470278537</v>
      </c>
      <c r="S238" s="46" t="n">
        <f aca="false">O238/(1-(1+O238)^-P238)</f>
        <v>0.119277029380664</v>
      </c>
      <c r="T238" s="37" t="n">
        <f aca="false">IF(AND(p_eng=1,ISNUMBER(Country_Data!$DE$38)),Country_Data!$DE$38,Country_Data!$CM$38)*Sector_Params!$I$7</f>
        <v>0.14310945</v>
      </c>
      <c r="U238" s="37" t="n">
        <f aca="false">IF(AND(p_eng=1,ISNUMBER(Country_Data!$DF$38)),Country_Data!$DF$38,Country_Data!$CN$38)*Sector_Params!$J$7</f>
        <v>0.022177125</v>
      </c>
      <c r="V238" s="37" t="n">
        <f aca="false">IF(AND(p_eng=1,ISNUMBER(Country_Data!$DG$38)),Country_Data!$DG$38,p_a)</f>
        <v>0.271471145630271</v>
      </c>
      <c r="W238" s="16" t="n">
        <f aca="false">T238*L238</f>
        <v>0.122329394855753</v>
      </c>
      <c r="X238" s="16" t="n">
        <f aca="false">U238*L238</f>
        <v>0.0189569192033816</v>
      </c>
      <c r="Y238" s="16" t="n">
        <f aca="false">V238*L238</f>
        <v>0.232052467295129</v>
      </c>
      <c r="Z238" s="16" t="n">
        <f aca="false">Q238*L238</f>
        <v>0.121243465197032</v>
      </c>
      <c r="AA238" s="16" t="n">
        <f aca="false">R238*L238</f>
        <v>0.149759817945089</v>
      </c>
      <c r="AB238" s="16" t="n">
        <f aca="false">S238*L238</f>
        <v>0.10195753546903</v>
      </c>
      <c r="AC238" s="16" t="n">
        <f aca="false">Z238-W238</f>
        <v>-0.00108592965872058</v>
      </c>
      <c r="AD238" s="16" t="n">
        <f aca="false">AA238-W238</f>
        <v>0.0274304230893365</v>
      </c>
      <c r="AE238" s="16" t="n">
        <f aca="false">AB238-W238</f>
        <v>-0.0203718593867225</v>
      </c>
      <c r="AF238" s="16" t="n">
        <f aca="false">AE238-X238</f>
        <v>-0.0393287785901041</v>
      </c>
      <c r="AG238" s="16" t="n">
        <f aca="false">AF238-p_spc_lo*Y238/1000</f>
        <v>-0.0509314019548606</v>
      </c>
      <c r="AH238" s="16" t="n">
        <f aca="false">AF238-p_spc_hi*Y238/1000</f>
        <v>-0.0625340253196171</v>
      </c>
      <c r="AI238" s="16" t="n">
        <f aca="false">Q238*J238</f>
        <v>0.505181104987634</v>
      </c>
      <c r="AJ238" s="16" t="n">
        <f aca="false">S238*J238</f>
        <v>0.424823064454293</v>
      </c>
      <c r="AK238" s="16" t="n">
        <f aca="false">T238*J238</f>
        <v>0.50970581189897</v>
      </c>
      <c r="AL238" s="16" t="n">
        <f aca="false">U238*J238</f>
        <v>0.0789871633474235</v>
      </c>
      <c r="AM238" s="16" t="n">
        <f aca="false">AI238-AJ238</f>
        <v>0.0803580405333412</v>
      </c>
      <c r="AN238" s="16" t="n">
        <f aca="false">J238*Country_Data!$EB$38</f>
        <v>4.34576552892647</v>
      </c>
      <c r="AO238" s="16" t="n">
        <f aca="false">L238*Country_Data!$EB$38</f>
        <v>1.04298372694235</v>
      </c>
    </row>
    <row r="239" customFormat="false" ht="15" hidden="false" customHeight="false" outlineLevel="0" collapsed="false">
      <c r="A239" s="14" t="str">
        <f aca="false">Country_Data!$A$38</f>
        <v>VNM</v>
      </c>
      <c r="B239" s="14" t="str">
        <f aca="false">Country_Data!$E$38</f>
        <v>EMDC</v>
      </c>
      <c r="C239" s="35" t="s">
        <v>477</v>
      </c>
      <c r="D239" s="37" t="n">
        <f aca="false">IF(Country_Data!$CB$38="","",Country_Data!$CB$38)</f>
        <v>0.432157106134367</v>
      </c>
      <c r="E239" s="40" t="n">
        <f aca="false">Country_Data!$BW$38</f>
        <v>1654.976</v>
      </c>
      <c r="F239" s="41" t="n">
        <f aca="false">Country_Data!$BX$38</f>
        <v>0.277616110445106</v>
      </c>
      <c r="G239" s="42" t="n">
        <f aca="false">IF(D239="","",D239/SUMIFS($D$5:$D$1369,$B$5:$B$1369,B239,$C$5:$C$1369,C239))</f>
        <v>0.0136272294749415</v>
      </c>
      <c r="H239" s="42" t="n">
        <f aca="false">E239/SUMIFS($E$5:$E$1369,$B$5:$B$1369,B239,$C$5:$C$1369,C239)</f>
        <v>0.0204996563315934</v>
      </c>
      <c r="I239" s="43" t="n">
        <f aca="false">IF(G239="",H239,p_beta_alloc*G239+(1-p_beta_alloc)*H239)*F239^p_phi</f>
        <v>0.008990606629889</v>
      </c>
      <c r="J239" s="16" t="n">
        <f aca="false">INDEX(Sector_Params!$C$19:$E$19,MATCH(B239,Sector_Params!$C$15:$E$15,0))*I239/SUMIFS($I$5:$I$1369,$B$5:$B$1369,B239,$C$5:$C$1369,C239)</f>
        <v>2.89373999423532</v>
      </c>
      <c r="K239" s="28" t="n">
        <f aca="false">INDEX(Sector_Params!$F$8:$H$8,MATCH(B239,Sector_Params!$C$15:$E$15,0))</f>
        <v>0.24</v>
      </c>
      <c r="L239" s="16" t="n">
        <f aca="false">J239*K239</f>
        <v>0.694497598616477</v>
      </c>
      <c r="M239" s="44" t="n">
        <f aca="false">Country_Data!$DW$38+Sector_Params!$E$8</f>
        <v>0.0931000000000001</v>
      </c>
      <c r="N239" s="44" t="n">
        <f aca="false">Country_Data!$DX$38+Sector_Params!$E$8</f>
        <v>0.1381</v>
      </c>
      <c r="O239" s="11" t="n">
        <f aca="false">IF(p_use_ibrd=1,p_r_ibrd,p_r_wb)</f>
        <v>0.06</v>
      </c>
      <c r="P239" s="45" t="n">
        <f aca="false">Sector_Params!$D$8</f>
        <v>25</v>
      </c>
      <c r="Q239" s="46" t="n">
        <f aca="false">M239/(1-(1+M239)^-P239)</f>
        <v>0.10437449300121</v>
      </c>
      <c r="R239" s="46" t="n">
        <f aca="false">N239/(1-(1+N239)^-P239)</f>
        <v>0.143764221571054</v>
      </c>
      <c r="S239" s="46" t="n">
        <f aca="false">O239/(1-(1+O239)^-P239)</f>
        <v>0.078226718212274</v>
      </c>
      <c r="T239" s="37" t="n">
        <f aca="false">Country_Data!$CM$38*Sector_Params!$I$8</f>
        <v>0.0780428819919702</v>
      </c>
      <c r="U239" s="37" t="n">
        <f aca="false">Country_Data!$CN$38*Sector_Params!$J$8</f>
        <v>0.0742532553539277</v>
      </c>
      <c r="V239" s="37" t="n">
        <f aca="false">p_a</f>
        <v>0.35</v>
      </c>
      <c r="W239" s="16" t="n">
        <f aca="false">T239*L239</f>
        <v>0.0542005941325324</v>
      </c>
      <c r="X239" s="16" t="n">
        <f aca="false">U239*L239</f>
        <v>0.0515687075327589</v>
      </c>
      <c r="Y239" s="16" t="n">
        <f aca="false">V239*L239</f>
        <v>0.243074159515767</v>
      </c>
      <c r="Z239" s="16" t="n">
        <f aca="false">Q239*L239</f>
        <v>0.0724878347461528</v>
      </c>
      <c r="AA239" s="16" t="n">
        <f aca="false">R239*L239</f>
        <v>0.0998439066480638</v>
      </c>
      <c r="AB239" s="16" t="n">
        <f aca="false">S239*L239</f>
        <v>0.0543282679460721</v>
      </c>
      <c r="AC239" s="16" t="n">
        <f aca="false">Z239-W239</f>
        <v>0.0182872406136204</v>
      </c>
      <c r="AD239" s="16" t="n">
        <f aca="false">AA239-W239</f>
        <v>0.0456433125155315</v>
      </c>
      <c r="AE239" s="16" t="n">
        <f aca="false">AB239-W239</f>
        <v>0.000127673813539717</v>
      </c>
      <c r="AF239" s="16" t="n">
        <f aca="false">AE239-X239</f>
        <v>-0.0514410337192192</v>
      </c>
      <c r="AG239" s="16" t="n">
        <f aca="false">AF239-p_spc_lo*Y239/1000</f>
        <v>-0.0635947416950075</v>
      </c>
      <c r="AH239" s="16" t="n">
        <f aca="false">AF239-p_spc_hi*Y239/1000</f>
        <v>-0.0757484496707958</v>
      </c>
      <c r="AI239" s="16" t="n">
        <f aca="false">Q239*J239</f>
        <v>0.302032644775636</v>
      </c>
      <c r="AJ239" s="16" t="n">
        <f aca="false">S239*J239</f>
        <v>0.226367783108634</v>
      </c>
      <c r="AK239" s="16" t="n">
        <f aca="false">T239*J239</f>
        <v>0.225835808885552</v>
      </c>
      <c r="AL239" s="16" t="n">
        <f aca="false">U239*J239</f>
        <v>0.214869614719829</v>
      </c>
      <c r="AM239" s="16" t="n">
        <f aca="false">AI239-AJ239</f>
        <v>0.0756648616670028</v>
      </c>
      <c r="AN239" s="16" t="n">
        <f aca="false">J239*Country_Data!$EB$38</f>
        <v>3.53081143482666</v>
      </c>
      <c r="AO239" s="16" t="n">
        <f aca="false">L239*Country_Data!$EB$38</f>
        <v>0.847394744358399</v>
      </c>
    </row>
    <row r="240" customFormat="false" ht="15" hidden="false" customHeight="false" outlineLevel="0" collapsed="false">
      <c r="A240" s="14" t="str">
        <f aca="false">Country_Data!$A$38</f>
        <v>VNM</v>
      </c>
      <c r="B240" s="14" t="str">
        <f aca="false">Country_Data!$E$38</f>
        <v>EMDC</v>
      </c>
      <c r="C240" s="35" t="s">
        <v>481</v>
      </c>
      <c r="D240" s="37" t="n">
        <f aca="false">IF(Country_Data!$CC$38="","",Country_Data!$CC$38)</f>
        <v>1.42271121257113</v>
      </c>
      <c r="E240" s="40" t="n">
        <f aca="false">Country_Data!$BW$38</f>
        <v>1654.976</v>
      </c>
      <c r="F240" s="41" t="n">
        <f aca="false">Country_Data!$BX$38</f>
        <v>0.277616110445106</v>
      </c>
      <c r="G240" s="42" t="n">
        <f aca="false">IF(D240="","",D240/SUMIFS($D$5:$D$1369,$B$5:$B$1369,B240,$C$5:$C$1369,C240))</f>
        <v>0.0203223388950441</v>
      </c>
      <c r="H240" s="42" t="n">
        <f aca="false">E240/SUMIFS($E$5:$E$1369,$B$5:$B$1369,B240,$C$5:$C$1369,C240)</f>
        <v>0.0204996563315934</v>
      </c>
      <c r="I240" s="43" t="n">
        <f aca="false">IF(G240="",H240,p_beta_alloc*G240+(1-p_beta_alloc)*H240)*F240^p_phi</f>
        <v>0.0107544093829864</v>
      </c>
      <c r="J240" s="16" t="n">
        <f aca="false">INDEX(Sector_Params!$C$20:$E$20,MATCH(B240,Sector_Params!$C$15:$E$15,0))*I240/SUMIFS($I$5:$I$1369,$B$5:$B$1369,B240,$C$5:$C$1369,C240)</f>
        <v>1.96289628132504</v>
      </c>
      <c r="K240" s="28" t="n">
        <f aca="false">INDEX(Sector_Params!$F$9:$H$9,MATCH(B240,Sector_Params!$C$15:$E$15,0))</f>
        <v>0.24</v>
      </c>
      <c r="L240" s="16" t="n">
        <f aca="false">J240*K240</f>
        <v>0.471095107518009</v>
      </c>
      <c r="M240" s="44" t="n">
        <f aca="false">Country_Data!$DW$38+Sector_Params!$E$9</f>
        <v>0.0931000000000001</v>
      </c>
      <c r="N240" s="44" t="n">
        <f aca="false">Country_Data!$DX$38+Sector_Params!$E$9</f>
        <v>0.1381</v>
      </c>
      <c r="O240" s="11" t="n">
        <f aca="false">IF(p_use_ibrd=1,p_r_ibrd,p_r_wb)</f>
        <v>0.06</v>
      </c>
      <c r="P240" s="45" t="n">
        <f aca="false">Sector_Params!$D$9</f>
        <v>25</v>
      </c>
      <c r="Q240" s="46" t="n">
        <f aca="false">M240/(1-(1+M240)^-P240)</f>
        <v>0.10437449300121</v>
      </c>
      <c r="R240" s="46" t="n">
        <f aca="false">N240/(1-(1+N240)^-P240)</f>
        <v>0.143764221571054</v>
      </c>
      <c r="S240" s="46" t="n">
        <f aca="false">O240/(1-(1+O240)^-P240)</f>
        <v>0.078226718212274</v>
      </c>
      <c r="T240" s="37" t="n">
        <f aca="false">Country_Data!$CM$38*Sector_Params!$I$9</f>
        <v>0.0780428819919702</v>
      </c>
      <c r="U240" s="37" t="n">
        <f aca="false">Country_Data!$CN$38*Sector_Params!$J$9</f>
        <v>0.0742532553539277</v>
      </c>
      <c r="V240" s="37" t="n">
        <f aca="false">p_a</f>
        <v>0.35</v>
      </c>
      <c r="W240" s="16" t="n">
        <f aca="false">T240*L240</f>
        <v>0.0367656198830225</v>
      </c>
      <c r="X240" s="16" t="n">
        <f aca="false">U240*L240</f>
        <v>0.0349803453145208</v>
      </c>
      <c r="Y240" s="16" t="n">
        <f aca="false">V240*L240</f>
        <v>0.164883287631303</v>
      </c>
      <c r="Z240" s="16" t="n">
        <f aca="false">Q240*L240</f>
        <v>0.0491703130025428</v>
      </c>
      <c r="AA240" s="16" t="n">
        <f aca="false">R240*L240</f>
        <v>0.0677266214182584</v>
      </c>
      <c r="AB240" s="16" t="n">
        <f aca="false">S240*L240</f>
        <v>0.0368522242269922</v>
      </c>
      <c r="AC240" s="16" t="n">
        <f aca="false">Z240-W240</f>
        <v>0.0124046931195203</v>
      </c>
      <c r="AD240" s="16" t="n">
        <f aca="false">AA240-W240</f>
        <v>0.0309610015352359</v>
      </c>
      <c r="AE240" s="16" t="n">
        <f aca="false">AB240-W240</f>
        <v>8.66043439697248E-005</v>
      </c>
      <c r="AF240" s="16" t="n">
        <f aca="false">AE240-X240</f>
        <v>-0.034893740970551</v>
      </c>
      <c r="AG240" s="16" t="n">
        <f aca="false">AF240-p_spc_lo*Y240/1000</f>
        <v>-0.0431379053521162</v>
      </c>
      <c r="AH240" s="16" t="n">
        <f aca="false">AF240-p_spc_hi*Y240/1000</f>
        <v>-0.0513820697336813</v>
      </c>
      <c r="AI240" s="16" t="n">
        <f aca="false">Q240*J240</f>
        <v>0.204876304177262</v>
      </c>
      <c r="AJ240" s="16" t="n">
        <f aca="false">S240*J240</f>
        <v>0.153550934279134</v>
      </c>
      <c r="AK240" s="16" t="n">
        <f aca="false">T240*J240</f>
        <v>0.153190082845927</v>
      </c>
      <c r="AL240" s="16" t="n">
        <f aca="false">U240*J240</f>
        <v>0.145751438810503</v>
      </c>
      <c r="AM240" s="16" t="n">
        <f aca="false">AI240-AJ240</f>
        <v>0.0513253698981275</v>
      </c>
      <c r="AN240" s="16" t="n">
        <f aca="false">J240*Country_Data!$EB$38</f>
        <v>2.3950377882214</v>
      </c>
      <c r="AO240" s="16" t="n">
        <f aca="false">L240*Country_Data!$EB$38</f>
        <v>0.574809069173137</v>
      </c>
    </row>
    <row r="241" customFormat="false" ht="15" hidden="false" customHeight="false" outlineLevel="0" collapsed="false">
      <c r="A241" s="14" t="str">
        <f aca="false">Country_Data!$A$38</f>
        <v>VNM</v>
      </c>
      <c r="B241" s="14" t="str">
        <f aca="false">Country_Data!$E$38</f>
        <v>EMDC</v>
      </c>
      <c r="C241" s="35" t="s">
        <v>484</v>
      </c>
      <c r="D241" s="37" t="n">
        <f aca="false">IF(Country_Data!$CD$38="","",Country_Data!$CD$38)</f>
        <v>2.78709984697006</v>
      </c>
      <c r="E241" s="40" t="n">
        <f aca="false">Country_Data!$BW$38</f>
        <v>1654.976</v>
      </c>
      <c r="F241" s="41" t="n">
        <f aca="false">Country_Data!$BX$38</f>
        <v>0.277616110445106</v>
      </c>
      <c r="G241" s="42" t="n">
        <f aca="false">IF(D241="","",D241/SUMIFS($D$5:$D$1369,$B$5:$B$1369,B241,$C$5:$C$1369,C241))</f>
        <v>0.0155641837269265</v>
      </c>
      <c r="H241" s="42" t="n">
        <f aca="false">E241/SUMIFS($E$5:$E$1369,$B$5:$B$1369,B241,$C$5:$C$1369,C241)</f>
        <v>0.0204996563315934</v>
      </c>
      <c r="I241" s="43" t="n">
        <f aca="false">IF(G241="",H241,p_beta_alloc*G241+(1-p_beta_alloc)*H241)*F241^p_phi</f>
        <v>0.00950089033518839</v>
      </c>
      <c r="J241" s="16" t="n">
        <f aca="false">INDEX(Sector_Params!$C$21:$E$21,MATCH(B241,Sector_Params!$C$15:$E$15,0))*I241/SUMIFS($I$5:$I$1369,$B$5:$B$1369,B241,$C$5:$C$1369,C241)</f>
        <v>2.10720081673246</v>
      </c>
      <c r="K241" s="28" t="n">
        <f aca="false">INDEX(Sector_Params!$F$10:$H$10,MATCH(B241,Sector_Params!$C$15:$E$15,0))</f>
        <v>0.24</v>
      </c>
      <c r="L241" s="16" t="n">
        <f aca="false">J241*K241</f>
        <v>0.505728196015791</v>
      </c>
      <c r="M241" s="44" t="n">
        <f aca="false">Country_Data!$DW$38+Sector_Params!$E$10</f>
        <v>0.0931000000000001</v>
      </c>
      <c r="N241" s="44" t="n">
        <f aca="false">Country_Data!$DX$38+Sector_Params!$E$10</f>
        <v>0.1381</v>
      </c>
      <c r="O241" s="11" t="n">
        <f aca="false">IF(p_use_ibrd=1,p_r_ibrd,p_r_wb)</f>
        <v>0.06</v>
      </c>
      <c r="P241" s="45" t="n">
        <f aca="false">Sector_Params!$D$10</f>
        <v>20</v>
      </c>
      <c r="Q241" s="46" t="n">
        <f aca="false">M241/(1-(1+M241)^-P241)</f>
        <v>0.111976893673405</v>
      </c>
      <c r="R241" s="46" t="n">
        <f aca="false">N241/(1-(1+N241)^-P241)</f>
        <v>0.149334442285852</v>
      </c>
      <c r="S241" s="46" t="n">
        <f aca="false">O241/(1-(1+O241)^-P241)</f>
        <v>0.0871845569768514</v>
      </c>
      <c r="T241" s="37" t="n">
        <f aca="false">0*Sector_Params!$I$10</f>
        <v>0</v>
      </c>
      <c r="U241" s="37" t="n">
        <f aca="false">0*Sector_Params!$J$10</f>
        <v>0</v>
      </c>
      <c r="V241" s="37" t="n">
        <f aca="false">1000*p_r_wb/(1-(1+p_r_wb)^-Sector_Params!$D$10)/p_cpt_fuel</f>
        <v>0.871845569768514</v>
      </c>
      <c r="W241" s="16" t="n">
        <f aca="false">T241*L241</f>
        <v>0</v>
      </c>
      <c r="X241" s="16" t="n">
        <f aca="false">U241*L241</f>
        <v>0</v>
      </c>
      <c r="Y241" s="16" t="n">
        <f aca="false">V241*L241</f>
        <v>0.44091688720339</v>
      </c>
      <c r="Z241" s="16" t="n">
        <f aca="false">Q241*L241</f>
        <v>0.0566298724329031</v>
      </c>
      <c r="AA241" s="16" t="n">
        <f aca="false">R241*L241</f>
        <v>0.0755226381002481</v>
      </c>
      <c r="AB241" s="16" t="n">
        <f aca="false">S241*L241</f>
        <v>0.044091688720339</v>
      </c>
      <c r="AC241" s="16" t="n">
        <f aca="false">Z241-W241</f>
        <v>0.0566298724329031</v>
      </c>
      <c r="AD241" s="16" t="n">
        <f aca="false">AA241-W241</f>
        <v>0.0755226381002481</v>
      </c>
      <c r="AE241" s="16" t="n">
        <f aca="false">AB241-W241</f>
        <v>0.044091688720339</v>
      </c>
      <c r="AF241" s="16" t="n">
        <f aca="false">AE241-X241</f>
        <v>0.044091688720339</v>
      </c>
      <c r="AG241" s="16" t="n">
        <f aca="false">AF241-p_spc_lo*Y241/1000</f>
        <v>0.0220458443601695</v>
      </c>
      <c r="AH241" s="16" t="n">
        <f aca="false">AF241-p_spc_hi*Y241/1000</f>
        <v>0</v>
      </c>
      <c r="AI241" s="16" t="n">
        <f aca="false">Q241*J241</f>
        <v>0.235957801803763</v>
      </c>
      <c r="AJ241" s="16" t="n">
        <f aca="false">S241*J241</f>
        <v>0.183715369668079</v>
      </c>
      <c r="AK241" s="16" t="n">
        <f aca="false">T241*J241</f>
        <v>0</v>
      </c>
      <c r="AL241" s="16" t="n">
        <f aca="false">U241*J241</f>
        <v>0</v>
      </c>
      <c r="AM241" s="16" t="n">
        <f aca="false">AI241-AJ241</f>
        <v>0.0522424321356837</v>
      </c>
      <c r="AN241" s="16" t="n">
        <f aca="false">J241*Country_Data!$EB$38</f>
        <v>2.57111169421465</v>
      </c>
      <c r="AO241" s="16" t="n">
        <f aca="false">L241*Country_Data!$EB$38</f>
        <v>0.617066806611516</v>
      </c>
    </row>
    <row r="242" customFormat="false" ht="15" hidden="false" customHeight="false" outlineLevel="0" collapsed="false">
      <c r="A242" s="14" t="str">
        <f aca="false">Country_Data!$A$38</f>
        <v>VNM</v>
      </c>
      <c r="B242" s="14" t="str">
        <f aca="false">Country_Data!$E$38</f>
        <v>EMDC</v>
      </c>
      <c r="C242" s="35" t="s">
        <v>488</v>
      </c>
      <c r="D242" s="37" t="n">
        <f aca="false">IF(Country_Data!$CE$38="","",Country_Data!$CE$38)</f>
        <v>164.105</v>
      </c>
      <c r="E242" s="40" t="n">
        <f aca="false">Country_Data!$BW$38</f>
        <v>1654.976</v>
      </c>
      <c r="F242" s="41" t="n">
        <f aca="false">Country_Data!$BX$38</f>
        <v>0.277616110445106</v>
      </c>
      <c r="G242" s="42" t="n">
        <f aca="false">IF(D242="","",D242/SUMIFS($D$5:$D$1369,$B$5:$B$1369,B242,$C$5:$C$1369,C242))</f>
        <v>0.0134466995135245</v>
      </c>
      <c r="H242" s="42" t="n">
        <f aca="false">E242/SUMIFS($E$5:$E$1369,$B$5:$B$1369,B242,$C$5:$C$1369,C242)</f>
        <v>0.0204996563315934</v>
      </c>
      <c r="I242" s="43" t="n">
        <f aca="false">IF(G242="",H242,p_beta_alloc*G242+(1-p_beta_alloc)*H242)*F242^p_phi</f>
        <v>0.0089430466539448</v>
      </c>
      <c r="J242" s="16" t="n">
        <f aca="false">INDEX(Sector_Params!$C$22:$E$22,MATCH(B242,Sector_Params!$C$15:$E$15,0))*I242/SUMIFS($I$5:$I$1369,$B$5:$B$1369,B242,$C$5:$C$1369,C242)</f>
        <v>5.39094353923087</v>
      </c>
      <c r="K242" s="28" t="n">
        <f aca="false">INDEX(Sector_Params!$F$11:$H$11,MATCH(B242,Sector_Params!$C$15:$E$15,0))</f>
        <v>0.24</v>
      </c>
      <c r="L242" s="16" t="n">
        <f aca="false">J242*K242</f>
        <v>1.29382644941541</v>
      </c>
      <c r="M242" s="44" t="n">
        <f aca="false">Country_Data!$DW$38+Sector_Params!$E$11</f>
        <v>0.0931000000000001</v>
      </c>
      <c r="N242" s="44" t="n">
        <f aca="false">Country_Data!$DX$38+Sector_Params!$E$11</f>
        <v>0.1381</v>
      </c>
      <c r="O242" s="11" t="n">
        <f aca="false">IF(p_use_ibrd=1,p_r_ibrd,p_r_wb)</f>
        <v>0.06</v>
      </c>
      <c r="P242" s="45" t="n">
        <f aca="false">Sector_Params!$D$11</f>
        <v>30</v>
      </c>
      <c r="Q242" s="46" t="n">
        <f aca="false">M242/(1-(1+M242)^-P242)</f>
        <v>0.100023149265857</v>
      </c>
      <c r="R242" s="46" t="n">
        <f aca="false">N242/(1-(1+N242)^-P242)</f>
        <v>0.141009618417586</v>
      </c>
      <c r="S242" s="46" t="n">
        <f aca="false">O242/(1-(1+O242)^-P242)</f>
        <v>0.0726489114900472</v>
      </c>
      <c r="T242" s="37" t="n">
        <f aca="false">0*Sector_Params!$I$11</f>
        <v>0</v>
      </c>
      <c r="U242" s="37" t="n">
        <f aca="false">p_c*Sector_Params!$J$11</f>
        <v>0.129</v>
      </c>
      <c r="V242" s="37" t="n">
        <f aca="false">1000*p_r_wb/(1-(1+p_r_wb)^-Sector_Params!$D$11)/p_cpt_afolu</f>
        <v>1.45297822980094</v>
      </c>
      <c r="W242" s="16" t="n">
        <f aca="false">T242*L242</f>
        <v>0</v>
      </c>
      <c r="X242" s="16" t="n">
        <f aca="false">U242*L242</f>
        <v>0.166903611974588</v>
      </c>
      <c r="Y242" s="16" t="n">
        <f aca="false">V242*L242</f>
        <v>1.87990166414124</v>
      </c>
      <c r="Z242" s="16" t="n">
        <f aca="false">Q242*L242</f>
        <v>0.129412596073991</v>
      </c>
      <c r="AA242" s="16" t="n">
        <f aca="false">R242*L242</f>
        <v>0.182441973930647</v>
      </c>
      <c r="AB242" s="16" t="n">
        <f aca="false">S242*L242</f>
        <v>0.0939950832070621</v>
      </c>
      <c r="AC242" s="16" t="n">
        <f aca="false">Z242-W242</f>
        <v>0.129412596073991</v>
      </c>
      <c r="AD242" s="16" t="n">
        <f aca="false">AA242-W242</f>
        <v>0.182441973930647</v>
      </c>
      <c r="AE242" s="16" t="n">
        <f aca="false">AB242-W242</f>
        <v>0.0939950832070621</v>
      </c>
      <c r="AF242" s="16" t="n">
        <f aca="false">AE242-X242</f>
        <v>-0.0729085287675257</v>
      </c>
      <c r="AG242" s="16" t="n">
        <f aca="false">AF242-p_spc_lo*Y242/1000</f>
        <v>-0.166903611974588</v>
      </c>
      <c r="AH242" s="16" t="n">
        <f aca="false">AF242-p_spc_hi*Y242/1000</f>
        <v>-0.26089869518165</v>
      </c>
      <c r="AI242" s="16" t="n">
        <f aca="false">Q242*J242</f>
        <v>0.539219150308296</v>
      </c>
      <c r="AJ242" s="16" t="n">
        <f aca="false">S242*J242</f>
        <v>0.391646180029425</v>
      </c>
      <c r="AK242" s="16" t="n">
        <f aca="false">T242*J242</f>
        <v>0</v>
      </c>
      <c r="AL242" s="16" t="n">
        <f aca="false">U242*J242</f>
        <v>0.695431716560782</v>
      </c>
      <c r="AM242" s="16" t="n">
        <f aca="false">AI242-AJ242</f>
        <v>0.147572970278871</v>
      </c>
      <c r="AN242" s="16" t="n">
        <f aca="false">J242*Country_Data!$EB$38</f>
        <v>6.57778692306154</v>
      </c>
      <c r="AO242" s="16" t="n">
        <f aca="false">L242*Country_Data!$EB$38</f>
        <v>1.57866886153477</v>
      </c>
    </row>
    <row r="243" customFormat="false" ht="15" hidden="false" customHeight="false" outlineLevel="0" collapsed="false">
      <c r="A243" s="14" t="str">
        <f aca="false">Country_Data!$A$39</f>
        <v>BGD</v>
      </c>
      <c r="B243" s="14" t="str">
        <f aca="false">Country_Data!$E$39</f>
        <v>EMDC</v>
      </c>
      <c r="C243" s="35" t="s">
        <v>466</v>
      </c>
      <c r="D243" s="37" t="n">
        <f aca="false">IF(Country_Data!$BZ$39="","",Country_Data!$BZ$39)</f>
        <v>156.282284922665</v>
      </c>
      <c r="E243" s="40" t="n">
        <f aca="false">Country_Data!$BW$39</f>
        <v>1676.747</v>
      </c>
      <c r="F243" s="41" t="n">
        <f aca="false">Country_Data!$BX$39</f>
        <v>0.268651740542849</v>
      </c>
      <c r="G243" s="42" t="n">
        <f aca="false">IF(D243="","",D243/SUMIFS($D$5:$D$1369,$B$5:$B$1369,B243,$C$5:$C$1369,C243))</f>
        <v>0.0178415193765168</v>
      </c>
      <c r="H243" s="42" t="n">
        <f aca="false">E243/SUMIFS($E$5:$E$1369,$B$5:$B$1369,B243,$C$5:$C$1369,C243)</f>
        <v>0.0207693267183513</v>
      </c>
      <c r="I243" s="43" t="n">
        <f aca="false">IF(G243="",H243,p_beta_alloc*G243+(1-p_beta_alloc)*H243)*F243^p_phi</f>
        <v>0.0100063145815733</v>
      </c>
      <c r="J243" s="16" t="n">
        <f aca="false">INDEX(Sector_Params!$C$16:$E$16,MATCH(B243,Sector_Params!$C$15:$E$15,0))*I243/SUMIFS($I$5:$I$1369,$B$5:$B$1369,B243,$C$5:$C$1369,C243)</f>
        <v>9.67836114524404</v>
      </c>
      <c r="K243" s="28" t="n">
        <f aca="false">INDEX(Sector_Params!$F$5:$H$5,MATCH(B243,Sector_Params!$C$15:$E$15,0))</f>
        <v>0.24</v>
      </c>
      <c r="L243" s="16" t="n">
        <f aca="false">J243*K243</f>
        <v>2.32280667485857</v>
      </c>
      <c r="M243" s="44" t="n">
        <f aca="false">Country_Data!$DW$39+Sector_Params!$E$5</f>
        <v>0.0893600000000001</v>
      </c>
      <c r="N243" s="44" t="n">
        <f aca="false">Country_Data!$DX$39+Sector_Params!$E$5</f>
        <v>0.13436</v>
      </c>
      <c r="O243" s="11" t="n">
        <f aca="false">IF(p_use_ibrd=1,p_r_ibrd,p_r_wb)</f>
        <v>0.06</v>
      </c>
      <c r="P243" s="45" t="n">
        <f aca="false">Sector_Params!$D$5</f>
        <v>25</v>
      </c>
      <c r="Q243" s="46" t="n">
        <f aca="false">M243/(1-(1+M243)^-P243)</f>
        <v>0.101278812545392</v>
      </c>
      <c r="R243" s="46" t="n">
        <f aca="false">N243/(1-(1+N243)^-P243)</f>
        <v>0.140364613172032</v>
      </c>
      <c r="S243" s="46" t="n">
        <f aca="false">O243/(1-(1+O243)^-P243)</f>
        <v>0.078226718212274</v>
      </c>
      <c r="T243" s="37" t="n">
        <f aca="false">IF(AND(p_eng=1,ISNUMBER(Country_Data!$CZ$39)),Country_Data!$CZ$39,Country_Data!$CM$39)*Sector_Params!$I$5</f>
        <v>0.0931840534200867</v>
      </c>
      <c r="U243" s="37" t="n">
        <f aca="false">IF(AND(p_eng=1,ISNUMBER(Country_Data!$DA$39)),Country_Data!$DA$39,Country_Data!$CN$39)*Sector_Params!$J$5</f>
        <v>0.0871324417368881</v>
      </c>
      <c r="V243" s="37" t="n">
        <f aca="false">IF(AND(p_eng=1,ISNUMBER(Country_Data!$DB$39)),Country_Data!$DB$39,p_a)</f>
        <v>1.31723033757526</v>
      </c>
      <c r="W243" s="16" t="n">
        <f aca="false">T243*L243</f>
        <v>0.216448541274555</v>
      </c>
      <c r="X243" s="16" t="n">
        <f aca="false">U243*L243</f>
        <v>0.202391817263169</v>
      </c>
      <c r="Y243" s="16" t="n">
        <f aca="false">V243*L243</f>
        <v>3.05967142044602</v>
      </c>
      <c r="Z243" s="16" t="n">
        <f aca="false">Q243*L243</f>
        <v>0.235251101802186</v>
      </c>
      <c r="AA243" s="16" t="n">
        <f aca="false">R243*L243</f>
        <v>0.326039860389937</v>
      </c>
      <c r="AB243" s="16" t="n">
        <f aca="false">S243*L243</f>
        <v>0.18170554321575</v>
      </c>
      <c r="AC243" s="16" t="n">
        <f aca="false">Z243-W243</f>
        <v>0.0188025605276308</v>
      </c>
      <c r="AD243" s="16" t="n">
        <f aca="false">AA243-W243</f>
        <v>0.109591319115382</v>
      </c>
      <c r="AE243" s="16" t="n">
        <f aca="false">AB243-W243</f>
        <v>-0.0347429980588045</v>
      </c>
      <c r="AF243" s="16" t="n">
        <f aca="false">AE243-X243</f>
        <v>-0.237134815321974</v>
      </c>
      <c r="AG243" s="16" t="n">
        <f aca="false">AF243-p_spc_lo*Y243/1000</f>
        <v>-0.390118386344275</v>
      </c>
      <c r="AH243" s="16" t="n">
        <f aca="false">AF243-p_spc_hi*Y243/1000</f>
        <v>-0.543101957366576</v>
      </c>
      <c r="AI243" s="16" t="n">
        <f aca="false">Q243*J243</f>
        <v>0.980212924175774</v>
      </c>
      <c r="AJ243" s="16" t="n">
        <f aca="false">S243*J243</f>
        <v>0.757106430065627</v>
      </c>
      <c r="AK243" s="16" t="n">
        <f aca="false">T243*J243</f>
        <v>0.901868921977312</v>
      </c>
      <c r="AL243" s="16" t="n">
        <f aca="false">U243*J243</f>
        <v>0.843299238596538</v>
      </c>
      <c r="AM243" s="16" t="n">
        <f aca="false">AI243-AJ243</f>
        <v>0.223106494110147</v>
      </c>
      <c r="AN243" s="16" t="n">
        <f aca="false">J243*Country_Data!$EB$39</f>
        <v>11.074152004286</v>
      </c>
      <c r="AO243" s="16" t="n">
        <f aca="false">L243*Country_Data!$EB$39</f>
        <v>2.65779648102865</v>
      </c>
    </row>
    <row r="244" customFormat="false" ht="15" hidden="false" customHeight="false" outlineLevel="0" collapsed="false">
      <c r="A244" s="14" t="str">
        <f aca="false">Country_Data!$A$39</f>
        <v>BGD</v>
      </c>
      <c r="B244" s="14" t="str">
        <f aca="false">Country_Data!$E$39</f>
        <v>EMDC</v>
      </c>
      <c r="C244" s="35" t="s">
        <v>470</v>
      </c>
      <c r="D244" s="37" t="n">
        <f aca="false">IF(Country_Data!$BZ$39="","",Country_Data!$BZ$39)</f>
        <v>156.282284922665</v>
      </c>
      <c r="E244" s="40" t="n">
        <f aca="false">Country_Data!$BW$39</f>
        <v>1676.747</v>
      </c>
      <c r="F244" s="41" t="n">
        <f aca="false">Country_Data!$BX$39</f>
        <v>0.268651740542849</v>
      </c>
      <c r="G244" s="42" t="n">
        <f aca="false">IF(D244="","",D244/SUMIFS($D$5:$D$1369,$B$5:$B$1369,B244,$C$5:$C$1369,C244))</f>
        <v>0.0178415193765168</v>
      </c>
      <c r="H244" s="42" t="n">
        <f aca="false">E244/SUMIFS($E$5:$E$1369,$B$5:$B$1369,B244,$C$5:$C$1369,C244)</f>
        <v>0.0207693267183513</v>
      </c>
      <c r="I244" s="43" t="n">
        <f aca="false">IF(G244="",H244,p_beta_alloc*G244+(1-p_beta_alloc)*H244)*F244^p_phi</f>
        <v>0.0100063145815733</v>
      </c>
      <c r="J244" s="16" t="n">
        <f aca="false">INDEX(Sector_Params!$C$17:$E$17,MATCH(B244,Sector_Params!$C$15:$E$15,0))*I244/SUMIFS($I$5:$I$1369,$B$5:$B$1369,B244,$C$5:$C$1369,C244)</f>
        <v>6.63659049959592</v>
      </c>
      <c r="K244" s="28" t="n">
        <f aca="false">INDEX(Sector_Params!$F$6:$H$6,MATCH(B244,Sector_Params!$C$15:$E$15,0))</f>
        <v>0.24</v>
      </c>
      <c r="L244" s="16" t="n">
        <f aca="false">J244*K244</f>
        <v>1.59278171990302</v>
      </c>
      <c r="M244" s="44" t="n">
        <f aca="false">Country_Data!$DW$39+Sector_Params!$E$6</f>
        <v>0.0893600000000001</v>
      </c>
      <c r="N244" s="44" t="n">
        <f aca="false">Country_Data!$DX$39+Sector_Params!$E$6</f>
        <v>0.13436</v>
      </c>
      <c r="O244" s="11" t="n">
        <f aca="false">IF(p_use_ibrd=1,p_r_ibrd,p_r_wb)</f>
        <v>0.06</v>
      </c>
      <c r="P244" s="45" t="n">
        <f aca="false">Sector_Params!$D$6</f>
        <v>40</v>
      </c>
      <c r="Q244" s="46" t="n">
        <f aca="false">M244/(1-(1+M244)^-P244)</f>
        <v>0.0923707700412146</v>
      </c>
      <c r="R244" s="46" t="n">
        <f aca="false">N244/(1-(1+N244)^-P244)</f>
        <v>0.135233065314242</v>
      </c>
      <c r="S244" s="46" t="n">
        <f aca="false">O244/(1-(1+O244)^-P244)</f>
        <v>0.0664615359206755</v>
      </c>
      <c r="T244" s="37" t="n">
        <f aca="false">p_grid_credit*IF(AND(p_eng=1,ISNUMBER(Country_Data!$CZ$39)),Country_Data!$CZ$39,Country_Data!$CM$39)*Sector_Params!$I$6</f>
        <v>0</v>
      </c>
      <c r="U244" s="37" t="n">
        <f aca="false">p_grid_credit*IF(AND(p_eng=1,ISNUMBER(Country_Data!$DA$39)),Country_Data!$DA$39,Country_Data!$CN$39)*Sector_Params!$J$6</f>
        <v>0</v>
      </c>
      <c r="V244" s="37" t="n">
        <f aca="false">p_grid_credit*IF(AND(p_eng=1,ISNUMBER(Country_Data!$DB$39)),Country_Data!$DB$39,p_a)</f>
        <v>0</v>
      </c>
      <c r="W244" s="16" t="n">
        <f aca="false">T244*L244</f>
        <v>0</v>
      </c>
      <c r="X244" s="16" t="n">
        <f aca="false">U244*L244</f>
        <v>0</v>
      </c>
      <c r="Y244" s="16" t="n">
        <f aca="false">V244*L244</f>
        <v>0</v>
      </c>
      <c r="Z244" s="16" t="n">
        <f aca="false">Q244*L244</f>
        <v>0.147126473975012</v>
      </c>
      <c r="AA244" s="16" t="n">
        <f aca="false">R244*L244</f>
        <v>0.215396754358976</v>
      </c>
      <c r="AB244" s="16" t="n">
        <f aca="false">S244*L244</f>
        <v>0.10585871949113</v>
      </c>
      <c r="AC244" s="16" t="n">
        <f aca="false">Z244-W244</f>
        <v>0.147126473975012</v>
      </c>
      <c r="AD244" s="16" t="n">
        <f aca="false">AA244-W244</f>
        <v>0.215396754358976</v>
      </c>
      <c r="AE244" s="16" t="n">
        <f aca="false">AB244-W244</f>
        <v>0.10585871949113</v>
      </c>
      <c r="AF244" s="16" t="n">
        <f aca="false">AE244-X244</f>
        <v>0.10585871949113</v>
      </c>
      <c r="AG244" s="16" t="n">
        <f aca="false">AF244-p_spc_lo*Y244/1000</f>
        <v>0.10585871949113</v>
      </c>
      <c r="AH244" s="16" t="n">
        <f aca="false">AF244-p_spc_hi*Y244/1000</f>
        <v>0.10585871949113</v>
      </c>
      <c r="AI244" s="16" t="n">
        <f aca="false">Q244*J244</f>
        <v>0.613026974895884</v>
      </c>
      <c r="AJ244" s="16" t="n">
        <f aca="false">S244*J244</f>
        <v>0.441077997879708</v>
      </c>
      <c r="AK244" s="16" t="n">
        <f aca="false">T244*J244</f>
        <v>0</v>
      </c>
      <c r="AL244" s="16" t="n">
        <f aca="false">U244*J244</f>
        <v>0</v>
      </c>
      <c r="AM244" s="16" t="n">
        <f aca="false">AI244-AJ244</f>
        <v>0.171948977016176</v>
      </c>
      <c r="AN244" s="16" t="n">
        <f aca="false">J244*Country_Data!$EB$39</f>
        <v>7.59370423151043</v>
      </c>
      <c r="AO244" s="16" t="n">
        <f aca="false">L244*Country_Data!$EB$39</f>
        <v>1.8224890155625</v>
      </c>
    </row>
    <row r="245" customFormat="false" ht="15" hidden="false" customHeight="false" outlineLevel="0" collapsed="false">
      <c r="A245" s="14" t="str">
        <f aca="false">Country_Data!$A$39</f>
        <v>BGD</v>
      </c>
      <c r="B245" s="14" t="str">
        <f aca="false">Country_Data!$E$39</f>
        <v>EMDC</v>
      </c>
      <c r="C245" s="35" t="s">
        <v>473</v>
      </c>
      <c r="D245" s="37" t="n">
        <f aca="false">IF(Country_Data!$CA$39="","",Country_Data!$CA$39)</f>
        <v>0.266453718105537</v>
      </c>
      <c r="E245" s="40" t="n">
        <f aca="false">Country_Data!$BW$39</f>
        <v>1676.747</v>
      </c>
      <c r="F245" s="41" t="n">
        <f aca="false">Country_Data!$BX$39</f>
        <v>0.268651740542849</v>
      </c>
      <c r="G245" s="42" t="n">
        <f aca="false">IF(D245="","",D245/SUMIFS($D$5:$D$1369,$B$5:$B$1369,B245,$C$5:$C$1369,C245))</f>
        <v>0.00615570084994352</v>
      </c>
      <c r="H245" s="42" t="n">
        <f aca="false">E245/SUMIFS($E$5:$E$1369,$B$5:$B$1369,B245,$C$5:$C$1369,C245)</f>
        <v>0.0207693267183513</v>
      </c>
      <c r="I245" s="43" t="n">
        <f aca="false">IF(G245="",H245,p_beta_alloc*G245+(1-p_beta_alloc)*H245)*F245^p_phi</f>
        <v>0.00697783973197371</v>
      </c>
      <c r="J245" s="16" t="n">
        <f aca="false">INDEX(Sector_Params!$C$18:$E$18,MATCH(B245,Sector_Params!$C$15:$E$15,0))*I245/SUMIFS($I$5:$I$1369,$B$5:$B$1369,B245,$C$5:$C$1369,C245)</f>
        <v>2.85726026608181</v>
      </c>
      <c r="K245" s="28" t="n">
        <f aca="false">INDEX(Sector_Params!$F$7:$H$7,MATCH(B245,Sector_Params!$C$15:$E$15,0))</f>
        <v>0.24</v>
      </c>
      <c r="L245" s="16" t="n">
        <f aca="false">J245*K245</f>
        <v>0.685742463859635</v>
      </c>
      <c r="M245" s="44" t="n">
        <f aca="false">Country_Data!$DW$39+Sector_Params!$E$7</f>
        <v>0.0893600000000001</v>
      </c>
      <c r="N245" s="44" t="n">
        <f aca="false">Country_Data!$DX$39+Sector_Params!$E$7</f>
        <v>0.13436</v>
      </c>
      <c r="O245" s="11" t="n">
        <f aca="false">IF(p_use_ibrd=1,p_r_ibrd,p_r_wb)</f>
        <v>0.06</v>
      </c>
      <c r="P245" s="45" t="n">
        <f aca="false">Sector_Params!$D$7</f>
        <v>12</v>
      </c>
      <c r="Q245" s="46" t="n">
        <f aca="false">M245/(1-(1+M245)^-P245)</f>
        <v>0.139200734416704</v>
      </c>
      <c r="R245" s="46" t="n">
        <f aca="false">N245/(1-(1+N245)^-P245)</f>
        <v>0.172319846972332</v>
      </c>
      <c r="S245" s="46" t="n">
        <f aca="false">O245/(1-(1+O245)^-P245)</f>
        <v>0.119277029380664</v>
      </c>
      <c r="T245" s="37" t="n">
        <f aca="false">IF(AND(p_eng=1,ISNUMBER(Country_Data!$DE$39)),Country_Data!$DE$39,Country_Data!$CM$39)*Sector_Params!$I$7</f>
        <v>0.177854535</v>
      </c>
      <c r="U245" s="37" t="n">
        <f aca="false">IF(AND(p_eng=1,ISNUMBER(Country_Data!$DF$39)),Country_Data!$DF$39,Country_Data!$CN$39)*Sector_Params!$J$7</f>
        <v>0.038692125</v>
      </c>
      <c r="V245" s="37" t="n">
        <f aca="false">IF(AND(p_eng=1,ISNUMBER(Country_Data!$DG$39)),Country_Data!$DG$39,p_a)</f>
        <v>0.224173891367463</v>
      </c>
      <c r="W245" s="16" t="n">
        <f aca="false">T245*L245</f>
        <v>0.12196240703951</v>
      </c>
      <c r="X245" s="16" t="n">
        <f aca="false">U245*L245</f>
        <v>0.026532833129465</v>
      </c>
      <c r="Y245" s="16" t="n">
        <f aca="false">V245*L245</f>
        <v>0.153725556599327</v>
      </c>
      <c r="Z245" s="16" t="n">
        <f aca="false">Q245*L245</f>
        <v>0.0954558545899816</v>
      </c>
      <c r="AA245" s="16" t="n">
        <f aca="false">R245*L245</f>
        <v>0.118167036434722</v>
      </c>
      <c r="AB245" s="16" t="n">
        <f aca="false">S245*L245</f>
        <v>0.0817933240093544</v>
      </c>
      <c r="AC245" s="16" t="n">
        <f aca="false">Z245-W245</f>
        <v>-0.0265065524495281</v>
      </c>
      <c r="AD245" s="16" t="n">
        <f aca="false">AA245-W245</f>
        <v>-0.00379537060478766</v>
      </c>
      <c r="AE245" s="16" t="n">
        <f aca="false">AB245-W245</f>
        <v>-0.0401690830301554</v>
      </c>
      <c r="AF245" s="16" t="n">
        <f aca="false">AE245-X245</f>
        <v>-0.0667019161596204</v>
      </c>
      <c r="AG245" s="16" t="n">
        <f aca="false">AF245-p_spc_lo*Y245/1000</f>
        <v>-0.0743881939895868</v>
      </c>
      <c r="AH245" s="16" t="n">
        <f aca="false">AF245-p_spc_hi*Y245/1000</f>
        <v>-0.0820744718195531</v>
      </c>
      <c r="AI245" s="16" t="n">
        <f aca="false">Q245*J245</f>
        <v>0.397732727458257</v>
      </c>
      <c r="AJ245" s="16" t="n">
        <f aca="false">S245*J245</f>
        <v>0.340805516705643</v>
      </c>
      <c r="AK245" s="16" t="n">
        <f aca="false">T245*J245</f>
        <v>0.508176695997958</v>
      </c>
      <c r="AL245" s="16" t="n">
        <f aca="false">U245*J245</f>
        <v>0.110553471372771</v>
      </c>
      <c r="AM245" s="16" t="n">
        <f aca="false">AI245-AJ245</f>
        <v>0.0569272107526137</v>
      </c>
      <c r="AN245" s="16" t="n">
        <f aca="false">J245*Country_Data!$EB$39</f>
        <v>3.26932773302695</v>
      </c>
      <c r="AO245" s="16" t="n">
        <f aca="false">L245*Country_Data!$EB$39</f>
        <v>0.784638655926467</v>
      </c>
    </row>
    <row r="246" customFormat="false" ht="15" hidden="false" customHeight="false" outlineLevel="0" collapsed="false">
      <c r="A246" s="14" t="str">
        <f aca="false">Country_Data!$A$39</f>
        <v>BGD</v>
      </c>
      <c r="B246" s="14" t="str">
        <f aca="false">Country_Data!$E$39</f>
        <v>EMDC</v>
      </c>
      <c r="C246" s="35" t="s">
        <v>477</v>
      </c>
      <c r="D246" s="37" t="n">
        <f aca="false">IF(Country_Data!$CB$39="","",Country_Data!$CB$39)</f>
        <v>0.419908355337877</v>
      </c>
      <c r="E246" s="40" t="n">
        <f aca="false">Country_Data!$BW$39</f>
        <v>1676.747</v>
      </c>
      <c r="F246" s="41" t="n">
        <f aca="false">Country_Data!$BX$39</f>
        <v>0.268651740542849</v>
      </c>
      <c r="G246" s="42" t="n">
        <f aca="false">IF(D246="","",D246/SUMIFS($D$5:$D$1369,$B$5:$B$1369,B246,$C$5:$C$1369,C246))</f>
        <v>0.0132409890648782</v>
      </c>
      <c r="H246" s="42" t="n">
        <f aca="false">E246/SUMIFS($E$5:$E$1369,$B$5:$B$1369,B246,$C$5:$C$1369,C246)</f>
        <v>0.0207693267183513</v>
      </c>
      <c r="I246" s="43" t="n">
        <f aca="false">IF(G246="",H246,p_beta_alloc*G246+(1-p_beta_alloc)*H246)*F246^p_phi</f>
        <v>0.00881404975973514</v>
      </c>
      <c r="J246" s="16" t="n">
        <f aca="false">INDEX(Sector_Params!$C$19:$E$19,MATCH(B246,Sector_Params!$C$15:$E$15,0))*I246/SUMIFS($I$5:$I$1369,$B$5:$B$1369,B246,$C$5:$C$1369,C246)</f>
        <v>2.83691294157319</v>
      </c>
      <c r="K246" s="28" t="n">
        <f aca="false">INDEX(Sector_Params!$F$8:$H$8,MATCH(B246,Sector_Params!$C$15:$E$15,0))</f>
        <v>0.24</v>
      </c>
      <c r="L246" s="16" t="n">
        <f aca="false">J246*K246</f>
        <v>0.680859105977565</v>
      </c>
      <c r="M246" s="44" t="n">
        <f aca="false">Country_Data!$DW$39+Sector_Params!$E$8</f>
        <v>0.0893600000000001</v>
      </c>
      <c r="N246" s="44" t="n">
        <f aca="false">Country_Data!$DX$39+Sector_Params!$E$8</f>
        <v>0.13436</v>
      </c>
      <c r="O246" s="11" t="n">
        <f aca="false">IF(p_use_ibrd=1,p_r_ibrd,p_r_wb)</f>
        <v>0.06</v>
      </c>
      <c r="P246" s="45" t="n">
        <f aca="false">Sector_Params!$D$8</f>
        <v>25</v>
      </c>
      <c r="Q246" s="46" t="n">
        <f aca="false">M246/(1-(1+M246)^-P246)</f>
        <v>0.101278812545392</v>
      </c>
      <c r="R246" s="46" t="n">
        <f aca="false">N246/(1-(1+N246)^-P246)</f>
        <v>0.140364613172032</v>
      </c>
      <c r="S246" s="46" t="n">
        <f aca="false">O246/(1-(1+O246)^-P246)</f>
        <v>0.078226718212274</v>
      </c>
      <c r="T246" s="37" t="n">
        <f aca="false">Country_Data!$CM$39*Sector_Params!$I$8</f>
        <v>0.0890497533132294</v>
      </c>
      <c r="U246" s="37" t="n">
        <f aca="false">Country_Data!$CN$39*Sector_Params!$J$8</f>
        <v>0.185752336232205</v>
      </c>
      <c r="V246" s="37" t="n">
        <f aca="false">p_a</f>
        <v>0.35</v>
      </c>
      <c r="W246" s="16" t="n">
        <f aca="false">T246*L246</f>
        <v>0.0606303354283681</v>
      </c>
      <c r="X246" s="16" t="n">
        <f aca="false">U246*L246</f>
        <v>0.126471169580303</v>
      </c>
      <c r="Y246" s="16" t="n">
        <f aca="false">V246*L246</f>
        <v>0.238300687092148</v>
      </c>
      <c r="Z246" s="16" t="n">
        <f aca="false">Q246*L246</f>
        <v>0.0689566017641247</v>
      </c>
      <c r="AA246" s="16" t="n">
        <f aca="false">R246*L246</f>
        <v>0.0955685250351964</v>
      </c>
      <c r="AB246" s="16" t="n">
        <f aca="false">S246*L246</f>
        <v>0.0532613734255677</v>
      </c>
      <c r="AC246" s="16" t="n">
        <f aca="false">Z246-W246</f>
        <v>0.00832626633575667</v>
      </c>
      <c r="AD246" s="16" t="n">
        <f aca="false">AA246-W246</f>
        <v>0.0349381896068284</v>
      </c>
      <c r="AE246" s="16" t="n">
        <f aca="false">AB246-W246</f>
        <v>-0.00736896200280034</v>
      </c>
      <c r="AF246" s="16" t="n">
        <f aca="false">AE246-X246</f>
        <v>-0.133840131583103</v>
      </c>
      <c r="AG246" s="16" t="n">
        <f aca="false">AF246-p_spc_lo*Y246/1000</f>
        <v>-0.145755165937711</v>
      </c>
      <c r="AH246" s="16" t="n">
        <f aca="false">AF246-p_spc_hi*Y246/1000</f>
        <v>-0.157670200292318</v>
      </c>
      <c r="AI246" s="16" t="n">
        <f aca="false">Q246*J246</f>
        <v>0.287319174017186</v>
      </c>
      <c r="AJ246" s="16" t="n">
        <f aca="false">S246*J246</f>
        <v>0.221922389273199</v>
      </c>
      <c r="AK246" s="16" t="n">
        <f aca="false">T246*J246</f>
        <v>0.2526263976182</v>
      </c>
      <c r="AL246" s="16" t="n">
        <f aca="false">U246*J246</f>
        <v>0.526963206584596</v>
      </c>
      <c r="AM246" s="16" t="n">
        <f aca="false">AI246-AJ246</f>
        <v>0.0653967847439876</v>
      </c>
      <c r="AN246" s="16" t="n">
        <f aca="false">J246*Country_Data!$EB$39</f>
        <v>3.24604596443952</v>
      </c>
      <c r="AO246" s="16" t="n">
        <f aca="false">L246*Country_Data!$EB$39</f>
        <v>0.779051031465486</v>
      </c>
    </row>
    <row r="247" customFormat="false" ht="15" hidden="false" customHeight="false" outlineLevel="0" collapsed="false">
      <c r="A247" s="14" t="str">
        <f aca="false">Country_Data!$A$39</f>
        <v>BGD</v>
      </c>
      <c r="B247" s="14" t="str">
        <f aca="false">Country_Data!$E$39</f>
        <v>EMDC</v>
      </c>
      <c r="C247" s="35" t="s">
        <v>481</v>
      </c>
      <c r="D247" s="37" t="n">
        <f aca="false">IF(Country_Data!$CC$39="","",Country_Data!$CC$39)</f>
        <v>0.669911598206911</v>
      </c>
      <c r="E247" s="40" t="n">
        <f aca="false">Country_Data!$BW$39</f>
        <v>1676.747</v>
      </c>
      <c r="F247" s="41" t="n">
        <f aca="false">Country_Data!$BX$39</f>
        <v>0.268651740542849</v>
      </c>
      <c r="G247" s="42" t="n">
        <f aca="false">IF(D247="","",D247/SUMIFS($D$5:$D$1369,$B$5:$B$1369,B247,$C$5:$C$1369,C247))</f>
        <v>0.00956917356676895</v>
      </c>
      <c r="H247" s="42" t="n">
        <f aca="false">E247/SUMIFS($E$5:$E$1369,$B$5:$B$1369,B247,$C$5:$C$1369,C247)</f>
        <v>0.0207693267183513</v>
      </c>
      <c r="I247" s="43" t="n">
        <f aca="false">IF(G247="",H247,p_beta_alloc*G247+(1-p_beta_alloc)*H247)*F247^p_phi</f>
        <v>0.00786246893010757</v>
      </c>
      <c r="J247" s="16" t="n">
        <f aca="false">INDEX(Sector_Params!$C$20:$E$20,MATCH(B247,Sector_Params!$C$15:$E$15,0))*I247/SUMIFS($I$5:$I$1369,$B$5:$B$1369,B247,$C$5:$C$1369,C247)</f>
        <v>1.43505891168299</v>
      </c>
      <c r="K247" s="28" t="n">
        <f aca="false">INDEX(Sector_Params!$F$9:$H$9,MATCH(B247,Sector_Params!$C$15:$E$15,0))</f>
        <v>0.24</v>
      </c>
      <c r="L247" s="16" t="n">
        <f aca="false">J247*K247</f>
        <v>0.344414138803918</v>
      </c>
      <c r="M247" s="44" t="n">
        <f aca="false">Country_Data!$DW$39+Sector_Params!$E$9</f>
        <v>0.0893600000000001</v>
      </c>
      <c r="N247" s="44" t="n">
        <f aca="false">Country_Data!$DX$39+Sector_Params!$E$9</f>
        <v>0.13436</v>
      </c>
      <c r="O247" s="11" t="n">
        <f aca="false">IF(p_use_ibrd=1,p_r_ibrd,p_r_wb)</f>
        <v>0.06</v>
      </c>
      <c r="P247" s="45" t="n">
        <f aca="false">Sector_Params!$D$9</f>
        <v>25</v>
      </c>
      <c r="Q247" s="46" t="n">
        <f aca="false">M247/(1-(1+M247)^-P247)</f>
        <v>0.101278812545392</v>
      </c>
      <c r="R247" s="46" t="n">
        <f aca="false">N247/(1-(1+N247)^-P247)</f>
        <v>0.140364613172032</v>
      </c>
      <c r="S247" s="46" t="n">
        <f aca="false">O247/(1-(1+O247)^-P247)</f>
        <v>0.078226718212274</v>
      </c>
      <c r="T247" s="37" t="n">
        <f aca="false">Country_Data!$CM$39*Sector_Params!$I$9</f>
        <v>0.0890497533132294</v>
      </c>
      <c r="U247" s="37" t="n">
        <f aca="false">Country_Data!$CN$39*Sector_Params!$J$9</f>
        <v>0.185752336232205</v>
      </c>
      <c r="V247" s="37" t="n">
        <f aca="false">p_a</f>
        <v>0.35</v>
      </c>
      <c r="W247" s="16" t="n">
        <f aca="false">T247*L247</f>
        <v>0.0306699940980773</v>
      </c>
      <c r="X247" s="16" t="n">
        <f aca="false">U247*L247</f>
        <v>0.0639757309142307</v>
      </c>
      <c r="Y247" s="16" t="n">
        <f aca="false">V247*L247</f>
        <v>0.120544948581371</v>
      </c>
      <c r="Z247" s="16" t="n">
        <f aca="false">Q247*L247</f>
        <v>0.0348818550019045</v>
      </c>
      <c r="AA247" s="16" t="n">
        <f aca="false">R247*L247</f>
        <v>0.0483435573641905</v>
      </c>
      <c r="AB247" s="16" t="n">
        <f aca="false">S247*L247</f>
        <v>0.0269423877845371</v>
      </c>
      <c r="AC247" s="16" t="n">
        <f aca="false">Z247-W247</f>
        <v>0.00421186090382726</v>
      </c>
      <c r="AD247" s="16" t="n">
        <f aca="false">AA247-W247</f>
        <v>0.0176735632661132</v>
      </c>
      <c r="AE247" s="16" t="n">
        <f aca="false">AB247-W247</f>
        <v>-0.00372760631354015</v>
      </c>
      <c r="AF247" s="16" t="n">
        <f aca="false">AE247-X247</f>
        <v>-0.0677033372277709</v>
      </c>
      <c r="AG247" s="16" t="n">
        <f aca="false">AF247-p_spc_lo*Y247/1000</f>
        <v>-0.0737305846568395</v>
      </c>
      <c r="AH247" s="16" t="n">
        <f aca="false">AF247-p_spc_hi*Y247/1000</f>
        <v>-0.079757832085908</v>
      </c>
      <c r="AI247" s="16" t="n">
        <f aca="false">Q247*J247</f>
        <v>0.145341062507936</v>
      </c>
      <c r="AJ247" s="16" t="n">
        <f aca="false">S247*J247</f>
        <v>0.112259949102238</v>
      </c>
      <c r="AK247" s="16" t="n">
        <f aca="false">T247*J247</f>
        <v>0.127791642075322</v>
      </c>
      <c r="AL247" s="16" t="n">
        <f aca="false">U247*J247</f>
        <v>0.266565545475961</v>
      </c>
      <c r="AM247" s="16" t="n">
        <f aca="false">AI247-AJ247</f>
        <v>0.0330811134056976</v>
      </c>
      <c r="AN247" s="16" t="n">
        <f aca="false">J247*Country_Data!$EB$39</f>
        <v>1.64201978874204</v>
      </c>
      <c r="AO247" s="16" t="n">
        <f aca="false">L247*Country_Data!$EB$39</f>
        <v>0.394084749298089</v>
      </c>
    </row>
    <row r="248" customFormat="false" ht="15" hidden="false" customHeight="false" outlineLevel="0" collapsed="false">
      <c r="A248" s="14" t="str">
        <f aca="false">Country_Data!$A$39</f>
        <v>BGD</v>
      </c>
      <c r="B248" s="14" t="str">
        <f aca="false">Country_Data!$E$39</f>
        <v>EMDC</v>
      </c>
      <c r="C248" s="35" t="s">
        <v>484</v>
      </c>
      <c r="D248" s="37" t="n">
        <f aca="false">IF(Country_Data!$CD$39="","",Country_Data!$CD$39)</f>
        <v>1.96471069053261</v>
      </c>
      <c r="E248" s="40" t="n">
        <f aca="false">Country_Data!$BW$39</f>
        <v>1676.747</v>
      </c>
      <c r="F248" s="41" t="n">
        <f aca="false">Country_Data!$BX$39</f>
        <v>0.268651740542849</v>
      </c>
      <c r="G248" s="42" t="n">
        <f aca="false">IF(D248="","",D248/SUMIFS($D$5:$D$1369,$B$5:$B$1369,B248,$C$5:$C$1369,C248))</f>
        <v>0.0109716622427251</v>
      </c>
      <c r="H248" s="42" t="n">
        <f aca="false">E248/SUMIFS($E$5:$E$1369,$B$5:$B$1369,B248,$C$5:$C$1369,C248)</f>
        <v>0.0207693267183513</v>
      </c>
      <c r="I248" s="43" t="n">
        <f aca="false">IF(G248="",H248,p_beta_alloc*G248+(1-p_beta_alloc)*H248)*F248^p_phi</f>
        <v>0.00822593526944211</v>
      </c>
      <c r="J248" s="16" t="n">
        <f aca="false">INDEX(Sector_Params!$C$21:$E$21,MATCH(B248,Sector_Params!$C$15:$E$15,0))*I248/SUMIFS($I$5:$I$1369,$B$5:$B$1369,B248,$C$5:$C$1369,C248)</f>
        <v>1.82442875421455</v>
      </c>
      <c r="K248" s="28" t="n">
        <f aca="false">INDEX(Sector_Params!$F$10:$H$10,MATCH(B248,Sector_Params!$C$15:$E$15,0))</f>
        <v>0.24</v>
      </c>
      <c r="L248" s="16" t="n">
        <f aca="false">J248*K248</f>
        <v>0.437862901011492</v>
      </c>
      <c r="M248" s="44" t="n">
        <f aca="false">Country_Data!$DW$39+Sector_Params!$E$10</f>
        <v>0.0893600000000001</v>
      </c>
      <c r="N248" s="44" t="n">
        <f aca="false">Country_Data!$DX$39+Sector_Params!$E$10</f>
        <v>0.13436</v>
      </c>
      <c r="O248" s="11" t="n">
        <f aca="false">IF(p_use_ibrd=1,p_r_ibrd,p_r_wb)</f>
        <v>0.06</v>
      </c>
      <c r="P248" s="45" t="n">
        <f aca="false">Sector_Params!$D$10</f>
        <v>20</v>
      </c>
      <c r="Q248" s="46" t="n">
        <f aca="false">M248/(1-(1+M248)^-P248)</f>
        <v>0.109047314860931</v>
      </c>
      <c r="R248" s="46" t="n">
        <f aca="false">N248/(1-(1+N248)^-P248)</f>
        <v>0.146098943036016</v>
      </c>
      <c r="S248" s="46" t="n">
        <f aca="false">O248/(1-(1+O248)^-P248)</f>
        <v>0.0871845569768514</v>
      </c>
      <c r="T248" s="37" t="n">
        <f aca="false">0*Sector_Params!$I$10</f>
        <v>0</v>
      </c>
      <c r="U248" s="37" t="n">
        <f aca="false">0*Sector_Params!$J$10</f>
        <v>0</v>
      </c>
      <c r="V248" s="37" t="n">
        <f aca="false">1000*p_r_wb/(1-(1+p_r_wb)^-Sector_Params!$D$10)/p_cpt_fuel</f>
        <v>0.871845569768514</v>
      </c>
      <c r="W248" s="16" t="n">
        <f aca="false">T248*L248</f>
        <v>0</v>
      </c>
      <c r="X248" s="16" t="n">
        <f aca="false">U248*L248</f>
        <v>0</v>
      </c>
      <c r="Y248" s="16" t="n">
        <f aca="false">V248*L248</f>
        <v>0.381748830412858</v>
      </c>
      <c r="Z248" s="16" t="n">
        <f aca="false">Q248*L248</f>
        <v>0.0477477736325207</v>
      </c>
      <c r="AA248" s="16" t="n">
        <f aca="false">R248*L248</f>
        <v>0.0639713070324627</v>
      </c>
      <c r="AB248" s="16" t="n">
        <f aca="false">S248*L248</f>
        <v>0.0381748830412858</v>
      </c>
      <c r="AC248" s="16" t="n">
        <f aca="false">Z248-W248</f>
        <v>0.0477477736325207</v>
      </c>
      <c r="AD248" s="16" t="n">
        <f aca="false">AA248-W248</f>
        <v>0.0639713070324627</v>
      </c>
      <c r="AE248" s="16" t="n">
        <f aca="false">AB248-W248</f>
        <v>0.0381748830412858</v>
      </c>
      <c r="AF248" s="16" t="n">
        <f aca="false">AE248-X248</f>
        <v>0.0381748830412858</v>
      </c>
      <c r="AG248" s="16" t="n">
        <f aca="false">AF248-p_spc_lo*Y248/1000</f>
        <v>0.0190874415206429</v>
      </c>
      <c r="AH248" s="16" t="n">
        <f aca="false">AF248-p_spc_hi*Y248/1000</f>
        <v>0</v>
      </c>
      <c r="AI248" s="16" t="n">
        <f aca="false">Q248*J248</f>
        <v>0.19894905680217</v>
      </c>
      <c r="AJ248" s="16" t="n">
        <f aca="false">S248*J248</f>
        <v>0.159062012672024</v>
      </c>
      <c r="AK248" s="16" t="n">
        <f aca="false">T248*J248</f>
        <v>0</v>
      </c>
      <c r="AL248" s="16" t="n">
        <f aca="false">U248*J248</f>
        <v>0</v>
      </c>
      <c r="AM248" s="16" t="n">
        <f aca="false">AI248-AJ248</f>
        <v>0.0398870441301452</v>
      </c>
      <c r="AN248" s="16" t="n">
        <f aca="false">J248*Country_Data!$EB$39</f>
        <v>2.08754364938018</v>
      </c>
      <c r="AO248" s="16" t="n">
        <f aca="false">L248*Country_Data!$EB$39</f>
        <v>0.501010475851244</v>
      </c>
    </row>
    <row r="249" customFormat="false" ht="15" hidden="false" customHeight="false" outlineLevel="0" collapsed="false">
      <c r="A249" s="14" t="str">
        <f aca="false">Country_Data!$A$39</f>
        <v>BGD</v>
      </c>
      <c r="B249" s="14" t="str">
        <f aca="false">Country_Data!$E$39</f>
        <v>EMDC</v>
      </c>
      <c r="C249" s="35" t="s">
        <v>488</v>
      </c>
      <c r="D249" s="37" t="n">
        <f aca="false">IF(Country_Data!$CE$39="","",Country_Data!$CE$39)</f>
        <v>196.049</v>
      </c>
      <c r="E249" s="40" t="n">
        <f aca="false">Country_Data!$BW$39</f>
        <v>1676.747</v>
      </c>
      <c r="F249" s="41" t="n">
        <f aca="false">Country_Data!$BX$39</f>
        <v>0.268651740542849</v>
      </c>
      <c r="G249" s="42" t="n">
        <f aca="false">IF(D249="","",D249/SUMIFS($D$5:$D$1369,$B$5:$B$1369,B249,$C$5:$C$1369,C249))</f>
        <v>0.0160641783792509</v>
      </c>
      <c r="H249" s="42" t="n">
        <f aca="false">E249/SUMIFS($E$5:$E$1369,$B$5:$B$1369,B249,$C$5:$C$1369,C249)</f>
        <v>0.0207693267183513</v>
      </c>
      <c r="I249" s="43" t="n">
        <f aca="false">IF(G249="",H249,p_beta_alloc*G249+(1-p_beta_alloc)*H249)*F249^p_phi</f>
        <v>0.00954570221649664</v>
      </c>
      <c r="J249" s="16" t="n">
        <f aca="false">INDEX(Sector_Params!$C$22:$E$22,MATCH(B249,Sector_Params!$C$15:$E$15,0))*I249/SUMIFS($I$5:$I$1369,$B$5:$B$1369,B249,$C$5:$C$1369,C249)</f>
        <v>5.7542293675439</v>
      </c>
      <c r="K249" s="28" t="n">
        <f aca="false">INDEX(Sector_Params!$F$11:$H$11,MATCH(B249,Sector_Params!$C$15:$E$15,0))</f>
        <v>0.24</v>
      </c>
      <c r="L249" s="16" t="n">
        <f aca="false">J249*K249</f>
        <v>1.38101504821054</v>
      </c>
      <c r="M249" s="44" t="n">
        <f aca="false">Country_Data!$DW$39+Sector_Params!$E$11</f>
        <v>0.0893600000000001</v>
      </c>
      <c r="N249" s="44" t="n">
        <f aca="false">Country_Data!$DX$39+Sector_Params!$E$11</f>
        <v>0.13436</v>
      </c>
      <c r="O249" s="11" t="n">
        <f aca="false">IF(p_use_ibrd=1,p_r_ibrd,p_r_wb)</f>
        <v>0.06</v>
      </c>
      <c r="P249" s="45" t="n">
        <f aca="false">Sector_Params!$D$11</f>
        <v>30</v>
      </c>
      <c r="Q249" s="46" t="n">
        <f aca="false">M249/(1-(1+M249)^-P249)</f>
        <v>0.096784423447539</v>
      </c>
      <c r="R249" s="46" t="n">
        <f aca="false">N249/(1-(1+N249)^-P249)</f>
        <v>0.137491472815627</v>
      </c>
      <c r="S249" s="46" t="n">
        <f aca="false">O249/(1-(1+O249)^-P249)</f>
        <v>0.0726489114900472</v>
      </c>
      <c r="T249" s="37" t="n">
        <f aca="false">0*Sector_Params!$I$11</f>
        <v>0</v>
      </c>
      <c r="U249" s="37" t="n">
        <f aca="false">p_c*Sector_Params!$J$11</f>
        <v>0.129</v>
      </c>
      <c r="V249" s="37" t="n">
        <f aca="false">1000*p_r_wb/(1-(1+p_r_wb)^-Sector_Params!$D$11)/p_cpt_afolu</f>
        <v>1.45297822980094</v>
      </c>
      <c r="W249" s="16" t="n">
        <f aca="false">T249*L249</f>
        <v>0</v>
      </c>
      <c r="X249" s="16" t="n">
        <f aca="false">U249*L249</f>
        <v>0.178150941219159</v>
      </c>
      <c r="Y249" s="16" t="n">
        <f aca="false">V249*L249</f>
        <v>2.00658480007741</v>
      </c>
      <c r="Z249" s="16" t="n">
        <f aca="false">Q249*L249</f>
        <v>0.133660745213432</v>
      </c>
      <c r="AA249" s="16" t="n">
        <f aca="false">R249*L249</f>
        <v>0.18987779295901</v>
      </c>
      <c r="AB249" s="16" t="n">
        <f aca="false">S249*L249</f>
        <v>0.10032924000387</v>
      </c>
      <c r="AC249" s="16" t="n">
        <f aca="false">Z249-W249</f>
        <v>0.133660745213432</v>
      </c>
      <c r="AD249" s="16" t="n">
        <f aca="false">AA249-W249</f>
        <v>0.18987779295901</v>
      </c>
      <c r="AE249" s="16" t="n">
        <f aca="false">AB249-W249</f>
        <v>0.10032924000387</v>
      </c>
      <c r="AF249" s="16" t="n">
        <f aca="false">AE249-X249</f>
        <v>-0.0778217012152886</v>
      </c>
      <c r="AG249" s="16" t="n">
        <f aca="false">AF249-p_spc_lo*Y249/1000</f>
        <v>-0.178150941219159</v>
      </c>
      <c r="AH249" s="16" t="n">
        <f aca="false">AF249-p_spc_hi*Y249/1000</f>
        <v>-0.278480181223029</v>
      </c>
      <c r="AI249" s="16" t="n">
        <f aca="false">Q249*J249</f>
        <v>0.556919771722633</v>
      </c>
      <c r="AJ249" s="16" t="n">
        <f aca="false">S249*J249</f>
        <v>0.418038500016127</v>
      </c>
      <c r="AK249" s="16" t="n">
        <f aca="false">T249*J249</f>
        <v>0</v>
      </c>
      <c r="AL249" s="16" t="n">
        <f aca="false">U249*J249</f>
        <v>0.742295588413163</v>
      </c>
      <c r="AM249" s="16" t="n">
        <f aca="false">AI249-AJ249</f>
        <v>0.138881271706506</v>
      </c>
      <c r="AN249" s="16" t="n">
        <f aca="false">J249*Country_Data!$EB$39</f>
        <v>6.58409101782914</v>
      </c>
      <c r="AO249" s="16" t="n">
        <f aca="false">L249*Country_Data!$EB$39</f>
        <v>1.58018184427899</v>
      </c>
    </row>
    <row r="250" customFormat="false" ht="15" hidden="false" customHeight="false" outlineLevel="0" collapsed="false">
      <c r="A250" s="14" t="str">
        <f aca="false">Country_Data!$A$40</f>
        <v>DNK</v>
      </c>
      <c r="B250" s="14" t="str">
        <f aca="false">Country_Data!$E$40</f>
        <v>AE</v>
      </c>
      <c r="C250" s="35" t="s">
        <v>466</v>
      </c>
      <c r="D250" s="37" t="n">
        <f aca="false">IF(Country_Data!$BZ$40="","",Country_Data!$BZ$40)</f>
        <v>34.1127426852515</v>
      </c>
      <c r="E250" s="40" t="n">
        <f aca="false">Country_Data!$BW$40</f>
        <v>487.667</v>
      </c>
      <c r="F250" s="41" t="n">
        <f aca="false">Country_Data!$BX$40</f>
        <v>0.870522303128979</v>
      </c>
      <c r="G250" s="42" t="n">
        <f aca="false">IF(D250="","",D250/SUMIFS($D$5:$D$1369,$B$5:$B$1369,B250,$C$5:$C$1369,C250))</f>
        <v>0.00348608513355837</v>
      </c>
      <c r="H250" s="42" t="n">
        <f aca="false">E250/SUMIFS($E$5:$E$1369,$B$5:$B$1369,B250,$C$5:$C$1369,C250)</f>
        <v>0.00618201078937197</v>
      </c>
      <c r="I250" s="43" t="n">
        <f aca="false">IF(G250="",H250,p_beta_alloc*G250+(1-p_beta_alloc)*H250)*F250^p_phi</f>
        <v>0.00451025302210006</v>
      </c>
      <c r="J250" s="16" t="n">
        <f aca="false">INDEX(Sector_Params!$C$16:$E$16,MATCH(B250,Sector_Params!$C$15:$E$15,0))*I250/SUMIFS($I$5:$I$1369,$B$5:$B$1369,B250,$C$5:$C$1369,C250)</f>
        <v>4.04549544561539</v>
      </c>
      <c r="K250" s="28" t="n">
        <f aca="false">INDEX(Sector_Params!$F$5:$H$5,MATCH(B250,Sector_Params!$C$15:$E$15,0))</f>
        <v>0.38</v>
      </c>
      <c r="L250" s="16" t="n">
        <f aca="false">J250*K250</f>
        <v>1.53728826933385</v>
      </c>
      <c r="M250" s="44" t="n">
        <f aca="false">Country_Data!$DW$40+Sector_Params!$E$5</f>
        <v>0.0375</v>
      </c>
      <c r="N250" s="44" t="n">
        <f aca="false">Country_Data!$DX$40+Sector_Params!$E$5</f>
        <v>0.0525</v>
      </c>
      <c r="O250" s="11" t="n">
        <f aca="false">IF(p_use_ibrd=1,p_r_ibrd,p_r_wb)</f>
        <v>0.06</v>
      </c>
      <c r="P250" s="45" t="n">
        <f aca="false">Sector_Params!$D$5</f>
        <v>25</v>
      </c>
      <c r="Q250" s="46" t="n">
        <f aca="false">M250/(1-(1+M250)^-P250)</f>
        <v>0.0623316890136811</v>
      </c>
      <c r="R250" s="46" t="n">
        <f aca="false">N250/(1-(1+N250)^-P250)</f>
        <v>0.0727406570830302</v>
      </c>
      <c r="S250" s="46" t="n">
        <f aca="false">O250/(1-(1+O250)^-P250)</f>
        <v>0.078226718212274</v>
      </c>
      <c r="T250" s="37" t="n">
        <f aca="false">IF(AND(p_eng=1,ISNUMBER(Country_Data!$CZ$40)),Country_Data!$CZ$40,Country_Data!$CM$40)*Sector_Params!$I$5</f>
        <v>0.00262299750012598</v>
      </c>
      <c r="U250" s="37" t="n">
        <f aca="false">IF(AND(p_eng=1,ISNUMBER(Country_Data!$DA$40)),Country_Data!$DA$40,Country_Data!$CN$40)*Sector_Params!$J$5</f>
        <v>0.000518627330944871</v>
      </c>
      <c r="V250" s="37" t="n">
        <f aca="false">IF(AND(p_eng=1,ISNUMBER(Country_Data!$DB$40)),Country_Data!$DB$40,p_a)</f>
        <v>0.105721616603411</v>
      </c>
      <c r="W250" s="16" t="n">
        <f aca="false">T250*L250</f>
        <v>0.00403230328743568</v>
      </c>
      <c r="X250" s="16" t="n">
        <f aca="false">U250*L250</f>
        <v>0.000797279712017474</v>
      </c>
      <c r="Y250" s="16" t="n">
        <f aca="false">V250*L250</f>
        <v>0.162524601019435</v>
      </c>
      <c r="Z250" s="16" t="n">
        <f aca="false">Q250*L250</f>
        <v>0.0958217743284974</v>
      </c>
      <c r="AA250" s="16" t="n">
        <f aca="false">R250*L250</f>
        <v>0.111823358837378</v>
      </c>
      <c r="AB250" s="16" t="n">
        <f aca="false">S250*L250</f>
        <v>0.120257016256213</v>
      </c>
      <c r="AC250" s="16" t="n">
        <f aca="false">Z250-W250</f>
        <v>0.0917894710410617</v>
      </c>
      <c r="AD250" s="16" t="n">
        <f aca="false">AA250-W250</f>
        <v>0.107791055549943</v>
      </c>
      <c r="AE250" s="16" t="n">
        <f aca="false">AB250-W250</f>
        <v>0.116224712968778</v>
      </c>
      <c r="AF250" s="16" t="n">
        <f aca="false">AE250-X250</f>
        <v>0.11542743325676</v>
      </c>
      <c r="AG250" s="16" t="n">
        <f aca="false">AF250-p_spc_lo*Y250/1000</f>
        <v>0.107301203205788</v>
      </c>
      <c r="AH250" s="16" t="n">
        <f aca="false">AF250-p_spc_hi*Y250/1000</f>
        <v>0.0991749731548166</v>
      </c>
      <c r="AI250" s="16" t="n">
        <f aca="false">Q250*J250</f>
        <v>0.252162564022362</v>
      </c>
      <c r="AJ250" s="16" t="n">
        <f aca="false">S250*J250</f>
        <v>0.316465832253193</v>
      </c>
      <c r="AK250" s="16" t="n">
        <f aca="false">T250*J250</f>
        <v>0.0106113244406202</v>
      </c>
      <c r="AL250" s="16" t="n">
        <f aca="false">U250*J250</f>
        <v>0.00209810450530914</v>
      </c>
      <c r="AM250" s="16" t="n">
        <f aca="false">AI250-AJ250</f>
        <v>-0.0643032682308312</v>
      </c>
      <c r="AN250" s="16" t="n">
        <f aca="false">J250*Country_Data!$EB$40</f>
        <v>4.22684524145332</v>
      </c>
      <c r="AO250" s="16" t="n">
        <f aca="false">L250*Country_Data!$EB$40</f>
        <v>1.60620119175226</v>
      </c>
    </row>
    <row r="251" customFormat="false" ht="15" hidden="false" customHeight="false" outlineLevel="0" collapsed="false">
      <c r="A251" s="14" t="str">
        <f aca="false">Country_Data!$A$40</f>
        <v>DNK</v>
      </c>
      <c r="B251" s="14" t="str">
        <f aca="false">Country_Data!$E$40</f>
        <v>AE</v>
      </c>
      <c r="C251" s="35" t="s">
        <v>470</v>
      </c>
      <c r="D251" s="37" t="n">
        <f aca="false">IF(Country_Data!$BZ$40="","",Country_Data!$BZ$40)</f>
        <v>34.1127426852515</v>
      </c>
      <c r="E251" s="40" t="n">
        <f aca="false">Country_Data!$BW$40</f>
        <v>487.667</v>
      </c>
      <c r="F251" s="41" t="n">
        <f aca="false">Country_Data!$BX$40</f>
        <v>0.870522303128979</v>
      </c>
      <c r="G251" s="42" t="n">
        <f aca="false">IF(D251="","",D251/SUMIFS($D$5:$D$1369,$B$5:$B$1369,B251,$C$5:$C$1369,C251))</f>
        <v>0.00348608513355837</v>
      </c>
      <c r="H251" s="42" t="n">
        <f aca="false">E251/SUMIFS($E$5:$E$1369,$B$5:$B$1369,B251,$C$5:$C$1369,C251)</f>
        <v>0.00618201078937197</v>
      </c>
      <c r="I251" s="43" t="n">
        <f aca="false">IF(G251="",H251,p_beta_alloc*G251+(1-p_beta_alloc)*H251)*F251^p_phi</f>
        <v>0.00451025302210006</v>
      </c>
      <c r="J251" s="16" t="n">
        <f aca="false">INDEX(Sector_Params!$C$17:$E$17,MATCH(B251,Sector_Params!$C$15:$E$15,0))*I251/SUMIFS($I$5:$I$1369,$B$5:$B$1369,B251,$C$5:$C$1369,C251)</f>
        <v>2.77405401985055</v>
      </c>
      <c r="K251" s="28" t="n">
        <f aca="false">INDEX(Sector_Params!$F$6:$H$6,MATCH(B251,Sector_Params!$C$15:$E$15,0))</f>
        <v>0.38</v>
      </c>
      <c r="L251" s="16" t="n">
        <f aca="false">J251*K251</f>
        <v>1.05414052754321</v>
      </c>
      <c r="M251" s="44" t="n">
        <f aca="false">Country_Data!$DW$40+Sector_Params!$E$6</f>
        <v>0.0375</v>
      </c>
      <c r="N251" s="44" t="n">
        <f aca="false">Country_Data!$DX$40+Sector_Params!$E$6</f>
        <v>0.0525</v>
      </c>
      <c r="O251" s="11" t="n">
        <f aca="false">IF(p_use_ibrd=1,p_r_ibrd,p_r_wb)</f>
        <v>0.06</v>
      </c>
      <c r="P251" s="45" t="n">
        <f aca="false">Sector_Params!$D$6</f>
        <v>40</v>
      </c>
      <c r="Q251" s="46" t="n">
        <f aca="false">M251/(1-(1+M251)^-P251)</f>
        <v>0.0486594563261732</v>
      </c>
      <c r="R251" s="46" t="n">
        <f aca="false">N251/(1-(1+N251)^-P251)</f>
        <v>0.0602863682964529</v>
      </c>
      <c r="S251" s="46" t="n">
        <f aca="false">O251/(1-(1+O251)^-P251)</f>
        <v>0.0664615359206755</v>
      </c>
      <c r="T251" s="37" t="n">
        <f aca="false">p_grid_credit*IF(AND(p_eng=1,ISNUMBER(Country_Data!$CZ$40)),Country_Data!$CZ$40,Country_Data!$CM$40)*Sector_Params!$I$6</f>
        <v>0</v>
      </c>
      <c r="U251" s="37" t="n">
        <f aca="false">p_grid_credit*IF(AND(p_eng=1,ISNUMBER(Country_Data!$DA$40)),Country_Data!$DA$40,Country_Data!$CN$40)*Sector_Params!$J$6</f>
        <v>0</v>
      </c>
      <c r="V251" s="37" t="n">
        <f aca="false">p_grid_credit*IF(AND(p_eng=1,ISNUMBER(Country_Data!$DB$40)),Country_Data!$DB$40,p_a)</f>
        <v>0</v>
      </c>
      <c r="W251" s="16" t="n">
        <f aca="false">T251*L251</f>
        <v>0</v>
      </c>
      <c r="X251" s="16" t="n">
        <f aca="false">U251*L251</f>
        <v>0</v>
      </c>
      <c r="Y251" s="16" t="n">
        <f aca="false">V251*L251</f>
        <v>0</v>
      </c>
      <c r="Z251" s="16" t="n">
        <f aca="false">Q251*L251</f>
        <v>0.051293904961638</v>
      </c>
      <c r="AA251" s="16" t="n">
        <f aca="false">R251*L251</f>
        <v>0.0635503040796871</v>
      </c>
      <c r="AB251" s="16" t="n">
        <f aca="false">S251*L251</f>
        <v>0.0700597985367529</v>
      </c>
      <c r="AC251" s="16" t="n">
        <f aca="false">Z251-W251</f>
        <v>0.051293904961638</v>
      </c>
      <c r="AD251" s="16" t="n">
        <f aca="false">AA251-W251</f>
        <v>0.0635503040796871</v>
      </c>
      <c r="AE251" s="16" t="n">
        <f aca="false">AB251-W251</f>
        <v>0.0700597985367529</v>
      </c>
      <c r="AF251" s="16" t="n">
        <f aca="false">AE251-X251</f>
        <v>0.0700597985367529</v>
      </c>
      <c r="AG251" s="16" t="n">
        <f aca="false">AF251-p_spc_lo*Y251/1000</f>
        <v>0.0700597985367529</v>
      </c>
      <c r="AH251" s="16" t="n">
        <f aca="false">AF251-p_spc_hi*Y251/1000</f>
        <v>0.0700597985367529</v>
      </c>
      <c r="AI251" s="16" t="n">
        <f aca="false">Q251*J251</f>
        <v>0.134983960425363</v>
      </c>
      <c r="AJ251" s="16" t="n">
        <f aca="false">S251*J251</f>
        <v>0.184367890886192</v>
      </c>
      <c r="AK251" s="16" t="n">
        <f aca="false">T251*J251</f>
        <v>0</v>
      </c>
      <c r="AL251" s="16" t="n">
        <f aca="false">U251*J251</f>
        <v>0</v>
      </c>
      <c r="AM251" s="16" t="n">
        <f aca="false">AI251-AJ251</f>
        <v>-0.0493839304608286</v>
      </c>
      <c r="AN251" s="16" t="n">
        <f aca="false">J251*Country_Data!$EB$40</f>
        <v>2.89840816556799</v>
      </c>
      <c r="AO251" s="16" t="n">
        <f aca="false">L251*Country_Data!$EB$40</f>
        <v>1.10139510291584</v>
      </c>
    </row>
    <row r="252" customFormat="false" ht="15" hidden="false" customHeight="false" outlineLevel="0" collapsed="false">
      <c r="A252" s="14" t="str">
        <f aca="false">Country_Data!$A$40</f>
        <v>DNK</v>
      </c>
      <c r="B252" s="14" t="str">
        <f aca="false">Country_Data!$E$40</f>
        <v>AE</v>
      </c>
      <c r="C252" s="35" t="s">
        <v>473</v>
      </c>
      <c r="D252" s="37" t="n">
        <f aca="false">IF(Country_Data!$CA$40="","",Country_Data!$CA$40)</f>
        <v>0.215277427032114</v>
      </c>
      <c r="E252" s="40" t="n">
        <f aca="false">Country_Data!$BW$40</f>
        <v>487.667</v>
      </c>
      <c r="F252" s="41" t="n">
        <f aca="false">Country_Data!$BX$40</f>
        <v>0.870522303128979</v>
      </c>
      <c r="G252" s="42" t="n">
        <f aca="false">IF(D252="","",D252/SUMIFS($D$5:$D$1369,$B$5:$B$1369,B252,$C$5:$C$1369,C252))</f>
        <v>0.00421426444203208</v>
      </c>
      <c r="H252" s="42" t="n">
        <f aca="false">E252/SUMIFS($E$5:$E$1369,$B$5:$B$1369,B252,$C$5:$C$1369,C252)</f>
        <v>0.00618201078937197</v>
      </c>
      <c r="I252" s="43" t="n">
        <f aca="false">IF(G252="",H252,p_beta_alloc*G252+(1-p_beta_alloc)*H252)*F252^p_phi</f>
        <v>0.00484995516747129</v>
      </c>
      <c r="J252" s="16" t="n">
        <f aca="false">INDEX(Sector_Params!$C$18:$E$18,MATCH(B252,Sector_Params!$C$15:$E$15,0))*I252/SUMIFS($I$5:$I$1369,$B$5:$B$1369,B252,$C$5:$C$1369,C252)</f>
        <v>1.82772093454999</v>
      </c>
      <c r="K252" s="28" t="n">
        <f aca="false">INDEX(Sector_Params!$F$7:$H$7,MATCH(B252,Sector_Params!$C$15:$E$15,0))</f>
        <v>0.38</v>
      </c>
      <c r="L252" s="16" t="n">
        <f aca="false">J252*K252</f>
        <v>0.694533955128997</v>
      </c>
      <c r="M252" s="44" t="n">
        <f aca="false">Country_Data!$DW$40+Sector_Params!$E$7</f>
        <v>0.0375</v>
      </c>
      <c r="N252" s="44" t="n">
        <f aca="false">Country_Data!$DX$40+Sector_Params!$E$7</f>
        <v>0.0525</v>
      </c>
      <c r="O252" s="11" t="n">
        <f aca="false">IF(p_use_ibrd=1,p_r_ibrd,p_r_wb)</f>
        <v>0.06</v>
      </c>
      <c r="P252" s="45" t="n">
        <f aca="false">Sector_Params!$D$7</f>
        <v>12</v>
      </c>
      <c r="Q252" s="46" t="n">
        <f aca="false">M252/(1-(1+M252)^-P252)</f>
        <v>0.105012300979526</v>
      </c>
      <c r="R252" s="46" t="n">
        <f aca="false">N252/(1-(1+N252)^-P252)</f>
        <v>0.114421784171378</v>
      </c>
      <c r="S252" s="46" t="n">
        <f aca="false">O252/(1-(1+O252)^-P252)</f>
        <v>0.119277029380664</v>
      </c>
      <c r="T252" s="37" t="n">
        <f aca="false">IF(AND(p_eng=1,ISNUMBER(Country_Data!$DE$40)),Country_Data!$DE$40,Country_Data!$CM$40)*Sector_Params!$I$7</f>
        <v>0.113488425</v>
      </c>
      <c r="U252" s="37" t="n">
        <f aca="false">IF(AND(p_eng=1,ISNUMBER(Country_Data!$DF$40)),Country_Data!$DF$40,Country_Data!$CN$40)*Sector_Params!$J$7</f>
        <v>0.00604035</v>
      </c>
      <c r="V252" s="37" t="n">
        <f aca="false">IF(AND(p_eng=1,ISNUMBER(Country_Data!$DG$40)),Country_Data!$DG$40,p_a)</f>
        <v>0.508455801476977</v>
      </c>
      <c r="W252" s="16" t="n">
        <f aca="false">T252*L252</f>
        <v>0.0788215646766105</v>
      </c>
      <c r="X252" s="16" t="n">
        <f aca="false">U252*L252</f>
        <v>0.00419522817586344</v>
      </c>
      <c r="Y252" s="16" t="n">
        <f aca="false">V252*L252</f>
        <v>0.353139818808089</v>
      </c>
      <c r="Z252" s="16" t="n">
        <f aca="false">Q252*L252</f>
        <v>0.072934608736507</v>
      </c>
      <c r="AA252" s="16" t="n">
        <f aca="false">R252*L252</f>
        <v>0.0794698143134634</v>
      </c>
      <c r="AB252" s="16" t="n">
        <f aca="false">S252*L252</f>
        <v>0.0828419469717898</v>
      </c>
      <c r="AC252" s="16" t="n">
        <f aca="false">Z252-W252</f>
        <v>-0.00588695594010359</v>
      </c>
      <c r="AD252" s="16" t="n">
        <f aca="false">AA252-W252</f>
        <v>0.00064824963685281</v>
      </c>
      <c r="AE252" s="16" t="n">
        <f aca="false">AB252-W252</f>
        <v>0.00402038229517929</v>
      </c>
      <c r="AF252" s="16" t="n">
        <f aca="false">AE252-X252</f>
        <v>-0.00017484588068415</v>
      </c>
      <c r="AG252" s="16" t="n">
        <f aca="false">AF252-p_spc_lo*Y252/1000</f>
        <v>-0.0178318368210886</v>
      </c>
      <c r="AH252" s="16" t="n">
        <f aca="false">AF252-p_spc_hi*Y252/1000</f>
        <v>-0.035488827761493</v>
      </c>
      <c r="AI252" s="16" t="n">
        <f aca="false">Q252*J252</f>
        <v>0.191933180885545</v>
      </c>
      <c r="AJ252" s="16" t="n">
        <f aca="false">S252*J252</f>
        <v>0.218005123609973</v>
      </c>
      <c r="AK252" s="16" t="n">
        <f aca="false">T252*J252</f>
        <v>0.207425170201607</v>
      </c>
      <c r="AL252" s="16" t="n">
        <f aca="false">U252*J252</f>
        <v>0.011040074147009</v>
      </c>
      <c r="AM252" s="16" t="n">
        <f aca="false">AI252-AJ252</f>
        <v>-0.0260719427244286</v>
      </c>
      <c r="AN252" s="16" t="n">
        <f aca="false">J252*Country_Data!$EB$40</f>
        <v>1.90965325230568</v>
      </c>
      <c r="AO252" s="16" t="n">
        <f aca="false">L252*Country_Data!$EB$40</f>
        <v>0.725668235876159</v>
      </c>
    </row>
    <row r="253" customFormat="false" ht="15" hidden="false" customHeight="false" outlineLevel="0" collapsed="false">
      <c r="A253" s="14" t="str">
        <f aca="false">Country_Data!$A$40</f>
        <v>DNK</v>
      </c>
      <c r="B253" s="14" t="str">
        <f aca="false">Country_Data!$E$40</f>
        <v>AE</v>
      </c>
      <c r="C253" s="35" t="s">
        <v>477</v>
      </c>
      <c r="D253" s="37" t="n">
        <f aca="false">IF(Country_Data!$CB$40="","",Country_Data!$CB$40)</f>
        <v>0.109274898432013</v>
      </c>
      <c r="E253" s="40" t="n">
        <f aca="false">Country_Data!$BW$40</f>
        <v>487.667</v>
      </c>
      <c r="F253" s="41" t="n">
        <f aca="false">Country_Data!$BX$40</f>
        <v>0.870522303128979</v>
      </c>
      <c r="G253" s="42" t="n">
        <f aca="false">IF(D253="","",D253/SUMIFS($D$5:$D$1369,$B$5:$B$1369,B253,$C$5:$C$1369,C253))</f>
        <v>0.00281001571695208</v>
      </c>
      <c r="H253" s="42" t="n">
        <f aca="false">E253/SUMIFS($E$5:$E$1369,$B$5:$B$1369,B253,$C$5:$C$1369,C253)</f>
        <v>0.00618201078937197</v>
      </c>
      <c r="I253" s="43" t="n">
        <f aca="false">IF(G253="",H253,p_beta_alloc*G253+(1-p_beta_alloc)*H253)*F253^p_phi</f>
        <v>0.00419486060629191</v>
      </c>
      <c r="J253" s="16" t="n">
        <f aca="false">INDEX(Sector_Params!$C$19:$E$19,MATCH(B253,Sector_Params!$C$15:$E$15,0))*I253/SUMIFS($I$5:$I$1369,$B$5:$B$1369,B253,$C$5:$C$1369,C253)</f>
        <v>1.23310829316199</v>
      </c>
      <c r="K253" s="28" t="n">
        <f aca="false">INDEX(Sector_Params!$F$8:$H$8,MATCH(B253,Sector_Params!$C$15:$E$15,0))</f>
        <v>0.38</v>
      </c>
      <c r="L253" s="16" t="n">
        <f aca="false">J253*K253</f>
        <v>0.468581151401556</v>
      </c>
      <c r="M253" s="44" t="n">
        <f aca="false">Country_Data!$DW$40+Sector_Params!$E$8</f>
        <v>0.0375</v>
      </c>
      <c r="N253" s="44" t="n">
        <f aca="false">Country_Data!$DX$40+Sector_Params!$E$8</f>
        <v>0.0525</v>
      </c>
      <c r="O253" s="11" t="n">
        <f aca="false">IF(p_use_ibrd=1,p_r_ibrd,p_r_wb)</f>
        <v>0.06</v>
      </c>
      <c r="P253" s="45" t="n">
        <f aca="false">Sector_Params!$D$8</f>
        <v>25</v>
      </c>
      <c r="Q253" s="46" t="n">
        <f aca="false">M253/(1-(1+M253)^-P253)</f>
        <v>0.0623316890136811</v>
      </c>
      <c r="R253" s="46" t="n">
        <f aca="false">N253/(1-(1+N253)^-P253)</f>
        <v>0.0727406570830302</v>
      </c>
      <c r="S253" s="46" t="n">
        <f aca="false">O253/(1-(1+O253)^-P253)</f>
        <v>0.078226718212274</v>
      </c>
      <c r="T253" s="37" t="n">
        <f aca="false">Country_Data!$CM$40*Sector_Params!$I$8</f>
        <v>0.208167848417136</v>
      </c>
      <c r="U253" s="37" t="n">
        <f aca="false">Country_Data!$CN$40*Sector_Params!$J$8</f>
        <v>0.03225</v>
      </c>
      <c r="V253" s="37" t="n">
        <f aca="false">p_a</f>
        <v>0.35</v>
      </c>
      <c r="W253" s="16" t="n">
        <f aca="false">T253*L253</f>
        <v>0.097543530096086</v>
      </c>
      <c r="X253" s="16" t="n">
        <f aca="false">U253*L253</f>
        <v>0.0151117421327002</v>
      </c>
      <c r="Y253" s="16" t="n">
        <f aca="false">V253*L253</f>
        <v>0.164003402990545</v>
      </c>
      <c r="Z253" s="16" t="n">
        <f aca="false">Q253*L253</f>
        <v>0.0292074546068344</v>
      </c>
      <c r="AA253" s="16" t="n">
        <f aca="false">R253*L253</f>
        <v>0.034084900849672</v>
      </c>
      <c r="AB253" s="16" t="n">
        <f aca="false">S253*L253</f>
        <v>0.0366555656902724</v>
      </c>
      <c r="AC253" s="16" t="n">
        <f aca="false">Z253-W253</f>
        <v>-0.0683360754892516</v>
      </c>
      <c r="AD253" s="16" t="n">
        <f aca="false">AA253-W253</f>
        <v>-0.0634586292464139</v>
      </c>
      <c r="AE253" s="16" t="n">
        <f aca="false">AB253-W253</f>
        <v>-0.0608879644058136</v>
      </c>
      <c r="AF253" s="16" t="n">
        <f aca="false">AE253-X253</f>
        <v>-0.0759997065385137</v>
      </c>
      <c r="AG253" s="16" t="n">
        <f aca="false">AF253-p_spc_lo*Y253/1000</f>
        <v>-0.084199876688041</v>
      </c>
      <c r="AH253" s="16" t="n">
        <f aca="false">AF253-p_spc_hi*Y253/1000</f>
        <v>-0.0924000468375682</v>
      </c>
      <c r="AI253" s="16" t="n">
        <f aca="false">Q253*J253</f>
        <v>0.0768617226495641</v>
      </c>
      <c r="AJ253" s="16" t="n">
        <f aca="false">S253*J253</f>
        <v>0.096462014974401</v>
      </c>
      <c r="AK253" s="16" t="n">
        <f aca="false">T253*J253</f>
        <v>0.256693500252858</v>
      </c>
      <c r="AL253" s="16" t="n">
        <f aca="false">U253*J253</f>
        <v>0.0397677424544741</v>
      </c>
      <c r="AM253" s="16" t="n">
        <f aca="false">AI253-AJ253</f>
        <v>-0.0196002923248369</v>
      </c>
      <c r="AN253" s="16" t="n">
        <f aca="false">J253*Country_Data!$EB$40</f>
        <v>1.28838556147615</v>
      </c>
      <c r="AO253" s="16" t="n">
        <f aca="false">L253*Country_Data!$EB$40</f>
        <v>0.489586513360936</v>
      </c>
    </row>
    <row r="254" customFormat="false" ht="15" hidden="false" customHeight="false" outlineLevel="0" collapsed="false">
      <c r="A254" s="14" t="str">
        <f aca="false">Country_Data!$A$40</f>
        <v>DNK</v>
      </c>
      <c r="B254" s="14" t="str">
        <f aca="false">Country_Data!$E$40</f>
        <v>AE</v>
      </c>
      <c r="C254" s="35" t="s">
        <v>481</v>
      </c>
      <c r="D254" s="37" t="n">
        <f aca="false">IF(Country_Data!$CC$40="","",Country_Data!$CC$40)</f>
        <v>0.160452560342168</v>
      </c>
      <c r="E254" s="40" t="n">
        <f aca="false">Country_Data!$BW$40</f>
        <v>487.667</v>
      </c>
      <c r="F254" s="41" t="n">
        <f aca="false">Country_Data!$BX$40</f>
        <v>0.870522303128979</v>
      </c>
      <c r="G254" s="42" t="n">
        <f aca="false">IF(D254="","",D254/SUMIFS($D$5:$D$1369,$B$5:$B$1369,B254,$C$5:$C$1369,C254))</f>
        <v>0.00292149823892646</v>
      </c>
      <c r="H254" s="42" t="n">
        <f aca="false">E254/SUMIFS($E$5:$E$1369,$B$5:$B$1369,B254,$C$5:$C$1369,C254)</f>
        <v>0.00618201078937197</v>
      </c>
      <c r="I254" s="43" t="n">
        <f aca="false">IF(G254="",H254,p_beta_alloc*G254+(1-p_beta_alloc)*H254)*F254^p_phi</f>
        <v>0.00424686819761646</v>
      </c>
      <c r="J254" s="16" t="n">
        <f aca="false">INDEX(Sector_Params!$C$20:$E$20,MATCH(B254,Sector_Params!$C$15:$E$15,0))*I254/SUMIFS($I$5:$I$1369,$B$5:$B$1369,B254,$C$5:$C$1369,C254)</f>
        <v>0.72119191058114</v>
      </c>
      <c r="K254" s="28" t="n">
        <f aca="false">INDEX(Sector_Params!$F$9:$H$9,MATCH(B254,Sector_Params!$C$15:$E$15,0))</f>
        <v>0.38</v>
      </c>
      <c r="L254" s="16" t="n">
        <f aca="false">J254*K254</f>
        <v>0.274052926020833</v>
      </c>
      <c r="M254" s="44" t="n">
        <f aca="false">Country_Data!$DW$40+Sector_Params!$E$9</f>
        <v>0.0375</v>
      </c>
      <c r="N254" s="44" t="n">
        <f aca="false">Country_Data!$DX$40+Sector_Params!$E$9</f>
        <v>0.0525</v>
      </c>
      <c r="O254" s="11" t="n">
        <f aca="false">IF(p_use_ibrd=1,p_r_ibrd,p_r_wb)</f>
        <v>0.06</v>
      </c>
      <c r="P254" s="45" t="n">
        <f aca="false">Sector_Params!$D$9</f>
        <v>25</v>
      </c>
      <c r="Q254" s="46" t="n">
        <f aca="false">M254/(1-(1+M254)^-P254)</f>
        <v>0.0623316890136811</v>
      </c>
      <c r="R254" s="46" t="n">
        <f aca="false">N254/(1-(1+N254)^-P254)</f>
        <v>0.0727406570830302</v>
      </c>
      <c r="S254" s="46" t="n">
        <f aca="false">O254/(1-(1+O254)^-P254)</f>
        <v>0.078226718212274</v>
      </c>
      <c r="T254" s="37" t="n">
        <f aca="false">Country_Data!$CM$40*Sector_Params!$I$9</f>
        <v>0.208167848417136</v>
      </c>
      <c r="U254" s="37" t="n">
        <f aca="false">Country_Data!$CN$40*Sector_Params!$J$9</f>
        <v>0.03225</v>
      </c>
      <c r="V254" s="37" t="n">
        <f aca="false">p_a</f>
        <v>0.35</v>
      </c>
      <c r="W254" s="16" t="n">
        <f aca="false">T254*L254</f>
        <v>0.0570490079621773</v>
      </c>
      <c r="X254" s="16" t="n">
        <f aca="false">U254*L254</f>
        <v>0.00883820686417187</v>
      </c>
      <c r="Y254" s="16" t="n">
        <f aca="false">V254*L254</f>
        <v>0.0959185241072916</v>
      </c>
      <c r="Z254" s="16" t="n">
        <f aca="false">Q254*L254</f>
        <v>0.0170821817580199</v>
      </c>
      <c r="AA254" s="16" t="n">
        <f aca="false">R254*L254</f>
        <v>0.0199347899142825</v>
      </c>
      <c r="AB254" s="16" t="n">
        <f aca="false">S254*L254</f>
        <v>0.0214382610190809</v>
      </c>
      <c r="AC254" s="16" t="n">
        <f aca="false">Z254-W254</f>
        <v>-0.0399668262041574</v>
      </c>
      <c r="AD254" s="16" t="n">
        <f aca="false">AA254-W254</f>
        <v>-0.0371142180478948</v>
      </c>
      <c r="AE254" s="16" t="n">
        <f aca="false">AB254-W254</f>
        <v>-0.0356107469430964</v>
      </c>
      <c r="AF254" s="16" t="n">
        <f aca="false">AE254-X254</f>
        <v>-0.0444489538072683</v>
      </c>
      <c r="AG254" s="16" t="n">
        <f aca="false">AF254-p_spc_lo*Y254/1000</f>
        <v>-0.0492448800126329</v>
      </c>
      <c r="AH254" s="16" t="n">
        <f aca="false">AF254-p_spc_hi*Y254/1000</f>
        <v>-0.0540408062179975</v>
      </c>
      <c r="AI254" s="16" t="n">
        <f aca="false">Q254*J254</f>
        <v>0.0449531098895261</v>
      </c>
      <c r="AJ254" s="16" t="n">
        <f aca="false">S254*J254</f>
        <v>0.0564164763660023</v>
      </c>
      <c r="AK254" s="16" t="n">
        <f aca="false">T254*J254</f>
        <v>0.150128968321519</v>
      </c>
      <c r="AL254" s="16" t="n">
        <f aca="false">U254*J254</f>
        <v>0.0232584391162418</v>
      </c>
      <c r="AM254" s="16" t="n">
        <f aca="false">AI254-AJ254</f>
        <v>-0.0114633664764762</v>
      </c>
      <c r="AN254" s="16" t="n">
        <f aca="false">J254*Country_Data!$EB$40</f>
        <v>0.753521203124432</v>
      </c>
      <c r="AO254" s="16" t="n">
        <f aca="false">L254*Country_Data!$EB$40</f>
        <v>0.286338057187284</v>
      </c>
    </row>
    <row r="255" customFormat="false" ht="15" hidden="false" customHeight="false" outlineLevel="0" collapsed="false">
      <c r="A255" s="14" t="str">
        <f aca="false">Country_Data!$A$40</f>
        <v>DNK</v>
      </c>
      <c r="B255" s="14" t="str">
        <f aca="false">Country_Data!$E$40</f>
        <v>AE</v>
      </c>
      <c r="C255" s="35" t="s">
        <v>484</v>
      </c>
      <c r="D255" s="37" t="n">
        <f aca="false">IF(Country_Data!$CD$40="","",Country_Data!$CD$40)</f>
        <v>0.399105180891157</v>
      </c>
      <c r="E255" s="40" t="n">
        <f aca="false">Country_Data!$BW$40</f>
        <v>487.667</v>
      </c>
      <c r="F255" s="41" t="n">
        <f aca="false">Country_Data!$BX$40</f>
        <v>0.870522303128979</v>
      </c>
      <c r="G255" s="42" t="n">
        <f aca="false">IF(D255="","",D255/SUMIFS($D$5:$D$1369,$B$5:$B$1369,B255,$C$5:$C$1369,C255))</f>
        <v>0.00270030279477476</v>
      </c>
      <c r="H255" s="42" t="n">
        <f aca="false">E255/SUMIFS($E$5:$E$1369,$B$5:$B$1369,B255,$C$5:$C$1369,C255)</f>
        <v>0.00618201078937197</v>
      </c>
      <c r="I255" s="43" t="n">
        <f aca="false">IF(G255="",H255,p_beta_alloc*G255+(1-p_beta_alloc)*H255)*F255^p_phi</f>
        <v>0.00414367854906386</v>
      </c>
      <c r="J255" s="16" t="n">
        <f aca="false">INDEX(Sector_Params!$C$21:$E$21,MATCH(B255,Sector_Params!$C$15:$E$15,0))*I255/SUMIFS($I$5:$I$1369,$B$5:$B$1369,B255,$C$5:$C$1369,C255)</f>
        <v>0.844273409340986</v>
      </c>
      <c r="K255" s="28" t="n">
        <f aca="false">INDEX(Sector_Params!$F$10:$H$10,MATCH(B255,Sector_Params!$C$15:$E$15,0))</f>
        <v>0.38</v>
      </c>
      <c r="L255" s="16" t="n">
        <f aca="false">J255*K255</f>
        <v>0.320823895549575</v>
      </c>
      <c r="M255" s="44" t="n">
        <f aca="false">Country_Data!$DW$40+Sector_Params!$E$10</f>
        <v>0.0375</v>
      </c>
      <c r="N255" s="44" t="n">
        <f aca="false">Country_Data!$DX$40+Sector_Params!$E$10</f>
        <v>0.0525</v>
      </c>
      <c r="O255" s="11" t="n">
        <f aca="false">IF(p_use_ibrd=1,p_r_ibrd,p_r_wb)</f>
        <v>0.06</v>
      </c>
      <c r="P255" s="45" t="n">
        <f aca="false">Sector_Params!$D$10</f>
        <v>20</v>
      </c>
      <c r="Q255" s="46" t="n">
        <f aca="false">M255/(1-(1+M255)^-P255)</f>
        <v>0.0719620973294428</v>
      </c>
      <c r="R255" s="46" t="n">
        <f aca="false">N255/(1-(1+N255)^-P255)</f>
        <v>0.0819522831585533</v>
      </c>
      <c r="S255" s="46" t="n">
        <f aca="false">O255/(1-(1+O255)^-P255)</f>
        <v>0.0871845569768514</v>
      </c>
      <c r="T255" s="37" t="n">
        <f aca="false">0*Sector_Params!$I$10</f>
        <v>0</v>
      </c>
      <c r="U255" s="37" t="n">
        <f aca="false">0*Sector_Params!$J$10</f>
        <v>0</v>
      </c>
      <c r="V255" s="37" t="n">
        <f aca="false">1000*p_r_wb/(1-(1+p_r_wb)^-Sector_Params!$D$10)/p_cpt_fuel</f>
        <v>0.871845569768514</v>
      </c>
      <c r="W255" s="16" t="n">
        <f aca="false">T255*L255</f>
        <v>0</v>
      </c>
      <c r="X255" s="16" t="n">
        <f aca="false">U255*L255</f>
        <v>0</v>
      </c>
      <c r="Y255" s="16" t="n">
        <f aca="false">V255*L255</f>
        <v>0.279708892010773</v>
      </c>
      <c r="Z255" s="16" t="n">
        <f aca="false">Q255*L255</f>
        <v>0.0230871603971495</v>
      </c>
      <c r="AA255" s="16" t="n">
        <f aca="false">R255*L255</f>
        <v>0.0262922507321089</v>
      </c>
      <c r="AB255" s="16" t="n">
        <f aca="false">S255*L255</f>
        <v>0.0279708892010773</v>
      </c>
      <c r="AC255" s="16" t="n">
        <f aca="false">Z255-W255</f>
        <v>0.0230871603971495</v>
      </c>
      <c r="AD255" s="16" t="n">
        <f aca="false">AA255-W255</f>
        <v>0.0262922507321089</v>
      </c>
      <c r="AE255" s="16" t="n">
        <f aca="false">AB255-W255</f>
        <v>0.0279708892010773</v>
      </c>
      <c r="AF255" s="16" t="n">
        <f aca="false">AE255-X255</f>
        <v>0.0279708892010773</v>
      </c>
      <c r="AG255" s="16" t="n">
        <f aca="false">AF255-p_spc_lo*Y255/1000</f>
        <v>0.0139854446005386</v>
      </c>
      <c r="AH255" s="16" t="n">
        <f aca="false">AF255-p_spc_hi*Y255/1000</f>
        <v>0</v>
      </c>
      <c r="AI255" s="16" t="n">
        <f aca="false">Q255*J255</f>
        <v>0.0607556852556565</v>
      </c>
      <c r="AJ255" s="16" t="n">
        <f aca="false">S255*J255</f>
        <v>0.0736076031607297</v>
      </c>
      <c r="AK255" s="16" t="n">
        <f aca="false">T255*J255</f>
        <v>0</v>
      </c>
      <c r="AL255" s="16" t="n">
        <f aca="false">U255*J255</f>
        <v>0</v>
      </c>
      <c r="AM255" s="16" t="n">
        <f aca="false">AI255-AJ255</f>
        <v>-0.0128519179050732</v>
      </c>
      <c r="AN255" s="16" t="n">
        <f aca="false">J255*Country_Data!$EB$40</f>
        <v>0.882120148380409</v>
      </c>
      <c r="AO255" s="16" t="n">
        <f aca="false">L255*Country_Data!$EB$40</f>
        <v>0.335205656384555</v>
      </c>
    </row>
    <row r="256" customFormat="false" ht="15" hidden="false" customHeight="false" outlineLevel="0" collapsed="false">
      <c r="A256" s="14" t="str">
        <f aca="false">Country_Data!$A$40</f>
        <v>DNK</v>
      </c>
      <c r="B256" s="14" t="str">
        <f aca="false">Country_Data!$E$40</f>
        <v>AE</v>
      </c>
      <c r="C256" s="35" t="s">
        <v>488</v>
      </c>
      <c r="D256" s="37" t="n">
        <f aca="false">IF(Country_Data!$CE$40="","",Country_Data!$CE$40)</f>
        <v>16.95</v>
      </c>
      <c r="E256" s="40" t="n">
        <f aca="false">Country_Data!$BW$40</f>
        <v>487.667</v>
      </c>
      <c r="F256" s="41" t="n">
        <f aca="false">Country_Data!$BX$40</f>
        <v>0.870522303128979</v>
      </c>
      <c r="G256" s="42" t="n">
        <f aca="false">IF(D256="","",D256/SUMIFS($D$5:$D$1369,$B$5:$B$1369,B256,$C$5:$C$1369,C256))</f>
        <v>0.0064687891418989</v>
      </c>
      <c r="H256" s="42" t="n">
        <f aca="false">E256/SUMIFS($E$5:$E$1369,$B$5:$B$1369,B256,$C$5:$C$1369,C256)</f>
        <v>0.00618201078937197</v>
      </c>
      <c r="I256" s="43" t="n">
        <f aca="false">IF(G256="",H256,p_beta_alloc*G256+(1-p_beta_alloc)*H256)*F256^p_phi</f>
        <v>0.00590171105839666</v>
      </c>
      <c r="J256" s="16" t="n">
        <f aca="false">INDEX(Sector_Params!$C$22:$E$22,MATCH(B256,Sector_Params!$C$15:$E$15,0))*I256/SUMIFS($I$5:$I$1369,$B$5:$B$1369,B256,$C$5:$C$1369,C256)</f>
        <v>0.228677273235937</v>
      </c>
      <c r="K256" s="28" t="n">
        <f aca="false">INDEX(Sector_Params!$F$11:$H$11,MATCH(B256,Sector_Params!$C$15:$E$15,0))</f>
        <v>0.38</v>
      </c>
      <c r="L256" s="16" t="n">
        <f aca="false">J256*K256</f>
        <v>0.0868973638296561</v>
      </c>
      <c r="M256" s="44" t="n">
        <f aca="false">Country_Data!$DW$40+Sector_Params!$E$11</f>
        <v>0.0375</v>
      </c>
      <c r="N256" s="44" t="n">
        <f aca="false">Country_Data!$DX$40+Sector_Params!$E$11</f>
        <v>0.0525</v>
      </c>
      <c r="O256" s="11" t="n">
        <f aca="false">IF(p_use_ibrd=1,p_r_ibrd,p_r_wb)</f>
        <v>0.06</v>
      </c>
      <c r="P256" s="45" t="n">
        <f aca="false">Sector_Params!$D$11</f>
        <v>30</v>
      </c>
      <c r="Q256" s="46" t="n">
        <f aca="false">M256/(1-(1+M256)^-P256)</f>
        <v>0.0560876241538913</v>
      </c>
      <c r="R256" s="46" t="n">
        <f aca="false">N256/(1-(1+N256)^-P256)</f>
        <v>0.0669169335230896</v>
      </c>
      <c r="S256" s="46" t="n">
        <f aca="false">O256/(1-(1+O256)^-P256)</f>
        <v>0.0726489114900472</v>
      </c>
      <c r="T256" s="37" t="n">
        <f aca="false">0*Sector_Params!$I$11</f>
        <v>0</v>
      </c>
      <c r="U256" s="37" t="n">
        <f aca="false">p_c*Sector_Params!$J$11</f>
        <v>0.129</v>
      </c>
      <c r="V256" s="37" t="n">
        <f aca="false">1000*p_r_wb/(1-(1+p_r_wb)^-Sector_Params!$D$11)/p_cpt_afolu</f>
        <v>1.45297822980094</v>
      </c>
      <c r="W256" s="16" t="n">
        <f aca="false">T256*L256</f>
        <v>0</v>
      </c>
      <c r="X256" s="16" t="n">
        <f aca="false">U256*L256</f>
        <v>0.0112097599340256</v>
      </c>
      <c r="Y256" s="16" t="n">
        <f aca="false">V256*L256</f>
        <v>0.126259977871582</v>
      </c>
      <c r="Z256" s="16" t="n">
        <f aca="false">Q256*L256</f>
        <v>0.0048738666824417</v>
      </c>
      <c r="AA256" s="16" t="n">
        <f aca="false">R256*L256</f>
        <v>0.00581490511872083</v>
      </c>
      <c r="AB256" s="16" t="n">
        <f aca="false">S256*L256</f>
        <v>0.00631299889357911</v>
      </c>
      <c r="AC256" s="16" t="n">
        <f aca="false">Z256-W256</f>
        <v>0.0048738666824417</v>
      </c>
      <c r="AD256" s="16" t="n">
        <f aca="false">AA256-W256</f>
        <v>0.00581490511872083</v>
      </c>
      <c r="AE256" s="16" t="n">
        <f aca="false">AB256-W256</f>
        <v>0.00631299889357911</v>
      </c>
      <c r="AF256" s="16" t="n">
        <f aca="false">AE256-X256</f>
        <v>-0.00489676104044652</v>
      </c>
      <c r="AG256" s="16" t="n">
        <f aca="false">AF256-p_spc_lo*Y256/1000</f>
        <v>-0.0112097599340256</v>
      </c>
      <c r="AH256" s="16" t="n">
        <f aca="false">AF256-p_spc_hi*Y256/1000</f>
        <v>-0.0175227588276047</v>
      </c>
      <c r="AI256" s="16" t="n">
        <f aca="false">Q256*J256</f>
        <v>0.0128259649537939</v>
      </c>
      <c r="AJ256" s="16" t="n">
        <f aca="false">S256*J256</f>
        <v>0.0166131549831029</v>
      </c>
      <c r="AK256" s="16" t="n">
        <f aca="false">T256*J256</f>
        <v>0</v>
      </c>
      <c r="AL256" s="16" t="n">
        <f aca="false">U256*J256</f>
        <v>0.0294993682474359</v>
      </c>
      <c r="AM256" s="16" t="n">
        <f aca="false">AI256-AJ256</f>
        <v>-0.00378719002930899</v>
      </c>
      <c r="AN256" s="16" t="n">
        <f aca="false">J256*Country_Data!$EB$40</f>
        <v>0.238928323415479</v>
      </c>
      <c r="AO256" s="16" t="n">
        <f aca="false">L256*Country_Data!$EB$40</f>
        <v>0.090792762897882</v>
      </c>
    </row>
    <row r="257" customFormat="false" ht="15" hidden="false" customHeight="false" outlineLevel="0" collapsed="false">
      <c r="A257" s="14" t="str">
        <f aca="false">Country_Data!$A$41</f>
        <v>MYS</v>
      </c>
      <c r="B257" s="14" t="str">
        <f aca="false">Country_Data!$E$41</f>
        <v>EMDC</v>
      </c>
      <c r="C257" s="35" t="s">
        <v>466</v>
      </c>
      <c r="D257" s="37" t="n">
        <f aca="false">IF(Country_Data!$BZ$41="","",Country_Data!$BZ$41)</f>
        <v>213.231869132162</v>
      </c>
      <c r="E257" s="40" t="n">
        <f aca="false">Country_Data!$BW$41</f>
        <v>1380.902</v>
      </c>
      <c r="F257" s="41" t="n">
        <f aca="false">Country_Data!$BX$41</f>
        <v>0.305761741238698</v>
      </c>
      <c r="G257" s="42" t="n">
        <f aca="false">IF(D257="","",D257/SUMIFS($D$5:$D$1369,$B$5:$B$1369,B257,$C$5:$C$1369,C257))</f>
        <v>0.0243430055216747</v>
      </c>
      <c r="H257" s="42" t="n">
        <f aca="false">E257/SUMIFS($E$5:$E$1369,$B$5:$B$1369,B257,$C$5:$C$1369,C257)</f>
        <v>0.0171047896933913</v>
      </c>
      <c r="I257" s="43" t="n">
        <f aca="false">IF(G257="",H257,p_beta_alloc*G257+(1-p_beta_alloc)*H257)*F257^p_phi</f>
        <v>0.0114594298221999</v>
      </c>
      <c r="J257" s="16" t="n">
        <f aca="false">INDEX(Sector_Params!$C$16:$E$16,MATCH(B257,Sector_Params!$C$15:$E$15,0))*I257/SUMIFS($I$5:$I$1369,$B$5:$B$1369,B257,$C$5:$C$1369,C257)</f>
        <v>11.0838510456256</v>
      </c>
      <c r="K257" s="28" t="n">
        <f aca="false">INDEX(Sector_Params!$F$5:$H$5,MATCH(B257,Sector_Params!$C$15:$E$15,0))</f>
        <v>0.24</v>
      </c>
      <c r="L257" s="16" t="n">
        <f aca="false">J257*K257</f>
        <v>2.66012425095015</v>
      </c>
      <c r="M257" s="44" t="n">
        <f aca="false">Country_Data!$DW$41+Sector_Params!$E$5</f>
        <v>0.06559</v>
      </c>
      <c r="N257" s="44" t="n">
        <f aca="false">Country_Data!$DX$41+Sector_Params!$E$5</f>
        <v>0.11059</v>
      </c>
      <c r="O257" s="11" t="n">
        <f aca="false">IF(p_use_ibrd=1,p_r_ibrd,p_r_wb)</f>
        <v>0.06</v>
      </c>
      <c r="P257" s="45" t="n">
        <f aca="false">Sector_Params!$D$5</f>
        <v>25</v>
      </c>
      <c r="Q257" s="46" t="n">
        <f aca="false">M257/(1-(1+M257)^-P257)</f>
        <v>0.0824295033014638</v>
      </c>
      <c r="R257" s="46" t="n">
        <f aca="false">N257/(1-(1+N257)^-P257)</f>
        <v>0.119252075819164</v>
      </c>
      <c r="S257" s="46" t="n">
        <f aca="false">O257/(1-(1+O257)^-P257)</f>
        <v>0.078226718212274</v>
      </c>
      <c r="T257" s="37" t="n">
        <f aca="false">IF(AND(p_eng=1,ISNUMBER(Country_Data!$CZ$41)),Country_Data!$CZ$41,Country_Data!$CM$41)*Sector_Params!$I$5</f>
        <v>0.0738484611596649</v>
      </c>
      <c r="U257" s="37" t="n">
        <f aca="false">IF(AND(p_eng=1,ISNUMBER(Country_Data!$DA$41)),Country_Data!$DA$41,Country_Data!$CN$41)*Sector_Params!$J$5</f>
        <v>0.0335575659610167</v>
      </c>
      <c r="V257" s="37" t="n">
        <f aca="false">IF(AND(p_eng=1,ISNUMBER(Country_Data!$DB$41)),Country_Data!$DB$41,p_a)</f>
        <v>1.31616684647676</v>
      </c>
      <c r="W257" s="16" t="n">
        <f aca="false">T257*L257</f>
        <v>0.196446082426175</v>
      </c>
      <c r="X257" s="16" t="n">
        <f aca="false">U257*L257</f>
        <v>0.0892672950157597</v>
      </c>
      <c r="Y257" s="16" t="n">
        <f aca="false">V257*L257</f>
        <v>3.50116734660942</v>
      </c>
      <c r="Z257" s="16" t="n">
        <f aca="false">Q257*L257</f>
        <v>0.219272720725999</v>
      </c>
      <c r="AA257" s="16" t="n">
        <f aca="false">R257*L257</f>
        <v>0.317225338862703</v>
      </c>
      <c r="AB257" s="16" t="n">
        <f aca="false">S257*L257</f>
        <v>0.208092790188714</v>
      </c>
      <c r="AC257" s="16" t="n">
        <f aca="false">Z257-W257</f>
        <v>0.0228266382998245</v>
      </c>
      <c r="AD257" s="16" t="n">
        <f aca="false">AA257-W257</f>
        <v>0.120779256436528</v>
      </c>
      <c r="AE257" s="16" t="n">
        <f aca="false">AB257-W257</f>
        <v>0.0116467077625389</v>
      </c>
      <c r="AF257" s="16" t="n">
        <f aca="false">AE257-X257</f>
        <v>-0.0776205872532208</v>
      </c>
      <c r="AG257" s="16" t="n">
        <f aca="false">AF257-p_spc_lo*Y257/1000</f>
        <v>-0.252678954583692</v>
      </c>
      <c r="AH257" s="16" t="n">
        <f aca="false">AF257-p_spc_hi*Y257/1000</f>
        <v>-0.427737321914163</v>
      </c>
      <c r="AI257" s="16" t="n">
        <f aca="false">Q257*J257</f>
        <v>0.91363633635833</v>
      </c>
      <c r="AJ257" s="16" t="n">
        <f aca="false">S257*J257</f>
        <v>0.867053292452973</v>
      </c>
      <c r="AK257" s="16" t="n">
        <f aca="false">T257*J257</f>
        <v>0.818525343442395</v>
      </c>
      <c r="AL257" s="16" t="n">
        <f aca="false">U257*J257</f>
        <v>0.371947062565665</v>
      </c>
      <c r="AM257" s="16" t="n">
        <f aca="false">AI257-AJ257</f>
        <v>0.0465830439053565</v>
      </c>
      <c r="AN257" s="16" t="n">
        <f aca="false">J257*Country_Data!$EB$41</f>
        <v>12.7236536660743</v>
      </c>
      <c r="AO257" s="16" t="n">
        <f aca="false">L257*Country_Data!$EB$41</f>
        <v>3.05367687985784</v>
      </c>
    </row>
    <row r="258" customFormat="false" ht="15" hidden="false" customHeight="false" outlineLevel="0" collapsed="false">
      <c r="A258" s="14" t="str">
        <f aca="false">Country_Data!$A$41</f>
        <v>MYS</v>
      </c>
      <c r="B258" s="14" t="str">
        <f aca="false">Country_Data!$E$41</f>
        <v>EMDC</v>
      </c>
      <c r="C258" s="35" t="s">
        <v>470</v>
      </c>
      <c r="D258" s="37" t="n">
        <f aca="false">IF(Country_Data!$BZ$41="","",Country_Data!$BZ$41)</f>
        <v>213.231869132162</v>
      </c>
      <c r="E258" s="40" t="n">
        <f aca="false">Country_Data!$BW$41</f>
        <v>1380.902</v>
      </c>
      <c r="F258" s="41" t="n">
        <f aca="false">Country_Data!$BX$41</f>
        <v>0.305761741238698</v>
      </c>
      <c r="G258" s="42" t="n">
        <f aca="false">IF(D258="","",D258/SUMIFS($D$5:$D$1369,$B$5:$B$1369,B258,$C$5:$C$1369,C258))</f>
        <v>0.0243430055216747</v>
      </c>
      <c r="H258" s="42" t="n">
        <f aca="false">E258/SUMIFS($E$5:$E$1369,$B$5:$B$1369,B258,$C$5:$C$1369,C258)</f>
        <v>0.0171047896933913</v>
      </c>
      <c r="I258" s="43" t="n">
        <f aca="false">IF(G258="",H258,p_beta_alloc*G258+(1-p_beta_alloc)*H258)*F258^p_phi</f>
        <v>0.0114594298221999</v>
      </c>
      <c r="J258" s="16" t="n">
        <f aca="false">INDEX(Sector_Params!$C$17:$E$17,MATCH(B258,Sector_Params!$C$15:$E$15,0))*I258/SUMIFS($I$5:$I$1369,$B$5:$B$1369,B258,$C$5:$C$1369,C258)</f>
        <v>7.60035500271471</v>
      </c>
      <c r="K258" s="28" t="n">
        <f aca="false">INDEX(Sector_Params!$F$6:$H$6,MATCH(B258,Sector_Params!$C$15:$E$15,0))</f>
        <v>0.24</v>
      </c>
      <c r="L258" s="16" t="n">
        <f aca="false">J258*K258</f>
        <v>1.82408520065153</v>
      </c>
      <c r="M258" s="44" t="n">
        <f aca="false">Country_Data!$DW$41+Sector_Params!$E$6</f>
        <v>0.06559</v>
      </c>
      <c r="N258" s="44" t="n">
        <f aca="false">Country_Data!$DX$41+Sector_Params!$E$6</f>
        <v>0.11059</v>
      </c>
      <c r="O258" s="11" t="n">
        <f aca="false">IF(p_use_ibrd=1,p_r_ibrd,p_r_wb)</f>
        <v>0.06</v>
      </c>
      <c r="P258" s="45" t="n">
        <f aca="false">Sector_Params!$D$6</f>
        <v>40</v>
      </c>
      <c r="Q258" s="46" t="n">
        <f aca="false">M258/(1-(1+M258)^-P258)</f>
        <v>0.0711987617429706</v>
      </c>
      <c r="R258" s="46" t="n">
        <f aca="false">N258/(1-(1+N258)^-P258)</f>
        <v>0.112281048694415</v>
      </c>
      <c r="S258" s="46" t="n">
        <f aca="false">O258/(1-(1+O258)^-P258)</f>
        <v>0.0664615359206755</v>
      </c>
      <c r="T258" s="37" t="n">
        <f aca="false">p_grid_credit*IF(AND(p_eng=1,ISNUMBER(Country_Data!$CZ$41)),Country_Data!$CZ$41,Country_Data!$CM$41)*Sector_Params!$I$6</f>
        <v>0</v>
      </c>
      <c r="U258" s="37" t="n">
        <f aca="false">p_grid_credit*IF(AND(p_eng=1,ISNUMBER(Country_Data!$DA$41)),Country_Data!$DA$41,Country_Data!$CN$41)*Sector_Params!$J$6</f>
        <v>0</v>
      </c>
      <c r="V258" s="37" t="n">
        <f aca="false">p_grid_credit*IF(AND(p_eng=1,ISNUMBER(Country_Data!$DB$41)),Country_Data!$DB$41,p_a)</f>
        <v>0</v>
      </c>
      <c r="W258" s="16" t="n">
        <f aca="false">T258*L258</f>
        <v>0</v>
      </c>
      <c r="X258" s="16" t="n">
        <f aca="false">U258*L258</f>
        <v>0</v>
      </c>
      <c r="Y258" s="16" t="n">
        <f aca="false">V258*L258</f>
        <v>0</v>
      </c>
      <c r="Z258" s="16" t="n">
        <f aca="false">Q258*L258</f>
        <v>0.129872607600067</v>
      </c>
      <c r="AA258" s="16" t="n">
        <f aca="false">R258*L258</f>
        <v>0.204810199237116</v>
      </c>
      <c r="AB258" s="16" t="n">
        <f aca="false">S258*L258</f>
        <v>0.121231504085474</v>
      </c>
      <c r="AC258" s="16" t="n">
        <f aca="false">Z258-W258</f>
        <v>0.129872607600067</v>
      </c>
      <c r="AD258" s="16" t="n">
        <f aca="false">AA258-W258</f>
        <v>0.204810199237116</v>
      </c>
      <c r="AE258" s="16" t="n">
        <f aca="false">AB258-W258</f>
        <v>0.121231504085474</v>
      </c>
      <c r="AF258" s="16" t="n">
        <f aca="false">AE258-X258</f>
        <v>0.121231504085474</v>
      </c>
      <c r="AG258" s="16" t="n">
        <f aca="false">AF258-p_spc_lo*Y258/1000</f>
        <v>0.121231504085474</v>
      </c>
      <c r="AH258" s="16" t="n">
        <f aca="false">AF258-p_spc_hi*Y258/1000</f>
        <v>0.121231504085474</v>
      </c>
      <c r="AI258" s="16" t="n">
        <f aca="false">Q258*J258</f>
        <v>0.541135865000279</v>
      </c>
      <c r="AJ258" s="16" t="n">
        <f aca="false">S258*J258</f>
        <v>0.505131267022809</v>
      </c>
      <c r="AK258" s="16" t="n">
        <f aca="false">T258*J258</f>
        <v>0</v>
      </c>
      <c r="AL258" s="16" t="n">
        <f aca="false">U258*J258</f>
        <v>0</v>
      </c>
      <c r="AM258" s="16" t="n">
        <f aca="false">AI258-AJ258</f>
        <v>0.0360045979774695</v>
      </c>
      <c r="AN258" s="16" t="n">
        <f aca="false">J258*Country_Data!$EB$41</f>
        <v>8.72479108530812</v>
      </c>
      <c r="AO258" s="16" t="n">
        <f aca="false">L258*Country_Data!$EB$41</f>
        <v>2.09394986047395</v>
      </c>
    </row>
    <row r="259" customFormat="false" ht="15" hidden="false" customHeight="false" outlineLevel="0" collapsed="false">
      <c r="A259" s="14" t="str">
        <f aca="false">Country_Data!$A$41</f>
        <v>MYS</v>
      </c>
      <c r="B259" s="14" t="str">
        <f aca="false">Country_Data!$E$41</f>
        <v>EMDC</v>
      </c>
      <c r="C259" s="35" t="s">
        <v>473</v>
      </c>
      <c r="D259" s="37" t="n">
        <f aca="false">IF(Country_Data!$CA$41="","",Country_Data!$CA$41)</f>
        <v>0.87357752573036</v>
      </c>
      <c r="E259" s="40" t="n">
        <f aca="false">Country_Data!$BW$41</f>
        <v>1380.902</v>
      </c>
      <c r="F259" s="41" t="n">
        <f aca="false">Country_Data!$BX$41</f>
        <v>0.305761741238698</v>
      </c>
      <c r="G259" s="42" t="n">
        <f aca="false">IF(D259="","",D259/SUMIFS($D$5:$D$1369,$B$5:$B$1369,B259,$C$5:$C$1369,C259))</f>
        <v>0.020181673409789</v>
      </c>
      <c r="H259" s="42" t="n">
        <f aca="false">E259/SUMIFS($E$5:$E$1369,$B$5:$B$1369,B259,$C$5:$C$1369,C259)</f>
        <v>0.0171047896933913</v>
      </c>
      <c r="I259" s="43" t="n">
        <f aca="false">IF(G259="",H259,p_beta_alloc*G259+(1-p_beta_alloc)*H259)*F259^p_phi</f>
        <v>0.0103089104023952</v>
      </c>
      <c r="J259" s="16" t="n">
        <f aca="false">INDEX(Sector_Params!$C$18:$E$18,MATCH(B259,Sector_Params!$C$15:$E$15,0))*I259/SUMIFS($I$5:$I$1369,$B$5:$B$1369,B259,$C$5:$C$1369,C259)</f>
        <v>4.22125488844236</v>
      </c>
      <c r="K259" s="28" t="n">
        <f aca="false">INDEX(Sector_Params!$F$7:$H$7,MATCH(B259,Sector_Params!$C$15:$E$15,0))</f>
        <v>0.24</v>
      </c>
      <c r="L259" s="16" t="n">
        <f aca="false">J259*K259</f>
        <v>1.01310117322617</v>
      </c>
      <c r="M259" s="44" t="n">
        <f aca="false">Country_Data!$DW$41+Sector_Params!$E$7</f>
        <v>0.06559</v>
      </c>
      <c r="N259" s="44" t="n">
        <f aca="false">Country_Data!$DX$41+Sector_Params!$E$7</f>
        <v>0.11059</v>
      </c>
      <c r="O259" s="11" t="n">
        <f aca="false">IF(p_use_ibrd=1,p_r_ibrd,p_r_wb)</f>
        <v>0.06</v>
      </c>
      <c r="P259" s="45" t="n">
        <f aca="false">Sector_Params!$D$7</f>
        <v>12</v>
      </c>
      <c r="Q259" s="46" t="n">
        <f aca="false">M259/(1-(1+M259)^-P259)</f>
        <v>0.122959348693435</v>
      </c>
      <c r="R259" s="46" t="n">
        <f aca="false">N259/(1-(1+N259)^-P259)</f>
        <v>0.154460464466254</v>
      </c>
      <c r="S259" s="46" t="n">
        <f aca="false">O259/(1-(1+O259)^-P259)</f>
        <v>0.119277029380664</v>
      </c>
      <c r="T259" s="37" t="n">
        <f aca="false">IF(AND(p_eng=1,ISNUMBER(Country_Data!$DE$41)),Country_Data!$DE$41,Country_Data!$CM$41)*Sector_Params!$I$7</f>
        <v>0.19098135</v>
      </c>
      <c r="U259" s="37" t="n">
        <f aca="false">IF(AND(p_eng=1,ISNUMBER(Country_Data!$DF$41)),Country_Data!$DF$41,Country_Data!$CN$41)*Sector_Params!$J$7</f>
        <v>0.023184</v>
      </c>
      <c r="V259" s="37" t="n">
        <f aca="false">IF(AND(p_eng=1,ISNUMBER(Country_Data!$DG$41)),Country_Data!$DG$41,p_a)</f>
        <v>0.224423440772788</v>
      </c>
      <c r="W259" s="16" t="n">
        <f aca="false">T259*L259</f>
        <v>0.193483429749317</v>
      </c>
      <c r="X259" s="16" t="n">
        <f aca="false">U259*L259</f>
        <v>0.0234877376000755</v>
      </c>
      <c r="Y259" s="16" t="n">
        <f aca="false">V259*L259</f>
        <v>0.227363651146365</v>
      </c>
      <c r="Z259" s="16" t="n">
        <f aca="false">Q259*L259</f>
        <v>0.124570260420444</v>
      </c>
      <c r="AA259" s="16" t="n">
        <f aca="false">R259*L259</f>
        <v>0.156484077767821</v>
      </c>
      <c r="AB259" s="16" t="n">
        <f aca="false">S259*L259</f>
        <v>0.120839698404482</v>
      </c>
      <c r="AC259" s="16" t="n">
        <f aca="false">Z259-W259</f>
        <v>-0.0689131693288728</v>
      </c>
      <c r="AD259" s="16" t="n">
        <f aca="false">AA259-W259</f>
        <v>-0.0369993519814962</v>
      </c>
      <c r="AE259" s="16" t="n">
        <f aca="false">AB259-W259</f>
        <v>-0.072643731344835</v>
      </c>
      <c r="AF259" s="16" t="n">
        <f aca="false">AE259-X259</f>
        <v>-0.0961314689449105</v>
      </c>
      <c r="AG259" s="16" t="n">
        <f aca="false">AF259-p_spc_lo*Y259/1000</f>
        <v>-0.107499651502229</v>
      </c>
      <c r="AH259" s="16" t="n">
        <f aca="false">AF259-p_spc_hi*Y259/1000</f>
        <v>-0.118867834059547</v>
      </c>
      <c r="AI259" s="16" t="n">
        <f aca="false">Q259*J259</f>
        <v>0.519042751751852</v>
      </c>
      <c r="AJ259" s="16" t="n">
        <f aca="false">S259*J259</f>
        <v>0.503498743352009</v>
      </c>
      <c r="AK259" s="16" t="n">
        <f aca="false">T259*J259</f>
        <v>0.806180957288822</v>
      </c>
      <c r="AL259" s="16" t="n">
        <f aca="false">U259*J259</f>
        <v>0.0978655733336478</v>
      </c>
      <c r="AM259" s="16" t="n">
        <f aca="false">AI259-AJ259</f>
        <v>0.0155440083998424</v>
      </c>
      <c r="AN259" s="16" t="n">
        <f aca="false">J259*Country_Data!$EB$41</f>
        <v>4.84576931029411</v>
      </c>
      <c r="AO259" s="16" t="n">
        <f aca="false">L259*Country_Data!$EB$41</f>
        <v>1.16298463447059</v>
      </c>
    </row>
    <row r="260" customFormat="false" ht="15" hidden="false" customHeight="false" outlineLevel="0" collapsed="false">
      <c r="A260" s="14" t="str">
        <f aca="false">Country_Data!$A$41</f>
        <v>MYS</v>
      </c>
      <c r="B260" s="14" t="str">
        <f aca="false">Country_Data!$E$41</f>
        <v>EMDC</v>
      </c>
      <c r="C260" s="35" t="s">
        <v>477</v>
      </c>
      <c r="D260" s="37" t="n">
        <f aca="false">IF(Country_Data!$CB$41="","",Country_Data!$CB$41)</f>
        <v>0.252341738564946</v>
      </c>
      <c r="E260" s="40" t="n">
        <f aca="false">Country_Data!$BW$41</f>
        <v>1380.902</v>
      </c>
      <c r="F260" s="41" t="n">
        <f aca="false">Country_Data!$BX$41</f>
        <v>0.305761741238698</v>
      </c>
      <c r="G260" s="42" t="n">
        <f aca="false">IF(D260="","",D260/SUMIFS($D$5:$D$1369,$B$5:$B$1369,B260,$C$5:$C$1369,C260))</f>
        <v>0.00795710339762653</v>
      </c>
      <c r="H260" s="42" t="n">
        <f aca="false">E260/SUMIFS($E$5:$E$1369,$B$5:$B$1369,B260,$C$5:$C$1369,C260)</f>
        <v>0.0171047896933913</v>
      </c>
      <c r="I260" s="43" t="n">
        <f aca="false">IF(G260="",H260,p_beta_alloc*G260+(1-p_beta_alloc)*H260)*F260^p_phi</f>
        <v>0.00692907797864245</v>
      </c>
      <c r="J260" s="16" t="n">
        <f aca="false">INDEX(Sector_Params!$C$19:$E$19,MATCH(B260,Sector_Params!$C$15:$E$15,0))*I260/SUMIFS($I$5:$I$1369,$B$5:$B$1369,B260,$C$5:$C$1369,C260)</f>
        <v>2.23021102973342</v>
      </c>
      <c r="K260" s="28" t="n">
        <f aca="false">INDEX(Sector_Params!$F$8:$H$8,MATCH(B260,Sector_Params!$C$15:$E$15,0))</f>
        <v>0.24</v>
      </c>
      <c r="L260" s="16" t="n">
        <f aca="false">J260*K260</f>
        <v>0.535250647136021</v>
      </c>
      <c r="M260" s="44" t="n">
        <f aca="false">Country_Data!$DW$41+Sector_Params!$E$8</f>
        <v>0.06559</v>
      </c>
      <c r="N260" s="44" t="n">
        <f aca="false">Country_Data!$DX$41+Sector_Params!$E$8</f>
        <v>0.11059</v>
      </c>
      <c r="O260" s="11" t="n">
        <f aca="false">IF(p_use_ibrd=1,p_r_ibrd,p_r_wb)</f>
        <v>0.06</v>
      </c>
      <c r="P260" s="45" t="n">
        <f aca="false">Sector_Params!$D$8</f>
        <v>25</v>
      </c>
      <c r="Q260" s="46" t="n">
        <f aca="false">M260/(1-(1+M260)^-P260)</f>
        <v>0.0824295033014638</v>
      </c>
      <c r="R260" s="46" t="n">
        <f aca="false">N260/(1-(1+N260)^-P260)</f>
        <v>0.119252075819164</v>
      </c>
      <c r="S260" s="46" t="n">
        <f aca="false">O260/(1-(1+O260)^-P260)</f>
        <v>0.078226718212274</v>
      </c>
      <c r="T260" s="37" t="n">
        <f aca="false">Country_Data!$CM$41*Sector_Params!$I$8</f>
        <v>0.108778188773783</v>
      </c>
      <c r="U260" s="37" t="n">
        <f aca="false">Country_Data!$CN$41*Sector_Params!$J$8</f>
        <v>0.128075514470387</v>
      </c>
      <c r="V260" s="37" t="n">
        <f aca="false">p_a</f>
        <v>0.35</v>
      </c>
      <c r="W260" s="16" t="n">
        <f aca="false">T260*L260</f>
        <v>0.0582235959354516</v>
      </c>
      <c r="X260" s="16" t="n">
        <f aca="false">U260*L260</f>
        <v>0.0685525020025538</v>
      </c>
      <c r="Y260" s="16" t="n">
        <f aca="false">V260*L260</f>
        <v>0.187337726497608</v>
      </c>
      <c r="Z260" s="16" t="n">
        <f aca="false">Q260*L260</f>
        <v>0.0441204449852093</v>
      </c>
      <c r="AA260" s="16" t="n">
        <f aca="false">R260*L260</f>
        <v>0.0638297507545212</v>
      </c>
      <c r="AB260" s="16" t="n">
        <f aca="false">S260*L260</f>
        <v>0.0418709015464468</v>
      </c>
      <c r="AC260" s="16" t="n">
        <f aca="false">Z260-W260</f>
        <v>-0.0141031509502423</v>
      </c>
      <c r="AD260" s="16" t="n">
        <f aca="false">AA260-W260</f>
        <v>0.0056061548190696</v>
      </c>
      <c r="AE260" s="16" t="n">
        <f aca="false">AB260-W260</f>
        <v>-0.0163526943890048</v>
      </c>
      <c r="AF260" s="16" t="n">
        <f aca="false">AE260-X260</f>
        <v>-0.0849051963915586</v>
      </c>
      <c r="AG260" s="16" t="n">
        <f aca="false">AF260-p_spc_lo*Y260/1000</f>
        <v>-0.0942720827164389</v>
      </c>
      <c r="AH260" s="16" t="n">
        <f aca="false">AF260-p_spc_hi*Y260/1000</f>
        <v>-0.103638969041319</v>
      </c>
      <c r="AI260" s="16" t="n">
        <f aca="false">Q260*J260</f>
        <v>0.183835187438372</v>
      </c>
      <c r="AJ260" s="16" t="n">
        <f aca="false">S260*J260</f>
        <v>0.174462089776862</v>
      </c>
      <c r="AK260" s="16" t="n">
        <f aca="false">T260*J260</f>
        <v>0.242598316397715</v>
      </c>
      <c r="AL260" s="16" t="n">
        <f aca="false">U260*J260</f>
        <v>0.285635425010641</v>
      </c>
      <c r="AM260" s="16" t="n">
        <f aca="false">AI260-AJ260</f>
        <v>0.00937309766151034</v>
      </c>
      <c r="AN260" s="16" t="n">
        <f aca="false">J260*Country_Data!$EB$41</f>
        <v>2.56016005878987</v>
      </c>
      <c r="AO260" s="16" t="n">
        <f aca="false">L260*Country_Data!$EB$41</f>
        <v>0.61443841410957</v>
      </c>
    </row>
    <row r="261" customFormat="false" ht="15" hidden="false" customHeight="false" outlineLevel="0" collapsed="false">
      <c r="A261" s="14" t="str">
        <f aca="false">Country_Data!$A$41</f>
        <v>MYS</v>
      </c>
      <c r="B261" s="14" t="str">
        <f aca="false">Country_Data!$E$41</f>
        <v>EMDC</v>
      </c>
      <c r="C261" s="35" t="s">
        <v>481</v>
      </c>
      <c r="D261" s="37" t="n">
        <f aca="false">IF(Country_Data!$CC$41="","",Country_Data!$CC$41)</f>
        <v>1.58496215019174</v>
      </c>
      <c r="E261" s="40" t="n">
        <f aca="false">Country_Data!$BW$41</f>
        <v>1380.902</v>
      </c>
      <c r="F261" s="41" t="n">
        <f aca="false">Country_Data!$BX$41</f>
        <v>0.305761741238698</v>
      </c>
      <c r="G261" s="42" t="n">
        <f aca="false">IF(D261="","",D261/SUMIFS($D$5:$D$1369,$B$5:$B$1369,B261,$C$5:$C$1369,C261))</f>
        <v>0.0226399691430027</v>
      </c>
      <c r="H261" s="42" t="n">
        <f aca="false">E261/SUMIFS($E$5:$E$1369,$B$5:$B$1369,B261,$C$5:$C$1369,C261)</f>
        <v>0.0171047896933913</v>
      </c>
      <c r="I261" s="43" t="n">
        <f aca="false">IF(G261="",H261,p_beta_alloc*G261+(1-p_beta_alloc)*H261)*F261^p_phi</f>
        <v>0.0109885766497988</v>
      </c>
      <c r="J261" s="16" t="n">
        <f aca="false">INDEX(Sector_Params!$C$20:$E$20,MATCH(B261,Sector_Params!$C$15:$E$15,0))*I261/SUMIFS($I$5:$I$1369,$B$5:$B$1369,B261,$C$5:$C$1369,C261)</f>
        <v>2.00563652310543</v>
      </c>
      <c r="K261" s="28" t="n">
        <f aca="false">INDEX(Sector_Params!$F$9:$H$9,MATCH(B261,Sector_Params!$C$15:$E$15,0))</f>
        <v>0.24</v>
      </c>
      <c r="L261" s="16" t="n">
        <f aca="false">J261*K261</f>
        <v>0.481352765545303</v>
      </c>
      <c r="M261" s="44" t="n">
        <f aca="false">Country_Data!$DW$41+Sector_Params!$E$9</f>
        <v>0.06559</v>
      </c>
      <c r="N261" s="44" t="n">
        <f aca="false">Country_Data!$DX$41+Sector_Params!$E$9</f>
        <v>0.11059</v>
      </c>
      <c r="O261" s="11" t="n">
        <f aca="false">IF(p_use_ibrd=1,p_r_ibrd,p_r_wb)</f>
        <v>0.06</v>
      </c>
      <c r="P261" s="45" t="n">
        <f aca="false">Sector_Params!$D$9</f>
        <v>25</v>
      </c>
      <c r="Q261" s="46" t="n">
        <f aca="false">M261/(1-(1+M261)^-P261)</f>
        <v>0.0824295033014638</v>
      </c>
      <c r="R261" s="46" t="n">
        <f aca="false">N261/(1-(1+N261)^-P261)</f>
        <v>0.119252075819164</v>
      </c>
      <c r="S261" s="46" t="n">
        <f aca="false">O261/(1-(1+O261)^-P261)</f>
        <v>0.078226718212274</v>
      </c>
      <c r="T261" s="37" t="n">
        <f aca="false">Country_Data!$CM$41*Sector_Params!$I$9</f>
        <v>0.108778188773783</v>
      </c>
      <c r="U261" s="37" t="n">
        <f aca="false">Country_Data!$CN$41*Sector_Params!$J$9</f>
        <v>0.128075514470387</v>
      </c>
      <c r="V261" s="37" t="n">
        <f aca="false">p_a</f>
        <v>0.35</v>
      </c>
      <c r="W261" s="16" t="n">
        <f aca="false">T261*L261</f>
        <v>0.0523606819972695</v>
      </c>
      <c r="X261" s="16" t="n">
        <f aca="false">U261*L261</f>
        <v>0.0616495030889585</v>
      </c>
      <c r="Y261" s="16" t="n">
        <f aca="false">V261*L261</f>
        <v>0.168473467940856</v>
      </c>
      <c r="Z261" s="16" t="n">
        <f aca="false">Q261*L261</f>
        <v>0.0396776693766853</v>
      </c>
      <c r="AA261" s="16" t="n">
        <f aca="false">R261*L261</f>
        <v>0.0574023164925726</v>
      </c>
      <c r="AB261" s="16" t="n">
        <f aca="false">S261*L261</f>
        <v>0.0376546471510112</v>
      </c>
      <c r="AC261" s="16" t="n">
        <f aca="false">Z261-W261</f>
        <v>-0.0126830126205842</v>
      </c>
      <c r="AD261" s="16" t="n">
        <f aca="false">AA261-W261</f>
        <v>0.00504163449530311</v>
      </c>
      <c r="AE261" s="16" t="n">
        <f aca="false">AB261-W261</f>
        <v>-0.0147060348462583</v>
      </c>
      <c r="AF261" s="16" t="n">
        <f aca="false">AE261-X261</f>
        <v>-0.0763555379352168</v>
      </c>
      <c r="AG261" s="16" t="n">
        <f aca="false">AF261-p_spc_lo*Y261/1000</f>
        <v>-0.0847792113322596</v>
      </c>
      <c r="AH261" s="16" t="n">
        <f aca="false">AF261-p_spc_hi*Y261/1000</f>
        <v>-0.0932028847293024</v>
      </c>
      <c r="AI261" s="16" t="n">
        <f aca="false">Q261*J261</f>
        <v>0.165323622402855</v>
      </c>
      <c r="AJ261" s="16" t="n">
        <f aca="false">S261*J261</f>
        <v>0.156894363129213</v>
      </c>
      <c r="AK261" s="16" t="n">
        <f aca="false">T261*J261</f>
        <v>0.218169508321956</v>
      </c>
      <c r="AL261" s="16" t="n">
        <f aca="false">U261*J261</f>
        <v>0.256872929537327</v>
      </c>
      <c r="AM261" s="16" t="n">
        <f aca="false">AI261-AJ261</f>
        <v>0.00842925927364205</v>
      </c>
      <c r="AN261" s="16" t="n">
        <f aca="false">J261*Country_Data!$EB$41</f>
        <v>2.30236083063336</v>
      </c>
      <c r="AO261" s="16" t="n">
        <f aca="false">L261*Country_Data!$EB$41</f>
        <v>0.552566599352006</v>
      </c>
    </row>
    <row r="262" customFormat="false" ht="15" hidden="false" customHeight="false" outlineLevel="0" collapsed="false">
      <c r="A262" s="14" t="str">
        <f aca="false">Country_Data!$A$41</f>
        <v>MYS</v>
      </c>
      <c r="B262" s="14" t="str">
        <f aca="false">Country_Data!$E$41</f>
        <v>EMDC</v>
      </c>
      <c r="C262" s="35" t="s">
        <v>484</v>
      </c>
      <c r="D262" s="37" t="n">
        <f aca="false">IF(Country_Data!$CD$41="","",Country_Data!$CD$41)</f>
        <v>3.41722282758253</v>
      </c>
      <c r="E262" s="40" t="n">
        <f aca="false">Country_Data!$BW$41</f>
        <v>1380.902</v>
      </c>
      <c r="F262" s="41" t="n">
        <f aca="false">Country_Data!$BX$41</f>
        <v>0.305761741238698</v>
      </c>
      <c r="G262" s="42" t="n">
        <f aca="false">IF(D262="","",D262/SUMIFS($D$5:$D$1369,$B$5:$B$1369,B262,$C$5:$C$1369,C262))</f>
        <v>0.0190830206467709</v>
      </c>
      <c r="H262" s="42" t="n">
        <f aca="false">E262/SUMIFS($E$5:$E$1369,$B$5:$B$1369,B262,$C$5:$C$1369,C262)</f>
        <v>0.0171047896933913</v>
      </c>
      <c r="I262" s="43" t="n">
        <f aca="false">IF(G262="",H262,p_beta_alloc*G262+(1-p_beta_alloc)*H262)*F262^p_phi</f>
        <v>0.0100051563867366</v>
      </c>
      <c r="J262" s="16" t="n">
        <f aca="false">INDEX(Sector_Params!$C$21:$E$21,MATCH(B262,Sector_Params!$C$15:$E$15,0))*I262/SUMIFS($I$5:$I$1369,$B$5:$B$1369,B262,$C$5:$C$1369,C262)</f>
        <v>2.21904189669288</v>
      </c>
      <c r="K262" s="28" t="n">
        <f aca="false">INDEX(Sector_Params!$F$10:$H$10,MATCH(B262,Sector_Params!$C$15:$E$15,0))</f>
        <v>0.24</v>
      </c>
      <c r="L262" s="16" t="n">
        <f aca="false">J262*K262</f>
        <v>0.53257005520629</v>
      </c>
      <c r="M262" s="44" t="n">
        <f aca="false">Country_Data!$DW$41+Sector_Params!$E$10</f>
        <v>0.06559</v>
      </c>
      <c r="N262" s="44" t="n">
        <f aca="false">Country_Data!$DX$41+Sector_Params!$E$10</f>
        <v>0.11059</v>
      </c>
      <c r="O262" s="11" t="n">
        <f aca="false">IF(p_use_ibrd=1,p_r_ibrd,p_r_wb)</f>
        <v>0.06</v>
      </c>
      <c r="P262" s="45" t="n">
        <f aca="false">Sector_Params!$D$10</f>
        <v>20</v>
      </c>
      <c r="Q262" s="46" t="n">
        <f aca="false">M262/(1-(1+M262)^-P262)</f>
        <v>0.091182177142017</v>
      </c>
      <c r="R262" s="46" t="n">
        <f aca="false">N262/(1-(1+N262)^-P262)</f>
        <v>0.126060479771286</v>
      </c>
      <c r="S262" s="46" t="n">
        <f aca="false">O262/(1-(1+O262)^-P262)</f>
        <v>0.0871845569768514</v>
      </c>
      <c r="T262" s="37" t="n">
        <f aca="false">0*Sector_Params!$I$10</f>
        <v>0</v>
      </c>
      <c r="U262" s="37" t="n">
        <f aca="false">0*Sector_Params!$J$10</f>
        <v>0</v>
      </c>
      <c r="V262" s="37" t="n">
        <f aca="false">1000*p_r_wb/(1-(1+p_r_wb)^-Sector_Params!$D$10)/p_cpt_fuel</f>
        <v>0.871845569768514</v>
      </c>
      <c r="W262" s="16" t="n">
        <f aca="false">T262*L262</f>
        <v>0</v>
      </c>
      <c r="X262" s="16" t="n">
        <f aca="false">U262*L262</f>
        <v>0</v>
      </c>
      <c r="Y262" s="16" t="n">
        <f aca="false">V262*L262</f>
        <v>0.464318843222977</v>
      </c>
      <c r="Z262" s="16" t="n">
        <f aca="false">Q262*L262</f>
        <v>0.0485608971143538</v>
      </c>
      <c r="AA262" s="16" t="n">
        <f aca="false">R262*L262</f>
        <v>0.0671360366711254</v>
      </c>
      <c r="AB262" s="16" t="n">
        <f aca="false">S262*L262</f>
        <v>0.0464318843222977</v>
      </c>
      <c r="AC262" s="16" t="n">
        <f aca="false">Z262-W262</f>
        <v>0.0485608971143538</v>
      </c>
      <c r="AD262" s="16" t="n">
        <f aca="false">AA262-W262</f>
        <v>0.0671360366711254</v>
      </c>
      <c r="AE262" s="16" t="n">
        <f aca="false">AB262-W262</f>
        <v>0.0464318843222977</v>
      </c>
      <c r="AF262" s="16" t="n">
        <f aca="false">AE262-X262</f>
        <v>0.0464318843222977</v>
      </c>
      <c r="AG262" s="16" t="n">
        <f aca="false">AF262-p_spc_lo*Y262/1000</f>
        <v>0.0232159421611489</v>
      </c>
      <c r="AH262" s="16" t="n">
        <f aca="false">AF262-p_spc_hi*Y262/1000</f>
        <v>0</v>
      </c>
      <c r="AI262" s="16" t="n">
        <f aca="false">Q262*J262</f>
        <v>0.202337071309807</v>
      </c>
      <c r="AJ262" s="16" t="n">
        <f aca="false">S262*J262</f>
        <v>0.193466184676241</v>
      </c>
      <c r="AK262" s="16" t="n">
        <f aca="false">T262*J262</f>
        <v>0</v>
      </c>
      <c r="AL262" s="16" t="n">
        <f aca="false">U262*J262</f>
        <v>0</v>
      </c>
      <c r="AM262" s="16" t="n">
        <f aca="false">AI262-AJ262</f>
        <v>0.00887088663356678</v>
      </c>
      <c r="AN262" s="16" t="n">
        <f aca="false">J262*Country_Data!$EB$41</f>
        <v>2.54733850606662</v>
      </c>
      <c r="AO262" s="16" t="n">
        <f aca="false">L262*Country_Data!$EB$41</f>
        <v>0.611361241455988</v>
      </c>
    </row>
    <row r="263" customFormat="false" ht="15" hidden="false" customHeight="false" outlineLevel="0" collapsed="false">
      <c r="A263" s="14" t="str">
        <f aca="false">Country_Data!$A$41</f>
        <v>MYS</v>
      </c>
      <c r="B263" s="14" t="str">
        <f aca="false">Country_Data!$E$41</f>
        <v>EMDC</v>
      </c>
      <c r="C263" s="35" t="s">
        <v>488</v>
      </c>
      <c r="D263" s="37" t="n">
        <f aca="false">IF(Country_Data!$CE$41="","",Country_Data!$CE$41)</f>
        <v>132.699</v>
      </c>
      <c r="E263" s="40" t="n">
        <f aca="false">Country_Data!$BW$41</f>
        <v>1380.902</v>
      </c>
      <c r="F263" s="41" t="n">
        <f aca="false">Country_Data!$BX$41</f>
        <v>0.305761741238698</v>
      </c>
      <c r="G263" s="42" t="n">
        <f aca="false">IF(D263="","",D263/SUMIFS($D$5:$D$1369,$B$5:$B$1369,B263,$C$5:$C$1369,C263))</f>
        <v>0.0108733041573699</v>
      </c>
      <c r="H263" s="42" t="n">
        <f aca="false">E263/SUMIFS($E$5:$E$1369,$B$5:$B$1369,B263,$C$5:$C$1369,C263)</f>
        <v>0.0171047896933913</v>
      </c>
      <c r="I263" s="43" t="n">
        <f aca="false">IF(G263="",H263,p_beta_alloc*G263+(1-p_beta_alloc)*H263)*F263^p_phi</f>
        <v>0.00773534518249069</v>
      </c>
      <c r="J263" s="16" t="n">
        <f aca="false">INDEX(Sector_Params!$C$22:$E$22,MATCH(B263,Sector_Params!$C$15:$E$15,0))*I263/SUMIFS($I$5:$I$1369,$B$5:$B$1369,B263,$C$5:$C$1369,C263)</f>
        <v>4.66293096177403</v>
      </c>
      <c r="K263" s="28" t="n">
        <f aca="false">INDEX(Sector_Params!$F$11:$H$11,MATCH(B263,Sector_Params!$C$15:$E$15,0))</f>
        <v>0.24</v>
      </c>
      <c r="L263" s="16" t="n">
        <f aca="false">J263*K263</f>
        <v>1.11910343082577</v>
      </c>
      <c r="M263" s="44" t="n">
        <f aca="false">Country_Data!$DW$41+Sector_Params!$E$11</f>
        <v>0.06559</v>
      </c>
      <c r="N263" s="44" t="n">
        <f aca="false">Country_Data!$DX$41+Sector_Params!$E$11</f>
        <v>0.11059</v>
      </c>
      <c r="O263" s="11" t="n">
        <f aca="false">IF(p_use_ibrd=1,p_r_ibrd,p_r_wb)</f>
        <v>0.06</v>
      </c>
      <c r="P263" s="45" t="n">
        <f aca="false">Sector_Params!$D$11</f>
        <v>30</v>
      </c>
      <c r="Q263" s="46" t="n">
        <f aca="false">M263/(1-(1+M263)^-P263)</f>
        <v>0.0770464029699317</v>
      </c>
      <c r="R263" s="46" t="n">
        <f aca="false">N263/(1-(1+N263)^-P263)</f>
        <v>0.115558067768702</v>
      </c>
      <c r="S263" s="46" t="n">
        <f aca="false">O263/(1-(1+O263)^-P263)</f>
        <v>0.0726489114900472</v>
      </c>
      <c r="T263" s="37" t="n">
        <f aca="false">0*Sector_Params!$I$11</f>
        <v>0</v>
      </c>
      <c r="U263" s="37" t="n">
        <f aca="false">p_c*Sector_Params!$J$11</f>
        <v>0.129</v>
      </c>
      <c r="V263" s="37" t="n">
        <f aca="false">1000*p_r_wb/(1-(1+p_r_wb)^-Sector_Params!$D$11)/p_cpt_afolu</f>
        <v>1.45297822980094</v>
      </c>
      <c r="W263" s="16" t="n">
        <f aca="false">T263*L263</f>
        <v>0</v>
      </c>
      <c r="X263" s="16" t="n">
        <f aca="false">U263*L263</f>
        <v>0.144364342576524</v>
      </c>
      <c r="Y263" s="16" t="n">
        <f aca="false">V263*L263</f>
        <v>1.62603292188539</v>
      </c>
      <c r="Z263" s="16" t="n">
        <f aca="false">Q263*L263</f>
        <v>0.0862228938964351</v>
      </c>
      <c r="AA263" s="16" t="n">
        <f aca="false">R263*L263</f>
        <v>0.12932143009955</v>
      </c>
      <c r="AB263" s="16" t="n">
        <f aca="false">S263*L263</f>
        <v>0.0813016460942693</v>
      </c>
      <c r="AC263" s="16" t="n">
        <f aca="false">Z263-W263</f>
        <v>0.0862228938964351</v>
      </c>
      <c r="AD263" s="16" t="n">
        <f aca="false">AA263-W263</f>
        <v>0.12932143009955</v>
      </c>
      <c r="AE263" s="16" t="n">
        <f aca="false">AB263-W263</f>
        <v>0.0813016460942693</v>
      </c>
      <c r="AF263" s="16" t="n">
        <f aca="false">AE263-X263</f>
        <v>-0.0630626964822546</v>
      </c>
      <c r="AG263" s="16" t="n">
        <f aca="false">AF263-p_spc_lo*Y263/1000</f>
        <v>-0.144364342576524</v>
      </c>
      <c r="AH263" s="16" t="n">
        <f aca="false">AF263-p_spc_hi*Y263/1000</f>
        <v>-0.225665988670793</v>
      </c>
      <c r="AI263" s="16" t="n">
        <f aca="false">Q263*J263</f>
        <v>0.359262057901813</v>
      </c>
      <c r="AJ263" s="16" t="n">
        <f aca="false">S263*J263</f>
        <v>0.338756858726122</v>
      </c>
      <c r="AK263" s="16" t="n">
        <f aca="false">T263*J263</f>
        <v>0</v>
      </c>
      <c r="AL263" s="16" t="n">
        <f aca="false">U263*J263</f>
        <v>0.60151809406885</v>
      </c>
      <c r="AM263" s="16" t="n">
        <f aca="false">AI263-AJ263</f>
        <v>0.0205051991756908</v>
      </c>
      <c r="AN263" s="16" t="n">
        <f aca="false">J263*Country_Data!$EB$41</f>
        <v>5.35278924105019</v>
      </c>
      <c r="AO263" s="16" t="n">
        <f aca="false">L263*Country_Data!$EB$41</f>
        <v>1.28466941785204</v>
      </c>
    </row>
    <row r="264" customFormat="false" ht="15" hidden="false" customHeight="false" outlineLevel="0" collapsed="false">
      <c r="A264" s="14" t="str">
        <f aca="false">Country_Data!$A$42</f>
        <v>COL</v>
      </c>
      <c r="B264" s="14" t="str">
        <f aca="false">Country_Data!$E$42</f>
        <v>EMDC</v>
      </c>
      <c r="C264" s="35" t="s">
        <v>466</v>
      </c>
      <c r="D264" s="37" t="n">
        <f aca="false">IF(Country_Data!$BZ$42="","",Country_Data!$BZ$42)</f>
        <v>69.9375442834314</v>
      </c>
      <c r="E264" s="40" t="n">
        <f aca="false">Country_Data!$BW$42</f>
        <v>1132.936</v>
      </c>
      <c r="F264" s="41" t="n">
        <f aca="false">Country_Data!$BX$42</f>
        <v>0.37116306658099</v>
      </c>
      <c r="G264" s="42" t="n">
        <f aca="false">IF(D264="","",D264/SUMIFS($D$5:$D$1369,$B$5:$B$1369,B264,$C$5:$C$1369,C264))</f>
        <v>0.00798421940206661</v>
      </c>
      <c r="H264" s="42" t="n">
        <f aca="false">E264/SUMIFS($E$5:$E$1369,$B$5:$B$1369,B264,$C$5:$C$1369,C264)</f>
        <v>0.0140333144684213</v>
      </c>
      <c r="I264" s="43" t="n">
        <f aca="false">IF(G264="",H264,p_beta_alloc*G264+(1-p_beta_alloc)*H264)*F264^p_phi</f>
        <v>0.00670688800861559</v>
      </c>
      <c r="J264" s="16" t="n">
        <f aca="false">INDEX(Sector_Params!$C$16:$E$16,MATCH(B264,Sector_Params!$C$15:$E$15,0))*I264/SUMIFS($I$5:$I$1369,$B$5:$B$1369,B264,$C$5:$C$1369,C264)</f>
        <v>6.48707211620385</v>
      </c>
      <c r="K264" s="28" t="n">
        <f aca="false">INDEX(Sector_Params!$F$5:$H$5,MATCH(B264,Sector_Params!$C$15:$E$15,0))</f>
        <v>0.24</v>
      </c>
      <c r="L264" s="16" t="n">
        <f aca="false">J264*K264</f>
        <v>1.55689730788892</v>
      </c>
      <c r="M264" s="44" t="n">
        <f aca="false">Country_Data!$DW$42+Sector_Params!$E$5</f>
        <v>0.06836</v>
      </c>
      <c r="N264" s="44" t="n">
        <f aca="false">Country_Data!$DX$42+Sector_Params!$E$5</f>
        <v>0.11336</v>
      </c>
      <c r="O264" s="11" t="n">
        <f aca="false">IF(p_use_ibrd=1,p_r_ibrd,p_r_wb)</f>
        <v>0.06</v>
      </c>
      <c r="P264" s="45" t="n">
        <f aca="false">Sector_Params!$D$5</f>
        <v>25</v>
      </c>
      <c r="Q264" s="46" t="n">
        <f aca="false">M264/(1-(1+M264)^-P264)</f>
        <v>0.0845466012492002</v>
      </c>
      <c r="R264" s="46" t="n">
        <f aca="false">N264/(1-(1+N264)^-P264)</f>
        <v>0.121663679762905</v>
      </c>
      <c r="S264" s="46" t="n">
        <f aca="false">O264/(1-(1+O264)^-P264)</f>
        <v>0.078226718212274</v>
      </c>
      <c r="T264" s="37" t="n">
        <f aca="false">IF(AND(p_eng=1,ISNUMBER(Country_Data!$CZ$42)),Country_Data!$CZ$42,Country_Data!$CM$42)*Sector_Params!$I$5</f>
        <v>0.0315589159192755</v>
      </c>
      <c r="U264" s="37" t="n">
        <f aca="false">IF(AND(p_eng=1,ISNUMBER(Country_Data!$DA$42)),Country_Data!$DA$42,Country_Data!$CN$42)*Sector_Params!$J$5</f>
        <v>0.0192213945564737</v>
      </c>
      <c r="V264" s="37" t="n">
        <f aca="false">IF(AND(p_eng=1,ISNUMBER(Country_Data!$DB$42)),Country_Data!$DB$42,p_a)</f>
        <v>0.324526085485626</v>
      </c>
      <c r="W264" s="16" t="n">
        <f aca="false">T264*L264</f>
        <v>0.0491339912346129</v>
      </c>
      <c r="X264" s="16" t="n">
        <f aca="false">U264*L264</f>
        <v>0.0299257374388447</v>
      </c>
      <c r="Y264" s="16" t="n">
        <f aca="false">V264*L264</f>
        <v>0.505253788832301</v>
      </c>
      <c r="Z264" s="16" t="n">
        <f aca="false">Q264*L264</f>
        <v>0.131630375876038</v>
      </c>
      <c r="AA264" s="16" t="n">
        <f aca="false">R264*L264</f>
        <v>0.189417855490727</v>
      </c>
      <c r="AB264" s="16" t="n">
        <f aca="false">S264*L264</f>
        <v>0.121790966989675</v>
      </c>
      <c r="AC264" s="16" t="n">
        <f aca="false">Z264-W264</f>
        <v>0.0824963846414252</v>
      </c>
      <c r="AD264" s="16" t="n">
        <f aca="false">AA264-W264</f>
        <v>0.140283864256115</v>
      </c>
      <c r="AE264" s="16" t="n">
        <f aca="false">AB264-W264</f>
        <v>0.0726569757550619</v>
      </c>
      <c r="AF264" s="16" t="n">
        <f aca="false">AE264-X264</f>
        <v>0.0427312383162172</v>
      </c>
      <c r="AG264" s="16" t="n">
        <f aca="false">AF264-p_spc_lo*Y264/1000</f>
        <v>0.0174685488746021</v>
      </c>
      <c r="AH264" s="16" t="n">
        <f aca="false">AF264-p_spc_hi*Y264/1000</f>
        <v>-0.00779414056701295</v>
      </c>
      <c r="AI264" s="16" t="n">
        <f aca="false">Q264*J264</f>
        <v>0.548459899483492</v>
      </c>
      <c r="AJ264" s="16" t="n">
        <f aca="false">S264*J264</f>
        <v>0.507462362456978</v>
      </c>
      <c r="AK264" s="16" t="n">
        <f aca="false">T264*J264</f>
        <v>0.204724963477554</v>
      </c>
      <c r="AL264" s="16" t="n">
        <f aca="false">U264*J264</f>
        <v>0.124690572661853</v>
      </c>
      <c r="AM264" s="16" t="n">
        <f aca="false">AI264-AJ264</f>
        <v>0.0409975370265137</v>
      </c>
      <c r="AN264" s="16" t="n">
        <f aca="false">J264*Country_Data!$EB$42</f>
        <v>7.21894691905762</v>
      </c>
      <c r="AO264" s="16" t="n">
        <f aca="false">L264*Country_Data!$EB$42</f>
        <v>1.73254726057383</v>
      </c>
    </row>
    <row r="265" customFormat="false" ht="15" hidden="false" customHeight="false" outlineLevel="0" collapsed="false">
      <c r="A265" s="14" t="str">
        <f aca="false">Country_Data!$A$42</f>
        <v>COL</v>
      </c>
      <c r="B265" s="14" t="str">
        <f aca="false">Country_Data!$E$42</f>
        <v>EMDC</v>
      </c>
      <c r="C265" s="35" t="s">
        <v>470</v>
      </c>
      <c r="D265" s="37" t="n">
        <f aca="false">IF(Country_Data!$BZ$42="","",Country_Data!$BZ$42)</f>
        <v>69.9375442834314</v>
      </c>
      <c r="E265" s="40" t="n">
        <f aca="false">Country_Data!$BW$42</f>
        <v>1132.936</v>
      </c>
      <c r="F265" s="41" t="n">
        <f aca="false">Country_Data!$BX$42</f>
        <v>0.37116306658099</v>
      </c>
      <c r="G265" s="42" t="n">
        <f aca="false">IF(D265="","",D265/SUMIFS($D$5:$D$1369,$B$5:$B$1369,B265,$C$5:$C$1369,C265))</f>
        <v>0.00798421940206661</v>
      </c>
      <c r="H265" s="42" t="n">
        <f aca="false">E265/SUMIFS($E$5:$E$1369,$B$5:$B$1369,B265,$C$5:$C$1369,C265)</f>
        <v>0.0140333144684213</v>
      </c>
      <c r="I265" s="43" t="n">
        <f aca="false">IF(G265="",H265,p_beta_alloc*G265+(1-p_beta_alloc)*H265)*F265^p_phi</f>
        <v>0.00670688800861559</v>
      </c>
      <c r="J265" s="16" t="n">
        <f aca="false">INDEX(Sector_Params!$C$17:$E$17,MATCH(B265,Sector_Params!$C$15:$E$15,0))*I265/SUMIFS($I$5:$I$1369,$B$5:$B$1369,B265,$C$5:$C$1369,C265)</f>
        <v>4.44827802253978</v>
      </c>
      <c r="K265" s="28" t="n">
        <f aca="false">INDEX(Sector_Params!$F$6:$H$6,MATCH(B265,Sector_Params!$C$15:$E$15,0))</f>
        <v>0.24</v>
      </c>
      <c r="L265" s="16" t="n">
        <f aca="false">J265*K265</f>
        <v>1.06758672540955</v>
      </c>
      <c r="M265" s="44" t="n">
        <f aca="false">Country_Data!$DW$42+Sector_Params!$E$6</f>
        <v>0.06836</v>
      </c>
      <c r="N265" s="44" t="n">
        <f aca="false">Country_Data!$DX$42+Sector_Params!$E$6</f>
        <v>0.11336</v>
      </c>
      <c r="O265" s="11" t="n">
        <f aca="false">IF(p_use_ibrd=1,p_r_ibrd,p_r_wb)</f>
        <v>0.06</v>
      </c>
      <c r="P265" s="45" t="n">
        <f aca="false">Sector_Params!$D$6</f>
        <v>40</v>
      </c>
      <c r="Q265" s="46" t="n">
        <f aca="false">M265/(1-(1+M265)^-P265)</f>
        <v>0.0735849769801309</v>
      </c>
      <c r="R265" s="46" t="n">
        <f aca="false">N265/(1-(1+N265)^-P265)</f>
        <v>0.114926738489828</v>
      </c>
      <c r="S265" s="46" t="n">
        <f aca="false">O265/(1-(1+O265)^-P265)</f>
        <v>0.0664615359206755</v>
      </c>
      <c r="T265" s="37" t="n">
        <f aca="false">p_grid_credit*IF(AND(p_eng=1,ISNUMBER(Country_Data!$CZ$42)),Country_Data!$CZ$42,Country_Data!$CM$42)*Sector_Params!$I$6</f>
        <v>0</v>
      </c>
      <c r="U265" s="37" t="n">
        <f aca="false">p_grid_credit*IF(AND(p_eng=1,ISNUMBER(Country_Data!$DA$42)),Country_Data!$DA$42,Country_Data!$CN$42)*Sector_Params!$J$6</f>
        <v>0</v>
      </c>
      <c r="V265" s="37" t="n">
        <f aca="false">p_grid_credit*IF(AND(p_eng=1,ISNUMBER(Country_Data!$DB$42)),Country_Data!$DB$42,p_a)</f>
        <v>0</v>
      </c>
      <c r="W265" s="16" t="n">
        <f aca="false">T265*L265</f>
        <v>0</v>
      </c>
      <c r="X265" s="16" t="n">
        <f aca="false">U265*L265</f>
        <v>0</v>
      </c>
      <c r="Y265" s="16" t="n">
        <f aca="false">V265*L265</f>
        <v>0</v>
      </c>
      <c r="Z265" s="16" t="n">
        <f aca="false">Q265*L265</f>
        <v>0.0785583446135549</v>
      </c>
      <c r="AA265" s="16" t="n">
        <f aca="false">R265*L265</f>
        <v>0.122694260406354</v>
      </c>
      <c r="AB265" s="16" t="n">
        <f aca="false">S265*L265</f>
        <v>0.070953453499243</v>
      </c>
      <c r="AC265" s="16" t="n">
        <f aca="false">Z265-W265</f>
        <v>0.0785583446135549</v>
      </c>
      <c r="AD265" s="16" t="n">
        <f aca="false">AA265-W265</f>
        <v>0.122694260406354</v>
      </c>
      <c r="AE265" s="16" t="n">
        <f aca="false">AB265-W265</f>
        <v>0.070953453499243</v>
      </c>
      <c r="AF265" s="16" t="n">
        <f aca="false">AE265-X265</f>
        <v>0.070953453499243</v>
      </c>
      <c r="AG265" s="16" t="n">
        <f aca="false">AF265-p_spc_lo*Y265/1000</f>
        <v>0.070953453499243</v>
      </c>
      <c r="AH265" s="16" t="n">
        <f aca="false">AF265-p_spc_hi*Y265/1000</f>
        <v>0.070953453499243</v>
      </c>
      <c r="AI265" s="16" t="n">
        <f aca="false">Q265*J265</f>
        <v>0.327326435889812</v>
      </c>
      <c r="AJ265" s="16" t="n">
        <f aca="false">S265*J265</f>
        <v>0.295639389580179</v>
      </c>
      <c r="AK265" s="16" t="n">
        <f aca="false">T265*J265</f>
        <v>0</v>
      </c>
      <c r="AL265" s="16" t="n">
        <f aca="false">U265*J265</f>
        <v>0</v>
      </c>
      <c r="AM265" s="16" t="n">
        <f aca="false">AI265-AJ265</f>
        <v>0.0316870463096329</v>
      </c>
      <c r="AN265" s="16" t="n">
        <f aca="false">J265*Country_Data!$EB$42</f>
        <v>4.95013503021094</v>
      </c>
      <c r="AO265" s="16" t="n">
        <f aca="false">L265*Country_Data!$EB$42</f>
        <v>1.18803240725063</v>
      </c>
    </row>
    <row r="266" customFormat="false" ht="15" hidden="false" customHeight="false" outlineLevel="0" collapsed="false">
      <c r="A266" s="14" t="str">
        <f aca="false">Country_Data!$A$42</f>
        <v>COL</v>
      </c>
      <c r="B266" s="14" t="str">
        <f aca="false">Country_Data!$E$42</f>
        <v>EMDC</v>
      </c>
      <c r="C266" s="35" t="s">
        <v>473</v>
      </c>
      <c r="D266" s="37" t="n">
        <f aca="false">IF(Country_Data!$CA$42="","",Country_Data!$CA$42)</f>
        <v>0.487317629127873</v>
      </c>
      <c r="E266" s="40" t="n">
        <f aca="false">Country_Data!$BW$42</f>
        <v>1132.936</v>
      </c>
      <c r="F266" s="41" t="n">
        <f aca="false">Country_Data!$BX$42</f>
        <v>0.37116306658099</v>
      </c>
      <c r="G266" s="42" t="n">
        <f aca="false">IF(D266="","",D266/SUMIFS($D$5:$D$1369,$B$5:$B$1369,B266,$C$5:$C$1369,C266))</f>
        <v>0.011258171081804</v>
      </c>
      <c r="H266" s="42" t="n">
        <f aca="false">E266/SUMIFS($E$5:$E$1369,$B$5:$B$1369,B266,$C$5:$C$1369,C266)</f>
        <v>0.0140333144684213</v>
      </c>
      <c r="I266" s="43" t="n">
        <f aca="false">IF(G266="",H266,p_beta_alloc*G266+(1-p_beta_alloc)*H266)*F266^p_phi</f>
        <v>0.00770418531678732</v>
      </c>
      <c r="J266" s="16" t="n">
        <f aca="false">INDEX(Sector_Params!$C$18:$E$18,MATCH(B266,Sector_Params!$C$15:$E$15,0))*I266/SUMIFS($I$5:$I$1369,$B$5:$B$1369,B266,$C$5:$C$1369,C266)</f>
        <v>3.15468159684443</v>
      </c>
      <c r="K266" s="28" t="n">
        <f aca="false">INDEX(Sector_Params!$F$7:$H$7,MATCH(B266,Sector_Params!$C$15:$E$15,0))</f>
        <v>0.24</v>
      </c>
      <c r="L266" s="16" t="n">
        <f aca="false">J266*K266</f>
        <v>0.757123583242663</v>
      </c>
      <c r="M266" s="44" t="n">
        <f aca="false">Country_Data!$DW$42+Sector_Params!$E$7</f>
        <v>0.06836</v>
      </c>
      <c r="N266" s="44" t="n">
        <f aca="false">Country_Data!$DX$42+Sector_Params!$E$7</f>
        <v>0.11336</v>
      </c>
      <c r="O266" s="11" t="n">
        <f aca="false">IF(p_use_ibrd=1,p_r_ibrd,p_r_wb)</f>
        <v>0.06</v>
      </c>
      <c r="P266" s="45" t="n">
        <f aca="false">Sector_Params!$D$7</f>
        <v>12</v>
      </c>
      <c r="Q266" s="46" t="n">
        <f aca="false">M266/(1-(1+M266)^-P266)</f>
        <v>0.124803831186444</v>
      </c>
      <c r="R266" s="46" t="n">
        <f aca="false">N266/(1-(1+N266)^-P266)</f>
        <v>0.156500936697596</v>
      </c>
      <c r="S266" s="46" t="n">
        <f aca="false">O266/(1-(1+O266)^-P266)</f>
        <v>0.119277029380664</v>
      </c>
      <c r="T266" s="37" t="n">
        <f aca="false">IF(AND(p_eng=1,ISNUMBER(Country_Data!$DE$42)),Country_Data!$DE$42,Country_Data!$CM$42)*Sector_Params!$I$7</f>
        <v>0.104684175</v>
      </c>
      <c r="U266" s="37" t="n">
        <f aca="false">IF(AND(p_eng=1,ISNUMBER(Country_Data!$DF$42)),Country_Data!$DF$42,Country_Data!$CN$42)*Sector_Params!$J$7</f>
        <v>0.023266575</v>
      </c>
      <c r="V266" s="37" t="n">
        <f aca="false">IF(AND(p_eng=1,ISNUMBER(Country_Data!$DG$42)),Country_Data!$DG$42,p_a)</f>
        <v>0.45711308204163</v>
      </c>
      <c r="W266" s="16" t="n">
        <f aca="false">T266*L266</f>
        <v>0.079258857684802</v>
      </c>
      <c r="X266" s="16" t="n">
        <f aca="false">U266*L266</f>
        <v>0.0176156726337842</v>
      </c>
      <c r="Y266" s="16" t="n">
        <f aca="false">V266*L266</f>
        <v>0.346091094622456</v>
      </c>
      <c r="Z266" s="16" t="n">
        <f aca="false">Q266*L266</f>
        <v>0.0944919238702929</v>
      </c>
      <c r="AA266" s="16" t="n">
        <f aca="false">R266*L266</f>
        <v>0.118490549973317</v>
      </c>
      <c r="AB266" s="16" t="n">
        <f aca="false">S266*L266</f>
        <v>0.0903074518832284</v>
      </c>
      <c r="AC266" s="16" t="n">
        <f aca="false">Z266-W266</f>
        <v>0.0152330661854909</v>
      </c>
      <c r="AD266" s="16" t="n">
        <f aca="false">AA266-W266</f>
        <v>0.0392316922885153</v>
      </c>
      <c r="AE266" s="16" t="n">
        <f aca="false">AB266-W266</f>
        <v>0.0110485941984264</v>
      </c>
      <c r="AF266" s="16" t="n">
        <f aca="false">AE266-X266</f>
        <v>-0.00656707843535778</v>
      </c>
      <c r="AG266" s="16" t="n">
        <f aca="false">AF266-p_spc_lo*Y266/1000</f>
        <v>-0.0238716331664806</v>
      </c>
      <c r="AH266" s="16" t="n">
        <f aca="false">AF266-p_spc_hi*Y266/1000</f>
        <v>-0.0411761878976034</v>
      </c>
      <c r="AI266" s="16" t="n">
        <f aca="false">Q266*J266</f>
        <v>0.393716349459554</v>
      </c>
      <c r="AJ266" s="16" t="n">
        <f aca="false">S266*J266</f>
        <v>0.376281049513452</v>
      </c>
      <c r="AK266" s="16" t="n">
        <f aca="false">T266*J266</f>
        <v>0.330245240353342</v>
      </c>
      <c r="AL266" s="16" t="n">
        <f aca="false">U266*J266</f>
        <v>0.0733986359741007</v>
      </c>
      <c r="AM266" s="16" t="n">
        <f aca="false">AI266-AJ266</f>
        <v>0.0174352999461022</v>
      </c>
      <c r="AN266" s="16" t="n">
        <f aca="false">J266*Country_Data!$EB$42</f>
        <v>3.51059439238585</v>
      </c>
      <c r="AO266" s="16" t="n">
        <f aca="false">L266*Country_Data!$EB$42</f>
        <v>0.842542654172605</v>
      </c>
    </row>
    <row r="267" customFormat="false" ht="15" hidden="false" customHeight="false" outlineLevel="0" collapsed="false">
      <c r="A267" s="14" t="str">
        <f aca="false">Country_Data!$A$42</f>
        <v>COL</v>
      </c>
      <c r="B267" s="14" t="str">
        <f aca="false">Country_Data!$E$42</f>
        <v>EMDC</v>
      </c>
      <c r="C267" s="35" t="s">
        <v>477</v>
      </c>
      <c r="D267" s="37" t="n">
        <f aca="false">IF(Country_Data!$CB$42="","",Country_Data!$CB$42)</f>
        <v>0.282943152578477</v>
      </c>
      <c r="E267" s="40" t="n">
        <f aca="false">Country_Data!$BW$42</f>
        <v>1132.936</v>
      </c>
      <c r="F267" s="41" t="n">
        <f aca="false">Country_Data!$BX$42</f>
        <v>0.37116306658099</v>
      </c>
      <c r="G267" s="42" t="n">
        <f aca="false">IF(D267="","",D267/SUMIFS($D$5:$D$1369,$B$5:$B$1369,B267,$C$5:$C$1369,C267))</f>
        <v>0.00892205916278852</v>
      </c>
      <c r="H267" s="42" t="n">
        <f aca="false">E267/SUMIFS($E$5:$E$1369,$B$5:$B$1369,B267,$C$5:$C$1369,C267)</f>
        <v>0.0140333144684213</v>
      </c>
      <c r="I267" s="43" t="n">
        <f aca="false">IF(G267="",H267,p_beta_alloc*G267+(1-p_beta_alloc)*H267)*F267^p_phi</f>
        <v>0.00699256878840627</v>
      </c>
      <c r="J267" s="16" t="n">
        <f aca="false">INDEX(Sector_Params!$C$19:$E$19,MATCH(B267,Sector_Params!$C$15:$E$15,0))*I267/SUMIFS($I$5:$I$1369,$B$5:$B$1369,B267,$C$5:$C$1369,C267)</f>
        <v>2.25064634661951</v>
      </c>
      <c r="K267" s="28" t="n">
        <f aca="false">INDEX(Sector_Params!$F$8:$H$8,MATCH(B267,Sector_Params!$C$15:$E$15,0))</f>
        <v>0.24</v>
      </c>
      <c r="L267" s="16" t="n">
        <f aca="false">J267*K267</f>
        <v>0.540155123188683</v>
      </c>
      <c r="M267" s="44" t="n">
        <f aca="false">Country_Data!$DW$42+Sector_Params!$E$8</f>
        <v>0.06836</v>
      </c>
      <c r="N267" s="44" t="n">
        <f aca="false">Country_Data!$DX$42+Sector_Params!$E$8</f>
        <v>0.11336</v>
      </c>
      <c r="O267" s="11" t="n">
        <f aca="false">IF(p_use_ibrd=1,p_r_ibrd,p_r_wb)</f>
        <v>0.06</v>
      </c>
      <c r="P267" s="45" t="n">
        <f aca="false">Sector_Params!$D$8</f>
        <v>25</v>
      </c>
      <c r="Q267" s="46" t="n">
        <f aca="false">M267/(1-(1+M267)^-P267)</f>
        <v>0.0845466012492002</v>
      </c>
      <c r="R267" s="46" t="n">
        <f aca="false">N267/(1-(1+N267)^-P267)</f>
        <v>0.121663679762905</v>
      </c>
      <c r="S267" s="46" t="n">
        <f aca="false">O267/(1-(1+O267)^-P267)</f>
        <v>0.078226718212274</v>
      </c>
      <c r="T267" s="37" t="n">
        <f aca="false">Country_Data!$CM$42*Sector_Params!$I$8</f>
        <v>0.153833041896102</v>
      </c>
      <c r="U267" s="37" t="n">
        <f aca="false">Country_Data!$CN$42*Sector_Params!$J$8</f>
        <v>0.261921837053682</v>
      </c>
      <c r="V267" s="37" t="n">
        <f aca="false">p_a</f>
        <v>0.35</v>
      </c>
      <c r="W267" s="16" t="n">
        <f aca="false">T267*L267</f>
        <v>0.0830937056958791</v>
      </c>
      <c r="X267" s="16" t="n">
        <f aca="false">U267*L267</f>
        <v>0.141478422159538</v>
      </c>
      <c r="Y267" s="16" t="n">
        <f aca="false">V267*L267</f>
        <v>0.189054293116039</v>
      </c>
      <c r="Z267" s="16" t="n">
        <f aca="false">Q267*L267</f>
        <v>0.0456682798129462</v>
      </c>
      <c r="AA267" s="16" t="n">
        <f aca="false">R267*L267</f>
        <v>0.0657172599299206</v>
      </c>
      <c r="AB267" s="16" t="n">
        <f aca="false">S267*L267</f>
        <v>0.0422545626125972</v>
      </c>
      <c r="AC267" s="16" t="n">
        <f aca="false">Z267-W267</f>
        <v>-0.0374254258829329</v>
      </c>
      <c r="AD267" s="16" t="n">
        <f aca="false">AA267-W267</f>
        <v>-0.0173764457659585</v>
      </c>
      <c r="AE267" s="16" t="n">
        <f aca="false">AB267-W267</f>
        <v>-0.0408391430832818</v>
      </c>
      <c r="AF267" s="16" t="n">
        <f aca="false">AE267-X267</f>
        <v>-0.18231756524282</v>
      </c>
      <c r="AG267" s="16" t="n">
        <f aca="false">AF267-p_spc_lo*Y267/1000</f>
        <v>-0.191770279898622</v>
      </c>
      <c r="AH267" s="16" t="n">
        <f aca="false">AF267-p_spc_hi*Y267/1000</f>
        <v>-0.201222994554424</v>
      </c>
      <c r="AI267" s="16" t="n">
        <f aca="false">Q267*J267</f>
        <v>0.190284499220609</v>
      </c>
      <c r="AJ267" s="16" t="n">
        <f aca="false">S267*J267</f>
        <v>0.176060677552488</v>
      </c>
      <c r="AK267" s="16" t="n">
        <f aca="false">T267*J267</f>
        <v>0.346223773732829</v>
      </c>
      <c r="AL267" s="16" t="n">
        <f aca="false">U267*J267</f>
        <v>0.589493425664741</v>
      </c>
      <c r="AM267" s="16" t="n">
        <f aca="false">AI267-AJ267</f>
        <v>0.0142238216681206</v>
      </c>
      <c r="AN267" s="16" t="n">
        <f aca="false">J267*Country_Data!$EB$42</f>
        <v>2.50456542162274</v>
      </c>
      <c r="AO267" s="16" t="n">
        <f aca="false">L267*Country_Data!$EB$42</f>
        <v>0.601095701189457</v>
      </c>
    </row>
    <row r="268" customFormat="false" ht="15" hidden="false" customHeight="false" outlineLevel="0" collapsed="false">
      <c r="A268" s="14" t="str">
        <f aca="false">Country_Data!$A$42</f>
        <v>COL</v>
      </c>
      <c r="B268" s="14" t="str">
        <f aca="false">Country_Data!$E$42</f>
        <v>EMDC</v>
      </c>
      <c r="C268" s="35" t="s">
        <v>481</v>
      </c>
      <c r="D268" s="37" t="n">
        <f aca="false">IF(Country_Data!$CC$42="","",Country_Data!$CC$42)</f>
        <v>0.338759418231622</v>
      </c>
      <c r="E268" s="40" t="n">
        <f aca="false">Country_Data!$BW$42</f>
        <v>1132.936</v>
      </c>
      <c r="F268" s="41" t="n">
        <f aca="false">Country_Data!$BX$42</f>
        <v>0.37116306658099</v>
      </c>
      <c r="G268" s="42" t="n">
        <f aca="false">IF(D268="","",D268/SUMIFS($D$5:$D$1369,$B$5:$B$1369,B268,$C$5:$C$1369,C268))</f>
        <v>0.00483891856643873</v>
      </c>
      <c r="H268" s="42" t="n">
        <f aca="false">E268/SUMIFS($E$5:$E$1369,$B$5:$B$1369,B268,$C$5:$C$1369,C268)</f>
        <v>0.0140333144684213</v>
      </c>
      <c r="I268" s="43" t="n">
        <f aca="false">IF(G268="",H268,p_beta_alloc*G268+(1-p_beta_alloc)*H268)*F268^p_phi</f>
        <v>0.00574877977623826</v>
      </c>
      <c r="J268" s="16" t="n">
        <f aca="false">INDEX(Sector_Params!$C$20:$E$20,MATCH(B268,Sector_Params!$C$15:$E$15,0))*I268/SUMIFS($I$5:$I$1369,$B$5:$B$1369,B268,$C$5:$C$1369,C268)</f>
        <v>1.04926807629125</v>
      </c>
      <c r="K268" s="28" t="n">
        <f aca="false">INDEX(Sector_Params!$F$9:$H$9,MATCH(B268,Sector_Params!$C$15:$E$15,0))</f>
        <v>0.24</v>
      </c>
      <c r="L268" s="16" t="n">
        <f aca="false">J268*K268</f>
        <v>0.2518243383099</v>
      </c>
      <c r="M268" s="44" t="n">
        <f aca="false">Country_Data!$DW$42+Sector_Params!$E$9</f>
        <v>0.06836</v>
      </c>
      <c r="N268" s="44" t="n">
        <f aca="false">Country_Data!$DX$42+Sector_Params!$E$9</f>
        <v>0.11336</v>
      </c>
      <c r="O268" s="11" t="n">
        <f aca="false">IF(p_use_ibrd=1,p_r_ibrd,p_r_wb)</f>
        <v>0.06</v>
      </c>
      <c r="P268" s="45" t="n">
        <f aca="false">Sector_Params!$D$9</f>
        <v>25</v>
      </c>
      <c r="Q268" s="46" t="n">
        <f aca="false">M268/(1-(1+M268)^-P268)</f>
        <v>0.0845466012492002</v>
      </c>
      <c r="R268" s="46" t="n">
        <f aca="false">N268/(1-(1+N268)^-P268)</f>
        <v>0.121663679762905</v>
      </c>
      <c r="S268" s="46" t="n">
        <f aca="false">O268/(1-(1+O268)^-P268)</f>
        <v>0.078226718212274</v>
      </c>
      <c r="T268" s="37" t="n">
        <f aca="false">Country_Data!$CM$42*Sector_Params!$I$9</f>
        <v>0.153833041896102</v>
      </c>
      <c r="U268" s="37" t="n">
        <f aca="false">Country_Data!$CN$42*Sector_Params!$J$9</f>
        <v>0.261921837053682</v>
      </c>
      <c r="V268" s="37" t="n">
        <f aca="false">p_a</f>
        <v>0.35</v>
      </c>
      <c r="W268" s="16" t="n">
        <f aca="false">T268*L268</f>
        <v>0.0387389039856851</v>
      </c>
      <c r="X268" s="16" t="n">
        <f aca="false">U268*L268</f>
        <v>0.0659582933049568</v>
      </c>
      <c r="Y268" s="16" t="n">
        <f aca="false">V268*L268</f>
        <v>0.0881385184084648</v>
      </c>
      <c r="Z268" s="16" t="n">
        <f aca="false">Q268*L268</f>
        <v>0.0212908919159308</v>
      </c>
      <c r="AA268" s="16" t="n">
        <f aca="false">R268*L268</f>
        <v>0.0306378756526411</v>
      </c>
      <c r="AB268" s="16" t="n">
        <f aca="false">S268*L268</f>
        <v>0.0196993915519609</v>
      </c>
      <c r="AC268" s="16" t="n">
        <f aca="false">Z268-W268</f>
        <v>-0.0174480120697543</v>
      </c>
      <c r="AD268" s="16" t="n">
        <f aca="false">AA268-W268</f>
        <v>-0.00810102833304392</v>
      </c>
      <c r="AE268" s="16" t="n">
        <f aca="false">AB268-W268</f>
        <v>-0.0190395124337242</v>
      </c>
      <c r="AF268" s="16" t="n">
        <f aca="false">AE268-X268</f>
        <v>-0.084997805738681</v>
      </c>
      <c r="AG268" s="16" t="n">
        <f aca="false">AF268-p_spc_lo*Y268/1000</f>
        <v>-0.0894047316591042</v>
      </c>
      <c r="AH268" s="16" t="n">
        <f aca="false">AF268-p_spc_hi*Y268/1000</f>
        <v>-0.0938116575795275</v>
      </c>
      <c r="AI268" s="16" t="n">
        <f aca="false">Q268*J268</f>
        <v>0.0887120496497115</v>
      </c>
      <c r="AJ268" s="16" t="n">
        <f aca="false">S268*J268</f>
        <v>0.0820807981331702</v>
      </c>
      <c r="AK268" s="16" t="n">
        <f aca="false">T268*J268</f>
        <v>0.161412099940354</v>
      </c>
      <c r="AL268" s="16" t="n">
        <f aca="false">U268*J268</f>
        <v>0.274826222103987</v>
      </c>
      <c r="AM268" s="16" t="n">
        <f aca="false">AI268-AJ268</f>
        <v>0.00663125151654126</v>
      </c>
      <c r="AN268" s="16" t="n">
        <f aca="false">J268*Country_Data!$EB$42</f>
        <v>1.16764703874462</v>
      </c>
      <c r="AO268" s="16" t="n">
        <f aca="false">L268*Country_Data!$EB$42</f>
        <v>0.280235289298709</v>
      </c>
    </row>
    <row r="269" customFormat="false" ht="15" hidden="false" customHeight="false" outlineLevel="0" collapsed="false">
      <c r="A269" s="14" t="str">
        <f aca="false">Country_Data!$A$42</f>
        <v>COL</v>
      </c>
      <c r="B269" s="14" t="str">
        <f aca="false">Country_Data!$E$42</f>
        <v>EMDC</v>
      </c>
      <c r="C269" s="35" t="s">
        <v>484</v>
      </c>
      <c r="D269" s="37" t="n">
        <f aca="false">IF(Country_Data!$CD$42="","",Country_Data!$CD$42)</f>
        <v>1.05282034224286</v>
      </c>
      <c r="E269" s="40" t="n">
        <f aca="false">Country_Data!$BW$42</f>
        <v>1132.936</v>
      </c>
      <c r="F269" s="41" t="n">
        <f aca="false">Country_Data!$BX$42</f>
        <v>0.37116306658099</v>
      </c>
      <c r="G269" s="42" t="n">
        <f aca="false">IF(D269="","",D269/SUMIFS($D$5:$D$1369,$B$5:$B$1369,B269,$C$5:$C$1369,C269))</f>
        <v>0.005879333406705</v>
      </c>
      <c r="H269" s="42" t="n">
        <f aca="false">E269/SUMIFS($E$5:$E$1369,$B$5:$B$1369,B269,$C$5:$C$1369,C269)</f>
        <v>0.0140333144684213</v>
      </c>
      <c r="I269" s="43" t="n">
        <f aca="false">IF(G269="",H269,p_beta_alloc*G269+(1-p_beta_alloc)*H269)*F269^p_phi</f>
        <v>0.00606570654275141</v>
      </c>
      <c r="J269" s="16" t="n">
        <f aca="false">INDEX(Sector_Params!$C$21:$E$21,MATCH(B269,Sector_Params!$C$15:$E$15,0))*I269/SUMIFS($I$5:$I$1369,$B$5:$B$1369,B269,$C$5:$C$1369,C269)</f>
        <v>1.34531200024548</v>
      </c>
      <c r="K269" s="28" t="n">
        <f aca="false">INDEX(Sector_Params!$F$10:$H$10,MATCH(B269,Sector_Params!$C$15:$E$15,0))</f>
        <v>0.24</v>
      </c>
      <c r="L269" s="16" t="n">
        <f aca="false">J269*K269</f>
        <v>0.322874880058915</v>
      </c>
      <c r="M269" s="44" t="n">
        <f aca="false">Country_Data!$DW$42+Sector_Params!$E$10</f>
        <v>0.06836</v>
      </c>
      <c r="N269" s="44" t="n">
        <f aca="false">Country_Data!$DX$42+Sector_Params!$E$10</f>
        <v>0.11336</v>
      </c>
      <c r="O269" s="11" t="n">
        <f aca="false">IF(p_use_ibrd=1,p_r_ibrd,p_r_wb)</f>
        <v>0.06</v>
      </c>
      <c r="P269" s="45" t="n">
        <f aca="false">Sector_Params!$D$10</f>
        <v>20</v>
      </c>
      <c r="Q269" s="46" t="n">
        <f aca="false">M269/(1-(1+M269)^-P269)</f>
        <v>0.0931931337217689</v>
      </c>
      <c r="R269" s="46" t="n">
        <f aca="false">N269/(1-(1+N269)^-P269)</f>
        <v>0.128345387628335</v>
      </c>
      <c r="S269" s="46" t="n">
        <f aca="false">O269/(1-(1+O269)^-P269)</f>
        <v>0.0871845569768514</v>
      </c>
      <c r="T269" s="37" t="n">
        <f aca="false">0*Sector_Params!$I$10</f>
        <v>0</v>
      </c>
      <c r="U269" s="37" t="n">
        <f aca="false">0*Sector_Params!$J$10</f>
        <v>0</v>
      </c>
      <c r="V269" s="37" t="n">
        <f aca="false">1000*p_r_wb/(1-(1+p_r_wb)^-Sector_Params!$D$10)/p_cpt_fuel</f>
        <v>0.871845569768514</v>
      </c>
      <c r="W269" s="16" t="n">
        <f aca="false">T269*L269</f>
        <v>0</v>
      </c>
      <c r="X269" s="16" t="n">
        <f aca="false">U269*L269</f>
        <v>0</v>
      </c>
      <c r="Y269" s="16" t="n">
        <f aca="false">V269*L269</f>
        <v>0.281497033768905</v>
      </c>
      <c r="Z269" s="16" t="n">
        <f aca="false">Q269*L269</f>
        <v>0.0300897218727305</v>
      </c>
      <c r="AA269" s="16" t="n">
        <f aca="false">R269*L269</f>
        <v>0.0414395016366135</v>
      </c>
      <c r="AB269" s="16" t="n">
        <f aca="false">S269*L269</f>
        <v>0.0281497033768905</v>
      </c>
      <c r="AC269" s="16" t="n">
        <f aca="false">Z269-W269</f>
        <v>0.0300897218727305</v>
      </c>
      <c r="AD269" s="16" t="n">
        <f aca="false">AA269-W269</f>
        <v>0.0414395016366135</v>
      </c>
      <c r="AE269" s="16" t="n">
        <f aca="false">AB269-W269</f>
        <v>0.0281497033768905</v>
      </c>
      <c r="AF269" s="16" t="n">
        <f aca="false">AE269-X269</f>
        <v>0.0281497033768905</v>
      </c>
      <c r="AG269" s="16" t="n">
        <f aca="false">AF269-p_spc_lo*Y269/1000</f>
        <v>0.0140748516884453</v>
      </c>
      <c r="AH269" s="16" t="n">
        <f aca="false">AF269-p_spc_hi*Y269/1000</f>
        <v>0</v>
      </c>
      <c r="AI269" s="16" t="n">
        <f aca="false">Q269*J269</f>
        <v>0.125373841136377</v>
      </c>
      <c r="AJ269" s="16" t="n">
        <f aca="false">S269*J269</f>
        <v>0.117290430737044</v>
      </c>
      <c r="AK269" s="16" t="n">
        <f aca="false">T269*J269</f>
        <v>0</v>
      </c>
      <c r="AL269" s="16" t="n">
        <f aca="false">U269*J269</f>
        <v>0</v>
      </c>
      <c r="AM269" s="16" t="n">
        <f aca="false">AI269-AJ269</f>
        <v>0.00808341039933341</v>
      </c>
      <c r="AN269" s="16" t="n">
        <f aca="false">J269*Country_Data!$EB$42</f>
        <v>1.49709079001676</v>
      </c>
      <c r="AO269" s="16" t="n">
        <f aca="false">L269*Country_Data!$EB$42</f>
        <v>0.359301789604023</v>
      </c>
    </row>
    <row r="270" customFormat="false" ht="15" hidden="false" customHeight="false" outlineLevel="0" collapsed="false">
      <c r="A270" s="14" t="str">
        <f aca="false">Country_Data!$A$42</f>
        <v>COL</v>
      </c>
      <c r="B270" s="14" t="str">
        <f aca="false">Country_Data!$E$42</f>
        <v>EMDC</v>
      </c>
      <c r="C270" s="35" t="s">
        <v>488</v>
      </c>
      <c r="D270" s="37" t="n">
        <f aca="false">IF(Country_Data!$CE$42="","",Country_Data!$CE$42)</f>
        <v>208.304</v>
      </c>
      <c r="E270" s="40" t="n">
        <f aca="false">Country_Data!$BW$42</f>
        <v>1132.936</v>
      </c>
      <c r="F270" s="41" t="n">
        <f aca="false">Country_Data!$BX$42</f>
        <v>0.37116306658099</v>
      </c>
      <c r="G270" s="42" t="n">
        <f aca="false">IF(D270="","",D270/SUMIFS($D$5:$D$1369,$B$5:$B$1369,B270,$C$5:$C$1369,C270))</f>
        <v>0.0170683482859463</v>
      </c>
      <c r="H270" s="42" t="n">
        <f aca="false">E270/SUMIFS($E$5:$E$1369,$B$5:$B$1369,B270,$C$5:$C$1369,C270)</f>
        <v>0.0140333144684213</v>
      </c>
      <c r="I270" s="43" t="n">
        <f aca="false">IF(G270="",H270,p_beta_alloc*G270+(1-p_beta_alloc)*H270)*F270^p_phi</f>
        <v>0.00947405691310748</v>
      </c>
      <c r="J270" s="16" t="n">
        <f aca="false">INDEX(Sector_Params!$C$22:$E$22,MATCH(B270,Sector_Params!$C$15:$E$15,0))*I270/SUMIFS($I$5:$I$1369,$B$5:$B$1369,B270,$C$5:$C$1369,C270)</f>
        <v>5.71104097768443</v>
      </c>
      <c r="K270" s="28" t="n">
        <f aca="false">INDEX(Sector_Params!$F$11:$H$11,MATCH(B270,Sector_Params!$C$15:$E$15,0))</f>
        <v>0.24</v>
      </c>
      <c r="L270" s="16" t="n">
        <f aca="false">J270*K270</f>
        <v>1.37064983464426</v>
      </c>
      <c r="M270" s="44" t="n">
        <f aca="false">Country_Data!$DW$42+Sector_Params!$E$11</f>
        <v>0.06836</v>
      </c>
      <c r="N270" s="44" t="n">
        <f aca="false">Country_Data!$DX$42+Sector_Params!$E$11</f>
        <v>0.11336</v>
      </c>
      <c r="O270" s="11" t="n">
        <f aca="false">IF(p_use_ibrd=1,p_r_ibrd,p_r_wb)</f>
        <v>0.06</v>
      </c>
      <c r="P270" s="45" t="n">
        <f aca="false">Sector_Params!$D$11</f>
        <v>30</v>
      </c>
      <c r="Q270" s="46" t="n">
        <f aca="false">M270/(1-(1+M270)^-P270)</f>
        <v>0.0792628809727778</v>
      </c>
      <c r="R270" s="46" t="n">
        <f aca="false">N270/(1-(1+N270)^-P270)</f>
        <v>0.118070567413656</v>
      </c>
      <c r="S270" s="46" t="n">
        <f aca="false">O270/(1-(1+O270)^-P270)</f>
        <v>0.0726489114900472</v>
      </c>
      <c r="T270" s="37" t="n">
        <f aca="false">0*Sector_Params!$I$11</f>
        <v>0</v>
      </c>
      <c r="U270" s="37" t="n">
        <f aca="false">p_c*Sector_Params!$J$11</f>
        <v>0.129</v>
      </c>
      <c r="V270" s="37" t="n">
        <f aca="false">1000*p_r_wb/(1-(1+p_r_wb)^-Sector_Params!$D$11)/p_cpt_afolu</f>
        <v>1.45297822980094</v>
      </c>
      <c r="W270" s="16" t="n">
        <f aca="false">T270*L270</f>
        <v>0</v>
      </c>
      <c r="X270" s="16" t="n">
        <f aca="false">U270*L270</f>
        <v>0.17681382866911</v>
      </c>
      <c r="Y270" s="16" t="n">
        <f aca="false">V270*L270</f>
        <v>1.99152437041838</v>
      </c>
      <c r="Z270" s="16" t="n">
        <f aca="false">Q270*L270</f>
        <v>0.108641654698766</v>
      </c>
      <c r="AA270" s="16" t="n">
        <f aca="false">R270*L270</f>
        <v>0.161833403701882</v>
      </c>
      <c r="AB270" s="16" t="n">
        <f aca="false">S270*L270</f>
        <v>0.0995762185209189</v>
      </c>
      <c r="AC270" s="16" t="n">
        <f aca="false">Z270-W270</f>
        <v>0.108641654698766</v>
      </c>
      <c r="AD270" s="16" t="n">
        <f aca="false">AA270-W270</f>
        <v>0.161833403701882</v>
      </c>
      <c r="AE270" s="16" t="n">
        <f aca="false">AB270-W270</f>
        <v>0.0995762185209189</v>
      </c>
      <c r="AF270" s="16" t="n">
        <f aca="false">AE270-X270</f>
        <v>-0.077237610148191</v>
      </c>
      <c r="AG270" s="16" t="n">
        <f aca="false">AF270-p_spc_lo*Y270/1000</f>
        <v>-0.17681382866911</v>
      </c>
      <c r="AH270" s="16" t="n">
        <f aca="false">AF270-p_spc_hi*Y270/1000</f>
        <v>-0.276390047190029</v>
      </c>
      <c r="AI270" s="16" t="n">
        <f aca="false">Q270*J270</f>
        <v>0.452673561244857</v>
      </c>
      <c r="AJ270" s="16" t="n">
        <f aca="false">S270*J270</f>
        <v>0.414900910503829</v>
      </c>
      <c r="AK270" s="16" t="n">
        <f aca="false">T270*J270</f>
        <v>0</v>
      </c>
      <c r="AL270" s="16" t="n">
        <f aca="false">U270*J270</f>
        <v>0.736724286121291</v>
      </c>
      <c r="AM270" s="16" t="n">
        <f aca="false">AI270-AJ270</f>
        <v>0.0377726507410289</v>
      </c>
      <c r="AN270" s="16" t="n">
        <f aca="false">J270*Country_Data!$EB$42</f>
        <v>6.35536354952575</v>
      </c>
      <c r="AO270" s="16" t="n">
        <f aca="false">L270*Country_Data!$EB$42</f>
        <v>1.52528725188618</v>
      </c>
    </row>
    <row r="271" customFormat="false" ht="15" hidden="false" customHeight="false" outlineLevel="0" collapsed="false">
      <c r="A271" s="14" t="str">
        <f aca="false">Country_Data!$A$43</f>
        <v>IRN</v>
      </c>
      <c r="B271" s="14" t="str">
        <f aca="false">Country_Data!$E$43</f>
        <v>EMDC</v>
      </c>
      <c r="C271" s="35" t="s">
        <v>466</v>
      </c>
      <c r="D271" s="37" t="n">
        <f aca="false">IF(Country_Data!$BZ$43="","",Country_Data!$BZ$43)</f>
        <v>364.129433855286</v>
      </c>
      <c r="E271" s="40" t="n">
        <f aca="false">Country_Data!$BW$43</f>
        <v>1822.448</v>
      </c>
      <c r="F271" s="41" t="n">
        <f aca="false">Country_Data!$BX$43</f>
        <v>0.228635330061544</v>
      </c>
      <c r="G271" s="42" t="n">
        <f aca="false">IF(D271="","",D271/SUMIFS($D$5:$D$1369,$B$5:$B$1369,B271,$C$5:$C$1369,C271))</f>
        <v>0.0415697937415234</v>
      </c>
      <c r="H271" s="42" t="n">
        <f aca="false">E271/SUMIFS($E$5:$E$1369,$B$5:$B$1369,B271,$C$5:$C$1369,C271)</f>
        <v>0.0225740782236115</v>
      </c>
      <c r="I271" s="43" t="n">
        <f aca="false">IF(G271="",H271,p_beta_alloc*G271+(1-p_beta_alloc)*H271)*F271^p_phi</f>
        <v>0.0153354613878213</v>
      </c>
      <c r="J271" s="16" t="n">
        <f aca="false">INDEX(Sector_Params!$C$16:$E$16,MATCH(B271,Sector_Params!$C$15:$E$15,0))*I271/SUMIFS($I$5:$I$1369,$B$5:$B$1369,B271,$C$5:$C$1369,C271)</f>
        <v>14.832847041767</v>
      </c>
      <c r="K271" s="28" t="n">
        <f aca="false">INDEX(Sector_Params!$F$5:$H$5,MATCH(B271,Sector_Params!$C$15:$E$15,0))</f>
        <v>0.24</v>
      </c>
      <c r="L271" s="16" t="n">
        <f aca="false">J271*K271</f>
        <v>3.55988329002409</v>
      </c>
      <c r="M271" s="44" t="n">
        <f aca="false">Country_Data!$DW$43+Sector_Params!$E$5</f>
        <v>0.105</v>
      </c>
      <c r="N271" s="44" t="n">
        <f aca="false">Country_Data!$DX$43+Sector_Params!$E$5</f>
        <v>0.15</v>
      </c>
      <c r="O271" s="11" t="n">
        <f aca="false">IF(p_use_ibrd=1,p_r_ibrd,p_r_wb)</f>
        <v>0.06</v>
      </c>
      <c r="P271" s="45" t="n">
        <f aca="false">Sector_Params!$D$5</f>
        <v>25</v>
      </c>
      <c r="Q271" s="46" t="n">
        <f aca="false">M271/(1-(1+M271)^-P271)</f>
        <v>0.114429319813103</v>
      </c>
      <c r="R271" s="46" t="n">
        <f aca="false">N271/(1-(1+N271)^-P271)</f>
        <v>0.154699402320206</v>
      </c>
      <c r="S271" s="46" t="n">
        <f aca="false">O271/(1-(1+O271)^-P271)</f>
        <v>0.078226718212274</v>
      </c>
      <c r="T271" s="37" t="n">
        <f aca="false">IF(AND(p_eng=1,ISNUMBER(Country_Data!$CZ$43)),Country_Data!$CZ$43,Country_Data!$CM$43)*Sector_Params!$I$5</f>
        <v>0.0515821953215054</v>
      </c>
      <c r="U271" s="37" t="n">
        <f aca="false">IF(AND(p_eng=1,ISNUMBER(Country_Data!$DA$43)),Country_Data!$DA$43,Country_Data!$CN$43)*Sector_Params!$J$5</f>
        <v>0.0199631192207925</v>
      </c>
      <c r="V271" s="37" t="n">
        <f aca="false">IF(AND(p_eng=1,ISNUMBER(Country_Data!$DB$43)),Country_Data!$DB$43,p_a)</f>
        <v>0.964822783197427</v>
      </c>
      <c r="W271" s="16" t="n">
        <f aca="false">T271*L271</f>
        <v>0.183626595187786</v>
      </c>
      <c r="X271" s="16" t="n">
        <f aca="false">U271*L271</f>
        <v>0.0710663745308578</v>
      </c>
      <c r="Y271" s="16" t="n">
        <f aca="false">V271*L271</f>
        <v>3.43465650373905</v>
      </c>
      <c r="Z271" s="16" t="n">
        <f aca="false">Q271*L271</f>
        <v>0.407355023491489</v>
      </c>
      <c r="AA271" s="16" t="n">
        <f aca="false">R271*L271</f>
        <v>0.550711817296416</v>
      </c>
      <c r="AB271" s="16" t="n">
        <f aca="false">S271*L271</f>
        <v>0.278477986997297</v>
      </c>
      <c r="AC271" s="16" t="n">
        <f aca="false">Z271-W271</f>
        <v>0.223728428303703</v>
      </c>
      <c r="AD271" s="16" t="n">
        <f aca="false">AA271-W271</f>
        <v>0.367085222108631</v>
      </c>
      <c r="AE271" s="16" t="n">
        <f aca="false">AB271-W271</f>
        <v>0.0948513918095112</v>
      </c>
      <c r="AF271" s="16" t="n">
        <f aca="false">AE271-X271</f>
        <v>0.0237850172786534</v>
      </c>
      <c r="AG271" s="16" t="n">
        <f aca="false">AF271-p_spc_lo*Y271/1000</f>
        <v>-0.147947807908299</v>
      </c>
      <c r="AH271" s="16" t="n">
        <f aca="false">AF271-p_spc_hi*Y271/1000</f>
        <v>-0.319680633095252</v>
      </c>
      <c r="AI271" s="16" t="n">
        <f aca="false">Q271*J271</f>
        <v>1.6973125978812</v>
      </c>
      <c r="AJ271" s="16" t="n">
        <f aca="false">S271*J271</f>
        <v>1.16032494582207</v>
      </c>
      <c r="AK271" s="16" t="n">
        <f aca="false">T271*J271</f>
        <v>0.765110813282441</v>
      </c>
      <c r="AL271" s="16" t="n">
        <f aca="false">U271*J271</f>
        <v>0.296109893878574</v>
      </c>
      <c r="AM271" s="16" t="n">
        <f aca="false">AI271-AJ271</f>
        <v>0.536987652059132</v>
      </c>
      <c r="AN271" s="16" t="n">
        <f aca="false">J271*Country_Data!$EB$43</f>
        <v>17.0272956452065</v>
      </c>
      <c r="AO271" s="16" t="n">
        <f aca="false">L271*Country_Data!$EB$43</f>
        <v>4.08655095484957</v>
      </c>
    </row>
    <row r="272" customFormat="false" ht="15" hidden="false" customHeight="false" outlineLevel="0" collapsed="false">
      <c r="A272" s="14" t="str">
        <f aca="false">Country_Data!$A$43</f>
        <v>IRN</v>
      </c>
      <c r="B272" s="14" t="str">
        <f aca="false">Country_Data!$E$43</f>
        <v>EMDC</v>
      </c>
      <c r="C272" s="35" t="s">
        <v>470</v>
      </c>
      <c r="D272" s="37" t="n">
        <f aca="false">IF(Country_Data!$BZ$43="","",Country_Data!$BZ$43)</f>
        <v>364.129433855286</v>
      </c>
      <c r="E272" s="40" t="n">
        <f aca="false">Country_Data!$BW$43</f>
        <v>1822.448</v>
      </c>
      <c r="F272" s="41" t="n">
        <f aca="false">Country_Data!$BX$43</f>
        <v>0.228635330061544</v>
      </c>
      <c r="G272" s="42" t="n">
        <f aca="false">IF(D272="","",D272/SUMIFS($D$5:$D$1369,$B$5:$B$1369,B272,$C$5:$C$1369,C272))</f>
        <v>0.0415697937415234</v>
      </c>
      <c r="H272" s="42" t="n">
        <f aca="false">E272/SUMIFS($E$5:$E$1369,$B$5:$B$1369,B272,$C$5:$C$1369,C272)</f>
        <v>0.0225740782236115</v>
      </c>
      <c r="I272" s="43" t="n">
        <f aca="false">IF(G272="",H272,p_beta_alloc*G272+(1-p_beta_alloc)*H272)*F272^p_phi</f>
        <v>0.0153354613878213</v>
      </c>
      <c r="J272" s="16" t="n">
        <f aca="false">INDEX(Sector_Params!$C$17:$E$17,MATCH(B272,Sector_Params!$C$15:$E$15,0))*I272/SUMIFS($I$5:$I$1369,$B$5:$B$1369,B272,$C$5:$C$1369,C272)</f>
        <v>10.1710951143545</v>
      </c>
      <c r="K272" s="28" t="n">
        <f aca="false">INDEX(Sector_Params!$F$6:$H$6,MATCH(B272,Sector_Params!$C$15:$E$15,0))</f>
        <v>0.24</v>
      </c>
      <c r="L272" s="16" t="n">
        <f aca="false">J272*K272</f>
        <v>2.44106282744509</v>
      </c>
      <c r="M272" s="44" t="n">
        <f aca="false">Country_Data!$DW$43+Sector_Params!$E$6</f>
        <v>0.105</v>
      </c>
      <c r="N272" s="44" t="n">
        <f aca="false">Country_Data!$DX$43+Sector_Params!$E$6</f>
        <v>0.15</v>
      </c>
      <c r="O272" s="11" t="n">
        <f aca="false">IF(p_use_ibrd=1,p_r_ibrd,p_r_wb)</f>
        <v>0.06</v>
      </c>
      <c r="P272" s="45" t="n">
        <f aca="false">Sector_Params!$D$6</f>
        <v>40</v>
      </c>
      <c r="Q272" s="46" t="n">
        <f aca="false">M272/(1-(1+M272)^-P272)</f>
        <v>0.10697140835497</v>
      </c>
      <c r="R272" s="46" t="n">
        <f aca="false">N272/(1-(1+N272)^-P272)</f>
        <v>0.150562085013545</v>
      </c>
      <c r="S272" s="46" t="n">
        <f aca="false">O272/(1-(1+O272)^-P272)</f>
        <v>0.0664615359206755</v>
      </c>
      <c r="T272" s="37" t="n">
        <f aca="false">p_grid_credit*IF(AND(p_eng=1,ISNUMBER(Country_Data!$CZ$43)),Country_Data!$CZ$43,Country_Data!$CM$43)*Sector_Params!$I$6</f>
        <v>0</v>
      </c>
      <c r="U272" s="37" t="n">
        <f aca="false">p_grid_credit*IF(AND(p_eng=1,ISNUMBER(Country_Data!$DA$43)),Country_Data!$DA$43,Country_Data!$CN$43)*Sector_Params!$J$6</f>
        <v>0</v>
      </c>
      <c r="V272" s="37" t="n">
        <f aca="false">p_grid_credit*IF(AND(p_eng=1,ISNUMBER(Country_Data!$DB$43)),Country_Data!$DB$43,p_a)</f>
        <v>0</v>
      </c>
      <c r="W272" s="16" t="n">
        <f aca="false">T272*L272</f>
        <v>0</v>
      </c>
      <c r="X272" s="16" t="n">
        <f aca="false">U272*L272</f>
        <v>0</v>
      </c>
      <c r="Y272" s="16" t="n">
        <f aca="false">V272*L272</f>
        <v>0</v>
      </c>
      <c r="Z272" s="16" t="n">
        <f aca="false">Q272*L272</f>
        <v>0.261123928534767</v>
      </c>
      <c r="AA272" s="16" t="n">
        <f aca="false">R272*L272</f>
        <v>0.367531508949192</v>
      </c>
      <c r="AB272" s="16" t="n">
        <f aca="false">S272*L272</f>
        <v>0.162236784790867</v>
      </c>
      <c r="AC272" s="16" t="n">
        <f aca="false">Z272-W272</f>
        <v>0.261123928534767</v>
      </c>
      <c r="AD272" s="16" t="n">
        <f aca="false">AA272-W272</f>
        <v>0.367531508949192</v>
      </c>
      <c r="AE272" s="16" t="n">
        <f aca="false">AB272-W272</f>
        <v>0.162236784790867</v>
      </c>
      <c r="AF272" s="16" t="n">
        <f aca="false">AE272-X272</f>
        <v>0.162236784790867</v>
      </c>
      <c r="AG272" s="16" t="n">
        <f aca="false">AF272-p_spc_lo*Y272/1000</f>
        <v>0.162236784790867</v>
      </c>
      <c r="AH272" s="16" t="n">
        <f aca="false">AF272-p_spc_hi*Y272/1000</f>
        <v>0.162236784790867</v>
      </c>
      <c r="AI272" s="16" t="n">
        <f aca="false">Q272*J272</f>
        <v>1.08801636889486</v>
      </c>
      <c r="AJ272" s="16" t="n">
        <f aca="false">S272*J272</f>
        <v>0.675986603295281</v>
      </c>
      <c r="AK272" s="16" t="n">
        <f aca="false">T272*J272</f>
        <v>0</v>
      </c>
      <c r="AL272" s="16" t="n">
        <f aca="false">U272*J272</f>
        <v>0</v>
      </c>
      <c r="AM272" s="16" t="n">
        <f aca="false">AI272-AJ272</f>
        <v>0.412029765599582</v>
      </c>
      <c r="AN272" s="16" t="n">
        <f aca="false">J272*Country_Data!$EB$43</f>
        <v>11.6758598709988</v>
      </c>
      <c r="AO272" s="16" t="n">
        <f aca="false">L272*Country_Data!$EB$43</f>
        <v>2.8022063690397</v>
      </c>
    </row>
    <row r="273" customFormat="false" ht="15" hidden="false" customHeight="false" outlineLevel="0" collapsed="false">
      <c r="A273" s="14" t="str">
        <f aca="false">Country_Data!$A$43</f>
        <v>IRN</v>
      </c>
      <c r="B273" s="14" t="str">
        <f aca="false">Country_Data!$E$43</f>
        <v>EMDC</v>
      </c>
      <c r="C273" s="35" t="s">
        <v>473</v>
      </c>
      <c r="D273" s="37" t="n">
        <f aca="false">IF(Country_Data!$CA$43="","",Country_Data!$CA$43)</f>
        <v>2.18779737604472</v>
      </c>
      <c r="E273" s="40" t="n">
        <f aca="false">Country_Data!$BW$43</f>
        <v>1822.448</v>
      </c>
      <c r="F273" s="41" t="n">
        <f aca="false">Country_Data!$BX$43</f>
        <v>0.228635330061544</v>
      </c>
      <c r="G273" s="42" t="n">
        <f aca="false">IF(D273="","",D273/SUMIFS($D$5:$D$1369,$B$5:$B$1369,B273,$C$5:$C$1369,C273))</f>
        <v>0.0505432097663147</v>
      </c>
      <c r="H273" s="42" t="n">
        <f aca="false">E273/SUMIFS($E$5:$E$1369,$B$5:$B$1369,B273,$C$5:$C$1369,C273)</f>
        <v>0.0225740782236115</v>
      </c>
      <c r="I273" s="43" t="n">
        <f aca="false">IF(G273="",H273,p_beta_alloc*G273+(1-p_beta_alloc)*H273)*F273^p_phi</f>
        <v>0.0174808179238259</v>
      </c>
      <c r="J273" s="16" t="n">
        <f aca="false">INDEX(Sector_Params!$C$18:$E$18,MATCH(B273,Sector_Params!$C$15:$E$15,0))*I273/SUMIFS($I$5:$I$1369,$B$5:$B$1369,B273,$C$5:$C$1369,C273)</f>
        <v>7.15798132242725</v>
      </c>
      <c r="K273" s="28" t="n">
        <f aca="false">INDEX(Sector_Params!$F$7:$H$7,MATCH(B273,Sector_Params!$C$15:$E$15,0))</f>
        <v>0.24</v>
      </c>
      <c r="L273" s="16" t="n">
        <f aca="false">J273*K273</f>
        <v>1.71791551738254</v>
      </c>
      <c r="M273" s="44" t="n">
        <f aca="false">Country_Data!$DW$43+Sector_Params!$E$7</f>
        <v>0.105</v>
      </c>
      <c r="N273" s="44" t="n">
        <f aca="false">Country_Data!$DX$43+Sector_Params!$E$7</f>
        <v>0.15</v>
      </c>
      <c r="O273" s="11" t="n">
        <f aca="false">IF(p_use_ibrd=1,p_r_ibrd,p_r_wb)</f>
        <v>0.06</v>
      </c>
      <c r="P273" s="45" t="n">
        <f aca="false">Sector_Params!$D$7</f>
        <v>12</v>
      </c>
      <c r="Q273" s="46" t="n">
        <f aca="false">M273/(1-(1+M273)^-P273)</f>
        <v>0.150376745634766</v>
      </c>
      <c r="R273" s="46" t="n">
        <f aca="false">N273/(1-(1+N273)^-P273)</f>
        <v>0.18448077613084</v>
      </c>
      <c r="S273" s="46" t="n">
        <f aca="false">O273/(1-(1+O273)^-P273)</f>
        <v>0.119277029380664</v>
      </c>
      <c r="T273" s="37" t="n">
        <f aca="false">IF(AND(p_eng=1,ISNUMBER(Country_Data!$DE$43)),Country_Data!$DE$43,Country_Data!$CM$43)*Sector_Params!$I$7</f>
        <v>0.1022787</v>
      </c>
      <c r="U273" s="37" t="n">
        <f aca="false">IF(AND(p_eng=1,ISNUMBER(Country_Data!$DF$43)),Country_Data!$DF$43,Country_Data!$CN$43)*Sector_Params!$J$7</f>
        <v>0.020570625</v>
      </c>
      <c r="V273" s="37" t="n">
        <f aca="false">IF(AND(p_eng=1,ISNUMBER(Country_Data!$DG$43)),Country_Data!$DG$43,p_a)</f>
        <v>0.306866727961481</v>
      </c>
      <c r="W273" s="16" t="n">
        <f aca="false">T273*L273</f>
        <v>0.175706165827714</v>
      </c>
      <c r="X273" s="16" t="n">
        <f aca="false">U273*L273</f>
        <v>0.0353385958897572</v>
      </c>
      <c r="Y273" s="16" t="n">
        <f aca="false">V273*L273</f>
        <v>0.527171113733435</v>
      </c>
      <c r="Z273" s="16" t="n">
        <f aca="false">Q273*L273</f>
        <v>0.258334544779451</v>
      </c>
      <c r="AA273" s="16" t="n">
        <f aca="false">R273*L273</f>
        <v>0.316922387973944</v>
      </c>
      <c r="AB273" s="16" t="n">
        <f aca="false">S273*L273</f>
        <v>0.204907859640335</v>
      </c>
      <c r="AC273" s="16" t="n">
        <f aca="false">Z273-W273</f>
        <v>0.0826283789517376</v>
      </c>
      <c r="AD273" s="16" t="n">
        <f aca="false">AA273-W273</f>
        <v>0.14121622214623</v>
      </c>
      <c r="AE273" s="16" t="n">
        <f aca="false">AB273-W273</f>
        <v>0.0292016938126215</v>
      </c>
      <c r="AF273" s="16" t="n">
        <f aca="false">AE273-X273</f>
        <v>-0.00613690207713574</v>
      </c>
      <c r="AG273" s="16" t="n">
        <f aca="false">AF273-p_spc_lo*Y273/1000</f>
        <v>-0.0324954577638075</v>
      </c>
      <c r="AH273" s="16" t="n">
        <f aca="false">AF273-p_spc_hi*Y273/1000</f>
        <v>-0.0588540134504792</v>
      </c>
      <c r="AI273" s="16" t="n">
        <f aca="false">Q273*J273</f>
        <v>1.07639393658105</v>
      </c>
      <c r="AJ273" s="16" t="n">
        <f aca="false">S273*J273</f>
        <v>0.853782748501396</v>
      </c>
      <c r="AK273" s="16" t="n">
        <f aca="false">T273*J273</f>
        <v>0.73210902428214</v>
      </c>
      <c r="AL273" s="16" t="n">
        <f aca="false">U273*J273</f>
        <v>0.147244149540655</v>
      </c>
      <c r="AM273" s="16" t="n">
        <f aca="false">AI273-AJ273</f>
        <v>0.222611188079651</v>
      </c>
      <c r="AN273" s="16" t="n">
        <f aca="false">J273*Country_Data!$EB$43</f>
        <v>8.21697033999183</v>
      </c>
      <c r="AO273" s="16" t="n">
        <f aca="false">L273*Country_Data!$EB$43</f>
        <v>1.97207288159804</v>
      </c>
    </row>
    <row r="274" customFormat="false" ht="15" hidden="false" customHeight="false" outlineLevel="0" collapsed="false">
      <c r="A274" s="14" t="str">
        <f aca="false">Country_Data!$A$43</f>
        <v>IRN</v>
      </c>
      <c r="B274" s="14" t="str">
        <f aca="false">Country_Data!$E$43</f>
        <v>EMDC</v>
      </c>
      <c r="C274" s="35" t="s">
        <v>477</v>
      </c>
      <c r="D274" s="37" t="n">
        <f aca="false">IF(Country_Data!$CB$43="","",Country_Data!$CB$43)</f>
        <v>3.42290248671189</v>
      </c>
      <c r="E274" s="40" t="n">
        <f aca="false">Country_Data!$BW$43</f>
        <v>1822.448</v>
      </c>
      <c r="F274" s="41" t="n">
        <f aca="false">Country_Data!$BX$43</f>
        <v>0.228635330061544</v>
      </c>
      <c r="G274" s="42" t="n">
        <f aca="false">IF(D274="","",D274/SUMIFS($D$5:$D$1369,$B$5:$B$1369,B274,$C$5:$C$1369,C274))</f>
        <v>0.107934538145181</v>
      </c>
      <c r="H274" s="42" t="n">
        <f aca="false">E274/SUMIFS($E$5:$E$1369,$B$5:$B$1369,B274,$C$5:$C$1369,C274)</f>
        <v>0.0225740782236115</v>
      </c>
      <c r="I274" s="43" t="n">
        <f aca="false">IF(G274="",H274,p_beta_alloc*G274+(1-p_beta_alloc)*H274)*F274^p_phi</f>
        <v>0.0312018870359037</v>
      </c>
      <c r="J274" s="16" t="n">
        <f aca="false">INDEX(Sector_Params!$C$19:$E$19,MATCH(B274,Sector_Params!$C$15:$E$15,0))*I274/SUMIFS($I$5:$I$1369,$B$5:$B$1369,B274,$C$5:$C$1369,C274)</f>
        <v>10.0427203778708</v>
      </c>
      <c r="K274" s="28" t="n">
        <f aca="false">INDEX(Sector_Params!$F$8:$H$8,MATCH(B274,Sector_Params!$C$15:$E$15,0))</f>
        <v>0.24</v>
      </c>
      <c r="L274" s="16" t="n">
        <f aca="false">J274*K274</f>
        <v>2.410252890689</v>
      </c>
      <c r="M274" s="44" t="n">
        <f aca="false">Country_Data!$DW$43+Sector_Params!$E$8</f>
        <v>0.105</v>
      </c>
      <c r="N274" s="44" t="n">
        <f aca="false">Country_Data!$DX$43+Sector_Params!$E$8</f>
        <v>0.15</v>
      </c>
      <c r="O274" s="11" t="n">
        <f aca="false">IF(p_use_ibrd=1,p_r_ibrd,p_r_wb)</f>
        <v>0.06</v>
      </c>
      <c r="P274" s="45" t="n">
        <f aca="false">Sector_Params!$D$8</f>
        <v>25</v>
      </c>
      <c r="Q274" s="46" t="n">
        <f aca="false">M274/(1-(1+M274)^-P274)</f>
        <v>0.114429319813103</v>
      </c>
      <c r="R274" s="46" t="n">
        <f aca="false">N274/(1-(1+N274)^-P274)</f>
        <v>0.154699402320206</v>
      </c>
      <c r="S274" s="46" t="n">
        <f aca="false">O274/(1-(1+O274)^-P274)</f>
        <v>0.078226718212274</v>
      </c>
      <c r="T274" s="37" t="n">
        <f aca="false">Country_Data!$CM$43*Sector_Params!$I$8</f>
        <v>0.102164411017114</v>
      </c>
      <c r="U274" s="37" t="n">
        <f aca="false">Country_Data!$CN$43*Sector_Params!$J$8</f>
        <v>0.0759741945630068</v>
      </c>
      <c r="V274" s="37" t="n">
        <f aca="false">p_a</f>
        <v>0.35</v>
      </c>
      <c r="W274" s="16" t="n">
        <f aca="false">T274*L274</f>
        <v>0.246242066979538</v>
      </c>
      <c r="X274" s="16" t="n">
        <f aca="false">U274*L274</f>
        <v>0.183117022063256</v>
      </c>
      <c r="Y274" s="16" t="n">
        <f aca="false">V274*L274</f>
        <v>0.843588511741151</v>
      </c>
      <c r="Z274" s="16" t="n">
        <f aca="false">Q274*L274</f>
        <v>0.275803598859109</v>
      </c>
      <c r="AA274" s="16" t="n">
        <f aca="false">R274*L274</f>
        <v>0.372864681630139</v>
      </c>
      <c r="AB274" s="16" t="n">
        <f aca="false">S274*L274</f>
        <v>0.188546173700247</v>
      </c>
      <c r="AC274" s="16" t="n">
        <f aca="false">Z274-W274</f>
        <v>0.0295615318795708</v>
      </c>
      <c r="AD274" s="16" t="n">
        <f aca="false">AA274-W274</f>
        <v>0.126622614650601</v>
      </c>
      <c r="AE274" s="16" t="n">
        <f aca="false">AB274-W274</f>
        <v>-0.0576958932792905</v>
      </c>
      <c r="AF274" s="16" t="n">
        <f aca="false">AE274-X274</f>
        <v>-0.240812915342547</v>
      </c>
      <c r="AG274" s="16" t="n">
        <f aca="false">AF274-p_spc_lo*Y274/1000</f>
        <v>-0.282992340929604</v>
      </c>
      <c r="AH274" s="16" t="n">
        <f aca="false">AF274-p_spc_hi*Y274/1000</f>
        <v>-0.325171766516662</v>
      </c>
      <c r="AI274" s="16" t="n">
        <f aca="false">Q274*J274</f>
        <v>1.14918166191295</v>
      </c>
      <c r="AJ274" s="16" t="n">
        <f aca="false">S274*J274</f>
        <v>0.785609057084364</v>
      </c>
      <c r="AK274" s="16" t="n">
        <f aca="false">T274*J274</f>
        <v>1.02600861241474</v>
      </c>
      <c r="AL274" s="16" t="n">
        <f aca="false">U274*J274</f>
        <v>0.762987591930233</v>
      </c>
      <c r="AM274" s="16" t="n">
        <f aca="false">AI274-AJ274</f>
        <v>0.363572604828589</v>
      </c>
      <c r="AN274" s="16" t="n">
        <f aca="false">J274*Country_Data!$EB$43</f>
        <v>11.5284927077476</v>
      </c>
      <c r="AO274" s="16" t="n">
        <f aca="false">L274*Country_Data!$EB$43</f>
        <v>2.76683824985943</v>
      </c>
    </row>
    <row r="275" customFormat="false" ht="15" hidden="false" customHeight="false" outlineLevel="0" collapsed="false">
      <c r="A275" s="14" t="str">
        <f aca="false">Country_Data!$A$43</f>
        <v>IRN</v>
      </c>
      <c r="B275" s="14" t="str">
        <f aca="false">Country_Data!$E$43</f>
        <v>EMDC</v>
      </c>
      <c r="C275" s="35" t="s">
        <v>481</v>
      </c>
      <c r="D275" s="37" t="n">
        <f aca="false">IF(Country_Data!$CC$43="","",Country_Data!$CC$43)</f>
        <v>4.50013651679716</v>
      </c>
      <c r="E275" s="40" t="n">
        <f aca="false">Country_Data!$BW$43</f>
        <v>1822.448</v>
      </c>
      <c r="F275" s="41" t="n">
        <f aca="false">Country_Data!$BX$43</f>
        <v>0.228635330061544</v>
      </c>
      <c r="G275" s="42" t="n">
        <f aca="false">IF(D275="","",D275/SUMIFS($D$5:$D$1369,$B$5:$B$1369,B275,$C$5:$C$1369,C275))</f>
        <v>0.0642809999388705</v>
      </c>
      <c r="H275" s="42" t="n">
        <f aca="false">E275/SUMIFS($E$5:$E$1369,$B$5:$B$1369,B275,$C$5:$C$1369,C275)</f>
        <v>0.0225740782236115</v>
      </c>
      <c r="I275" s="43" t="n">
        <f aca="false">IF(G275="",H275,p_beta_alloc*G275+(1-p_beta_alloc)*H275)*F275^p_phi</f>
        <v>0.0207652369071348</v>
      </c>
      <c r="J275" s="16" t="n">
        <f aca="false">INDEX(Sector_Params!$C$20:$E$20,MATCH(B275,Sector_Params!$C$15:$E$15,0))*I275/SUMIFS($I$5:$I$1369,$B$5:$B$1369,B275,$C$5:$C$1369,C275)</f>
        <v>3.79007389939341</v>
      </c>
      <c r="K275" s="28" t="n">
        <f aca="false">INDEX(Sector_Params!$F$9:$H$9,MATCH(B275,Sector_Params!$C$15:$E$15,0))</f>
        <v>0.24</v>
      </c>
      <c r="L275" s="16" t="n">
        <f aca="false">J275*K275</f>
        <v>0.909617735854418</v>
      </c>
      <c r="M275" s="44" t="n">
        <f aca="false">Country_Data!$DW$43+Sector_Params!$E$9</f>
        <v>0.105</v>
      </c>
      <c r="N275" s="44" t="n">
        <f aca="false">Country_Data!$DX$43+Sector_Params!$E$9</f>
        <v>0.15</v>
      </c>
      <c r="O275" s="11" t="n">
        <f aca="false">IF(p_use_ibrd=1,p_r_ibrd,p_r_wb)</f>
        <v>0.06</v>
      </c>
      <c r="P275" s="45" t="n">
        <f aca="false">Sector_Params!$D$9</f>
        <v>25</v>
      </c>
      <c r="Q275" s="46" t="n">
        <f aca="false">M275/(1-(1+M275)^-P275)</f>
        <v>0.114429319813103</v>
      </c>
      <c r="R275" s="46" t="n">
        <f aca="false">N275/(1-(1+N275)^-P275)</f>
        <v>0.154699402320206</v>
      </c>
      <c r="S275" s="46" t="n">
        <f aca="false">O275/(1-(1+O275)^-P275)</f>
        <v>0.078226718212274</v>
      </c>
      <c r="T275" s="37" t="n">
        <f aca="false">Country_Data!$CM$43*Sector_Params!$I$9</f>
        <v>0.102164411017114</v>
      </c>
      <c r="U275" s="37" t="n">
        <f aca="false">Country_Data!$CN$43*Sector_Params!$J$9</f>
        <v>0.0759741945630068</v>
      </c>
      <c r="V275" s="37" t="n">
        <f aca="false">p_a</f>
        <v>0.35</v>
      </c>
      <c r="W275" s="16" t="n">
        <f aca="false">T275*L275</f>
        <v>0.0929305602342872</v>
      </c>
      <c r="X275" s="16" t="n">
        <f aca="false">U275*L275</f>
        <v>0.0691074748417653</v>
      </c>
      <c r="Y275" s="16" t="n">
        <f aca="false">V275*L275</f>
        <v>0.318366207549046</v>
      </c>
      <c r="Z275" s="16" t="n">
        <f aca="false">Q275*L275</f>
        <v>0.104086938803756</v>
      </c>
      <c r="AA275" s="16" t="n">
        <f aca="false">R275*L275</f>
        <v>0.140717320076538</v>
      </c>
      <c r="AB275" s="16" t="n">
        <f aca="false">S275*L275</f>
        <v>0.0711564103035702</v>
      </c>
      <c r="AC275" s="16" t="n">
        <f aca="false">Z275-W275</f>
        <v>0.011156378569469</v>
      </c>
      <c r="AD275" s="16" t="n">
        <f aca="false">AA275-W275</f>
        <v>0.0477867598422507</v>
      </c>
      <c r="AE275" s="16" t="n">
        <f aca="false">AB275-W275</f>
        <v>-0.021774149930717</v>
      </c>
      <c r="AF275" s="16" t="n">
        <f aca="false">AE275-X275</f>
        <v>-0.0908816247724823</v>
      </c>
      <c r="AG275" s="16" t="n">
        <f aca="false">AF275-p_spc_lo*Y275/1000</f>
        <v>-0.106799935149935</v>
      </c>
      <c r="AH275" s="16" t="n">
        <f aca="false">AF275-p_spc_hi*Y275/1000</f>
        <v>-0.122718245527387</v>
      </c>
      <c r="AI275" s="16" t="n">
        <f aca="false">Q275*J275</f>
        <v>0.433695578348984</v>
      </c>
      <c r="AJ275" s="16" t="n">
        <f aca="false">S275*J275</f>
        <v>0.296485042931543</v>
      </c>
      <c r="AK275" s="16" t="n">
        <f aca="false">T275*J275</f>
        <v>0.387210667642863</v>
      </c>
      <c r="AL275" s="16" t="n">
        <f aca="false">U275*J275</f>
        <v>0.287947811840689</v>
      </c>
      <c r="AM275" s="16" t="n">
        <f aca="false">AI275-AJ275</f>
        <v>0.137210535417441</v>
      </c>
      <c r="AN275" s="16" t="n">
        <f aca="false">J275*Country_Data!$EB$43</f>
        <v>4.35079716122148</v>
      </c>
      <c r="AO275" s="16" t="n">
        <f aca="false">L275*Country_Data!$EB$43</f>
        <v>1.04419131869315</v>
      </c>
    </row>
    <row r="276" customFormat="false" ht="15" hidden="false" customHeight="false" outlineLevel="0" collapsed="false">
      <c r="A276" s="14" t="str">
        <f aca="false">Country_Data!$A$43</f>
        <v>IRN</v>
      </c>
      <c r="B276" s="14" t="str">
        <f aca="false">Country_Data!$E$43</f>
        <v>EMDC</v>
      </c>
      <c r="C276" s="35" t="s">
        <v>484</v>
      </c>
      <c r="D276" s="37" t="n">
        <f aca="false">IF(Country_Data!$CD$43="","",Country_Data!$CD$43)</f>
        <v>12.4346272128727</v>
      </c>
      <c r="E276" s="40" t="n">
        <f aca="false">Country_Data!$BW$43</f>
        <v>1822.448</v>
      </c>
      <c r="F276" s="41" t="n">
        <f aca="false">Country_Data!$BX$43</f>
        <v>0.228635330061544</v>
      </c>
      <c r="G276" s="42" t="n">
        <f aca="false">IF(D276="","",D276/SUMIFS($D$5:$D$1369,$B$5:$B$1369,B276,$C$5:$C$1369,C276))</f>
        <v>0.0694395009663498</v>
      </c>
      <c r="H276" s="42" t="n">
        <f aca="false">E276/SUMIFS($E$5:$E$1369,$B$5:$B$1369,B276,$C$5:$C$1369,C276)</f>
        <v>0.0225740782236115</v>
      </c>
      <c r="I276" s="43" t="n">
        <f aca="false">IF(G276="",H276,p_beta_alloc*G276+(1-p_beta_alloc)*H276)*F276^p_phi</f>
        <v>0.0219985268676932</v>
      </c>
      <c r="J276" s="16" t="n">
        <f aca="false">INDEX(Sector_Params!$C$21:$E$21,MATCH(B276,Sector_Params!$C$15:$E$15,0))*I276/SUMIFS($I$5:$I$1369,$B$5:$B$1369,B276,$C$5:$C$1369,C276)</f>
        <v>4.87904945190539</v>
      </c>
      <c r="K276" s="28" t="n">
        <f aca="false">INDEX(Sector_Params!$F$10:$H$10,MATCH(B276,Sector_Params!$C$15:$E$15,0))</f>
        <v>0.24</v>
      </c>
      <c r="L276" s="16" t="n">
        <f aca="false">J276*K276</f>
        <v>1.17097186845729</v>
      </c>
      <c r="M276" s="44" t="n">
        <f aca="false">Country_Data!$DW$43+Sector_Params!$E$10</f>
        <v>0.105</v>
      </c>
      <c r="N276" s="44" t="n">
        <f aca="false">Country_Data!$DX$43+Sector_Params!$E$10</f>
        <v>0.15</v>
      </c>
      <c r="O276" s="11" t="n">
        <f aca="false">IF(p_use_ibrd=1,p_r_ibrd,p_r_wb)</f>
        <v>0.06</v>
      </c>
      <c r="P276" s="45" t="n">
        <f aca="false">Sector_Params!$D$10</f>
        <v>20</v>
      </c>
      <c r="Q276" s="46" t="n">
        <f aca="false">M276/(1-(1+M276)^-P276)</f>
        <v>0.121493265267016</v>
      </c>
      <c r="R276" s="46" t="n">
        <f aca="false">N276/(1-(1+N276)^-P276)</f>
        <v>0.159761470405744</v>
      </c>
      <c r="S276" s="46" t="n">
        <f aca="false">O276/(1-(1+O276)^-P276)</f>
        <v>0.0871845569768514</v>
      </c>
      <c r="T276" s="37" t="n">
        <f aca="false">0*Sector_Params!$I$10</f>
        <v>0</v>
      </c>
      <c r="U276" s="37" t="n">
        <f aca="false">0*Sector_Params!$J$10</f>
        <v>0</v>
      </c>
      <c r="V276" s="37" t="n">
        <f aca="false">1000*p_r_wb/(1-(1+p_r_wb)^-Sector_Params!$D$10)/p_cpt_fuel</f>
        <v>0.871845569768514</v>
      </c>
      <c r="W276" s="16" t="n">
        <f aca="false">T276*L276</f>
        <v>0</v>
      </c>
      <c r="X276" s="16" t="n">
        <f aca="false">U276*L276</f>
        <v>0</v>
      </c>
      <c r="Y276" s="16" t="n">
        <f aca="false">V276*L276</f>
        <v>1.02090663583805</v>
      </c>
      <c r="Z276" s="16" t="n">
        <f aca="false">Q276*L276</f>
        <v>0.142265195834695</v>
      </c>
      <c r="AA276" s="16" t="n">
        <f aca="false">R276*L276</f>
        <v>0.187076187508498</v>
      </c>
      <c r="AB276" s="16" t="n">
        <f aca="false">S276*L276</f>
        <v>0.102090663583805</v>
      </c>
      <c r="AC276" s="16" t="n">
        <f aca="false">Z276-W276</f>
        <v>0.142265195834695</v>
      </c>
      <c r="AD276" s="16" t="n">
        <f aca="false">AA276-W276</f>
        <v>0.187076187508498</v>
      </c>
      <c r="AE276" s="16" t="n">
        <f aca="false">AB276-W276</f>
        <v>0.102090663583805</v>
      </c>
      <c r="AF276" s="16" t="n">
        <f aca="false">AE276-X276</f>
        <v>0.102090663583805</v>
      </c>
      <c r="AG276" s="16" t="n">
        <f aca="false">AF276-p_spc_lo*Y276/1000</f>
        <v>0.0510453317919025</v>
      </c>
      <c r="AH276" s="16" t="n">
        <f aca="false">AF276-p_spc_hi*Y276/1000</f>
        <v>0</v>
      </c>
      <c r="AI276" s="16" t="n">
        <f aca="false">Q276*J276</f>
        <v>0.592771649311231</v>
      </c>
      <c r="AJ276" s="16" t="n">
        <f aca="false">S276*J276</f>
        <v>0.425377764932521</v>
      </c>
      <c r="AK276" s="16" t="n">
        <f aca="false">T276*J276</f>
        <v>0</v>
      </c>
      <c r="AL276" s="16" t="n">
        <f aca="false">U276*J276</f>
        <v>0</v>
      </c>
      <c r="AM276" s="16" t="n">
        <f aca="false">AI276-AJ276</f>
        <v>0.16739388437871</v>
      </c>
      <c r="AN276" s="16" t="n">
        <f aca="false">J276*Country_Data!$EB$43</f>
        <v>5.60088142561194</v>
      </c>
      <c r="AO276" s="16" t="n">
        <f aca="false">L276*Country_Data!$EB$43</f>
        <v>1.34421154214687</v>
      </c>
    </row>
    <row r="277" customFormat="false" ht="15" hidden="false" customHeight="false" outlineLevel="0" collapsed="false">
      <c r="A277" s="14" t="str">
        <f aca="false">Country_Data!$A$43</f>
        <v>IRN</v>
      </c>
      <c r="B277" s="14" t="str">
        <f aca="false">Country_Data!$E$43</f>
        <v>EMDC</v>
      </c>
      <c r="C277" s="35" t="s">
        <v>488</v>
      </c>
      <c r="D277" s="37" t="n">
        <f aca="false">IF(Country_Data!$CE$43="","",Country_Data!$CE$43)</f>
        <v>281.634</v>
      </c>
      <c r="E277" s="40" t="n">
        <f aca="false">Country_Data!$BW$43</f>
        <v>1822.448</v>
      </c>
      <c r="F277" s="41" t="n">
        <f aca="false">Country_Data!$BX$43</f>
        <v>0.228635330061544</v>
      </c>
      <c r="G277" s="42" t="n">
        <f aca="false">IF(D277="","",D277/SUMIFS($D$5:$D$1369,$B$5:$B$1369,B277,$C$5:$C$1369,C277))</f>
        <v>0.0230769798043446</v>
      </c>
      <c r="H277" s="42" t="n">
        <f aca="false">E277/SUMIFS($E$5:$E$1369,$B$5:$B$1369,B277,$C$5:$C$1369,C277)</f>
        <v>0.0225740782236115</v>
      </c>
      <c r="I277" s="43" t="n">
        <f aca="false">IF(G277="",H277,p_beta_alloc*G277+(1-p_beta_alloc)*H277)*F277^p_phi</f>
        <v>0.0109142154387162</v>
      </c>
      <c r="J277" s="16" t="n">
        <f aca="false">INDEX(Sector_Params!$C$22:$E$22,MATCH(B277,Sector_Params!$C$15:$E$15,0))*I277/SUMIFS($I$5:$I$1369,$B$5:$B$1369,B277,$C$5:$C$1369,C277)</f>
        <v>6.57918061728633</v>
      </c>
      <c r="K277" s="28" t="n">
        <f aca="false">INDEX(Sector_Params!$F$11:$H$11,MATCH(B277,Sector_Params!$C$15:$E$15,0))</f>
        <v>0.24</v>
      </c>
      <c r="L277" s="16" t="n">
        <f aca="false">J277*K277</f>
        <v>1.57900334814872</v>
      </c>
      <c r="M277" s="44" t="n">
        <f aca="false">Country_Data!$DW$43+Sector_Params!$E$11</f>
        <v>0.105</v>
      </c>
      <c r="N277" s="44" t="n">
        <f aca="false">Country_Data!$DX$43+Sector_Params!$E$11</f>
        <v>0.15</v>
      </c>
      <c r="O277" s="11" t="n">
        <f aca="false">IF(p_use_ibrd=1,p_r_ibrd,p_r_wb)</f>
        <v>0.06</v>
      </c>
      <c r="P277" s="45" t="n">
        <f aca="false">Sector_Params!$D$11</f>
        <v>30</v>
      </c>
      <c r="Q277" s="46" t="n">
        <f aca="false">M277/(1-(1+M277)^-P277)</f>
        <v>0.110528481529605</v>
      </c>
      <c r="R277" s="46" t="n">
        <f aca="false">N277/(1-(1+N277)^-P277)</f>
        <v>0.152300198192734</v>
      </c>
      <c r="S277" s="46" t="n">
        <f aca="false">O277/(1-(1+O277)^-P277)</f>
        <v>0.0726489114900472</v>
      </c>
      <c r="T277" s="37" t="n">
        <f aca="false">0*Sector_Params!$I$11</f>
        <v>0</v>
      </c>
      <c r="U277" s="37" t="n">
        <f aca="false">p_c*Sector_Params!$J$11</f>
        <v>0.129</v>
      </c>
      <c r="V277" s="37" t="n">
        <f aca="false">1000*p_r_wb/(1-(1+p_r_wb)^-Sector_Params!$D$11)/p_cpt_afolu</f>
        <v>1.45297822980094</v>
      </c>
      <c r="W277" s="16" t="n">
        <f aca="false">T277*L277</f>
        <v>0</v>
      </c>
      <c r="X277" s="16" t="n">
        <f aca="false">U277*L277</f>
        <v>0.203691431911185</v>
      </c>
      <c r="Y277" s="16" t="n">
        <f aca="false">V277*L277</f>
        <v>2.29425748964289</v>
      </c>
      <c r="Z277" s="16" t="n">
        <f aca="false">Q277*L277</f>
        <v>0.174524842401041</v>
      </c>
      <c r="AA277" s="16" t="n">
        <f aca="false">R277*L277</f>
        <v>0.240482522870041</v>
      </c>
      <c r="AB277" s="16" t="n">
        <f aca="false">S277*L277</f>
        <v>0.114712874482145</v>
      </c>
      <c r="AC277" s="16" t="n">
        <f aca="false">Z277-W277</f>
        <v>0.174524842401041</v>
      </c>
      <c r="AD277" s="16" t="n">
        <f aca="false">AA277-W277</f>
        <v>0.240482522870041</v>
      </c>
      <c r="AE277" s="16" t="n">
        <f aca="false">AB277-W277</f>
        <v>0.114712874482145</v>
      </c>
      <c r="AF277" s="16" t="n">
        <f aca="false">AE277-X277</f>
        <v>-0.0889785574290403</v>
      </c>
      <c r="AG277" s="16" t="n">
        <f aca="false">AF277-p_spc_lo*Y277/1000</f>
        <v>-0.203691431911185</v>
      </c>
      <c r="AH277" s="16" t="n">
        <f aca="false">AF277-p_spc_hi*Y277/1000</f>
        <v>-0.318404306393329</v>
      </c>
      <c r="AI277" s="16" t="n">
        <f aca="false">Q277*J277</f>
        <v>0.727186843337669</v>
      </c>
      <c r="AJ277" s="16" t="n">
        <f aca="false">S277*J277</f>
        <v>0.477970310342269</v>
      </c>
      <c r="AK277" s="16" t="n">
        <f aca="false">T277*J277</f>
        <v>0</v>
      </c>
      <c r="AL277" s="16" t="n">
        <f aca="false">U277*J277</f>
        <v>0.848714299629937</v>
      </c>
      <c r="AM277" s="16" t="n">
        <f aca="false">AI277-AJ277</f>
        <v>0.2492165329954</v>
      </c>
      <c r="AN277" s="16" t="n">
        <f aca="false">J277*Country_Data!$EB$43</f>
        <v>7.55253884559719</v>
      </c>
      <c r="AO277" s="16" t="n">
        <f aca="false">L277*Country_Data!$EB$43</f>
        <v>1.81260932294333</v>
      </c>
    </row>
    <row r="278" customFormat="false" ht="15" hidden="false" customHeight="false" outlineLevel="0" collapsed="false">
      <c r="A278" s="14" t="str">
        <f aca="false">Country_Data!$A$44</f>
        <v>HKG</v>
      </c>
      <c r="B278" s="14" t="str">
        <f aca="false">Country_Data!$E$44</f>
        <v>AE</v>
      </c>
      <c r="C278" s="35" t="s">
        <v>466</v>
      </c>
      <c r="D278" s="37" t="n">
        <f aca="false">IF(Country_Data!$BZ$44="","",Country_Data!$BZ$44)</f>
        <v>47.3649205117826</v>
      </c>
      <c r="E278" s="40" t="n">
        <f aca="false">Country_Data!$BW$44</f>
        <v>566.878</v>
      </c>
      <c r="F278" s="41" t="n">
        <f aca="false">Country_Data!$BX$44</f>
        <v>0.7203825161675</v>
      </c>
      <c r="G278" s="42" t="n">
        <f aca="false">IF(D278="","",D278/SUMIFS($D$5:$D$1369,$B$5:$B$1369,B278,$C$5:$C$1369,C278))</f>
        <v>0.00484036557165153</v>
      </c>
      <c r="H278" s="42" t="n">
        <f aca="false">E278/SUMIFS($E$5:$E$1369,$B$5:$B$1369,B278,$C$5:$C$1369,C278)</f>
        <v>0.00718614528409263</v>
      </c>
      <c r="I278" s="43" t="n">
        <f aca="false">IF(G278="",H278,p_beta_alloc*G278+(1-p_beta_alloc)*H278)*F278^p_phi</f>
        <v>0.00510377163474483</v>
      </c>
      <c r="J278" s="16" t="n">
        <f aca="false">INDEX(Sector_Params!$C$16:$E$16,MATCH(B278,Sector_Params!$C$15:$E$15,0))*I278/SUMIFS($I$5:$I$1369,$B$5:$B$1369,B278,$C$5:$C$1369,C278)</f>
        <v>4.57785512312732</v>
      </c>
      <c r="K278" s="28" t="n">
        <f aca="false">INDEX(Sector_Params!$F$5:$H$5,MATCH(B278,Sector_Params!$C$15:$E$15,0))</f>
        <v>0.38</v>
      </c>
      <c r="L278" s="16" t="n">
        <f aca="false">J278*K278</f>
        <v>1.73958494678838</v>
      </c>
      <c r="M278" s="44" t="n">
        <f aca="false">Country_Data!$DW$44+Sector_Params!$E$5</f>
        <v>0.055</v>
      </c>
      <c r="N278" s="44" t="n">
        <f aca="false">Country_Data!$DX$44+Sector_Params!$E$5</f>
        <v>0.07</v>
      </c>
      <c r="O278" s="11" t="n">
        <f aca="false">IF(p_use_ibrd=1,p_r_ibrd,p_r_wb)</f>
        <v>0.06</v>
      </c>
      <c r="P278" s="45" t="n">
        <f aca="false">Sector_Params!$D$5</f>
        <v>25</v>
      </c>
      <c r="Q278" s="46" t="n">
        <f aca="false">M278/(1-(1+M278)^-P278)</f>
        <v>0.0745493529464385</v>
      </c>
      <c r="R278" s="46" t="n">
        <f aca="false">N278/(1-(1+N278)^-P278)</f>
        <v>0.0858105172206656</v>
      </c>
      <c r="S278" s="46" t="n">
        <f aca="false">O278/(1-(1+O278)^-P278)</f>
        <v>0.078226718212274</v>
      </c>
      <c r="T278" s="37" t="n">
        <f aca="false">IF(AND(p_eng=1,ISNUMBER(Country_Data!$CZ$44)),Country_Data!$CZ$44,Country_Data!$CM$44)*Sector_Params!$I$5</f>
        <v>0.466219386935828</v>
      </c>
      <c r="U278" s="37" t="n">
        <f aca="false">IF(AND(p_eng=1,ISNUMBER(Country_Data!$DA$44)),Country_Data!$DA$44,Country_Data!$CN$44)*Sector_Params!$J$5</f>
        <v>0</v>
      </c>
      <c r="V278" s="37" t="n">
        <f aca="false">IF(AND(p_eng=1,ISNUMBER(Country_Data!$DB$44)),Country_Data!$DB$44,p_a)</f>
        <v>1.37581375224679</v>
      </c>
      <c r="W278" s="16" t="n">
        <f aca="false">T278*L278</f>
        <v>0.811028227414474</v>
      </c>
      <c r="X278" s="16" t="n">
        <f aca="false">U278*L278</f>
        <v>0</v>
      </c>
      <c r="Y278" s="16" t="n">
        <f aca="false">V278*L278</f>
        <v>2.39334489299295</v>
      </c>
      <c r="Z278" s="16" t="n">
        <f aca="false">Q278*L278</f>
        <v>0.129684932178439</v>
      </c>
      <c r="AA278" s="16" t="n">
        <f aca="false">R278*L278</f>
        <v>0.149274684033195</v>
      </c>
      <c r="AB278" s="16" t="n">
        <f aca="false">S278*L278</f>
        <v>0.136082021438728</v>
      </c>
      <c r="AC278" s="16" t="n">
        <f aca="false">Z278-W278</f>
        <v>-0.681343295236035</v>
      </c>
      <c r="AD278" s="16" t="n">
        <f aca="false">AA278-W278</f>
        <v>-0.661753543381279</v>
      </c>
      <c r="AE278" s="16" t="n">
        <f aca="false">AB278-W278</f>
        <v>-0.674946205975745</v>
      </c>
      <c r="AF278" s="16" t="n">
        <f aca="false">AE278-X278</f>
        <v>-0.674946205975745</v>
      </c>
      <c r="AG278" s="16" t="n">
        <f aca="false">AF278-p_spc_lo*Y278/1000</f>
        <v>-0.794613450625393</v>
      </c>
      <c r="AH278" s="16" t="n">
        <f aca="false">AF278-p_spc_hi*Y278/1000</f>
        <v>-0.914280695275041</v>
      </c>
      <c r="AI278" s="16" t="n">
        <f aca="false">Q278*J278</f>
        <v>0.34127613731168</v>
      </c>
      <c r="AJ278" s="16" t="n">
        <f aca="false">S278*J278</f>
        <v>0.358110582733495</v>
      </c>
      <c r="AK278" s="16" t="n">
        <f aca="false">T278*J278</f>
        <v>2.13428480898546</v>
      </c>
      <c r="AL278" s="16" t="n">
        <f aca="false">U278*J278</f>
        <v>0</v>
      </c>
      <c r="AM278" s="16" t="n">
        <f aca="false">AI278-AJ278</f>
        <v>-0.0168344454218151</v>
      </c>
      <c r="AN278" s="16" t="n">
        <f aca="false">J278*Country_Data!$EB$44</f>
        <v>4.78306931830199</v>
      </c>
      <c r="AO278" s="16" t="n">
        <f aca="false">L278*Country_Data!$EB$44</f>
        <v>1.81756634095476</v>
      </c>
    </row>
    <row r="279" customFormat="false" ht="15" hidden="false" customHeight="false" outlineLevel="0" collapsed="false">
      <c r="A279" s="14" t="str">
        <f aca="false">Country_Data!$A$44</f>
        <v>HKG</v>
      </c>
      <c r="B279" s="14" t="str">
        <f aca="false">Country_Data!$E$44</f>
        <v>AE</v>
      </c>
      <c r="C279" s="35" t="s">
        <v>470</v>
      </c>
      <c r="D279" s="37" t="n">
        <f aca="false">IF(Country_Data!$BZ$44="","",Country_Data!$BZ$44)</f>
        <v>47.3649205117826</v>
      </c>
      <c r="E279" s="40" t="n">
        <f aca="false">Country_Data!$BW$44</f>
        <v>566.878</v>
      </c>
      <c r="F279" s="41" t="n">
        <f aca="false">Country_Data!$BX$44</f>
        <v>0.7203825161675</v>
      </c>
      <c r="G279" s="42" t="n">
        <f aca="false">IF(D279="","",D279/SUMIFS($D$5:$D$1369,$B$5:$B$1369,B279,$C$5:$C$1369,C279))</f>
        <v>0.00484036557165153</v>
      </c>
      <c r="H279" s="42" t="n">
        <f aca="false">E279/SUMIFS($E$5:$E$1369,$B$5:$B$1369,B279,$C$5:$C$1369,C279)</f>
        <v>0.00718614528409263</v>
      </c>
      <c r="I279" s="43" t="n">
        <f aca="false">IF(G279="",H279,p_beta_alloc*G279+(1-p_beta_alloc)*H279)*F279^p_phi</f>
        <v>0.00510377163474483</v>
      </c>
      <c r="J279" s="16" t="n">
        <f aca="false">INDEX(Sector_Params!$C$17:$E$17,MATCH(B279,Sector_Params!$C$15:$E$15,0))*I279/SUMIFS($I$5:$I$1369,$B$5:$B$1369,B279,$C$5:$C$1369,C279)</f>
        <v>3.13910065585873</v>
      </c>
      <c r="K279" s="28" t="n">
        <f aca="false">INDEX(Sector_Params!$F$6:$H$6,MATCH(B279,Sector_Params!$C$15:$E$15,0))</f>
        <v>0.38</v>
      </c>
      <c r="L279" s="16" t="n">
        <f aca="false">J279*K279</f>
        <v>1.19285824922632</v>
      </c>
      <c r="M279" s="44" t="n">
        <f aca="false">Country_Data!$DW$44+Sector_Params!$E$6</f>
        <v>0.055</v>
      </c>
      <c r="N279" s="44" t="n">
        <f aca="false">Country_Data!$DX$44+Sector_Params!$E$6</f>
        <v>0.07</v>
      </c>
      <c r="O279" s="11" t="n">
        <f aca="false">IF(p_use_ibrd=1,p_r_ibrd,p_r_wb)</f>
        <v>0.06</v>
      </c>
      <c r="P279" s="45" t="n">
        <f aca="false">Sector_Params!$D$6</f>
        <v>40</v>
      </c>
      <c r="Q279" s="46" t="n">
        <f aca="false">M279/(1-(1+M279)^-P279)</f>
        <v>0.062320343360638</v>
      </c>
      <c r="R279" s="46" t="n">
        <f aca="false">N279/(1-(1+N279)^-P279)</f>
        <v>0.0750091388736103</v>
      </c>
      <c r="S279" s="46" t="n">
        <f aca="false">O279/(1-(1+O279)^-P279)</f>
        <v>0.0664615359206755</v>
      </c>
      <c r="T279" s="37" t="n">
        <f aca="false">p_grid_credit*IF(AND(p_eng=1,ISNUMBER(Country_Data!$CZ$44)),Country_Data!$CZ$44,Country_Data!$CM$44)*Sector_Params!$I$6</f>
        <v>0</v>
      </c>
      <c r="U279" s="37" t="n">
        <f aca="false">p_grid_credit*IF(AND(p_eng=1,ISNUMBER(Country_Data!$DA$44)),Country_Data!$DA$44,Country_Data!$CN$44)*Sector_Params!$J$6</f>
        <v>0</v>
      </c>
      <c r="V279" s="37" t="n">
        <f aca="false">p_grid_credit*IF(AND(p_eng=1,ISNUMBER(Country_Data!$DB$44)),Country_Data!$DB$44,p_a)</f>
        <v>0</v>
      </c>
      <c r="W279" s="16" t="n">
        <f aca="false">T279*L279</f>
        <v>0</v>
      </c>
      <c r="X279" s="16" t="n">
        <f aca="false">U279*L279</f>
        <v>0</v>
      </c>
      <c r="Y279" s="16" t="n">
        <f aca="false">V279*L279</f>
        <v>0</v>
      </c>
      <c r="Z279" s="16" t="n">
        <f aca="false">Q279*L279</f>
        <v>0.0743393356723536</v>
      </c>
      <c r="AA279" s="16" t="n">
        <f aca="false">R279*L279</f>
        <v>0.0894752700727486</v>
      </c>
      <c r="AB279" s="16" t="n">
        <f aca="false">S279*L279</f>
        <v>0.0792791913792291</v>
      </c>
      <c r="AC279" s="16" t="n">
        <f aca="false">Z279-W279</f>
        <v>0.0743393356723536</v>
      </c>
      <c r="AD279" s="16" t="n">
        <f aca="false">AA279-W279</f>
        <v>0.0894752700727486</v>
      </c>
      <c r="AE279" s="16" t="n">
        <f aca="false">AB279-W279</f>
        <v>0.0792791913792291</v>
      </c>
      <c r="AF279" s="16" t="n">
        <f aca="false">AE279-X279</f>
        <v>0.0792791913792291</v>
      </c>
      <c r="AG279" s="16" t="n">
        <f aca="false">AF279-p_spc_lo*Y279/1000</f>
        <v>0.0792791913792291</v>
      </c>
      <c r="AH279" s="16" t="n">
        <f aca="false">AF279-p_spc_hi*Y279/1000</f>
        <v>0.0792791913792291</v>
      </c>
      <c r="AI279" s="16" t="n">
        <f aca="false">Q279*J279</f>
        <v>0.19562983071672</v>
      </c>
      <c r="AJ279" s="16" t="n">
        <f aca="false">S279*J279</f>
        <v>0.208629450997971</v>
      </c>
      <c r="AK279" s="16" t="n">
        <f aca="false">T279*J279</f>
        <v>0</v>
      </c>
      <c r="AL279" s="16" t="n">
        <f aca="false">U279*J279</f>
        <v>0</v>
      </c>
      <c r="AM279" s="16" t="n">
        <f aca="false">AI279-AJ279</f>
        <v>-0.0129996202812512</v>
      </c>
      <c r="AN279" s="16" t="n">
        <f aca="false">J279*Country_Data!$EB$44</f>
        <v>3.27981896112137</v>
      </c>
      <c r="AO279" s="16" t="n">
        <f aca="false">L279*Country_Data!$EB$44</f>
        <v>1.24633120522612</v>
      </c>
    </row>
    <row r="280" customFormat="false" ht="15" hidden="false" customHeight="false" outlineLevel="0" collapsed="false">
      <c r="A280" s="14" t="str">
        <f aca="false">Country_Data!$A$44</f>
        <v>HKG</v>
      </c>
      <c r="B280" s="14" t="str">
        <f aca="false">Country_Data!$E$44</f>
        <v>AE</v>
      </c>
      <c r="C280" s="35" t="s">
        <v>473</v>
      </c>
      <c r="D280" s="37" t="n">
        <f aca="false">IF(Country_Data!$CA$44="","",Country_Data!$CA$44)</f>
        <v>0.114569169376174</v>
      </c>
      <c r="E280" s="40" t="n">
        <f aca="false">Country_Data!$BW$44</f>
        <v>566.878</v>
      </c>
      <c r="F280" s="41" t="n">
        <f aca="false">Country_Data!$BX$44</f>
        <v>0.7203825161675</v>
      </c>
      <c r="G280" s="42" t="n">
        <f aca="false">IF(D280="","",D280/SUMIFS($D$5:$D$1369,$B$5:$B$1369,B280,$C$5:$C$1369,C280))</f>
        <v>0.00224280261665863</v>
      </c>
      <c r="H280" s="42" t="n">
        <f aca="false">E280/SUMIFS($E$5:$E$1369,$B$5:$B$1369,B280,$C$5:$C$1369,C280)</f>
        <v>0.00718614528409263</v>
      </c>
      <c r="I280" s="43" t="n">
        <f aca="false">IF(G280="",H280,p_beta_alloc*G280+(1-p_beta_alloc)*H280)*F280^p_phi</f>
        <v>0.00400142630049316</v>
      </c>
      <c r="J280" s="16" t="n">
        <f aca="false">INDEX(Sector_Params!$C$18:$E$18,MATCH(B280,Sector_Params!$C$15:$E$15,0))*I280/SUMIFS($I$5:$I$1369,$B$5:$B$1369,B280,$C$5:$C$1369,C280)</f>
        <v>1.50795014900796</v>
      </c>
      <c r="K280" s="28" t="n">
        <f aca="false">INDEX(Sector_Params!$F$7:$H$7,MATCH(B280,Sector_Params!$C$15:$E$15,0))</f>
        <v>0.38</v>
      </c>
      <c r="L280" s="16" t="n">
        <f aca="false">J280*K280</f>
        <v>0.573021056623025</v>
      </c>
      <c r="M280" s="44" t="n">
        <f aca="false">Country_Data!$DW$44+Sector_Params!$E$7</f>
        <v>0.055</v>
      </c>
      <c r="N280" s="44" t="n">
        <f aca="false">Country_Data!$DX$44+Sector_Params!$E$7</f>
        <v>0.07</v>
      </c>
      <c r="O280" s="11" t="n">
        <f aca="false">IF(p_use_ibrd=1,p_r_ibrd,p_r_wb)</f>
        <v>0.06</v>
      </c>
      <c r="P280" s="45" t="n">
        <f aca="false">Sector_Params!$D$7</f>
        <v>12</v>
      </c>
      <c r="Q280" s="46" t="n">
        <f aca="false">M280/(1-(1+M280)^-P280)</f>
        <v>0.116029231191614</v>
      </c>
      <c r="R280" s="46" t="n">
        <f aca="false">N280/(1-(1+N280)^-P280)</f>
        <v>0.12590198865502</v>
      </c>
      <c r="S280" s="46" t="n">
        <f aca="false">O280/(1-(1+O280)^-P280)</f>
        <v>0.119277029380664</v>
      </c>
      <c r="T280" s="37" t="n">
        <f aca="false">IF(AND(p_eng=1,ISNUMBER(Country_Data!$DE$44)),Country_Data!$DE$44,Country_Data!$CM$44)*Sector_Params!$I$7</f>
        <v>0.10134</v>
      </c>
      <c r="U280" s="37" t="n">
        <f aca="false">IF(AND(p_eng=1,ISNUMBER(Country_Data!$DF$44)),Country_Data!$DF$44,Country_Data!$CN$44)*Sector_Params!$J$7</f>
        <v>0</v>
      </c>
      <c r="V280" s="37" t="n">
        <f aca="false">IF(AND(p_eng=1,ISNUMBER(Country_Data!$DG$44)),Country_Data!$DG$44,p_a)</f>
        <v>0.210427225961538</v>
      </c>
      <c r="W280" s="16" t="n">
        <f aca="false">T280*L280</f>
        <v>0.0580699538781774</v>
      </c>
      <c r="X280" s="16" t="n">
        <f aca="false">U280*L280</f>
        <v>0</v>
      </c>
      <c r="Y280" s="16" t="n">
        <f aca="false">V280*L280</f>
        <v>0.120579231362733</v>
      </c>
      <c r="Z280" s="16" t="n">
        <f aca="false">Q280*L280</f>
        <v>0.0664871926565762</v>
      </c>
      <c r="AA280" s="16" t="n">
        <f aca="false">R280*L280</f>
        <v>0.0721444905700399</v>
      </c>
      <c r="AB280" s="16" t="n">
        <f aca="false">S280*L280</f>
        <v>0.0683482494065635</v>
      </c>
      <c r="AC280" s="16" t="n">
        <f aca="false">Z280-W280</f>
        <v>0.0084172387783988</v>
      </c>
      <c r="AD280" s="16" t="n">
        <f aca="false">AA280-W280</f>
        <v>0.0140745366918626</v>
      </c>
      <c r="AE280" s="16" t="n">
        <f aca="false">AB280-W280</f>
        <v>0.0102782955283861</v>
      </c>
      <c r="AF280" s="16" t="n">
        <f aca="false">AE280-X280</f>
        <v>0.0102782955283861</v>
      </c>
      <c r="AG280" s="16" t="n">
        <f aca="false">AF280-p_spc_lo*Y280/1000</f>
        <v>0.00424933396024944</v>
      </c>
      <c r="AH280" s="16" t="n">
        <f aca="false">AF280-p_spc_hi*Y280/1000</f>
        <v>-0.0017796276078872</v>
      </c>
      <c r="AI280" s="16" t="n">
        <f aca="false">Q280*J280</f>
        <v>0.174966296464674</v>
      </c>
      <c r="AJ280" s="16" t="n">
        <f aca="false">S280*J280</f>
        <v>0.179863814227799</v>
      </c>
      <c r="AK280" s="16" t="n">
        <f aca="false">T280*J280</f>
        <v>0.152815668100467</v>
      </c>
      <c r="AL280" s="16" t="n">
        <f aca="false">U280*J280</f>
        <v>0</v>
      </c>
      <c r="AM280" s="16" t="n">
        <f aca="false">AI280-AJ280</f>
        <v>-0.00489751776312442</v>
      </c>
      <c r="AN280" s="16" t="n">
        <f aca="false">J280*Country_Data!$EB$44</f>
        <v>1.57554791430832</v>
      </c>
      <c r="AO280" s="16" t="n">
        <f aca="false">L280*Country_Data!$EB$44</f>
        <v>0.598708207437161</v>
      </c>
    </row>
    <row r="281" customFormat="false" ht="15" hidden="false" customHeight="false" outlineLevel="0" collapsed="false">
      <c r="A281" s="14" t="str">
        <f aca="false">Country_Data!$A$44</f>
        <v>HKG</v>
      </c>
      <c r="B281" s="14" t="str">
        <f aca="false">Country_Data!$E$44</f>
        <v>AE</v>
      </c>
      <c r="C281" s="35" t="s">
        <v>477</v>
      </c>
      <c r="D281" s="37" t="n">
        <f aca="false">IF(Country_Data!$CB$44="","",Country_Data!$CB$44)</f>
        <v>0.089562542579253</v>
      </c>
      <c r="E281" s="40" t="n">
        <f aca="false">Country_Data!$BW$44</f>
        <v>566.878</v>
      </c>
      <c r="F281" s="41" t="n">
        <f aca="false">Country_Data!$BX$44</f>
        <v>0.7203825161675</v>
      </c>
      <c r="G281" s="42" t="n">
        <f aca="false">IF(D281="","",D281/SUMIFS($D$5:$D$1369,$B$5:$B$1369,B281,$C$5:$C$1369,C281))</f>
        <v>0.00230311037492726</v>
      </c>
      <c r="H281" s="42" t="n">
        <f aca="false">E281/SUMIFS($E$5:$E$1369,$B$5:$B$1369,B281,$C$5:$C$1369,C281)</f>
        <v>0.00718614528409263</v>
      </c>
      <c r="I281" s="43" t="n">
        <f aca="false">IF(G281="",H281,p_beta_alloc*G281+(1-p_beta_alloc)*H281)*F281^p_phi</f>
        <v>0.00402701951116734</v>
      </c>
      <c r="J281" s="16" t="n">
        <f aca="false">INDEX(Sector_Params!$C$19:$E$19,MATCH(B281,Sector_Params!$C$15:$E$15,0))*I281/SUMIFS($I$5:$I$1369,$B$5:$B$1369,B281,$C$5:$C$1369,C281)</f>
        <v>1.18377024220958</v>
      </c>
      <c r="K281" s="28" t="n">
        <f aca="false">INDEX(Sector_Params!$F$8:$H$8,MATCH(B281,Sector_Params!$C$15:$E$15,0))</f>
        <v>0.38</v>
      </c>
      <c r="L281" s="16" t="n">
        <f aca="false">J281*K281</f>
        <v>0.44983269203964</v>
      </c>
      <c r="M281" s="44" t="n">
        <f aca="false">Country_Data!$DW$44+Sector_Params!$E$8</f>
        <v>0.055</v>
      </c>
      <c r="N281" s="44" t="n">
        <f aca="false">Country_Data!$DX$44+Sector_Params!$E$8</f>
        <v>0.07</v>
      </c>
      <c r="O281" s="11" t="n">
        <f aca="false">IF(p_use_ibrd=1,p_r_ibrd,p_r_wb)</f>
        <v>0.06</v>
      </c>
      <c r="P281" s="45" t="n">
        <f aca="false">Sector_Params!$D$8</f>
        <v>25</v>
      </c>
      <c r="Q281" s="46" t="n">
        <f aca="false">M281/(1-(1+M281)^-P281)</f>
        <v>0.0745493529464385</v>
      </c>
      <c r="R281" s="46" t="n">
        <f aca="false">N281/(1-(1+N281)^-P281)</f>
        <v>0.0858105172206656</v>
      </c>
      <c r="S281" s="46" t="n">
        <f aca="false">O281/(1-(1+O281)^-P281)</f>
        <v>0.078226718212274</v>
      </c>
      <c r="T281" s="37" t="n">
        <f aca="false">Country_Data!$CM$44*Sector_Params!$I$8</f>
        <v>0.212417077984017</v>
      </c>
      <c r="U281" s="37" t="n">
        <f aca="false">Country_Data!$CN$44*Sector_Params!$J$8</f>
        <v>0.03225</v>
      </c>
      <c r="V281" s="37" t="n">
        <f aca="false">p_a</f>
        <v>0.35</v>
      </c>
      <c r="W281" s="16" t="n">
        <f aca="false">T281*L281</f>
        <v>0.0955521460247445</v>
      </c>
      <c r="X281" s="16" t="n">
        <f aca="false">U281*L281</f>
        <v>0.0145071043182784</v>
      </c>
      <c r="Y281" s="16" t="n">
        <f aca="false">V281*L281</f>
        <v>0.157441442213874</v>
      </c>
      <c r="Z281" s="16" t="n">
        <f aca="false">Q281*L281</f>
        <v>0.0335347361257097</v>
      </c>
      <c r="AA281" s="16" t="n">
        <f aca="false">R281*L281</f>
        <v>0.0386003759666859</v>
      </c>
      <c r="AB281" s="16" t="n">
        <f aca="false">S281*L281</f>
        <v>0.0351889352428535</v>
      </c>
      <c r="AC281" s="16" t="n">
        <f aca="false">Z281-W281</f>
        <v>-0.0620174098990349</v>
      </c>
      <c r="AD281" s="16" t="n">
        <f aca="false">AA281-W281</f>
        <v>-0.0569517700580587</v>
      </c>
      <c r="AE281" s="16" t="n">
        <f aca="false">AB281-W281</f>
        <v>-0.060363210781891</v>
      </c>
      <c r="AF281" s="16" t="n">
        <f aca="false">AE281-X281</f>
        <v>-0.0748703151001694</v>
      </c>
      <c r="AG281" s="16" t="n">
        <f aca="false">AF281-p_spc_lo*Y281/1000</f>
        <v>-0.0827423872108631</v>
      </c>
      <c r="AH281" s="16" t="n">
        <f aca="false">AF281-p_spc_hi*Y281/1000</f>
        <v>-0.0906144593215568</v>
      </c>
      <c r="AI281" s="16" t="n">
        <f aca="false">Q281*J281</f>
        <v>0.0882493055939728</v>
      </c>
      <c r="AJ281" s="16" t="n">
        <f aca="false">S281*J281</f>
        <v>0.0926024611654039</v>
      </c>
      <c r="AK281" s="16" t="n">
        <f aca="false">T281*J281</f>
        <v>0.251453015854591</v>
      </c>
      <c r="AL281" s="16" t="n">
        <f aca="false">U281*J281</f>
        <v>0.0381765903112589</v>
      </c>
      <c r="AM281" s="16" t="n">
        <f aca="false">AI281-AJ281</f>
        <v>-0.00435315557143109</v>
      </c>
      <c r="AN281" s="16" t="n">
        <f aca="false">J281*Country_Data!$EB$44</f>
        <v>1.23683580479139</v>
      </c>
      <c r="AO281" s="16" t="n">
        <f aca="false">L281*Country_Data!$EB$44</f>
        <v>0.469997605820727</v>
      </c>
    </row>
    <row r="282" customFormat="false" ht="15" hidden="false" customHeight="false" outlineLevel="0" collapsed="false">
      <c r="A282" s="14" t="str">
        <f aca="false">Country_Data!$A$44</f>
        <v>HKG</v>
      </c>
      <c r="B282" s="14" t="str">
        <f aca="false">Country_Data!$E$44</f>
        <v>AE</v>
      </c>
      <c r="C282" s="35" t="s">
        <v>481</v>
      </c>
      <c r="D282" s="37" t="n">
        <f aca="false">IF(Country_Data!$CC$44="","",Country_Data!$CC$44)</f>
        <v>0.166540203180875</v>
      </c>
      <c r="E282" s="40" t="n">
        <f aca="false">Country_Data!$BW$44</f>
        <v>566.878</v>
      </c>
      <c r="F282" s="41" t="n">
        <f aca="false">Country_Data!$BX$44</f>
        <v>0.7203825161675</v>
      </c>
      <c r="G282" s="42" t="n">
        <f aca="false">IF(D282="","",D282/SUMIFS($D$5:$D$1369,$B$5:$B$1369,B282,$C$5:$C$1369,C282))</f>
        <v>0.00303234120581069</v>
      </c>
      <c r="H282" s="42" t="n">
        <f aca="false">E282/SUMIFS($E$5:$E$1369,$B$5:$B$1369,B282,$C$5:$C$1369,C282)</f>
        <v>0.00718614528409263</v>
      </c>
      <c r="I282" s="43" t="n">
        <f aca="false">IF(G282="",H282,p_beta_alloc*G282+(1-p_beta_alloc)*H282)*F282^p_phi</f>
        <v>0.00433648812384203</v>
      </c>
      <c r="J282" s="16" t="n">
        <f aca="false">INDEX(Sector_Params!$C$20:$E$20,MATCH(B282,Sector_Params!$C$15:$E$15,0))*I282/SUMIFS($I$5:$I$1369,$B$5:$B$1369,B282,$C$5:$C$1369,C282)</f>
        <v>0.736410929117444</v>
      </c>
      <c r="K282" s="28" t="n">
        <f aca="false">INDEX(Sector_Params!$F$9:$H$9,MATCH(B282,Sector_Params!$C$15:$E$15,0))</f>
        <v>0.38</v>
      </c>
      <c r="L282" s="16" t="n">
        <f aca="false">J282*K282</f>
        <v>0.279836153064629</v>
      </c>
      <c r="M282" s="44" t="n">
        <f aca="false">Country_Data!$DW$44+Sector_Params!$E$9</f>
        <v>0.055</v>
      </c>
      <c r="N282" s="44" t="n">
        <f aca="false">Country_Data!$DX$44+Sector_Params!$E$9</f>
        <v>0.07</v>
      </c>
      <c r="O282" s="11" t="n">
        <f aca="false">IF(p_use_ibrd=1,p_r_ibrd,p_r_wb)</f>
        <v>0.06</v>
      </c>
      <c r="P282" s="45" t="n">
        <f aca="false">Sector_Params!$D$9</f>
        <v>25</v>
      </c>
      <c r="Q282" s="46" t="n">
        <f aca="false">M282/(1-(1+M282)^-P282)</f>
        <v>0.0745493529464385</v>
      </c>
      <c r="R282" s="46" t="n">
        <f aca="false">N282/(1-(1+N282)^-P282)</f>
        <v>0.0858105172206656</v>
      </c>
      <c r="S282" s="46" t="n">
        <f aca="false">O282/(1-(1+O282)^-P282)</f>
        <v>0.078226718212274</v>
      </c>
      <c r="T282" s="37" t="n">
        <f aca="false">Country_Data!$CM$44*Sector_Params!$I$9</f>
        <v>0.212417077984017</v>
      </c>
      <c r="U282" s="37" t="n">
        <f aca="false">Country_Data!$CN$44*Sector_Params!$J$9</f>
        <v>0.03225</v>
      </c>
      <c r="V282" s="37" t="n">
        <f aca="false">p_a</f>
        <v>0.35</v>
      </c>
      <c r="W282" s="16" t="n">
        <f aca="false">T282*L282</f>
        <v>0.0594419779482766</v>
      </c>
      <c r="X282" s="16" t="n">
        <f aca="false">U282*L282</f>
        <v>0.00902471593633428</v>
      </c>
      <c r="Y282" s="16" t="n">
        <f aca="false">V282*L282</f>
        <v>0.0979426535726201</v>
      </c>
      <c r="Z282" s="16" t="n">
        <f aca="false">Q282*L282</f>
        <v>0.0208616041419886</v>
      </c>
      <c r="AA282" s="16" t="n">
        <f aca="false">R282*L282</f>
        <v>0.0240128850315171</v>
      </c>
      <c r="AB282" s="16" t="n">
        <f aca="false">S282*L282</f>
        <v>0.0218906638913935</v>
      </c>
      <c r="AC282" s="16" t="n">
        <f aca="false">Z282-W282</f>
        <v>-0.038580373806288</v>
      </c>
      <c r="AD282" s="16" t="n">
        <f aca="false">AA282-W282</f>
        <v>-0.0354290929167595</v>
      </c>
      <c r="AE282" s="16" t="n">
        <f aca="false">AB282-W282</f>
        <v>-0.0375513140568832</v>
      </c>
      <c r="AF282" s="16" t="n">
        <f aca="false">AE282-X282</f>
        <v>-0.0465760299932174</v>
      </c>
      <c r="AG282" s="16" t="n">
        <f aca="false">AF282-p_spc_lo*Y282/1000</f>
        <v>-0.0514731626718484</v>
      </c>
      <c r="AH282" s="16" t="n">
        <f aca="false">AF282-p_spc_hi*Y282/1000</f>
        <v>-0.0563702953504794</v>
      </c>
      <c r="AI282" s="16" t="n">
        <f aca="false">Q282*J282</f>
        <v>0.0548989582683911</v>
      </c>
      <c r="AJ282" s="16" t="n">
        <f aca="false">S282*J282</f>
        <v>0.0576070102405091</v>
      </c>
      <c r="AK282" s="16" t="n">
        <f aca="false">T282*J282</f>
        <v>0.156426257758623</v>
      </c>
      <c r="AL282" s="16" t="n">
        <f aca="false">U282*J282</f>
        <v>0.0237492524640376</v>
      </c>
      <c r="AM282" s="16" t="n">
        <f aca="false">AI282-AJ282</f>
        <v>-0.00270805197211808</v>
      </c>
      <c r="AN282" s="16" t="n">
        <f aca="false">J282*Country_Data!$EB$44</f>
        <v>0.769422453526157</v>
      </c>
      <c r="AO282" s="16" t="n">
        <f aca="false">L282*Country_Data!$EB$44</f>
        <v>0.29238053233994</v>
      </c>
    </row>
    <row r="283" customFormat="false" ht="15" hidden="false" customHeight="false" outlineLevel="0" collapsed="false">
      <c r="A283" s="14" t="str">
        <f aca="false">Country_Data!$A$44</f>
        <v>HKG</v>
      </c>
      <c r="B283" s="14" t="str">
        <f aca="false">Country_Data!$E$44</f>
        <v>AE</v>
      </c>
      <c r="C283" s="35" t="s">
        <v>484</v>
      </c>
      <c r="D283" s="37" t="n">
        <f aca="false">IF(Country_Data!$CD$44="","",Country_Data!$CD$44)</f>
        <v>0.465865240693362</v>
      </c>
      <c r="E283" s="40" t="n">
        <f aca="false">Country_Data!$BW$44</f>
        <v>566.878</v>
      </c>
      <c r="F283" s="41" t="n">
        <f aca="false">Country_Data!$BX$44</f>
        <v>0.7203825161675</v>
      </c>
      <c r="G283" s="42" t="n">
        <f aca="false">IF(D283="","",D283/SUMIFS($D$5:$D$1369,$B$5:$B$1369,B283,$C$5:$C$1369,C283))</f>
        <v>0.00315199419016255</v>
      </c>
      <c r="H283" s="42" t="n">
        <f aca="false">E283/SUMIFS($E$5:$E$1369,$B$5:$B$1369,B283,$C$5:$C$1369,C283)</f>
        <v>0.00718614528409263</v>
      </c>
      <c r="I283" s="43" t="n">
        <f aca="false">IF(G283="",H283,p_beta_alloc*G283+(1-p_beta_alloc)*H283)*F283^p_phi</f>
        <v>0.00438726606890629</v>
      </c>
      <c r="J283" s="16" t="n">
        <f aca="false">INDEX(Sector_Params!$C$21:$E$21,MATCH(B283,Sector_Params!$C$15:$E$15,0))*I283/SUMIFS($I$5:$I$1369,$B$5:$B$1369,B283,$C$5:$C$1369,C283)</f>
        <v>0.893904302137132</v>
      </c>
      <c r="K283" s="28" t="n">
        <f aca="false">INDEX(Sector_Params!$F$10:$H$10,MATCH(B283,Sector_Params!$C$15:$E$15,0))</f>
        <v>0.38</v>
      </c>
      <c r="L283" s="16" t="n">
        <f aca="false">J283*K283</f>
        <v>0.33968363481211</v>
      </c>
      <c r="M283" s="44" t="n">
        <f aca="false">Country_Data!$DW$44+Sector_Params!$E$10</f>
        <v>0.055</v>
      </c>
      <c r="N283" s="44" t="n">
        <f aca="false">Country_Data!$DX$44+Sector_Params!$E$10</f>
        <v>0.07</v>
      </c>
      <c r="O283" s="11" t="n">
        <f aca="false">IF(p_use_ibrd=1,p_r_ibrd,p_r_wb)</f>
        <v>0.06</v>
      </c>
      <c r="P283" s="45" t="n">
        <f aca="false">Sector_Params!$D$10</f>
        <v>20</v>
      </c>
      <c r="Q283" s="46" t="n">
        <f aca="false">M283/(1-(1+M283)^-P283)</f>
        <v>0.0836793300349332</v>
      </c>
      <c r="R283" s="46" t="n">
        <f aca="false">N283/(1-(1+N283)^-P283)</f>
        <v>0.0943929257432557</v>
      </c>
      <c r="S283" s="46" t="n">
        <f aca="false">O283/(1-(1+O283)^-P283)</f>
        <v>0.0871845569768514</v>
      </c>
      <c r="T283" s="37" t="n">
        <f aca="false">0*Sector_Params!$I$10</f>
        <v>0</v>
      </c>
      <c r="U283" s="37" t="n">
        <f aca="false">0*Sector_Params!$J$10</f>
        <v>0</v>
      </c>
      <c r="V283" s="37" t="n">
        <f aca="false">1000*p_r_wb/(1-(1+p_r_wb)^-Sector_Params!$D$10)/p_cpt_fuel</f>
        <v>0.871845569768514</v>
      </c>
      <c r="W283" s="16" t="n">
        <f aca="false">T283*L283</f>
        <v>0</v>
      </c>
      <c r="X283" s="16" t="n">
        <f aca="false">U283*L283</f>
        <v>0</v>
      </c>
      <c r="Y283" s="16" t="n">
        <f aca="false">V283*L283</f>
        <v>0.296151672133804</v>
      </c>
      <c r="Z283" s="16" t="n">
        <f aca="false">Q283*L283</f>
        <v>0.0284244989849083</v>
      </c>
      <c r="AA283" s="16" t="n">
        <f aca="false">R283*L283</f>
        <v>0.0320637321170187</v>
      </c>
      <c r="AB283" s="16" t="n">
        <f aca="false">S283*L283</f>
        <v>0.0296151672133804</v>
      </c>
      <c r="AC283" s="16" t="n">
        <f aca="false">Z283-W283</f>
        <v>0.0284244989849083</v>
      </c>
      <c r="AD283" s="16" t="n">
        <f aca="false">AA283-W283</f>
        <v>0.0320637321170187</v>
      </c>
      <c r="AE283" s="16" t="n">
        <f aca="false">AB283-W283</f>
        <v>0.0296151672133804</v>
      </c>
      <c r="AF283" s="16" t="n">
        <f aca="false">AE283-X283</f>
        <v>0.0296151672133804</v>
      </c>
      <c r="AG283" s="16" t="n">
        <f aca="false">AF283-p_spc_lo*Y283/1000</f>
        <v>0.0148075836066902</v>
      </c>
      <c r="AH283" s="16" t="n">
        <f aca="false">AF283-p_spc_hi*Y283/1000</f>
        <v>0</v>
      </c>
      <c r="AI283" s="16" t="n">
        <f aca="false">Q283*J283</f>
        <v>0.0748013131181798</v>
      </c>
      <c r="AJ283" s="16" t="n">
        <f aca="false">S283*J283</f>
        <v>0.0779346505615274</v>
      </c>
      <c r="AK283" s="16" t="n">
        <f aca="false">T283*J283</f>
        <v>0</v>
      </c>
      <c r="AL283" s="16" t="n">
        <f aca="false">U283*J283</f>
        <v>0</v>
      </c>
      <c r="AM283" s="16" t="n">
        <f aca="false">AI283-AJ283</f>
        <v>-0.00313333744334765</v>
      </c>
      <c r="AN283" s="16" t="n">
        <f aca="false">J283*Country_Data!$EB$44</f>
        <v>0.9339758743019</v>
      </c>
      <c r="AO283" s="16" t="n">
        <f aca="false">L283*Country_Data!$EB$44</f>
        <v>0.354910832234722</v>
      </c>
    </row>
    <row r="284" customFormat="false" ht="15" hidden="false" customHeight="false" outlineLevel="0" collapsed="false">
      <c r="A284" s="14" t="str">
        <f aca="false">Country_Data!$A$44</f>
        <v>HKG</v>
      </c>
      <c r="B284" s="14" t="str">
        <f aca="false">Country_Data!$E$44</f>
        <v>AE</v>
      </c>
      <c r="C284" s="35" t="s">
        <v>488</v>
      </c>
      <c r="D284" s="37" t="n">
        <f aca="false">IF(Country_Data!$CE$44="","",Country_Data!$CE$44)</f>
        <v>6.47000000000001</v>
      </c>
      <c r="E284" s="40" t="n">
        <f aca="false">Country_Data!$BW$44</f>
        <v>566.878</v>
      </c>
      <c r="F284" s="41" t="n">
        <f aca="false">Country_Data!$BX$44</f>
        <v>0.7203825161675</v>
      </c>
      <c r="G284" s="42" t="n">
        <f aca="false">IF(D284="","",D284/SUMIFS($D$5:$D$1369,$B$5:$B$1369,B284,$C$5:$C$1369,C284))</f>
        <v>0.00246920741876613</v>
      </c>
      <c r="H284" s="42" t="n">
        <f aca="false">E284/SUMIFS($E$5:$E$1369,$B$5:$B$1369,B284,$C$5:$C$1369,C284)</f>
        <v>0.00718614528409263</v>
      </c>
      <c r="I284" s="43" t="n">
        <f aca="false">IF(G284="",H284,p_beta_alloc*G284+(1-p_beta_alloc)*H284)*F284^p_phi</f>
        <v>0.0040975072354232</v>
      </c>
      <c r="J284" s="16" t="n">
        <f aca="false">INDEX(Sector_Params!$C$22:$E$22,MATCH(B284,Sector_Params!$C$15:$E$15,0))*I284/SUMIFS($I$5:$I$1369,$B$5:$B$1369,B284,$C$5:$C$1369,C284)</f>
        <v>0.158768664272029</v>
      </c>
      <c r="K284" s="28" t="n">
        <f aca="false">INDEX(Sector_Params!$F$11:$H$11,MATCH(B284,Sector_Params!$C$15:$E$15,0))</f>
        <v>0.38</v>
      </c>
      <c r="L284" s="16" t="n">
        <f aca="false">J284*K284</f>
        <v>0.0603320924233711</v>
      </c>
      <c r="M284" s="44" t="n">
        <f aca="false">Country_Data!$DW$44+Sector_Params!$E$11</f>
        <v>0.055</v>
      </c>
      <c r="N284" s="44" t="n">
        <f aca="false">Country_Data!$DX$44+Sector_Params!$E$11</f>
        <v>0.07</v>
      </c>
      <c r="O284" s="11" t="n">
        <f aca="false">IF(p_use_ibrd=1,p_r_ibrd,p_r_wb)</f>
        <v>0.06</v>
      </c>
      <c r="P284" s="45" t="n">
        <f aca="false">Sector_Params!$D$11</f>
        <v>30</v>
      </c>
      <c r="Q284" s="46" t="n">
        <f aca="false">M284/(1-(1+M284)^-P284)</f>
        <v>0.0688053896793896</v>
      </c>
      <c r="R284" s="46" t="n">
        <f aca="false">N284/(1-(1+N284)^-P284)</f>
        <v>0.0805864035111112</v>
      </c>
      <c r="S284" s="46" t="n">
        <f aca="false">O284/(1-(1+O284)^-P284)</f>
        <v>0.0726489114900472</v>
      </c>
      <c r="T284" s="37" t="n">
        <f aca="false">0*Sector_Params!$I$11</f>
        <v>0</v>
      </c>
      <c r="U284" s="37" t="n">
        <f aca="false">p_c*Sector_Params!$J$11</f>
        <v>0.129</v>
      </c>
      <c r="V284" s="37" t="n">
        <f aca="false">1000*p_r_wb/(1-(1+p_r_wb)^-Sector_Params!$D$11)/p_cpt_afolu</f>
        <v>1.45297822980094</v>
      </c>
      <c r="W284" s="16" t="n">
        <f aca="false">T284*L284</f>
        <v>0</v>
      </c>
      <c r="X284" s="16" t="n">
        <f aca="false">U284*L284</f>
        <v>0.00778283992261487</v>
      </c>
      <c r="Y284" s="16" t="n">
        <f aca="false">V284*L284</f>
        <v>0.0876612168494966</v>
      </c>
      <c r="Z284" s="16" t="n">
        <f aca="false">Q284*L284</f>
        <v>0.00415117312936299</v>
      </c>
      <c r="AA284" s="16" t="n">
        <f aca="false">R284*L284</f>
        <v>0.00486194634469943</v>
      </c>
      <c r="AB284" s="16" t="n">
        <f aca="false">S284*L284</f>
        <v>0.00438306084247483</v>
      </c>
      <c r="AC284" s="16" t="n">
        <f aca="false">Z284-W284</f>
        <v>0.00415117312936299</v>
      </c>
      <c r="AD284" s="16" t="n">
        <f aca="false">AA284-W284</f>
        <v>0.00486194634469943</v>
      </c>
      <c r="AE284" s="16" t="n">
        <f aca="false">AB284-W284</f>
        <v>0.00438306084247483</v>
      </c>
      <c r="AF284" s="16" t="n">
        <f aca="false">AE284-X284</f>
        <v>-0.00339977908014003</v>
      </c>
      <c r="AG284" s="16" t="n">
        <f aca="false">AF284-p_spc_lo*Y284/1000</f>
        <v>-0.00778283992261486</v>
      </c>
      <c r="AH284" s="16" t="n">
        <f aca="false">AF284-p_spc_hi*Y284/1000</f>
        <v>-0.0121659007650897</v>
      </c>
      <c r="AI284" s="16" t="n">
        <f aca="false">Q284*J284</f>
        <v>0.0109241398141131</v>
      </c>
      <c r="AJ284" s="16" t="n">
        <f aca="false">S284*J284</f>
        <v>0.0115343706380917</v>
      </c>
      <c r="AK284" s="16" t="n">
        <f aca="false">T284*J284</f>
        <v>0</v>
      </c>
      <c r="AL284" s="16" t="n">
        <f aca="false">U284*J284</f>
        <v>0.0204811576910918</v>
      </c>
      <c r="AM284" s="16" t="n">
        <f aca="false">AI284-AJ284</f>
        <v>-0.000610230823978519</v>
      </c>
      <c r="AN284" s="16" t="n">
        <f aca="false">J284*Country_Data!$EB$44</f>
        <v>0.165885880256637</v>
      </c>
      <c r="AO284" s="16" t="n">
        <f aca="false">L284*Country_Data!$EB$44</f>
        <v>0.0630366344975222</v>
      </c>
    </row>
    <row r="285" customFormat="false" ht="15" hidden="false" customHeight="false" outlineLevel="0" collapsed="false">
      <c r="A285" s="14" t="str">
        <f aca="false">Country_Data!$A$45</f>
        <v>ZAF</v>
      </c>
      <c r="B285" s="14" t="str">
        <f aca="false">Country_Data!$E$45</f>
        <v>EMDC</v>
      </c>
      <c r="C285" s="35" t="s">
        <v>466</v>
      </c>
      <c r="D285" s="37" t="n">
        <f aca="false">IF(Country_Data!$BZ$45="","",Country_Data!$BZ$45)</f>
        <v>182.379435146333</v>
      </c>
      <c r="E285" s="40" t="n">
        <f aca="false">Country_Data!$BW$45</f>
        <v>990.744</v>
      </c>
      <c r="F285" s="41" t="n">
        <f aca="false">Country_Data!$BX$45</f>
        <v>0.404823042077469</v>
      </c>
      <c r="G285" s="42" t="n">
        <f aca="false">IF(D285="","",D285/SUMIFS($D$5:$D$1369,$B$5:$B$1369,B285,$C$5:$C$1369,C285))</f>
        <v>0.0208208257746658</v>
      </c>
      <c r="H285" s="42" t="n">
        <f aca="false">E285/SUMIFS($E$5:$E$1369,$B$5:$B$1369,B285,$C$5:$C$1369,C285)</f>
        <v>0.0122720278194899</v>
      </c>
      <c r="I285" s="43" t="n">
        <f aca="false">IF(G285="",H285,p_beta_alloc*G285+(1-p_beta_alloc)*H285)*F285^p_phi</f>
        <v>0.0105277808112104</v>
      </c>
      <c r="J285" s="16" t="n">
        <f aca="false">INDEX(Sector_Params!$C$16:$E$16,MATCH(B285,Sector_Params!$C$15:$E$15,0))*I285/SUMIFS($I$5:$I$1369,$B$5:$B$1369,B285,$C$5:$C$1369,C285)</f>
        <v>10.1827365028577</v>
      </c>
      <c r="K285" s="28" t="n">
        <f aca="false">INDEX(Sector_Params!$F$5:$H$5,MATCH(B285,Sector_Params!$C$15:$E$15,0))</f>
        <v>0.24</v>
      </c>
      <c r="L285" s="16" t="n">
        <f aca="false">J285*K285</f>
        <v>2.44385676068586</v>
      </c>
      <c r="M285" s="44" t="n">
        <f aca="false">Country_Data!$DW$45+Sector_Params!$E$5</f>
        <v>0.09152</v>
      </c>
      <c r="N285" s="44" t="n">
        <f aca="false">Country_Data!$DX$45+Sector_Params!$E$5</f>
        <v>0.13652</v>
      </c>
      <c r="O285" s="11" t="n">
        <f aca="false">IF(p_use_ibrd=1,p_r_ibrd,p_r_wb)</f>
        <v>0.06</v>
      </c>
      <c r="P285" s="45" t="n">
        <f aca="false">Sector_Params!$D$5</f>
        <v>25</v>
      </c>
      <c r="Q285" s="46" t="n">
        <f aca="false">M285/(1-(1+M285)^-P285)</f>
        <v>0.103062749812501</v>
      </c>
      <c r="R285" s="46" t="n">
        <f aca="false">N285/(1-(1+N285)^-P285)</f>
        <v>0.142325723293262</v>
      </c>
      <c r="S285" s="46" t="n">
        <f aca="false">O285/(1-(1+O285)^-P285)</f>
        <v>0.078226718212274</v>
      </c>
      <c r="T285" s="37" t="n">
        <f aca="false">IF(AND(p_eng=1,ISNUMBER(Country_Data!$CZ$45)),Country_Data!$CZ$45,Country_Data!$CM$45)*Sector_Params!$I$5</f>
        <v>0.0282583581786876</v>
      </c>
      <c r="U285" s="37" t="n">
        <f aca="false">IF(AND(p_eng=1,ISNUMBER(Country_Data!$DA$45)),Country_Data!$DA$45,Country_Data!$CN$45)*Sector_Params!$J$5</f>
        <v>0.0412482976176653</v>
      </c>
      <c r="V285" s="37" t="n">
        <f aca="false">IF(AND(p_eng=1,ISNUMBER(Country_Data!$DB$45)),Country_Data!$DB$45,p_a)</f>
        <v>1.78616020287003</v>
      </c>
      <c r="W285" s="16" t="n">
        <f aca="false">T285*L285</f>
        <v>0.0690593796808681</v>
      </c>
      <c r="X285" s="16" t="n">
        <f aca="false">U285*L285</f>
        <v>0.100804930999714</v>
      </c>
      <c r="Y285" s="16" t="n">
        <f aca="false">V285*L285</f>
        <v>4.36511968745196</v>
      </c>
      <c r="Z285" s="16" t="n">
        <f aca="false">Q285*L285</f>
        <v>0.251870597904156</v>
      </c>
      <c r="AA285" s="16" t="n">
        <f aca="false">R285*L285</f>
        <v>0.347823681089743</v>
      </c>
      <c r="AB285" s="16" t="n">
        <f aca="false">S285*L285</f>
        <v>0.191174894169333</v>
      </c>
      <c r="AC285" s="16" t="n">
        <f aca="false">Z285-W285</f>
        <v>0.182811218223287</v>
      </c>
      <c r="AD285" s="16" t="n">
        <f aca="false">AA285-W285</f>
        <v>0.278764301408875</v>
      </c>
      <c r="AE285" s="16" t="n">
        <f aca="false">AB285-W285</f>
        <v>0.122115514488465</v>
      </c>
      <c r="AF285" s="16" t="n">
        <f aca="false">AE285-X285</f>
        <v>0.0213105834887514</v>
      </c>
      <c r="AG285" s="16" t="n">
        <f aca="false">AF285-p_spc_lo*Y285/1000</f>
        <v>-0.196945400883846</v>
      </c>
      <c r="AH285" s="16" t="n">
        <f aca="false">AF285-p_spc_hi*Y285/1000</f>
        <v>-0.415201385256444</v>
      </c>
      <c r="AI285" s="16" t="n">
        <f aca="false">Q285*J285</f>
        <v>1.04946082460065</v>
      </c>
      <c r="AJ285" s="16" t="n">
        <f aca="false">S285*J285</f>
        <v>0.796562059038888</v>
      </c>
      <c r="AK285" s="16" t="n">
        <f aca="false">T285*J285</f>
        <v>0.28774741533695</v>
      </c>
      <c r="AL285" s="16" t="n">
        <f aca="false">U285*J285</f>
        <v>0.42002054583214</v>
      </c>
      <c r="AM285" s="16" t="n">
        <f aca="false">AI285-AJ285</f>
        <v>0.25289876556176</v>
      </c>
      <c r="AN285" s="16" t="n">
        <f aca="false">J285*Country_Data!$EB$45</f>
        <v>11.6892235471161</v>
      </c>
      <c r="AO285" s="16" t="n">
        <f aca="false">L285*Country_Data!$EB$45</f>
        <v>2.80541365130787</v>
      </c>
    </row>
    <row r="286" customFormat="false" ht="15" hidden="false" customHeight="false" outlineLevel="0" collapsed="false">
      <c r="A286" s="14" t="str">
        <f aca="false">Country_Data!$A$45</f>
        <v>ZAF</v>
      </c>
      <c r="B286" s="14" t="str">
        <f aca="false">Country_Data!$E$45</f>
        <v>EMDC</v>
      </c>
      <c r="C286" s="35" t="s">
        <v>470</v>
      </c>
      <c r="D286" s="37" t="n">
        <f aca="false">IF(Country_Data!$BZ$45="","",Country_Data!$BZ$45)</f>
        <v>182.379435146333</v>
      </c>
      <c r="E286" s="40" t="n">
        <f aca="false">Country_Data!$BW$45</f>
        <v>990.744</v>
      </c>
      <c r="F286" s="41" t="n">
        <f aca="false">Country_Data!$BX$45</f>
        <v>0.404823042077469</v>
      </c>
      <c r="G286" s="42" t="n">
        <f aca="false">IF(D286="","",D286/SUMIFS($D$5:$D$1369,$B$5:$B$1369,B286,$C$5:$C$1369,C286))</f>
        <v>0.0208208257746658</v>
      </c>
      <c r="H286" s="42" t="n">
        <f aca="false">E286/SUMIFS($E$5:$E$1369,$B$5:$B$1369,B286,$C$5:$C$1369,C286)</f>
        <v>0.0122720278194899</v>
      </c>
      <c r="I286" s="43" t="n">
        <f aca="false">IF(G286="",H286,p_beta_alloc*G286+(1-p_beta_alloc)*H286)*F286^p_phi</f>
        <v>0.0105277808112104</v>
      </c>
      <c r="J286" s="16" t="n">
        <f aca="false">INDEX(Sector_Params!$C$17:$E$17,MATCH(B286,Sector_Params!$C$15:$E$15,0))*I286/SUMIFS($I$5:$I$1369,$B$5:$B$1369,B286,$C$5:$C$1369,C286)</f>
        <v>6.98244788767388</v>
      </c>
      <c r="K286" s="28" t="n">
        <f aca="false">INDEX(Sector_Params!$F$6:$H$6,MATCH(B286,Sector_Params!$C$15:$E$15,0))</f>
        <v>0.24</v>
      </c>
      <c r="L286" s="16" t="n">
        <f aca="false">J286*K286</f>
        <v>1.67578749304173</v>
      </c>
      <c r="M286" s="44" t="n">
        <f aca="false">Country_Data!$DW$45+Sector_Params!$E$6</f>
        <v>0.09152</v>
      </c>
      <c r="N286" s="44" t="n">
        <f aca="false">Country_Data!$DX$45+Sector_Params!$E$6</f>
        <v>0.13652</v>
      </c>
      <c r="O286" s="11" t="n">
        <f aca="false">IF(p_use_ibrd=1,p_r_ibrd,p_r_wb)</f>
        <v>0.06</v>
      </c>
      <c r="P286" s="45" t="n">
        <f aca="false">Sector_Params!$D$6</f>
        <v>40</v>
      </c>
      <c r="Q286" s="46" t="n">
        <f aca="false">M286/(1-(1+M286)^-P286)</f>
        <v>0.0943613601365396</v>
      </c>
      <c r="R286" s="46" t="n">
        <f aca="false">N286/(1-(1+N286)^-P286)</f>
        <v>0.137341711088243</v>
      </c>
      <c r="S286" s="46" t="n">
        <f aca="false">O286/(1-(1+O286)^-P286)</f>
        <v>0.0664615359206755</v>
      </c>
      <c r="T286" s="37" t="n">
        <f aca="false">p_grid_credit*IF(AND(p_eng=1,ISNUMBER(Country_Data!$CZ$45)),Country_Data!$CZ$45,Country_Data!$CM$45)*Sector_Params!$I$6</f>
        <v>0</v>
      </c>
      <c r="U286" s="37" t="n">
        <f aca="false">p_grid_credit*IF(AND(p_eng=1,ISNUMBER(Country_Data!$DA$45)),Country_Data!$DA$45,Country_Data!$CN$45)*Sector_Params!$J$6</f>
        <v>0</v>
      </c>
      <c r="V286" s="37" t="n">
        <f aca="false">p_grid_credit*IF(AND(p_eng=1,ISNUMBER(Country_Data!$DB$45)),Country_Data!$DB$45,p_a)</f>
        <v>0</v>
      </c>
      <c r="W286" s="16" t="n">
        <f aca="false">T286*L286</f>
        <v>0</v>
      </c>
      <c r="X286" s="16" t="n">
        <f aca="false">U286*L286</f>
        <v>0</v>
      </c>
      <c r="Y286" s="16" t="n">
        <f aca="false">V286*L286</f>
        <v>0</v>
      </c>
      <c r="Z286" s="16" t="n">
        <f aca="false">Q286*L286</f>
        <v>0.15812958714322</v>
      </c>
      <c r="AA286" s="16" t="n">
        <f aca="false">R286*L286</f>
        <v>0.230155521714628</v>
      </c>
      <c r="AB286" s="16" t="n">
        <f aca="false">S286*L286</f>
        <v>0.111375410664212</v>
      </c>
      <c r="AC286" s="16" t="n">
        <f aca="false">Z286-W286</f>
        <v>0.15812958714322</v>
      </c>
      <c r="AD286" s="16" t="n">
        <f aca="false">AA286-W286</f>
        <v>0.230155521714628</v>
      </c>
      <c r="AE286" s="16" t="n">
        <f aca="false">AB286-W286</f>
        <v>0.111375410664212</v>
      </c>
      <c r="AF286" s="16" t="n">
        <f aca="false">AE286-X286</f>
        <v>0.111375410664212</v>
      </c>
      <c r="AG286" s="16" t="n">
        <f aca="false">AF286-p_spc_lo*Y286/1000</f>
        <v>0.111375410664212</v>
      </c>
      <c r="AH286" s="16" t="n">
        <f aca="false">AF286-p_spc_hi*Y286/1000</f>
        <v>0.111375410664212</v>
      </c>
      <c r="AI286" s="16" t="n">
        <f aca="false">Q286*J286</f>
        <v>0.658873279763415</v>
      </c>
      <c r="AJ286" s="16" t="n">
        <f aca="false">S286*J286</f>
        <v>0.464064211100882</v>
      </c>
      <c r="AK286" s="16" t="n">
        <f aca="false">T286*J286</f>
        <v>0</v>
      </c>
      <c r="AL286" s="16" t="n">
        <f aca="false">U286*J286</f>
        <v>0</v>
      </c>
      <c r="AM286" s="16" t="n">
        <f aca="false">AI286-AJ286</f>
        <v>0.194809068662533</v>
      </c>
      <c r="AN286" s="16" t="n">
        <f aca="false">J286*Country_Data!$EB$45</f>
        <v>8.01546757516536</v>
      </c>
      <c r="AO286" s="16" t="n">
        <f aca="false">L286*Country_Data!$EB$45</f>
        <v>1.92371221803969</v>
      </c>
    </row>
    <row r="287" customFormat="false" ht="15" hidden="false" customHeight="false" outlineLevel="0" collapsed="false">
      <c r="A287" s="14" t="str">
        <f aca="false">Country_Data!$A$45</f>
        <v>ZAF</v>
      </c>
      <c r="B287" s="14" t="str">
        <f aca="false">Country_Data!$E$45</f>
        <v>EMDC</v>
      </c>
      <c r="C287" s="35" t="s">
        <v>473</v>
      </c>
      <c r="D287" s="37" t="n">
        <f aca="false">IF(Country_Data!$CA$45="","",Country_Data!$CA$45)</f>
        <v>0.799068507809689</v>
      </c>
      <c r="E287" s="40" t="n">
        <f aca="false">Country_Data!$BW$45</f>
        <v>990.744</v>
      </c>
      <c r="F287" s="41" t="n">
        <f aca="false">Country_Data!$BX$45</f>
        <v>0.404823042077469</v>
      </c>
      <c r="G287" s="42" t="n">
        <f aca="false">IF(D287="","",D287/SUMIFS($D$5:$D$1369,$B$5:$B$1369,B287,$C$5:$C$1369,C287))</f>
        <v>0.0184603417346158</v>
      </c>
      <c r="H287" s="42" t="n">
        <f aca="false">E287/SUMIFS($E$5:$E$1369,$B$5:$B$1369,B287,$C$5:$C$1369,C287)</f>
        <v>0.0122720278194899</v>
      </c>
      <c r="I287" s="43" t="n">
        <f aca="false">IF(G287="",H287,p_beta_alloc*G287+(1-p_beta_alloc)*H287)*F287^p_phi</f>
        <v>0.00977684349746977</v>
      </c>
      <c r="J287" s="16" t="n">
        <f aca="false">INDEX(Sector_Params!$C$18:$E$18,MATCH(B287,Sector_Params!$C$15:$E$15,0))*I287/SUMIFS($I$5:$I$1369,$B$5:$B$1369,B287,$C$5:$C$1369,C287)</f>
        <v>4.00338608022446</v>
      </c>
      <c r="K287" s="28" t="n">
        <f aca="false">INDEX(Sector_Params!$F$7:$H$7,MATCH(B287,Sector_Params!$C$15:$E$15,0))</f>
        <v>0.24</v>
      </c>
      <c r="L287" s="16" t="n">
        <f aca="false">J287*K287</f>
        <v>0.960812659253871</v>
      </c>
      <c r="M287" s="44" t="n">
        <f aca="false">Country_Data!$DW$45+Sector_Params!$E$7</f>
        <v>0.09152</v>
      </c>
      <c r="N287" s="44" t="n">
        <f aca="false">Country_Data!$DX$45+Sector_Params!$E$7</f>
        <v>0.13652</v>
      </c>
      <c r="O287" s="11" t="n">
        <f aca="false">IF(p_use_ibrd=1,p_r_ibrd,p_r_wb)</f>
        <v>0.06</v>
      </c>
      <c r="P287" s="45" t="n">
        <f aca="false">Sector_Params!$D$7</f>
        <v>12</v>
      </c>
      <c r="Q287" s="46" t="n">
        <f aca="false">M287/(1-(1+M287)^-P287)</f>
        <v>0.14072180306649</v>
      </c>
      <c r="R287" s="46" t="n">
        <f aca="false">N287/(1-(1+N287)^-P287)</f>
        <v>0.173980721270738</v>
      </c>
      <c r="S287" s="46" t="n">
        <f aca="false">O287/(1-(1+O287)^-P287)</f>
        <v>0.119277029380664</v>
      </c>
      <c r="T287" s="37" t="n">
        <f aca="false">IF(AND(p_eng=1,ISNUMBER(Country_Data!$DE$45)),Country_Data!$DE$45,Country_Data!$CM$45)*Sector_Params!$I$7</f>
        <v>0.13339593</v>
      </c>
      <c r="U287" s="37" t="n">
        <f aca="false">IF(AND(p_eng=1,ISNUMBER(Country_Data!$DF$45)),Country_Data!$DF$45,Country_Data!$CN$45)*Sector_Params!$J$7</f>
        <v>0.00537345</v>
      </c>
      <c r="V287" s="37" t="n">
        <f aca="false">IF(AND(p_eng=1,ISNUMBER(Country_Data!$DG$45)),Country_Data!$DG$45,p_a)</f>
        <v>0.114138960949085</v>
      </c>
      <c r="W287" s="16" t="n">
        <f aca="false">T287*L287</f>
        <v>0.128168498236943</v>
      </c>
      <c r="X287" s="16" t="n">
        <f aca="false">U287*L287</f>
        <v>0.00516287878386771</v>
      </c>
      <c r="Y287" s="16" t="n">
        <f aca="false">V287*L287</f>
        <v>0.109666158593965</v>
      </c>
      <c r="Z287" s="16" t="n">
        <f aca="false">Q287*L287</f>
        <v>0.135207289819314</v>
      </c>
      <c r="AA287" s="16" t="n">
        <f aca="false">R287*L287</f>
        <v>0.167162879463044</v>
      </c>
      <c r="AB287" s="16" t="n">
        <f aca="false">S287*L287</f>
        <v>0.114602879787137</v>
      </c>
      <c r="AC287" s="16" t="n">
        <f aca="false">Z287-W287</f>
        <v>0.00703879158237103</v>
      </c>
      <c r="AD287" s="16" t="n">
        <f aca="false">AA287-W287</f>
        <v>0.0389943812261006</v>
      </c>
      <c r="AE287" s="16" t="n">
        <f aca="false">AB287-W287</f>
        <v>-0.0135656184498058</v>
      </c>
      <c r="AF287" s="16" t="n">
        <f aca="false">AE287-X287</f>
        <v>-0.0187284972336735</v>
      </c>
      <c r="AG287" s="16" t="n">
        <f aca="false">AF287-p_spc_lo*Y287/1000</f>
        <v>-0.0242118051633717</v>
      </c>
      <c r="AH287" s="16" t="n">
        <f aca="false">AF287-p_spc_hi*Y287/1000</f>
        <v>-0.0296951130930699</v>
      </c>
      <c r="AI287" s="16" t="n">
        <f aca="false">Q287*J287</f>
        <v>0.563363707580476</v>
      </c>
      <c r="AJ287" s="16" t="n">
        <f aca="false">S287*J287</f>
        <v>0.477511999113073</v>
      </c>
      <c r="AK287" s="16" t="n">
        <f aca="false">T287*J287</f>
        <v>0.534035409320597</v>
      </c>
      <c r="AL287" s="16" t="n">
        <f aca="false">U287*J287</f>
        <v>0.0215119949327821</v>
      </c>
      <c r="AM287" s="16" t="n">
        <f aca="false">AI287-AJ287</f>
        <v>0.0858517084674033</v>
      </c>
      <c r="AN287" s="16" t="n">
        <f aca="false">J287*Country_Data!$EB$45</f>
        <v>4.59566785647685</v>
      </c>
      <c r="AO287" s="16" t="n">
        <f aca="false">L287*Country_Data!$EB$45</f>
        <v>1.10296028555444</v>
      </c>
    </row>
    <row r="288" customFormat="false" ht="15" hidden="false" customHeight="false" outlineLevel="0" collapsed="false">
      <c r="A288" s="14" t="str">
        <f aca="false">Country_Data!$A$45</f>
        <v>ZAF</v>
      </c>
      <c r="B288" s="14" t="str">
        <f aca="false">Country_Data!$E$45</f>
        <v>EMDC</v>
      </c>
      <c r="C288" s="35" t="s">
        <v>477</v>
      </c>
      <c r="D288" s="37" t="n">
        <f aca="false">IF(Country_Data!$CB$45="","",Country_Data!$CB$45)</f>
        <v>0.379643284005369</v>
      </c>
      <c r="E288" s="40" t="n">
        <f aca="false">Country_Data!$BW$45</f>
        <v>990.744</v>
      </c>
      <c r="F288" s="41" t="n">
        <f aca="false">Country_Data!$BX$45</f>
        <v>0.404823042077469</v>
      </c>
      <c r="G288" s="42" t="n">
        <f aca="false">IF(D288="","",D288/SUMIFS($D$5:$D$1369,$B$5:$B$1369,B288,$C$5:$C$1369,C288))</f>
        <v>0.0119713087586092</v>
      </c>
      <c r="H288" s="42" t="n">
        <f aca="false">E288/SUMIFS($E$5:$E$1369,$B$5:$B$1369,B288,$C$5:$C$1369,C288)</f>
        <v>0.0122720278194899</v>
      </c>
      <c r="I288" s="43" t="n">
        <f aca="false">IF(G288="",H288,p_beta_alloc*G288+(1-p_beta_alloc)*H288)*F288^p_phi</f>
        <v>0.00771249698671199</v>
      </c>
      <c r="J288" s="16" t="n">
        <f aca="false">INDEX(Sector_Params!$C$19:$E$19,MATCH(B288,Sector_Params!$C$15:$E$15,0))*I288/SUMIFS($I$5:$I$1369,$B$5:$B$1369,B288,$C$5:$C$1369,C288)</f>
        <v>2.48236430583811</v>
      </c>
      <c r="K288" s="28" t="n">
        <f aca="false">INDEX(Sector_Params!$F$8:$H$8,MATCH(B288,Sector_Params!$C$15:$E$15,0))</f>
        <v>0.24</v>
      </c>
      <c r="L288" s="16" t="n">
        <f aca="false">J288*K288</f>
        <v>0.595767433401146</v>
      </c>
      <c r="M288" s="44" t="n">
        <f aca="false">Country_Data!$DW$45+Sector_Params!$E$8</f>
        <v>0.09152</v>
      </c>
      <c r="N288" s="44" t="n">
        <f aca="false">Country_Data!$DX$45+Sector_Params!$E$8</f>
        <v>0.13652</v>
      </c>
      <c r="O288" s="11" t="n">
        <f aca="false">IF(p_use_ibrd=1,p_r_ibrd,p_r_wb)</f>
        <v>0.06</v>
      </c>
      <c r="P288" s="45" t="n">
        <f aca="false">Sector_Params!$D$8</f>
        <v>25</v>
      </c>
      <c r="Q288" s="46" t="n">
        <f aca="false">M288/(1-(1+M288)^-P288)</f>
        <v>0.103062749812501</v>
      </c>
      <c r="R288" s="46" t="n">
        <f aca="false">N288/(1-(1+N288)^-P288)</f>
        <v>0.142325723293262</v>
      </c>
      <c r="S288" s="46" t="n">
        <f aca="false">O288/(1-(1+O288)^-P288)</f>
        <v>0.078226718212274</v>
      </c>
      <c r="T288" s="37" t="n">
        <f aca="false">Country_Data!$CM$45*Sector_Params!$I$8</f>
        <v>0.0566986064316961</v>
      </c>
      <c r="U288" s="37" t="n">
        <f aca="false">Country_Data!$CN$45*Sector_Params!$J$8</f>
        <v>0.0854319064323287</v>
      </c>
      <c r="V288" s="37" t="n">
        <f aca="false">p_a</f>
        <v>0.35</v>
      </c>
      <c r="W288" s="16" t="n">
        <f aca="false">T288*L288</f>
        <v>0.0337791832312332</v>
      </c>
      <c r="X288" s="16" t="n">
        <f aca="false">U288*L288</f>
        <v>0.0508975476257553</v>
      </c>
      <c r="Y288" s="16" t="n">
        <f aca="false">V288*L288</f>
        <v>0.208518601690401</v>
      </c>
      <c r="Z288" s="16" t="n">
        <f aca="false">Q288*L288</f>
        <v>0.0614014299350581</v>
      </c>
      <c r="AA288" s="16" t="n">
        <f aca="false">R288*L288</f>
        <v>0.0847930308733884</v>
      </c>
      <c r="AB288" s="16" t="n">
        <f aca="false">S288*L288</f>
        <v>0.0466049311327211</v>
      </c>
      <c r="AC288" s="16" t="n">
        <f aca="false">Z288-W288</f>
        <v>0.0276222467038249</v>
      </c>
      <c r="AD288" s="16" t="n">
        <f aca="false">AA288-W288</f>
        <v>0.0510138476421551</v>
      </c>
      <c r="AE288" s="16" t="n">
        <f aca="false">AB288-W288</f>
        <v>0.0128257479014879</v>
      </c>
      <c r="AF288" s="16" t="n">
        <f aca="false">AE288-X288</f>
        <v>-0.0380717997242674</v>
      </c>
      <c r="AG288" s="16" t="n">
        <f aca="false">AF288-p_spc_lo*Y288/1000</f>
        <v>-0.0484977298087875</v>
      </c>
      <c r="AH288" s="16" t="n">
        <f aca="false">AF288-p_spc_hi*Y288/1000</f>
        <v>-0.0589236598933075</v>
      </c>
      <c r="AI288" s="16" t="n">
        <f aca="false">Q288*J288</f>
        <v>0.255839291396075</v>
      </c>
      <c r="AJ288" s="16" t="n">
        <f aca="false">S288*J288</f>
        <v>0.194187213053005</v>
      </c>
      <c r="AK288" s="16" t="n">
        <f aca="false">T288*J288</f>
        <v>0.140746596796805</v>
      </c>
      <c r="AL288" s="16" t="n">
        <f aca="false">U288*J288</f>
        <v>0.212073115107314</v>
      </c>
      <c r="AM288" s="16" t="n">
        <f aca="false">AI288-AJ288</f>
        <v>0.0616520783430708</v>
      </c>
      <c r="AN288" s="16" t="n">
        <f aca="false">J288*Country_Data!$EB$45</f>
        <v>2.84961820314018</v>
      </c>
      <c r="AO288" s="16" t="n">
        <f aca="false">L288*Country_Data!$EB$45</f>
        <v>0.683908368753644</v>
      </c>
    </row>
    <row r="289" customFormat="false" ht="15" hidden="false" customHeight="false" outlineLevel="0" collapsed="false">
      <c r="A289" s="14" t="str">
        <f aca="false">Country_Data!$A$45</f>
        <v>ZAF</v>
      </c>
      <c r="B289" s="14" t="str">
        <f aca="false">Country_Data!$E$45</f>
        <v>EMDC</v>
      </c>
      <c r="C289" s="35" t="s">
        <v>481</v>
      </c>
      <c r="D289" s="37" t="n">
        <f aca="false">IF(Country_Data!$CC$45="","",Country_Data!$CC$45)</f>
        <v>1.54023992527498</v>
      </c>
      <c r="E289" s="40" t="n">
        <f aca="false">Country_Data!$BW$45</f>
        <v>990.744</v>
      </c>
      <c r="F289" s="41" t="n">
        <f aca="false">Country_Data!$BX$45</f>
        <v>0.404823042077469</v>
      </c>
      <c r="G289" s="42" t="n">
        <f aca="false">IF(D289="","",D289/SUMIFS($D$5:$D$1369,$B$5:$B$1369,B289,$C$5:$C$1369,C289))</f>
        <v>0.0220011464480889</v>
      </c>
      <c r="H289" s="42" t="n">
        <f aca="false">E289/SUMIFS($E$5:$E$1369,$B$5:$B$1369,B289,$C$5:$C$1369,C289)</f>
        <v>0.0122720278194899</v>
      </c>
      <c r="I289" s="43" t="n">
        <f aca="false">IF(G289="",H289,p_beta_alloc*G289+(1-p_beta_alloc)*H289)*F289^p_phi</f>
        <v>0.0109032744899705</v>
      </c>
      <c r="J289" s="16" t="n">
        <f aca="false">INDEX(Sector_Params!$C$20:$E$20,MATCH(B289,Sector_Params!$C$15:$E$15,0))*I289/SUMIFS($I$5:$I$1369,$B$5:$B$1369,B289,$C$5:$C$1369,C289)</f>
        <v>1.99006716114857</v>
      </c>
      <c r="K289" s="28" t="n">
        <f aca="false">INDEX(Sector_Params!$F$9:$H$9,MATCH(B289,Sector_Params!$C$15:$E$15,0))</f>
        <v>0.24</v>
      </c>
      <c r="L289" s="16" t="n">
        <f aca="false">J289*K289</f>
        <v>0.477616118675656</v>
      </c>
      <c r="M289" s="44" t="n">
        <f aca="false">Country_Data!$DW$45+Sector_Params!$E$9</f>
        <v>0.09152</v>
      </c>
      <c r="N289" s="44" t="n">
        <f aca="false">Country_Data!$DX$45+Sector_Params!$E$9</f>
        <v>0.13652</v>
      </c>
      <c r="O289" s="11" t="n">
        <f aca="false">IF(p_use_ibrd=1,p_r_ibrd,p_r_wb)</f>
        <v>0.06</v>
      </c>
      <c r="P289" s="45" t="n">
        <f aca="false">Sector_Params!$D$9</f>
        <v>25</v>
      </c>
      <c r="Q289" s="46" t="n">
        <f aca="false">M289/(1-(1+M289)^-P289)</f>
        <v>0.103062749812501</v>
      </c>
      <c r="R289" s="46" t="n">
        <f aca="false">N289/(1-(1+N289)^-P289)</f>
        <v>0.142325723293262</v>
      </c>
      <c r="S289" s="46" t="n">
        <f aca="false">O289/(1-(1+O289)^-P289)</f>
        <v>0.078226718212274</v>
      </c>
      <c r="T289" s="37" t="n">
        <f aca="false">Country_Data!$CM$45*Sector_Params!$I$9</f>
        <v>0.0566986064316961</v>
      </c>
      <c r="U289" s="37" t="n">
        <f aca="false">Country_Data!$CN$45*Sector_Params!$J$9</f>
        <v>0.0854319064323287</v>
      </c>
      <c r="V289" s="37" t="n">
        <f aca="false">p_a</f>
        <v>0.35</v>
      </c>
      <c r="W289" s="16" t="n">
        <f aca="false">T289*L289</f>
        <v>0.0270801683382253</v>
      </c>
      <c r="X289" s="16" t="n">
        <f aca="false">U289*L289</f>
        <v>0.0408036555612707</v>
      </c>
      <c r="Y289" s="16" t="n">
        <f aca="false">V289*L289</f>
        <v>0.16716564153648</v>
      </c>
      <c r="Z289" s="16" t="n">
        <f aca="false">Q289*L289</f>
        <v>0.049224430545487</v>
      </c>
      <c r="AA289" s="16" t="n">
        <f aca="false">R289*L289</f>
        <v>0.0679770595470333</v>
      </c>
      <c r="AB289" s="16" t="n">
        <f aca="false">S289*L289</f>
        <v>0.0373623415292806</v>
      </c>
      <c r="AC289" s="16" t="n">
        <f aca="false">Z289-W289</f>
        <v>0.0221442622072617</v>
      </c>
      <c r="AD289" s="16" t="n">
        <f aca="false">AA289-W289</f>
        <v>0.040896891208808</v>
      </c>
      <c r="AE289" s="16" t="n">
        <f aca="false">AB289-W289</f>
        <v>0.0102821731910553</v>
      </c>
      <c r="AF289" s="16" t="n">
        <f aca="false">AE289-X289</f>
        <v>-0.0305214823702154</v>
      </c>
      <c r="AG289" s="16" t="n">
        <f aca="false">AF289-p_spc_lo*Y289/1000</f>
        <v>-0.0388797644470394</v>
      </c>
      <c r="AH289" s="16" t="n">
        <f aca="false">AF289-p_spc_hi*Y289/1000</f>
        <v>-0.0472380465238634</v>
      </c>
      <c r="AI289" s="16" t="n">
        <f aca="false">Q289*J289</f>
        <v>0.205101793939529</v>
      </c>
      <c r="AJ289" s="16" t="n">
        <f aca="false">S289*J289</f>
        <v>0.155676423038669</v>
      </c>
      <c r="AK289" s="16" t="n">
        <f aca="false">T289*J289</f>
        <v>0.112834034742605</v>
      </c>
      <c r="AL289" s="16" t="n">
        <f aca="false">U289*J289</f>
        <v>0.170015231505295</v>
      </c>
      <c r="AM289" s="16" t="n">
        <f aca="false">AI289-AJ289</f>
        <v>0.0494253709008599</v>
      </c>
      <c r="AN289" s="16" t="n">
        <f aca="false">J289*Country_Data!$EB$45</f>
        <v>2.2844880562226</v>
      </c>
      <c r="AO289" s="16" t="n">
        <f aca="false">L289*Country_Data!$EB$45</f>
        <v>0.548277133493425</v>
      </c>
    </row>
    <row r="290" customFormat="false" ht="15" hidden="false" customHeight="false" outlineLevel="0" collapsed="false">
      <c r="A290" s="14" t="str">
        <f aca="false">Country_Data!$A$45</f>
        <v>ZAF</v>
      </c>
      <c r="B290" s="14" t="str">
        <f aca="false">Country_Data!$E$45</f>
        <v>EMDC</v>
      </c>
      <c r="C290" s="35" t="s">
        <v>484</v>
      </c>
      <c r="D290" s="37" t="n">
        <f aca="false">IF(Country_Data!$CD$45="","",Country_Data!$CD$45)</f>
        <v>4.46664029041089</v>
      </c>
      <c r="E290" s="40" t="n">
        <f aca="false">Country_Data!$BW$45</f>
        <v>990.744</v>
      </c>
      <c r="F290" s="41" t="n">
        <f aca="false">Country_Data!$BX$45</f>
        <v>0.404823042077469</v>
      </c>
      <c r="G290" s="42" t="n">
        <f aca="false">IF(D290="","",D290/SUMIFS($D$5:$D$1369,$B$5:$B$1369,B290,$C$5:$C$1369,C290))</f>
        <v>0.0249433511316877</v>
      </c>
      <c r="H290" s="42" t="n">
        <f aca="false">E290/SUMIFS($E$5:$E$1369,$B$5:$B$1369,B290,$C$5:$C$1369,C290)</f>
        <v>0.0122720278194899</v>
      </c>
      <c r="I290" s="43" t="n">
        <f aca="false">IF(G290="",H290,p_beta_alloc*G290+(1-p_beta_alloc)*H290)*F290^p_phi</f>
        <v>0.011839273735926</v>
      </c>
      <c r="J290" s="16" t="n">
        <f aca="false">INDEX(Sector_Params!$C$21:$E$21,MATCH(B290,Sector_Params!$C$15:$E$15,0))*I290/SUMIFS($I$5:$I$1369,$B$5:$B$1369,B290,$C$5:$C$1369,C290)</f>
        <v>2.62583046490535</v>
      </c>
      <c r="K290" s="28" t="n">
        <f aca="false">INDEX(Sector_Params!$F$10:$H$10,MATCH(B290,Sector_Params!$C$15:$E$15,0))</f>
        <v>0.24</v>
      </c>
      <c r="L290" s="16" t="n">
        <f aca="false">J290*K290</f>
        <v>0.630199311577283</v>
      </c>
      <c r="M290" s="44" t="n">
        <f aca="false">Country_Data!$DW$45+Sector_Params!$E$10</f>
        <v>0.09152</v>
      </c>
      <c r="N290" s="44" t="n">
        <f aca="false">Country_Data!$DX$45+Sector_Params!$E$10</f>
        <v>0.13652</v>
      </c>
      <c r="O290" s="11" t="n">
        <f aca="false">IF(p_use_ibrd=1,p_r_ibrd,p_r_wb)</f>
        <v>0.06</v>
      </c>
      <c r="P290" s="45" t="n">
        <f aca="false">Sector_Params!$D$10</f>
        <v>20</v>
      </c>
      <c r="Q290" s="46" t="n">
        <f aca="false">M290/(1-(1+M290)^-P290)</f>
        <v>0.110735565678233</v>
      </c>
      <c r="R290" s="46" t="n">
        <f aca="false">N290/(1-(1+N290)^-P290)</f>
        <v>0.147965044222409</v>
      </c>
      <c r="S290" s="46" t="n">
        <f aca="false">O290/(1-(1+O290)^-P290)</f>
        <v>0.0871845569768514</v>
      </c>
      <c r="T290" s="37" t="n">
        <f aca="false">0*Sector_Params!$I$10</f>
        <v>0</v>
      </c>
      <c r="U290" s="37" t="n">
        <f aca="false">0*Sector_Params!$J$10</f>
        <v>0</v>
      </c>
      <c r="V290" s="37" t="n">
        <f aca="false">1000*p_r_wb/(1-(1+p_r_wb)^-Sector_Params!$D$10)/p_cpt_fuel</f>
        <v>0.871845569768514</v>
      </c>
      <c r="W290" s="16" t="n">
        <f aca="false">T290*L290</f>
        <v>0</v>
      </c>
      <c r="X290" s="16" t="n">
        <f aca="false">U290*L290</f>
        <v>0</v>
      </c>
      <c r="Y290" s="16" t="n">
        <f aca="false">V290*L290</f>
        <v>0.549436477869822</v>
      </c>
      <c r="Z290" s="16" t="n">
        <f aca="false">Q290*L290</f>
        <v>0.0697854772575433</v>
      </c>
      <c r="AA290" s="16" t="n">
        <f aca="false">R290*L290</f>
        <v>0.0932474690064646</v>
      </c>
      <c r="AB290" s="16" t="n">
        <f aca="false">S290*L290</f>
        <v>0.0549436477869821</v>
      </c>
      <c r="AC290" s="16" t="n">
        <f aca="false">Z290-W290</f>
        <v>0.0697854772575433</v>
      </c>
      <c r="AD290" s="16" t="n">
        <f aca="false">AA290-W290</f>
        <v>0.0932474690064646</v>
      </c>
      <c r="AE290" s="16" t="n">
        <f aca="false">AB290-W290</f>
        <v>0.0549436477869821</v>
      </c>
      <c r="AF290" s="16" t="n">
        <f aca="false">AE290-X290</f>
        <v>0.0549436477869821</v>
      </c>
      <c r="AG290" s="16" t="n">
        <f aca="false">AF290-p_spc_lo*Y290/1000</f>
        <v>0.0274718238934911</v>
      </c>
      <c r="AH290" s="16" t="n">
        <f aca="false">AF290-p_spc_hi*Y290/1000</f>
        <v>0</v>
      </c>
      <c r="AI290" s="16" t="n">
        <f aca="false">Q290*J290</f>
        <v>0.29077282190643</v>
      </c>
      <c r="AJ290" s="16" t="n">
        <f aca="false">S290*J290</f>
        <v>0.228931865779092</v>
      </c>
      <c r="AK290" s="16" t="n">
        <f aca="false">T290*J290</f>
        <v>0</v>
      </c>
      <c r="AL290" s="16" t="n">
        <f aca="false">U290*J290</f>
        <v>0</v>
      </c>
      <c r="AM290" s="16" t="n">
        <f aca="false">AI290-AJ290</f>
        <v>0.0618409561273382</v>
      </c>
      <c r="AN290" s="16" t="n">
        <f aca="false">J290*Country_Data!$EB$45</f>
        <v>3.01430949258997</v>
      </c>
      <c r="AO290" s="16" t="n">
        <f aca="false">L290*Country_Data!$EB$45</f>
        <v>0.723434278221593</v>
      </c>
    </row>
    <row r="291" customFormat="false" ht="15" hidden="false" customHeight="false" outlineLevel="0" collapsed="false">
      <c r="A291" s="14" t="str">
        <f aca="false">Country_Data!$A$45</f>
        <v>ZAF</v>
      </c>
      <c r="B291" s="14" t="str">
        <f aca="false">Country_Data!$E$45</f>
        <v>EMDC</v>
      </c>
      <c r="C291" s="35" t="s">
        <v>488</v>
      </c>
      <c r="D291" s="37" t="n">
        <f aca="false">IF(Country_Data!$CE$45="","",Country_Data!$CE$45)</f>
        <v>139.558</v>
      </c>
      <c r="E291" s="40" t="n">
        <f aca="false">Country_Data!$BW$45</f>
        <v>990.744</v>
      </c>
      <c r="F291" s="41" t="n">
        <f aca="false">Country_Data!$BX$45</f>
        <v>0.404823042077469</v>
      </c>
      <c r="G291" s="42" t="n">
        <f aca="false">IF(D291="","",D291/SUMIFS($D$5:$D$1369,$B$5:$B$1369,B291,$C$5:$C$1369,C291))</f>
        <v>0.0114353279346056</v>
      </c>
      <c r="H291" s="42" t="n">
        <f aca="false">E291/SUMIFS($E$5:$E$1369,$B$5:$B$1369,B291,$C$5:$C$1369,C291)</f>
        <v>0.0122720278194899</v>
      </c>
      <c r="I291" s="43" t="n">
        <f aca="false">IF(G291="",H291,p_beta_alloc*G291+(1-p_beta_alloc)*H291)*F291^p_phi</f>
        <v>0.00754198619597383</v>
      </c>
      <c r="J291" s="16" t="n">
        <f aca="false">INDEX(Sector_Params!$C$22:$E$22,MATCH(B291,Sector_Params!$C$15:$E$15,0))*I291/SUMIFS($I$5:$I$1369,$B$5:$B$1369,B291,$C$5:$C$1369,C291)</f>
        <v>4.54637254276416</v>
      </c>
      <c r="K291" s="28" t="n">
        <f aca="false">INDEX(Sector_Params!$F$11:$H$11,MATCH(B291,Sector_Params!$C$15:$E$15,0))</f>
        <v>0.24</v>
      </c>
      <c r="L291" s="16" t="n">
        <f aca="false">J291*K291</f>
        <v>1.0911294102634</v>
      </c>
      <c r="M291" s="44" t="n">
        <f aca="false">Country_Data!$DW$45+Sector_Params!$E$11</f>
        <v>0.09152</v>
      </c>
      <c r="N291" s="44" t="n">
        <f aca="false">Country_Data!$DX$45+Sector_Params!$E$11</f>
        <v>0.13652</v>
      </c>
      <c r="O291" s="11" t="n">
        <f aca="false">IF(p_use_ibrd=1,p_r_ibrd,p_r_wb)</f>
        <v>0.06</v>
      </c>
      <c r="P291" s="45" t="n">
        <f aca="false">Sector_Params!$D$11</f>
        <v>30</v>
      </c>
      <c r="Q291" s="46" t="n">
        <f aca="false">M291/(1-(1+M291)^-P291)</f>
        <v>0.098651002188954</v>
      </c>
      <c r="R291" s="46" t="n">
        <f aca="false">N291/(1-(1+N291)^-P291)</f>
        <v>0.139521431553504</v>
      </c>
      <c r="S291" s="46" t="n">
        <f aca="false">O291/(1-(1+O291)^-P291)</f>
        <v>0.0726489114900472</v>
      </c>
      <c r="T291" s="37" t="n">
        <f aca="false">0*Sector_Params!$I$11</f>
        <v>0</v>
      </c>
      <c r="U291" s="37" t="n">
        <f aca="false">p_c*Sector_Params!$J$11</f>
        <v>0.129</v>
      </c>
      <c r="V291" s="37" t="n">
        <f aca="false">1000*p_r_wb/(1-(1+p_r_wb)^-Sector_Params!$D$11)/p_cpt_afolu</f>
        <v>1.45297822980094</v>
      </c>
      <c r="W291" s="16" t="n">
        <f aca="false">T291*L291</f>
        <v>0</v>
      </c>
      <c r="X291" s="16" t="n">
        <f aca="false">U291*L291</f>
        <v>0.140755693923978</v>
      </c>
      <c r="Y291" s="16" t="n">
        <f aca="false">V291*L291</f>
        <v>1.58538727900826</v>
      </c>
      <c r="Z291" s="16" t="n">
        <f aca="false">Q291*L291</f>
        <v>0.107641009840327</v>
      </c>
      <c r="AA291" s="16" t="n">
        <f aca="false">R291*L291</f>
        <v>0.15223593733008</v>
      </c>
      <c r="AB291" s="16" t="n">
        <f aca="false">S291*L291</f>
        <v>0.0792693639504131</v>
      </c>
      <c r="AC291" s="16" t="n">
        <f aca="false">Z291-W291</f>
        <v>0.107641009840327</v>
      </c>
      <c r="AD291" s="16" t="n">
        <f aca="false">AA291-W291</f>
        <v>0.15223593733008</v>
      </c>
      <c r="AE291" s="16" t="n">
        <f aca="false">AB291-W291</f>
        <v>0.0792693639504131</v>
      </c>
      <c r="AF291" s="16" t="n">
        <f aca="false">AE291-X291</f>
        <v>-0.0614863299735654</v>
      </c>
      <c r="AG291" s="16" t="n">
        <f aca="false">AF291-p_spc_lo*Y291/1000</f>
        <v>-0.140755693923978</v>
      </c>
      <c r="AH291" s="16" t="n">
        <f aca="false">AF291-p_spc_hi*Y291/1000</f>
        <v>-0.220025057874391</v>
      </c>
      <c r="AI291" s="16" t="n">
        <f aca="false">Q291*J291</f>
        <v>0.448504207668028</v>
      </c>
      <c r="AJ291" s="16" t="n">
        <f aca="false">S291*J291</f>
        <v>0.330289016460054</v>
      </c>
      <c r="AK291" s="16" t="n">
        <f aca="false">T291*J291</f>
        <v>0</v>
      </c>
      <c r="AL291" s="16" t="n">
        <f aca="false">U291*J291</f>
        <v>0.586482058016577</v>
      </c>
      <c r="AM291" s="16" t="n">
        <f aca="false">AI291-AJ291</f>
        <v>0.118215191207973</v>
      </c>
      <c r="AN291" s="16" t="n">
        <f aca="false">J291*Country_Data!$EB$45</f>
        <v>5.21898656278954</v>
      </c>
      <c r="AO291" s="16" t="n">
        <f aca="false">L291*Country_Data!$EB$45</f>
        <v>1.25255677506949</v>
      </c>
    </row>
    <row r="292" customFormat="false" ht="15" hidden="false" customHeight="false" outlineLevel="0" collapsed="false">
      <c r="A292" s="14" t="str">
        <f aca="false">Country_Data!$A$46</f>
        <v>EGY</v>
      </c>
      <c r="B292" s="14" t="str">
        <f aca="false">Country_Data!$E$46</f>
        <v>EMDC</v>
      </c>
      <c r="C292" s="35" t="s">
        <v>466</v>
      </c>
      <c r="D292" s="37" t="n">
        <f aca="false">IF(Country_Data!$BZ$46="","",Country_Data!$BZ$46)</f>
        <v>239.155955818663</v>
      </c>
      <c r="E292" s="40" t="n">
        <f aca="false">Country_Data!$BW$46</f>
        <v>2229.748</v>
      </c>
      <c r="F292" s="41" t="n">
        <f aca="false">Country_Data!$BX$46</f>
        <v>0.171815380033977</v>
      </c>
      <c r="G292" s="42" t="n">
        <f aca="false">IF(D292="","",D292/SUMIFS($D$5:$D$1369,$B$5:$B$1369,B292,$C$5:$C$1369,C292))</f>
        <v>0.0273025546168557</v>
      </c>
      <c r="H292" s="42" t="n">
        <f aca="false">E292/SUMIFS($E$5:$E$1369,$B$5:$B$1369,B292,$C$5:$C$1369,C292)</f>
        <v>0.0276191725475522</v>
      </c>
      <c r="I292" s="43" t="n">
        <f aca="false">IF(G292="",H292,p_beta_alloc*G292+(1-p_beta_alloc)*H292)*F292^p_phi</f>
        <v>0.0113826978874069</v>
      </c>
      <c r="J292" s="16" t="n">
        <f aca="false">INDEX(Sector_Params!$C$16:$E$16,MATCH(B292,Sector_Params!$C$15:$E$15,0))*I292/SUMIFS($I$5:$I$1369,$B$5:$B$1369,B292,$C$5:$C$1369,C292)</f>
        <v>11.0096339729716</v>
      </c>
      <c r="K292" s="28" t="n">
        <f aca="false">INDEX(Sector_Params!$F$5:$H$5,MATCH(B292,Sector_Params!$C$15:$E$15,0))</f>
        <v>0.24</v>
      </c>
      <c r="L292" s="16" t="n">
        <f aca="false">J292*K292</f>
        <v>2.64231215351318</v>
      </c>
      <c r="M292" s="44" t="n">
        <f aca="false">Country_Data!$DW$46+Sector_Params!$E$5</f>
        <v>0.10343</v>
      </c>
      <c r="N292" s="44" t="n">
        <f aca="false">Country_Data!$DX$46+Sector_Params!$E$5</f>
        <v>0.14843</v>
      </c>
      <c r="O292" s="11" t="n">
        <f aca="false">IF(p_use_ibrd=1,p_r_ibrd,p_r_wb)</f>
        <v>0.06</v>
      </c>
      <c r="P292" s="45" t="n">
        <f aca="false">Sector_Params!$D$5</f>
        <v>25</v>
      </c>
      <c r="Q292" s="46" t="n">
        <f aca="false">M292/(1-(1+M292)^-P292)</f>
        <v>0.113085803137172</v>
      </c>
      <c r="R292" s="46" t="n">
        <f aca="false">N292/(1-(1+N292)^-P292)</f>
        <v>0.153247024197689</v>
      </c>
      <c r="S292" s="46" t="n">
        <f aca="false">O292/(1-(1+O292)^-P292)</f>
        <v>0.078226718212274</v>
      </c>
      <c r="T292" s="37" t="n">
        <f aca="false">IF(AND(p_eng=1,ISNUMBER(Country_Data!$CZ$46)),Country_Data!$CZ$46,Country_Data!$CM$46)*Sector_Params!$I$5</f>
        <v>0.124852741796681</v>
      </c>
      <c r="U292" s="37" t="n">
        <f aca="false">IF(AND(p_eng=1,ISNUMBER(Country_Data!$DA$46)),Country_Data!$DA$46,Country_Data!$CN$46)*Sector_Params!$J$5</f>
        <v>0.0499555019732244</v>
      </c>
      <c r="V292" s="37" t="n">
        <f aca="false">IF(AND(p_eng=1,ISNUMBER(Country_Data!$DB$46)),Country_Data!$DB$46,p_a)</f>
        <v>0.908614713208494</v>
      </c>
      <c r="W292" s="16" t="n">
        <f aca="false">T292*L292</f>
        <v>0.329899917048814</v>
      </c>
      <c r="X292" s="16" t="n">
        <f aca="false">U292*L292</f>
        <v>0.131998029998703</v>
      </c>
      <c r="Y292" s="16" t="n">
        <f aca="false">V292*L292</f>
        <v>2.4008436995717</v>
      </c>
      <c r="Z292" s="16" t="n">
        <f aca="false">Q292*L292</f>
        <v>0.298807992019149</v>
      </c>
      <c r="AA292" s="16" t="n">
        <f aca="false">R292*L292</f>
        <v>0.404926474527282</v>
      </c>
      <c r="AB292" s="16" t="n">
        <f aca="false">S292*L292</f>
        <v>0.206699408261742</v>
      </c>
      <c r="AC292" s="16" t="n">
        <f aca="false">Z292-W292</f>
        <v>-0.031091925029665</v>
      </c>
      <c r="AD292" s="16" t="n">
        <f aca="false">AA292-W292</f>
        <v>0.0750265574784683</v>
      </c>
      <c r="AE292" s="16" t="n">
        <f aca="false">AB292-W292</f>
        <v>-0.123200508787071</v>
      </c>
      <c r="AF292" s="16" t="n">
        <f aca="false">AE292-X292</f>
        <v>-0.255198538785774</v>
      </c>
      <c r="AG292" s="16" t="n">
        <f aca="false">AF292-p_spc_lo*Y292/1000</f>
        <v>-0.375240723764359</v>
      </c>
      <c r="AH292" s="16" t="n">
        <f aca="false">AF292-p_spc_hi*Y292/1000</f>
        <v>-0.495282908742944</v>
      </c>
      <c r="AI292" s="16" t="n">
        <f aca="false">Q292*J292</f>
        <v>1.24503330007979</v>
      </c>
      <c r="AJ292" s="16" t="n">
        <f aca="false">S292*J292</f>
        <v>0.861247534423927</v>
      </c>
      <c r="AK292" s="16" t="n">
        <f aca="false">T292*J292</f>
        <v>1.37458298770339</v>
      </c>
      <c r="AL292" s="16" t="n">
        <f aca="false">U292*J292</f>
        <v>0.54999179166126</v>
      </c>
      <c r="AM292" s="16" t="n">
        <f aca="false">AI292-AJ292</f>
        <v>0.383785765655859</v>
      </c>
      <c r="AN292" s="16" t="n">
        <f aca="false">J292*Country_Data!$EB$46</f>
        <v>12.6384565333564</v>
      </c>
      <c r="AO292" s="16" t="n">
        <f aca="false">L292*Country_Data!$EB$46</f>
        <v>3.03322956800554</v>
      </c>
    </row>
    <row r="293" customFormat="false" ht="15" hidden="false" customHeight="false" outlineLevel="0" collapsed="false">
      <c r="A293" s="14" t="str">
        <f aca="false">Country_Data!$A$46</f>
        <v>EGY</v>
      </c>
      <c r="B293" s="14" t="str">
        <f aca="false">Country_Data!$E$46</f>
        <v>EMDC</v>
      </c>
      <c r="C293" s="35" t="s">
        <v>470</v>
      </c>
      <c r="D293" s="37" t="n">
        <f aca="false">IF(Country_Data!$BZ$46="","",Country_Data!$BZ$46)</f>
        <v>239.155955818663</v>
      </c>
      <c r="E293" s="40" t="n">
        <f aca="false">Country_Data!$BW$46</f>
        <v>2229.748</v>
      </c>
      <c r="F293" s="41" t="n">
        <f aca="false">Country_Data!$BX$46</f>
        <v>0.171815380033977</v>
      </c>
      <c r="G293" s="42" t="n">
        <f aca="false">IF(D293="","",D293/SUMIFS($D$5:$D$1369,$B$5:$B$1369,B293,$C$5:$C$1369,C293))</f>
        <v>0.0273025546168557</v>
      </c>
      <c r="H293" s="42" t="n">
        <f aca="false">E293/SUMIFS($E$5:$E$1369,$B$5:$B$1369,B293,$C$5:$C$1369,C293)</f>
        <v>0.0276191725475522</v>
      </c>
      <c r="I293" s="43" t="n">
        <f aca="false">IF(G293="",H293,p_beta_alloc*G293+(1-p_beta_alloc)*H293)*F293^p_phi</f>
        <v>0.0113826978874069</v>
      </c>
      <c r="J293" s="16" t="n">
        <f aca="false">INDEX(Sector_Params!$C$17:$E$17,MATCH(B293,Sector_Params!$C$15:$E$15,0))*I293/SUMIFS($I$5:$I$1369,$B$5:$B$1369,B293,$C$5:$C$1369,C293)</f>
        <v>7.54946329575195</v>
      </c>
      <c r="K293" s="28" t="n">
        <f aca="false">INDEX(Sector_Params!$F$6:$H$6,MATCH(B293,Sector_Params!$C$15:$E$15,0))</f>
        <v>0.24</v>
      </c>
      <c r="L293" s="16" t="n">
        <f aca="false">J293*K293</f>
        <v>1.81187119098047</v>
      </c>
      <c r="M293" s="44" t="n">
        <f aca="false">Country_Data!$DW$46+Sector_Params!$E$6</f>
        <v>0.10343</v>
      </c>
      <c r="N293" s="44" t="n">
        <f aca="false">Country_Data!$DX$46+Sector_Params!$E$6</f>
        <v>0.14843</v>
      </c>
      <c r="O293" s="11" t="n">
        <f aca="false">IF(p_use_ibrd=1,p_r_ibrd,p_r_wb)</f>
        <v>0.06</v>
      </c>
      <c r="P293" s="45" t="n">
        <f aca="false">Sector_Params!$D$6</f>
        <v>40</v>
      </c>
      <c r="Q293" s="46" t="n">
        <f aca="false">M293/(1-(1+M293)^-P293)</f>
        <v>0.10548783662004</v>
      </c>
      <c r="R293" s="46" t="n">
        <f aca="false">N293/(1-(1+N293)^-P293)</f>
        <v>0.149017565528936</v>
      </c>
      <c r="S293" s="46" t="n">
        <f aca="false">O293/(1-(1+O293)^-P293)</f>
        <v>0.0664615359206755</v>
      </c>
      <c r="T293" s="37" t="n">
        <f aca="false">p_grid_credit*IF(AND(p_eng=1,ISNUMBER(Country_Data!$CZ$46)),Country_Data!$CZ$46,Country_Data!$CM$46)*Sector_Params!$I$6</f>
        <v>0</v>
      </c>
      <c r="U293" s="37" t="n">
        <f aca="false">p_grid_credit*IF(AND(p_eng=1,ISNUMBER(Country_Data!$DA$46)),Country_Data!$DA$46,Country_Data!$CN$46)*Sector_Params!$J$6</f>
        <v>0</v>
      </c>
      <c r="V293" s="37" t="n">
        <f aca="false">p_grid_credit*IF(AND(p_eng=1,ISNUMBER(Country_Data!$DB$46)),Country_Data!$DB$46,p_a)</f>
        <v>0</v>
      </c>
      <c r="W293" s="16" t="n">
        <f aca="false">T293*L293</f>
        <v>0</v>
      </c>
      <c r="X293" s="16" t="n">
        <f aca="false">U293*L293</f>
        <v>0</v>
      </c>
      <c r="Y293" s="16" t="n">
        <f aca="false">V293*L293</f>
        <v>0</v>
      </c>
      <c r="Z293" s="16" t="n">
        <f aca="false">Q293*L293</f>
        <v>0.191130372170704</v>
      </c>
      <c r="AA293" s="16" t="n">
        <f aca="false">R293*L293</f>
        <v>0.270000633931924</v>
      </c>
      <c r="AB293" s="16" t="n">
        <f aca="false">S293*L293</f>
        <v>0.120419742242985</v>
      </c>
      <c r="AC293" s="16" t="n">
        <f aca="false">Z293-W293</f>
        <v>0.191130372170704</v>
      </c>
      <c r="AD293" s="16" t="n">
        <f aca="false">AA293-W293</f>
        <v>0.270000633931924</v>
      </c>
      <c r="AE293" s="16" t="n">
        <f aca="false">AB293-W293</f>
        <v>0.120419742242985</v>
      </c>
      <c r="AF293" s="16" t="n">
        <f aca="false">AE293-X293</f>
        <v>0.120419742242985</v>
      </c>
      <c r="AG293" s="16" t="n">
        <f aca="false">AF293-p_spc_lo*Y293/1000</f>
        <v>0.120419742242985</v>
      </c>
      <c r="AH293" s="16" t="n">
        <f aca="false">AF293-p_spc_hi*Y293/1000</f>
        <v>0.120419742242985</v>
      </c>
      <c r="AI293" s="16" t="n">
        <f aca="false">Q293*J293</f>
        <v>0.796376550711268</v>
      </c>
      <c r="AJ293" s="16" t="n">
        <f aca="false">S293*J293</f>
        <v>0.501748926012439</v>
      </c>
      <c r="AK293" s="16" t="n">
        <f aca="false">T293*J293</f>
        <v>0</v>
      </c>
      <c r="AL293" s="16" t="n">
        <f aca="false">U293*J293</f>
        <v>0</v>
      </c>
      <c r="AM293" s="16" t="n">
        <f aca="false">AI293-AJ293</f>
        <v>0.294627624698829</v>
      </c>
      <c r="AN293" s="16" t="n">
        <f aca="false">J293*Country_Data!$EB$46</f>
        <v>8.66637019430155</v>
      </c>
      <c r="AO293" s="16" t="n">
        <f aca="false">L293*Country_Data!$EB$46</f>
        <v>2.07992884663237</v>
      </c>
    </row>
    <row r="294" customFormat="false" ht="15" hidden="false" customHeight="false" outlineLevel="0" collapsed="false">
      <c r="A294" s="14" t="str">
        <f aca="false">Country_Data!$A$46</f>
        <v>EGY</v>
      </c>
      <c r="B294" s="14" t="str">
        <f aca="false">Country_Data!$E$46</f>
        <v>EMDC</v>
      </c>
      <c r="C294" s="35" t="s">
        <v>473</v>
      </c>
      <c r="D294" s="37" t="n">
        <f aca="false">IF(Country_Data!$CA$46="","",Country_Data!$CA$46)</f>
        <v>1.15031261949188</v>
      </c>
      <c r="E294" s="40" t="n">
        <f aca="false">Country_Data!$BW$46</f>
        <v>2229.748</v>
      </c>
      <c r="F294" s="41" t="n">
        <f aca="false">Country_Data!$BX$46</f>
        <v>0.171815380033977</v>
      </c>
      <c r="G294" s="42" t="n">
        <f aca="false">IF(D294="","",D294/SUMIFS($D$5:$D$1369,$B$5:$B$1369,B294,$C$5:$C$1369,C294))</f>
        <v>0.0265748979592107</v>
      </c>
      <c r="H294" s="42" t="n">
        <f aca="false">E294/SUMIFS($E$5:$E$1369,$B$5:$B$1369,B294,$C$5:$C$1369,C294)</f>
        <v>0.0276191725475522</v>
      </c>
      <c r="I294" s="43" t="n">
        <f aca="false">IF(G294="",H294,p_beta_alloc*G294+(1-p_beta_alloc)*H294)*F294^p_phi</f>
        <v>0.0112318887936772</v>
      </c>
      <c r="J294" s="16" t="n">
        <f aca="false">INDEX(Sector_Params!$C$18:$E$18,MATCH(B294,Sector_Params!$C$15:$E$15,0))*I294/SUMIFS($I$5:$I$1369,$B$5:$B$1369,B294,$C$5:$C$1369,C294)</f>
        <v>4.59919270088281</v>
      </c>
      <c r="K294" s="28" t="n">
        <f aca="false">INDEX(Sector_Params!$F$7:$H$7,MATCH(B294,Sector_Params!$C$15:$E$15,0))</f>
        <v>0.24</v>
      </c>
      <c r="L294" s="16" t="n">
        <f aca="false">J294*K294</f>
        <v>1.10380624821188</v>
      </c>
      <c r="M294" s="44" t="n">
        <f aca="false">Country_Data!$DW$46+Sector_Params!$E$7</f>
        <v>0.10343</v>
      </c>
      <c r="N294" s="44" t="n">
        <f aca="false">Country_Data!$DX$46+Sector_Params!$E$7</f>
        <v>0.14843</v>
      </c>
      <c r="O294" s="11" t="n">
        <f aca="false">IF(p_use_ibrd=1,p_r_ibrd,p_r_wb)</f>
        <v>0.06</v>
      </c>
      <c r="P294" s="45" t="n">
        <f aca="false">Sector_Params!$D$7</f>
        <v>12</v>
      </c>
      <c r="Q294" s="46" t="n">
        <f aca="false">M294/(1-(1+M294)^-P294)</f>
        <v>0.149238097594723</v>
      </c>
      <c r="R294" s="46" t="n">
        <f aca="false">N294/(1-(1+N294)^-P294)</f>
        <v>0.183246126991422</v>
      </c>
      <c r="S294" s="46" t="n">
        <f aca="false">O294/(1-(1+O294)^-P294)</f>
        <v>0.119277029380664</v>
      </c>
      <c r="T294" s="37" t="n">
        <f aca="false">IF(AND(p_eng=1,ISNUMBER(Country_Data!$DE$46)),Country_Data!$DE$46,Country_Data!$CM$46)*Sector_Params!$I$7</f>
        <v>0.162198</v>
      </c>
      <c r="U294" s="37" t="n">
        <f aca="false">IF(AND(p_eng=1,ISNUMBER(Country_Data!$DF$46)),Country_Data!$DF$46,Country_Data!$CN$46)*Sector_Params!$J$7</f>
        <v>0.03700215</v>
      </c>
      <c r="V294" s="37" t="n">
        <f aca="false">IF(AND(p_eng=1,ISNUMBER(Country_Data!$DG$46)),Country_Data!$DG$46,p_a)</f>
        <v>0.320056016014814</v>
      </c>
      <c r="W294" s="16" t="n">
        <f aca="false">T294*L294</f>
        <v>0.17903516584747</v>
      </c>
      <c r="X294" s="16" t="n">
        <f aca="false">U294*L294</f>
        <v>0.040843204367273</v>
      </c>
      <c r="Y294" s="16" t="n">
        <f aca="false">V294*L294</f>
        <v>0.353279830254952</v>
      </c>
      <c r="Z294" s="16" t="n">
        <f aca="false">Q294*L294</f>
        <v>0.164729944596308</v>
      </c>
      <c r="AA294" s="16" t="n">
        <f aca="false">R294*L294</f>
        <v>0.202268219933759</v>
      </c>
      <c r="AB294" s="16" t="n">
        <f aca="false">S294*L294</f>
        <v>0.131658730298528</v>
      </c>
      <c r="AC294" s="16" t="n">
        <f aca="false">Z294-W294</f>
        <v>-0.0143052212511613</v>
      </c>
      <c r="AD294" s="16" t="n">
        <f aca="false">AA294-W294</f>
        <v>0.023233054086289</v>
      </c>
      <c r="AE294" s="16" t="n">
        <f aca="false">AB294-W294</f>
        <v>-0.0473764355489419</v>
      </c>
      <c r="AF294" s="16" t="n">
        <f aca="false">AE294-X294</f>
        <v>-0.0882196399162149</v>
      </c>
      <c r="AG294" s="16" t="n">
        <f aca="false">AF294-p_spc_lo*Y294/1000</f>
        <v>-0.105883631428963</v>
      </c>
      <c r="AH294" s="16" t="n">
        <f aca="false">AF294-p_spc_hi*Y294/1000</f>
        <v>-0.12354762294171</v>
      </c>
      <c r="AI294" s="16" t="n">
        <f aca="false">Q294*J294</f>
        <v>0.686374769151285</v>
      </c>
      <c r="AJ294" s="16" t="n">
        <f aca="false">S294*J294</f>
        <v>0.548578042910533</v>
      </c>
      <c r="AK294" s="16" t="n">
        <f aca="false">T294*J294</f>
        <v>0.745979857697791</v>
      </c>
      <c r="AL294" s="16" t="n">
        <f aca="false">U294*J294</f>
        <v>0.170180018196971</v>
      </c>
      <c r="AM294" s="16" t="n">
        <f aca="false">AI294-AJ294</f>
        <v>0.137796726240752</v>
      </c>
      <c r="AN294" s="16" t="n">
        <f aca="false">J294*Country_Data!$EB$46</f>
        <v>5.27962121005452</v>
      </c>
      <c r="AO294" s="16" t="n">
        <f aca="false">L294*Country_Data!$EB$46</f>
        <v>1.26710909041308</v>
      </c>
    </row>
    <row r="295" customFormat="false" ht="15" hidden="false" customHeight="false" outlineLevel="0" collapsed="false">
      <c r="A295" s="14" t="str">
        <f aca="false">Country_Data!$A$46</f>
        <v>EGY</v>
      </c>
      <c r="B295" s="14" t="str">
        <f aca="false">Country_Data!$E$46</f>
        <v>EMDC</v>
      </c>
      <c r="C295" s="35" t="s">
        <v>477</v>
      </c>
      <c r="D295" s="37" t="n">
        <f aca="false">IF(Country_Data!$CB$46="","",Country_Data!$CB$46)</f>
        <v>0.771324020724287</v>
      </c>
      <c r="E295" s="40" t="n">
        <f aca="false">Country_Data!$BW$46</f>
        <v>2229.748</v>
      </c>
      <c r="F295" s="41" t="n">
        <f aca="false">Country_Data!$BX$46</f>
        <v>0.171815380033977</v>
      </c>
      <c r="G295" s="42" t="n">
        <f aca="false">IF(D295="","",D295/SUMIFS($D$5:$D$1369,$B$5:$B$1369,B295,$C$5:$C$1369,C295))</f>
        <v>0.024322195055324</v>
      </c>
      <c r="H295" s="42" t="n">
        <f aca="false">E295/SUMIFS($E$5:$E$1369,$B$5:$B$1369,B295,$C$5:$C$1369,C295)</f>
        <v>0.0276191725475522</v>
      </c>
      <c r="I295" s="43" t="n">
        <f aca="false">IF(G295="",H295,p_beta_alloc*G295+(1-p_beta_alloc)*H295)*F295^p_phi</f>
        <v>0.0107650091467887</v>
      </c>
      <c r="J295" s="16" t="n">
        <f aca="false">INDEX(Sector_Params!$C$19:$E$19,MATCH(B295,Sector_Params!$C$15:$E$15,0))*I295/SUMIFS($I$5:$I$1369,$B$5:$B$1369,B295,$C$5:$C$1369,C295)</f>
        <v>3.46485379560602</v>
      </c>
      <c r="K295" s="28" t="n">
        <f aca="false">INDEX(Sector_Params!$F$8:$H$8,MATCH(B295,Sector_Params!$C$15:$E$15,0))</f>
        <v>0.24</v>
      </c>
      <c r="L295" s="16" t="n">
        <f aca="false">J295*K295</f>
        <v>0.831564910945445</v>
      </c>
      <c r="M295" s="44" t="n">
        <f aca="false">Country_Data!$DW$46+Sector_Params!$E$8</f>
        <v>0.10343</v>
      </c>
      <c r="N295" s="44" t="n">
        <f aca="false">Country_Data!$DX$46+Sector_Params!$E$8</f>
        <v>0.14843</v>
      </c>
      <c r="O295" s="11" t="n">
        <f aca="false">IF(p_use_ibrd=1,p_r_ibrd,p_r_wb)</f>
        <v>0.06</v>
      </c>
      <c r="P295" s="45" t="n">
        <f aca="false">Sector_Params!$D$8</f>
        <v>25</v>
      </c>
      <c r="Q295" s="46" t="n">
        <f aca="false">M295/(1-(1+M295)^-P295)</f>
        <v>0.113085803137172</v>
      </c>
      <c r="R295" s="46" t="n">
        <f aca="false">N295/(1-(1+N295)^-P295)</f>
        <v>0.153247024197689</v>
      </c>
      <c r="S295" s="46" t="n">
        <f aca="false">O295/(1-(1+O295)^-P295)</f>
        <v>0.078226718212274</v>
      </c>
      <c r="T295" s="37" t="n">
        <f aca="false">Country_Data!$CM$46*Sector_Params!$I$8</f>
        <v>0.158570845036833</v>
      </c>
      <c r="U295" s="37" t="n">
        <f aca="false">Country_Data!$CN$46*Sector_Params!$J$8</f>
        <v>0.281275221546463</v>
      </c>
      <c r="V295" s="37" t="n">
        <f aca="false">p_a</f>
        <v>0.35</v>
      </c>
      <c r="W295" s="16" t="n">
        <f aca="false">T295*L295</f>
        <v>0.131861950631598</v>
      </c>
      <c r="X295" s="16" t="n">
        <f aca="false">U295*L295</f>
        <v>0.233898604556445</v>
      </c>
      <c r="Y295" s="16" t="n">
        <f aca="false">V295*L295</f>
        <v>0.291047718830906</v>
      </c>
      <c r="Z295" s="16" t="n">
        <f aca="false">Q295*L295</f>
        <v>0.0940381858149565</v>
      </c>
      <c r="AA295" s="16" t="n">
        <f aca="false">R295*L295</f>
        <v>0.127434848029606</v>
      </c>
      <c r="AB295" s="16" t="n">
        <f aca="false">S295*L295</f>
        <v>0.065050593963744</v>
      </c>
      <c r="AC295" s="16" t="n">
        <f aca="false">Z295-W295</f>
        <v>-0.0378237648166418</v>
      </c>
      <c r="AD295" s="16" t="n">
        <f aca="false">AA295-W295</f>
        <v>-0.00442710260199275</v>
      </c>
      <c r="AE295" s="16" t="n">
        <f aca="false">AB295-W295</f>
        <v>-0.0668113566678543</v>
      </c>
      <c r="AF295" s="16" t="n">
        <f aca="false">AE295-X295</f>
        <v>-0.300709961224299</v>
      </c>
      <c r="AG295" s="16" t="n">
        <f aca="false">AF295-p_spc_lo*Y295/1000</f>
        <v>-0.315262347165845</v>
      </c>
      <c r="AH295" s="16" t="n">
        <f aca="false">AF295-p_spc_hi*Y295/1000</f>
        <v>-0.32981473310739</v>
      </c>
      <c r="AI295" s="16" t="n">
        <f aca="false">Q295*J295</f>
        <v>0.391825774228985</v>
      </c>
      <c r="AJ295" s="16" t="n">
        <f aca="false">S295*J295</f>
        <v>0.2710441415156</v>
      </c>
      <c r="AK295" s="16" t="n">
        <f aca="false">T295*J295</f>
        <v>0.549424794298326</v>
      </c>
      <c r="AL295" s="16" t="n">
        <f aca="false">U295*J295</f>
        <v>0.974577518985187</v>
      </c>
      <c r="AM295" s="16" t="n">
        <f aca="false">AI295-AJ295</f>
        <v>0.120781632713385</v>
      </c>
      <c r="AN295" s="16" t="n">
        <f aca="false">J295*Country_Data!$EB$46</f>
        <v>3.97746230235321</v>
      </c>
      <c r="AO295" s="16" t="n">
        <f aca="false">L295*Country_Data!$EB$46</f>
        <v>0.954590952564771</v>
      </c>
    </row>
    <row r="296" customFormat="false" ht="15" hidden="false" customHeight="false" outlineLevel="0" collapsed="false">
      <c r="A296" s="14" t="str">
        <f aca="false">Country_Data!$A$46</f>
        <v>EGY</v>
      </c>
      <c r="B296" s="14" t="str">
        <f aca="false">Country_Data!$E$46</f>
        <v>EMDC</v>
      </c>
      <c r="C296" s="35" t="s">
        <v>481</v>
      </c>
      <c r="D296" s="37" t="n">
        <f aca="false">IF(Country_Data!$CC$46="","",Country_Data!$CC$46)</f>
        <v>1.33977204512951</v>
      </c>
      <c r="E296" s="40" t="n">
        <f aca="false">Country_Data!$BW$46</f>
        <v>2229.748</v>
      </c>
      <c r="F296" s="41" t="n">
        <f aca="false">Country_Data!$BX$46</f>
        <v>0.171815380033977</v>
      </c>
      <c r="G296" s="42" t="n">
        <f aca="false">IF(D296="","",D296/SUMIFS($D$5:$D$1369,$B$5:$B$1369,B296,$C$5:$C$1369,C296))</f>
        <v>0.0191376164766586</v>
      </c>
      <c r="H296" s="42" t="n">
        <f aca="false">E296/SUMIFS($E$5:$E$1369,$B$5:$B$1369,B296,$C$5:$C$1369,C296)</f>
        <v>0.0276191725475522</v>
      </c>
      <c r="I296" s="43" t="n">
        <f aca="false">IF(G296="",H296,p_beta_alloc*G296+(1-p_beta_alloc)*H296)*F296^p_phi</f>
        <v>0.00969048919482489</v>
      </c>
      <c r="J296" s="16" t="n">
        <f aca="false">INDEX(Sector_Params!$C$20:$E$20,MATCH(B296,Sector_Params!$C$15:$E$15,0))*I296/SUMIFS($I$5:$I$1369,$B$5:$B$1369,B296,$C$5:$C$1369,C296)</f>
        <v>1.76870942209382</v>
      </c>
      <c r="K296" s="28" t="n">
        <f aca="false">INDEX(Sector_Params!$F$9:$H$9,MATCH(B296,Sector_Params!$C$15:$E$15,0))</f>
        <v>0.24</v>
      </c>
      <c r="L296" s="16" t="n">
        <f aca="false">J296*K296</f>
        <v>0.424490261302518</v>
      </c>
      <c r="M296" s="44" t="n">
        <f aca="false">Country_Data!$DW$46+Sector_Params!$E$9</f>
        <v>0.10343</v>
      </c>
      <c r="N296" s="44" t="n">
        <f aca="false">Country_Data!$DX$46+Sector_Params!$E$9</f>
        <v>0.14843</v>
      </c>
      <c r="O296" s="11" t="n">
        <f aca="false">IF(p_use_ibrd=1,p_r_ibrd,p_r_wb)</f>
        <v>0.06</v>
      </c>
      <c r="P296" s="45" t="n">
        <f aca="false">Sector_Params!$D$9</f>
        <v>25</v>
      </c>
      <c r="Q296" s="46" t="n">
        <f aca="false">M296/(1-(1+M296)^-P296)</f>
        <v>0.113085803137172</v>
      </c>
      <c r="R296" s="46" t="n">
        <f aca="false">N296/(1-(1+N296)^-P296)</f>
        <v>0.153247024197689</v>
      </c>
      <c r="S296" s="46" t="n">
        <f aca="false">O296/(1-(1+O296)^-P296)</f>
        <v>0.078226718212274</v>
      </c>
      <c r="T296" s="37" t="n">
        <f aca="false">Country_Data!$CM$46*Sector_Params!$I$9</f>
        <v>0.158570845036833</v>
      </c>
      <c r="U296" s="37" t="n">
        <f aca="false">Country_Data!$CN$46*Sector_Params!$J$9</f>
        <v>0.281275221546463</v>
      </c>
      <c r="V296" s="37" t="n">
        <f aca="false">p_a</f>
        <v>0.35</v>
      </c>
      <c r="W296" s="16" t="n">
        <f aca="false">T296*L296</f>
        <v>0.0673117794446464</v>
      </c>
      <c r="X296" s="16" t="n">
        <f aca="false">U296*L296</f>
        <v>0.119398592292182</v>
      </c>
      <c r="Y296" s="16" t="n">
        <f aca="false">V296*L296</f>
        <v>0.148571591455881</v>
      </c>
      <c r="Z296" s="16" t="n">
        <f aca="false">Q296*L296</f>
        <v>0.0480038221233032</v>
      </c>
      <c r="AA296" s="16" t="n">
        <f aca="false">R296*L296</f>
        <v>0.0650518693455102</v>
      </c>
      <c r="AB296" s="16" t="n">
        <f aca="false">S296*L296</f>
        <v>0.0332064800547666</v>
      </c>
      <c r="AC296" s="16" t="n">
        <f aca="false">Z296-W296</f>
        <v>-0.0193079573213432</v>
      </c>
      <c r="AD296" s="16" t="n">
        <f aca="false">AA296-W296</f>
        <v>-0.00225991009913624</v>
      </c>
      <c r="AE296" s="16" t="n">
        <f aca="false">AB296-W296</f>
        <v>-0.0341052993898798</v>
      </c>
      <c r="AF296" s="16" t="n">
        <f aca="false">AE296-X296</f>
        <v>-0.153503891682062</v>
      </c>
      <c r="AG296" s="16" t="n">
        <f aca="false">AF296-p_spc_lo*Y296/1000</f>
        <v>-0.160932471254856</v>
      </c>
      <c r="AH296" s="16" t="n">
        <f aca="false">AF296-p_spc_hi*Y296/1000</f>
        <v>-0.16836105082765</v>
      </c>
      <c r="AI296" s="16" t="n">
        <f aca="false">Q296*J296</f>
        <v>0.200015925513763</v>
      </c>
      <c r="AJ296" s="16" t="n">
        <f aca="false">S296*J296</f>
        <v>0.138360333561527</v>
      </c>
      <c r="AK296" s="16" t="n">
        <f aca="false">T296*J296</f>
        <v>0.280465747686027</v>
      </c>
      <c r="AL296" s="16" t="n">
        <f aca="false">U296*J296</f>
        <v>0.497494134550757</v>
      </c>
      <c r="AM296" s="16" t="n">
        <f aca="false">AI296-AJ296</f>
        <v>0.0616555919522359</v>
      </c>
      <c r="AN296" s="16" t="n">
        <f aca="false">J296*Country_Data!$EB$46</f>
        <v>2.03038150097894</v>
      </c>
      <c r="AO296" s="16" t="n">
        <f aca="false">L296*Country_Data!$EB$46</f>
        <v>0.487291560234945</v>
      </c>
    </row>
    <row r="297" customFormat="false" ht="15" hidden="false" customHeight="false" outlineLevel="0" collapsed="false">
      <c r="A297" s="14" t="str">
        <f aca="false">Country_Data!$A$46</f>
        <v>EGY</v>
      </c>
      <c r="B297" s="14" t="str">
        <f aca="false">Country_Data!$E$46</f>
        <v>EMDC</v>
      </c>
      <c r="C297" s="35" t="s">
        <v>484</v>
      </c>
      <c r="D297" s="37" t="n">
        <f aca="false">IF(Country_Data!$CD$46="","",Country_Data!$CD$46)</f>
        <v>3.95804668465901</v>
      </c>
      <c r="E297" s="40" t="n">
        <f aca="false">Country_Data!$BW$46</f>
        <v>2229.748</v>
      </c>
      <c r="F297" s="41" t="n">
        <f aca="false">Country_Data!$BX$46</f>
        <v>0.171815380033977</v>
      </c>
      <c r="G297" s="42" t="n">
        <f aca="false">IF(D297="","",D297/SUMIFS($D$5:$D$1369,$B$5:$B$1369,B297,$C$5:$C$1369,C297))</f>
        <v>0.0221031786380945</v>
      </c>
      <c r="H297" s="42" t="n">
        <f aca="false">E297/SUMIFS($E$5:$E$1369,$B$5:$B$1369,B297,$C$5:$C$1369,C297)</f>
        <v>0.0276191725475522</v>
      </c>
      <c r="I297" s="43" t="n">
        <f aca="false">IF(G297="",H297,p_beta_alloc*G297+(1-p_beta_alloc)*H297)*F297^p_phi</f>
        <v>0.0103051111284888</v>
      </c>
      <c r="J297" s="16" t="n">
        <f aca="false">INDEX(Sector_Params!$C$21:$E$21,MATCH(B297,Sector_Params!$C$15:$E$15,0))*I297/SUMIFS($I$5:$I$1369,$B$5:$B$1369,B297,$C$5:$C$1369,C297)</f>
        <v>2.28556880675119</v>
      </c>
      <c r="K297" s="28" t="n">
        <f aca="false">INDEX(Sector_Params!$F$10:$H$10,MATCH(B297,Sector_Params!$C$15:$E$15,0))</f>
        <v>0.24</v>
      </c>
      <c r="L297" s="16" t="n">
        <f aca="false">J297*K297</f>
        <v>0.548536513620286</v>
      </c>
      <c r="M297" s="44" t="n">
        <f aca="false">Country_Data!$DW$46+Sector_Params!$E$10</f>
        <v>0.10343</v>
      </c>
      <c r="N297" s="44" t="n">
        <f aca="false">Country_Data!$DX$46+Sector_Params!$E$10</f>
        <v>0.14843</v>
      </c>
      <c r="O297" s="11" t="n">
        <f aca="false">IF(p_use_ibrd=1,p_r_ibrd,p_r_wb)</f>
        <v>0.06</v>
      </c>
      <c r="P297" s="45" t="n">
        <f aca="false">Sector_Params!$D$10</f>
        <v>20</v>
      </c>
      <c r="Q297" s="46" t="n">
        <f aca="false">M297/(1-(1+M297)^-P297)</f>
        <v>0.120221360745838</v>
      </c>
      <c r="R297" s="46" t="n">
        <f aca="false">N297/(1-(1+N297)^-P297)</f>
        <v>0.15837478652188</v>
      </c>
      <c r="S297" s="46" t="n">
        <f aca="false">O297/(1-(1+O297)^-P297)</f>
        <v>0.0871845569768514</v>
      </c>
      <c r="T297" s="37" t="n">
        <f aca="false">0*Sector_Params!$I$10</f>
        <v>0</v>
      </c>
      <c r="U297" s="37" t="n">
        <f aca="false">0*Sector_Params!$J$10</f>
        <v>0</v>
      </c>
      <c r="V297" s="37" t="n">
        <f aca="false">1000*p_r_wb/(1-(1+p_r_wb)^-Sector_Params!$D$10)/p_cpt_fuel</f>
        <v>0.871845569768514</v>
      </c>
      <c r="W297" s="16" t="n">
        <f aca="false">T297*L297</f>
        <v>0</v>
      </c>
      <c r="X297" s="16" t="n">
        <f aca="false">U297*L297</f>
        <v>0</v>
      </c>
      <c r="Y297" s="16" t="n">
        <f aca="false">V297*L297</f>
        <v>0.478239129256112</v>
      </c>
      <c r="Z297" s="16" t="n">
        <f aca="false">Q297*L297</f>
        <v>0.0659458060862086</v>
      </c>
      <c r="AA297" s="16" t="n">
        <f aca="false">R297*L297</f>
        <v>0.0868743532440693</v>
      </c>
      <c r="AB297" s="16" t="n">
        <f aca="false">S297*L297</f>
        <v>0.0478239129256112</v>
      </c>
      <c r="AC297" s="16" t="n">
        <f aca="false">Z297-W297</f>
        <v>0.0659458060862086</v>
      </c>
      <c r="AD297" s="16" t="n">
        <f aca="false">AA297-W297</f>
        <v>0.0868743532440693</v>
      </c>
      <c r="AE297" s="16" t="n">
        <f aca="false">AB297-W297</f>
        <v>0.0478239129256112</v>
      </c>
      <c r="AF297" s="16" t="n">
        <f aca="false">AE297-X297</f>
        <v>0.0478239129256112</v>
      </c>
      <c r="AG297" s="16" t="n">
        <f aca="false">AF297-p_spc_lo*Y297/1000</f>
        <v>0.0239119564628056</v>
      </c>
      <c r="AH297" s="16" t="n">
        <f aca="false">AF297-p_spc_hi*Y297/1000</f>
        <v>0</v>
      </c>
      <c r="AI297" s="16" t="n">
        <f aca="false">Q297*J297</f>
        <v>0.274774192025869</v>
      </c>
      <c r="AJ297" s="16" t="n">
        <f aca="false">S297*J297</f>
        <v>0.199266303856713</v>
      </c>
      <c r="AK297" s="16" t="n">
        <f aca="false">T297*J297</f>
        <v>0</v>
      </c>
      <c r="AL297" s="16" t="n">
        <f aca="false">U297*J297</f>
        <v>0</v>
      </c>
      <c r="AM297" s="16" t="n">
        <f aca="false">AI297-AJ297</f>
        <v>0.0755078881691556</v>
      </c>
      <c r="AN297" s="16" t="n">
        <f aca="false">J297*Country_Data!$EB$46</f>
        <v>2.62370775350342</v>
      </c>
      <c r="AO297" s="16" t="n">
        <f aca="false">L297*Country_Data!$EB$46</f>
        <v>0.629689860840821</v>
      </c>
    </row>
    <row r="298" customFormat="false" ht="15" hidden="false" customHeight="false" outlineLevel="0" collapsed="false">
      <c r="A298" s="14" t="str">
        <f aca="false">Country_Data!$A$46</f>
        <v>EGY</v>
      </c>
      <c r="B298" s="14" t="str">
        <f aca="false">Country_Data!$E$46</f>
        <v>EMDC</v>
      </c>
      <c r="C298" s="35" t="s">
        <v>488</v>
      </c>
      <c r="D298" s="37" t="n">
        <f aca="false">IF(Country_Data!$CE$46="","",Country_Data!$CE$46)</f>
        <v>119.368</v>
      </c>
      <c r="E298" s="40" t="n">
        <f aca="false">Country_Data!$BW$46</f>
        <v>2229.748</v>
      </c>
      <c r="F298" s="41" t="n">
        <f aca="false">Country_Data!$BX$46</f>
        <v>0.171815380033977</v>
      </c>
      <c r="G298" s="42" t="n">
        <f aca="false">IF(D298="","",D298/SUMIFS($D$5:$D$1369,$B$5:$B$1369,B298,$C$5:$C$1369,C298))</f>
        <v>0.00978096723153102</v>
      </c>
      <c r="H298" s="42" t="n">
        <f aca="false">E298/SUMIFS($E$5:$E$1369,$B$5:$B$1369,B298,$C$5:$C$1369,C298)</f>
        <v>0.0276191725475522</v>
      </c>
      <c r="I298" s="43" t="n">
        <f aca="false">IF(G298="",H298,p_beta_alloc*G298+(1-p_beta_alloc)*H298)*F298^p_phi</f>
        <v>0.00775129468848859</v>
      </c>
      <c r="J298" s="16" t="n">
        <f aca="false">INDEX(Sector_Params!$C$22:$E$22,MATCH(B298,Sector_Params!$C$15:$E$15,0))*I298/SUMIFS($I$5:$I$1369,$B$5:$B$1369,B298,$C$5:$C$1369,C298)</f>
        <v>4.67254545777751</v>
      </c>
      <c r="K298" s="28" t="n">
        <f aca="false">INDEX(Sector_Params!$F$11:$H$11,MATCH(B298,Sector_Params!$C$15:$E$15,0))</f>
        <v>0.24</v>
      </c>
      <c r="L298" s="16" t="n">
        <f aca="false">J298*K298</f>
        <v>1.1214109098666</v>
      </c>
      <c r="M298" s="44" t="n">
        <f aca="false">Country_Data!$DW$46+Sector_Params!$E$11</f>
        <v>0.10343</v>
      </c>
      <c r="N298" s="44" t="n">
        <f aca="false">Country_Data!$DX$46+Sector_Params!$E$11</f>
        <v>0.14843</v>
      </c>
      <c r="O298" s="11" t="n">
        <f aca="false">IF(p_use_ibrd=1,p_r_ibrd,p_r_wb)</f>
        <v>0.06</v>
      </c>
      <c r="P298" s="45" t="n">
        <f aca="false">Sector_Params!$D$11</f>
        <v>30</v>
      </c>
      <c r="Q298" s="46" t="n">
        <f aca="false">M298/(1-(1+M298)^-P298)</f>
        <v>0.109126202521321</v>
      </c>
      <c r="R298" s="46" t="n">
        <f aca="false">N298/(1-(1+N298)^-P298)</f>
        <v>0.150802868860844</v>
      </c>
      <c r="S298" s="46" t="n">
        <f aca="false">O298/(1-(1+O298)^-P298)</f>
        <v>0.0726489114900472</v>
      </c>
      <c r="T298" s="37" t="n">
        <f aca="false">0*Sector_Params!$I$11</f>
        <v>0</v>
      </c>
      <c r="U298" s="37" t="n">
        <f aca="false">p_c*Sector_Params!$J$11</f>
        <v>0.129</v>
      </c>
      <c r="V298" s="37" t="n">
        <f aca="false">1000*p_r_wb/(1-(1+p_r_wb)^-Sector_Params!$D$11)/p_cpt_afolu</f>
        <v>1.45297822980094</v>
      </c>
      <c r="W298" s="16" t="n">
        <f aca="false">T298*L298</f>
        <v>0</v>
      </c>
      <c r="X298" s="16" t="n">
        <f aca="false">U298*L298</f>
        <v>0.144662007372792</v>
      </c>
      <c r="Y298" s="16" t="n">
        <f aca="false">V298*L298</f>
        <v>1.62938563869744</v>
      </c>
      <c r="Z298" s="16" t="n">
        <f aca="false">Q298*L298</f>
        <v>0.122375314059721</v>
      </c>
      <c r="AA298" s="16" t="n">
        <f aca="false">R298*L298</f>
        <v>0.169111982379733</v>
      </c>
      <c r="AB298" s="16" t="n">
        <f aca="false">S298*L298</f>
        <v>0.0814692819348721</v>
      </c>
      <c r="AC298" s="16" t="n">
        <f aca="false">Z298-W298</f>
        <v>0.122375314059721</v>
      </c>
      <c r="AD298" s="16" t="n">
        <f aca="false">AA298-W298</f>
        <v>0.169111982379733</v>
      </c>
      <c r="AE298" s="16" t="n">
        <f aca="false">AB298-W298</f>
        <v>0.0814692819348721</v>
      </c>
      <c r="AF298" s="16" t="n">
        <f aca="false">AE298-X298</f>
        <v>-0.0631927254379196</v>
      </c>
      <c r="AG298" s="16" t="n">
        <f aca="false">AF298-p_spc_lo*Y298/1000</f>
        <v>-0.144662007372792</v>
      </c>
      <c r="AH298" s="16" t="n">
        <f aca="false">AF298-p_spc_hi*Y298/1000</f>
        <v>-0.226131289307664</v>
      </c>
      <c r="AI298" s="16" t="n">
        <f aca="false">Q298*J298</f>
        <v>0.509897141915505</v>
      </c>
      <c r="AJ298" s="16" t="n">
        <f aca="false">S298*J298</f>
        <v>0.3394553413953</v>
      </c>
      <c r="AK298" s="16" t="n">
        <f aca="false">T298*J298</f>
        <v>0</v>
      </c>
      <c r="AL298" s="16" t="n">
        <f aca="false">U298*J298</f>
        <v>0.602758364053299</v>
      </c>
      <c r="AM298" s="16" t="n">
        <f aca="false">AI298-AJ298</f>
        <v>0.170441800520204</v>
      </c>
      <c r="AN298" s="16" t="n">
        <f aca="false">J298*Country_Data!$EB$46</f>
        <v>5.36382615564048</v>
      </c>
      <c r="AO298" s="16" t="n">
        <f aca="false">L298*Country_Data!$EB$46</f>
        <v>1.28731827735372</v>
      </c>
    </row>
    <row r="299" customFormat="false" ht="15" hidden="false" customHeight="false" outlineLevel="0" collapsed="false">
      <c r="A299" s="14" t="str">
        <f aca="false">Country_Data!$A$47</f>
        <v>ROU</v>
      </c>
      <c r="B299" s="14" t="str">
        <f aca="false">Country_Data!$E$47</f>
        <v>EMDC</v>
      </c>
      <c r="C299" s="35" t="s">
        <v>466</v>
      </c>
      <c r="D299" s="37" t="n">
        <f aca="false">IF(Country_Data!$BZ$47="","",Country_Data!$BZ$47)</f>
        <v>55.1332015088303</v>
      </c>
      <c r="E299" s="40" t="n">
        <f aca="false">Country_Data!$BW$47</f>
        <v>886.346</v>
      </c>
      <c r="F299" s="41" t="n">
        <f aca="false">Country_Data!$BX$47</f>
        <v>0.431716282354746</v>
      </c>
      <c r="G299" s="42" t="n">
        <f aca="false">IF(D299="","",D299/SUMIFS($D$5:$D$1369,$B$5:$B$1369,B299,$C$5:$C$1369,C299))</f>
        <v>0.00629412401729318</v>
      </c>
      <c r="H299" s="42" t="n">
        <f aca="false">E299/SUMIFS($E$5:$E$1369,$B$5:$B$1369,B299,$C$5:$C$1369,C299)</f>
        <v>0.0109788833136447</v>
      </c>
      <c r="I299" s="43" t="n">
        <f aca="false">IF(G299="",H299,p_beta_alloc*G299+(1-p_beta_alloc)*H299)*F299^p_phi</f>
        <v>0.00567462511647895</v>
      </c>
      <c r="J299" s="16" t="n">
        <f aca="false">INDEX(Sector_Params!$C$16:$E$16,MATCH(B299,Sector_Params!$C$15:$E$15,0))*I299/SUMIFS($I$5:$I$1369,$B$5:$B$1369,B299,$C$5:$C$1369,C299)</f>
        <v>5.48864127680867</v>
      </c>
      <c r="K299" s="28" t="n">
        <f aca="false">INDEX(Sector_Params!$F$5:$H$5,MATCH(B299,Sector_Params!$C$15:$E$15,0))</f>
        <v>0.24</v>
      </c>
      <c r="L299" s="16" t="n">
        <f aca="false">J299*K299</f>
        <v>1.31727390643408</v>
      </c>
      <c r="M299" s="44" t="n">
        <f aca="false">Country_Data!$DW$47+Sector_Params!$E$5</f>
        <v>0.07191</v>
      </c>
      <c r="N299" s="44" t="n">
        <f aca="false">Country_Data!$DX$47+Sector_Params!$E$5</f>
        <v>0.11691</v>
      </c>
      <c r="O299" s="11" t="n">
        <f aca="false">IF(p_use_ibrd=1,p_r_ibrd,p_r_wb)</f>
        <v>0.06</v>
      </c>
      <c r="P299" s="45" t="n">
        <f aca="false">Sector_Params!$D$5</f>
        <v>25</v>
      </c>
      <c r="Q299" s="46" t="n">
        <f aca="false">M299/(1-(1+M299)^-P299)</f>
        <v>0.0872921536455</v>
      </c>
      <c r="R299" s="46" t="n">
        <f aca="false">N299/(1-(1+N299)^-P299)</f>
        <v>0.124774504612222</v>
      </c>
      <c r="S299" s="46" t="n">
        <f aca="false">O299/(1-(1+O299)^-P299)</f>
        <v>0.078226718212274</v>
      </c>
      <c r="T299" s="37" t="n">
        <f aca="false">IF(AND(p_eng=1,ISNUMBER(Country_Data!$CZ$47)),Country_Data!$CZ$47,Country_Data!$CM$47)*Sector_Params!$I$5</f>
        <v>0.0397649488570489</v>
      </c>
      <c r="U299" s="37" t="n">
        <f aca="false">IF(AND(p_eng=1,ISNUMBER(Country_Data!$DA$47)),Country_Data!$DA$47,Country_Data!$CN$47)*Sector_Params!$J$5</f>
        <v>0.0463508431862758</v>
      </c>
      <c r="V299" s="37" t="n">
        <f aca="false">IF(AND(p_eng=1,ISNUMBER(Country_Data!$DB$47)),Country_Data!$DB$47,p_a)</f>
        <v>0.501353997796657</v>
      </c>
      <c r="W299" s="16" t="n">
        <f aca="false">T299*L299</f>
        <v>0.0523813295200763</v>
      </c>
      <c r="X299" s="16" t="n">
        <f aca="false">U299*L299</f>
        <v>0.0610567562704991</v>
      </c>
      <c r="Y299" s="16" t="n">
        <f aca="false">V299*L299</f>
        <v>0.660420539183946</v>
      </c>
      <c r="Z299" s="16" t="n">
        <f aca="false">Q299*L299</f>
        <v>0.114987676233652</v>
      </c>
      <c r="AA299" s="16" t="n">
        <f aca="false">R299*L299</f>
        <v>0.164362199113918</v>
      </c>
      <c r="AB299" s="16" t="n">
        <f aca="false">S299*L299</f>
        <v>0.103046014687</v>
      </c>
      <c r="AC299" s="16" t="n">
        <f aca="false">Z299-W299</f>
        <v>0.0626063467135756</v>
      </c>
      <c r="AD299" s="16" t="n">
        <f aca="false">AA299-W299</f>
        <v>0.111980869593842</v>
      </c>
      <c r="AE299" s="16" t="n">
        <f aca="false">AB299-W299</f>
        <v>0.0506646851669239</v>
      </c>
      <c r="AF299" s="16" t="n">
        <f aca="false">AE299-X299</f>
        <v>-0.0103920711035752</v>
      </c>
      <c r="AG299" s="16" t="n">
        <f aca="false">AF299-p_spc_lo*Y299/1000</f>
        <v>-0.0434130980627725</v>
      </c>
      <c r="AH299" s="16" t="n">
        <f aca="false">AF299-p_spc_hi*Y299/1000</f>
        <v>-0.0764341250219698</v>
      </c>
      <c r="AI299" s="16" t="n">
        <f aca="false">Q299*J299</f>
        <v>0.479115317640216</v>
      </c>
      <c r="AJ299" s="16" t="n">
        <f aca="false">S299*J299</f>
        <v>0.429358394529167</v>
      </c>
      <c r="AK299" s="16" t="n">
        <f aca="false">T299*J299</f>
        <v>0.218255539666985</v>
      </c>
      <c r="AL299" s="16" t="n">
        <f aca="false">U299*J299</f>
        <v>0.254403151127079</v>
      </c>
      <c r="AM299" s="16" t="n">
        <f aca="false">AI299-AJ299</f>
        <v>0.0497569231110486</v>
      </c>
      <c r="AN299" s="16" t="n">
        <f aca="false">J299*Country_Data!$EB$47</f>
        <v>6.30065943830913</v>
      </c>
      <c r="AO299" s="16" t="n">
        <f aca="false">L299*Country_Data!$EB$47</f>
        <v>1.51215826519419</v>
      </c>
    </row>
    <row r="300" customFormat="false" ht="15" hidden="false" customHeight="false" outlineLevel="0" collapsed="false">
      <c r="A300" s="14" t="str">
        <f aca="false">Country_Data!$A$47</f>
        <v>ROU</v>
      </c>
      <c r="B300" s="14" t="str">
        <f aca="false">Country_Data!$E$47</f>
        <v>EMDC</v>
      </c>
      <c r="C300" s="35" t="s">
        <v>470</v>
      </c>
      <c r="D300" s="37" t="n">
        <f aca="false">IF(Country_Data!$BZ$47="","",Country_Data!$BZ$47)</f>
        <v>55.1332015088303</v>
      </c>
      <c r="E300" s="40" t="n">
        <f aca="false">Country_Data!$BW$47</f>
        <v>886.346</v>
      </c>
      <c r="F300" s="41" t="n">
        <f aca="false">Country_Data!$BX$47</f>
        <v>0.431716282354746</v>
      </c>
      <c r="G300" s="42" t="n">
        <f aca="false">IF(D300="","",D300/SUMIFS($D$5:$D$1369,$B$5:$B$1369,B300,$C$5:$C$1369,C300))</f>
        <v>0.00629412401729318</v>
      </c>
      <c r="H300" s="42" t="n">
        <f aca="false">E300/SUMIFS($E$5:$E$1369,$B$5:$B$1369,B300,$C$5:$C$1369,C300)</f>
        <v>0.0109788833136447</v>
      </c>
      <c r="I300" s="43" t="n">
        <f aca="false">IF(G300="",H300,p_beta_alloc*G300+(1-p_beta_alloc)*H300)*F300^p_phi</f>
        <v>0.00567462511647895</v>
      </c>
      <c r="J300" s="16" t="n">
        <f aca="false">INDEX(Sector_Params!$C$17:$E$17,MATCH(B300,Sector_Params!$C$15:$E$15,0))*I300/SUMIFS($I$5:$I$1369,$B$5:$B$1369,B300,$C$5:$C$1369,C300)</f>
        <v>3.7636397326688</v>
      </c>
      <c r="K300" s="28" t="n">
        <f aca="false">INDEX(Sector_Params!$F$6:$H$6,MATCH(B300,Sector_Params!$C$15:$E$15,0))</f>
        <v>0.24</v>
      </c>
      <c r="L300" s="16" t="n">
        <f aca="false">J300*K300</f>
        <v>0.903273535840513</v>
      </c>
      <c r="M300" s="44" t="n">
        <f aca="false">Country_Data!$DW$47+Sector_Params!$E$6</f>
        <v>0.07191</v>
      </c>
      <c r="N300" s="44" t="n">
        <f aca="false">Country_Data!$DX$47+Sector_Params!$E$6</f>
        <v>0.11691</v>
      </c>
      <c r="O300" s="11" t="n">
        <f aca="false">IF(p_use_ibrd=1,p_r_ibrd,p_r_wb)</f>
        <v>0.06</v>
      </c>
      <c r="P300" s="45" t="n">
        <f aca="false">Sector_Params!$D$6</f>
        <v>40</v>
      </c>
      <c r="Q300" s="46" t="n">
        <f aca="false">M300/(1-(1+M300)^-P300)</f>
        <v>0.0766780190637561</v>
      </c>
      <c r="R300" s="46" t="n">
        <f aca="false">N300/(1-(1+N300)^-P300)</f>
        <v>0.118330262616408</v>
      </c>
      <c r="S300" s="46" t="n">
        <f aca="false">O300/(1-(1+O300)^-P300)</f>
        <v>0.0664615359206755</v>
      </c>
      <c r="T300" s="37" t="n">
        <f aca="false">p_grid_credit*IF(AND(p_eng=1,ISNUMBER(Country_Data!$CZ$47)),Country_Data!$CZ$47,Country_Data!$CM$47)*Sector_Params!$I$6</f>
        <v>0</v>
      </c>
      <c r="U300" s="37" t="n">
        <f aca="false">p_grid_credit*IF(AND(p_eng=1,ISNUMBER(Country_Data!$DA$47)),Country_Data!$DA$47,Country_Data!$CN$47)*Sector_Params!$J$6</f>
        <v>0</v>
      </c>
      <c r="V300" s="37" t="n">
        <f aca="false">p_grid_credit*IF(AND(p_eng=1,ISNUMBER(Country_Data!$DB$47)),Country_Data!$DB$47,p_a)</f>
        <v>0</v>
      </c>
      <c r="W300" s="16" t="n">
        <f aca="false">T300*L300</f>
        <v>0</v>
      </c>
      <c r="X300" s="16" t="n">
        <f aca="false">U300*L300</f>
        <v>0</v>
      </c>
      <c r="Y300" s="16" t="n">
        <f aca="false">V300*L300</f>
        <v>0</v>
      </c>
      <c r="Z300" s="16" t="n">
        <f aca="false">Q300*L300</f>
        <v>0.0692612254009652</v>
      </c>
      <c r="AA300" s="16" t="n">
        <f aca="false">R300*L300</f>
        <v>0.10688459471046</v>
      </c>
      <c r="AB300" s="16" t="n">
        <f aca="false">S300*L300</f>
        <v>0.0600329465484598</v>
      </c>
      <c r="AC300" s="16" t="n">
        <f aca="false">Z300-W300</f>
        <v>0.0692612254009652</v>
      </c>
      <c r="AD300" s="16" t="n">
        <f aca="false">AA300-W300</f>
        <v>0.10688459471046</v>
      </c>
      <c r="AE300" s="16" t="n">
        <f aca="false">AB300-W300</f>
        <v>0.0600329465484598</v>
      </c>
      <c r="AF300" s="16" t="n">
        <f aca="false">AE300-X300</f>
        <v>0.0600329465484598</v>
      </c>
      <c r="AG300" s="16" t="n">
        <f aca="false">AF300-p_spc_lo*Y300/1000</f>
        <v>0.0600329465484598</v>
      </c>
      <c r="AH300" s="16" t="n">
        <f aca="false">AF300-p_spc_hi*Y300/1000</f>
        <v>0.0600329465484598</v>
      </c>
      <c r="AI300" s="16" t="n">
        <f aca="false">Q300*J300</f>
        <v>0.288588439170688</v>
      </c>
      <c r="AJ300" s="16" t="n">
        <f aca="false">S300*J300</f>
        <v>0.250137277285249</v>
      </c>
      <c r="AK300" s="16" t="n">
        <f aca="false">T300*J300</f>
        <v>0</v>
      </c>
      <c r="AL300" s="16" t="n">
        <f aca="false">U300*J300</f>
        <v>0</v>
      </c>
      <c r="AM300" s="16" t="n">
        <f aca="false">AI300-AJ300</f>
        <v>0.0384511618854391</v>
      </c>
      <c r="AN300" s="16" t="n">
        <f aca="false">J300*Country_Data!$EB$47</f>
        <v>4.32045218626912</v>
      </c>
      <c r="AO300" s="16" t="n">
        <f aca="false">L300*Country_Data!$EB$47</f>
        <v>1.03690852470459</v>
      </c>
    </row>
    <row r="301" customFormat="false" ht="15" hidden="false" customHeight="false" outlineLevel="0" collapsed="false">
      <c r="A301" s="14" t="str">
        <f aca="false">Country_Data!$A$47</f>
        <v>ROU</v>
      </c>
      <c r="B301" s="14" t="str">
        <f aca="false">Country_Data!$E$47</f>
        <v>EMDC</v>
      </c>
      <c r="C301" s="35" t="s">
        <v>473</v>
      </c>
      <c r="D301" s="37" t="n">
        <f aca="false">IF(Country_Data!$CA$47="","",Country_Data!$CA$47)</f>
        <v>0.377656810048237</v>
      </c>
      <c r="E301" s="40" t="n">
        <f aca="false">Country_Data!$BW$47</f>
        <v>886.346</v>
      </c>
      <c r="F301" s="41" t="n">
        <f aca="false">Country_Data!$BX$47</f>
        <v>0.431716282354746</v>
      </c>
      <c r="G301" s="42" t="n">
        <f aca="false">IF(D301="","",D301/SUMIFS($D$5:$D$1369,$B$5:$B$1369,B301,$C$5:$C$1369,C301))</f>
        <v>0.00872475101165639</v>
      </c>
      <c r="H301" s="42" t="n">
        <f aca="false">E301/SUMIFS($E$5:$E$1369,$B$5:$B$1369,B301,$C$5:$C$1369,C301)</f>
        <v>0.0109788833136447</v>
      </c>
      <c r="I301" s="43" t="n">
        <f aca="false">IF(G301="",H301,p_beta_alloc*G301+(1-p_beta_alloc)*H301)*F301^p_phi</f>
        <v>0.00647314831089112</v>
      </c>
      <c r="J301" s="16" t="n">
        <f aca="false">INDEX(Sector_Params!$C$18:$E$18,MATCH(B301,Sector_Params!$C$15:$E$15,0))*I301/SUMIFS($I$5:$I$1369,$B$5:$B$1369,B301,$C$5:$C$1369,C301)</f>
        <v>2.65060107076037</v>
      </c>
      <c r="K301" s="28" t="n">
        <f aca="false">INDEX(Sector_Params!$F$7:$H$7,MATCH(B301,Sector_Params!$C$15:$E$15,0))</f>
        <v>0.24</v>
      </c>
      <c r="L301" s="16" t="n">
        <f aca="false">J301*K301</f>
        <v>0.63614425698249</v>
      </c>
      <c r="M301" s="44" t="n">
        <f aca="false">Country_Data!$DW$47+Sector_Params!$E$7</f>
        <v>0.07191</v>
      </c>
      <c r="N301" s="44" t="n">
        <f aca="false">Country_Data!$DX$47+Sector_Params!$E$7</f>
        <v>0.11691</v>
      </c>
      <c r="O301" s="11" t="n">
        <f aca="false">IF(p_use_ibrd=1,p_r_ibrd,p_r_wb)</f>
        <v>0.06</v>
      </c>
      <c r="P301" s="45" t="n">
        <f aca="false">Sector_Params!$D$7</f>
        <v>12</v>
      </c>
      <c r="Q301" s="46" t="n">
        <f aca="false">M301/(1-(1+M301)^-P301)</f>
        <v>0.127186637165114</v>
      </c>
      <c r="R301" s="46" t="n">
        <f aca="false">N301/(1-(1+N301)^-P301)</f>
        <v>0.159132075156495</v>
      </c>
      <c r="S301" s="46" t="n">
        <f aca="false">O301/(1-(1+O301)^-P301)</f>
        <v>0.119277029380664</v>
      </c>
      <c r="T301" s="37" t="n">
        <f aca="false">IF(AND(p_eng=1,ISNUMBER(Country_Data!$DE$47)),Country_Data!$DE$47,Country_Data!$CM$47)*Sector_Params!$I$7</f>
        <v>0.13582323</v>
      </c>
      <c r="U301" s="37" t="n">
        <f aca="false">IF(AND(p_eng=1,ISNUMBER(Country_Data!$DF$47)),Country_Data!$DF$47,Country_Data!$CN$47)*Sector_Params!$J$7</f>
        <v>0.01593315</v>
      </c>
      <c r="V301" s="37" t="n">
        <f aca="false">IF(AND(p_eng=1,ISNUMBER(Country_Data!$DG$47)),Country_Data!$DG$47,p_a)</f>
        <v>0.41562020972278</v>
      </c>
      <c r="W301" s="16" t="n">
        <f aca="false">T301*L301</f>
        <v>0.0864031677293118</v>
      </c>
      <c r="X301" s="16" t="n">
        <f aca="false">U301*L301</f>
        <v>0.0101357818681406</v>
      </c>
      <c r="Y301" s="16" t="n">
        <f aca="false">V301*L301</f>
        <v>0.264394409501005</v>
      </c>
      <c r="Z301" s="16" t="n">
        <f aca="false">Q301*L301</f>
        <v>0.0809090487975032</v>
      </c>
      <c r="AA301" s="16" t="n">
        <f aca="false">R301*L301</f>
        <v>0.10123095571251</v>
      </c>
      <c r="AB301" s="16" t="n">
        <f aca="false">S301*L301</f>
        <v>0.0758773972304408</v>
      </c>
      <c r="AC301" s="16" t="n">
        <f aca="false">Z301-W301</f>
        <v>-0.00549411893180862</v>
      </c>
      <c r="AD301" s="16" t="n">
        <f aca="false">AA301-W301</f>
        <v>0.0148277879831982</v>
      </c>
      <c r="AE301" s="16" t="n">
        <f aca="false">AB301-W301</f>
        <v>-0.010525770498871</v>
      </c>
      <c r="AF301" s="16" t="n">
        <f aca="false">AE301-X301</f>
        <v>-0.0206615523670116</v>
      </c>
      <c r="AG301" s="16" t="n">
        <f aca="false">AF301-p_spc_lo*Y301/1000</f>
        <v>-0.0338812728420618</v>
      </c>
      <c r="AH301" s="16" t="n">
        <f aca="false">AF301-p_spc_hi*Y301/1000</f>
        <v>-0.047100993317112</v>
      </c>
      <c r="AI301" s="16" t="n">
        <f aca="false">Q301*J301</f>
        <v>0.337121036656263</v>
      </c>
      <c r="AJ301" s="16" t="n">
        <f aca="false">S301*J301</f>
        <v>0.316155821793503</v>
      </c>
      <c r="AK301" s="16" t="n">
        <f aca="false">T301*J301</f>
        <v>0.360013198872133</v>
      </c>
      <c r="AL301" s="16" t="n">
        <f aca="false">U301*J301</f>
        <v>0.0422324244505857</v>
      </c>
      <c r="AM301" s="16" t="n">
        <f aca="false">AI301-AJ301</f>
        <v>0.0209652148627599</v>
      </c>
      <c r="AN301" s="16" t="n">
        <f aca="false">J301*Country_Data!$EB$47</f>
        <v>3.04274479081807</v>
      </c>
      <c r="AO301" s="16" t="n">
        <f aca="false">L301*Country_Data!$EB$47</f>
        <v>0.730258749796338</v>
      </c>
    </row>
    <row r="302" customFormat="false" ht="15" hidden="false" customHeight="false" outlineLevel="0" collapsed="false">
      <c r="A302" s="14" t="str">
        <f aca="false">Country_Data!$A$47</f>
        <v>ROU</v>
      </c>
      <c r="B302" s="14" t="str">
        <f aca="false">Country_Data!$E$47</f>
        <v>EMDC</v>
      </c>
      <c r="C302" s="35" t="s">
        <v>477</v>
      </c>
      <c r="D302" s="37" t="n">
        <f aca="false">IF(Country_Data!$CB$47="","",Country_Data!$CB$47)</f>
        <v>0.327611916794271</v>
      </c>
      <c r="E302" s="40" t="n">
        <f aca="false">Country_Data!$BW$47</f>
        <v>886.346</v>
      </c>
      <c r="F302" s="41" t="n">
        <f aca="false">Country_Data!$BX$47</f>
        <v>0.431716282354746</v>
      </c>
      <c r="G302" s="42" t="n">
        <f aca="false">IF(D302="","",D302/SUMIFS($D$5:$D$1369,$B$5:$B$1369,B302,$C$5:$C$1369,C302))</f>
        <v>0.0103306013149137</v>
      </c>
      <c r="H302" s="42" t="n">
        <f aca="false">E302/SUMIFS($E$5:$E$1369,$B$5:$B$1369,B302,$C$5:$C$1369,C302)</f>
        <v>0.0109788833136447</v>
      </c>
      <c r="I302" s="43" t="n">
        <f aca="false">IF(G302="",H302,p_beta_alloc*G302+(1-p_beta_alloc)*H302)*F302^p_phi</f>
        <v>0.00700071124707117</v>
      </c>
      <c r="J302" s="16" t="n">
        <f aca="false">INDEX(Sector_Params!$C$19:$E$19,MATCH(B302,Sector_Params!$C$15:$E$15,0))*I302/SUMIFS($I$5:$I$1369,$B$5:$B$1369,B302,$C$5:$C$1369,C302)</f>
        <v>2.2532670995075</v>
      </c>
      <c r="K302" s="28" t="n">
        <f aca="false">INDEX(Sector_Params!$F$8:$H$8,MATCH(B302,Sector_Params!$C$15:$E$15,0))</f>
        <v>0.24</v>
      </c>
      <c r="L302" s="16" t="n">
        <f aca="false">J302*K302</f>
        <v>0.5407841038818</v>
      </c>
      <c r="M302" s="44" t="n">
        <f aca="false">Country_Data!$DW$47+Sector_Params!$E$8</f>
        <v>0.07191</v>
      </c>
      <c r="N302" s="44" t="n">
        <f aca="false">Country_Data!$DX$47+Sector_Params!$E$8</f>
        <v>0.11691</v>
      </c>
      <c r="O302" s="11" t="n">
        <f aca="false">IF(p_use_ibrd=1,p_r_ibrd,p_r_wb)</f>
        <v>0.06</v>
      </c>
      <c r="P302" s="45" t="n">
        <f aca="false">Sector_Params!$D$8</f>
        <v>25</v>
      </c>
      <c r="Q302" s="46" t="n">
        <f aca="false">M302/(1-(1+M302)^-P302)</f>
        <v>0.0872921536455</v>
      </c>
      <c r="R302" s="46" t="n">
        <f aca="false">N302/(1-(1+N302)^-P302)</f>
        <v>0.124774504612222</v>
      </c>
      <c r="S302" s="46" t="n">
        <f aca="false">O302/(1-(1+O302)^-P302)</f>
        <v>0.078226718212274</v>
      </c>
      <c r="T302" s="37" t="n">
        <f aca="false">Country_Data!$CM$47*Sector_Params!$I$8</f>
        <v>0.180460196955731</v>
      </c>
      <c r="U302" s="37" t="n">
        <f aca="false">Country_Data!$CN$47*Sector_Params!$J$8</f>
        <v>0.146803011719697</v>
      </c>
      <c r="V302" s="37" t="n">
        <f aca="false">p_a</f>
        <v>0.35</v>
      </c>
      <c r="W302" s="16" t="n">
        <f aca="false">T302*L302</f>
        <v>0.097590005897038</v>
      </c>
      <c r="X302" s="16" t="n">
        <f aca="false">U302*L302</f>
        <v>0.0793887351399854</v>
      </c>
      <c r="Y302" s="16" t="n">
        <f aca="false">V302*L302</f>
        <v>0.18927443635863</v>
      </c>
      <c r="Z302" s="16" t="n">
        <f aca="false">Q302*L302</f>
        <v>0.0472062090850941</v>
      </c>
      <c r="AA302" s="16" t="n">
        <f aca="false">R302*L302</f>
        <v>0.0674760686640158</v>
      </c>
      <c r="AB302" s="16" t="n">
        <f aca="false">S302*L302</f>
        <v>0.0423037657080386</v>
      </c>
      <c r="AC302" s="16" t="n">
        <f aca="false">Z302-W302</f>
        <v>-0.0503837968119439</v>
      </c>
      <c r="AD302" s="16" t="n">
        <f aca="false">AA302-W302</f>
        <v>-0.0301139372330222</v>
      </c>
      <c r="AE302" s="16" t="n">
        <f aca="false">AB302-W302</f>
        <v>-0.0552862401889994</v>
      </c>
      <c r="AF302" s="16" t="n">
        <f aca="false">AE302-X302</f>
        <v>-0.134674975328985</v>
      </c>
      <c r="AG302" s="16" t="n">
        <f aca="false">AF302-p_spc_lo*Y302/1000</f>
        <v>-0.144138697146916</v>
      </c>
      <c r="AH302" s="16" t="n">
        <f aca="false">AF302-p_spc_hi*Y302/1000</f>
        <v>-0.153602418964848</v>
      </c>
      <c r="AI302" s="16" t="n">
        <f aca="false">Q302*J302</f>
        <v>0.196692537854559</v>
      </c>
      <c r="AJ302" s="16" t="n">
        <f aca="false">S302*J302</f>
        <v>0.176265690450161</v>
      </c>
      <c r="AK302" s="16" t="n">
        <f aca="false">T302*J302</f>
        <v>0.406625024570992</v>
      </c>
      <c r="AL302" s="16" t="n">
        <f aca="false">U302*J302</f>
        <v>0.330786396416606</v>
      </c>
      <c r="AM302" s="16" t="n">
        <f aca="false">AI302-AJ302</f>
        <v>0.0204268474043978</v>
      </c>
      <c r="AN302" s="16" t="n">
        <f aca="false">J302*Country_Data!$EB$47</f>
        <v>2.58662716354423</v>
      </c>
      <c r="AO302" s="16" t="n">
        <f aca="false">L302*Country_Data!$EB$47</f>
        <v>0.620790519250614</v>
      </c>
    </row>
    <row r="303" customFormat="false" ht="15" hidden="false" customHeight="false" outlineLevel="0" collapsed="false">
      <c r="A303" s="14" t="str">
        <f aca="false">Country_Data!$A$47</f>
        <v>ROU</v>
      </c>
      <c r="B303" s="14" t="str">
        <f aca="false">Country_Data!$E$47</f>
        <v>EMDC</v>
      </c>
      <c r="C303" s="35" t="s">
        <v>481</v>
      </c>
      <c r="D303" s="37" t="n">
        <f aca="false">IF(Country_Data!$CC$47="","",Country_Data!$CC$47)</f>
        <v>0.465073722528794</v>
      </c>
      <c r="E303" s="40" t="n">
        <f aca="false">Country_Data!$BW$47</f>
        <v>886.346</v>
      </c>
      <c r="F303" s="41" t="n">
        <f aca="false">Country_Data!$BX$47</f>
        <v>0.431716282354746</v>
      </c>
      <c r="G303" s="42" t="n">
        <f aca="false">IF(D303="","",D303/SUMIFS($D$5:$D$1369,$B$5:$B$1369,B303,$C$5:$C$1369,C303))</f>
        <v>0.00664322155958079</v>
      </c>
      <c r="H303" s="42" t="n">
        <f aca="false">E303/SUMIFS($E$5:$E$1369,$B$5:$B$1369,B303,$C$5:$C$1369,C303)</f>
        <v>0.0109788833136447</v>
      </c>
      <c r="I303" s="43" t="n">
        <f aca="false">IF(G303="",H303,p_beta_alloc*G303+(1-p_beta_alloc)*H303)*F303^p_phi</f>
        <v>0.00578931259640714</v>
      </c>
      <c r="J303" s="16" t="n">
        <f aca="false">INDEX(Sector_Params!$C$20:$E$20,MATCH(B303,Sector_Params!$C$15:$E$15,0))*I303/SUMIFS($I$5:$I$1369,$B$5:$B$1369,B303,$C$5:$C$1369,C303)</f>
        <v>1.05666613220931</v>
      </c>
      <c r="K303" s="28" t="n">
        <f aca="false">INDEX(Sector_Params!$F$9:$H$9,MATCH(B303,Sector_Params!$C$15:$E$15,0))</f>
        <v>0.24</v>
      </c>
      <c r="L303" s="16" t="n">
        <f aca="false">J303*K303</f>
        <v>0.253599871730235</v>
      </c>
      <c r="M303" s="44" t="n">
        <f aca="false">Country_Data!$DW$47+Sector_Params!$E$9</f>
        <v>0.07191</v>
      </c>
      <c r="N303" s="44" t="n">
        <f aca="false">Country_Data!$DX$47+Sector_Params!$E$9</f>
        <v>0.11691</v>
      </c>
      <c r="O303" s="11" t="n">
        <f aca="false">IF(p_use_ibrd=1,p_r_ibrd,p_r_wb)</f>
        <v>0.06</v>
      </c>
      <c r="P303" s="45" t="n">
        <f aca="false">Sector_Params!$D$9</f>
        <v>25</v>
      </c>
      <c r="Q303" s="46" t="n">
        <f aca="false">M303/(1-(1+M303)^-P303)</f>
        <v>0.0872921536455</v>
      </c>
      <c r="R303" s="46" t="n">
        <f aca="false">N303/(1-(1+N303)^-P303)</f>
        <v>0.124774504612222</v>
      </c>
      <c r="S303" s="46" t="n">
        <f aca="false">O303/(1-(1+O303)^-P303)</f>
        <v>0.078226718212274</v>
      </c>
      <c r="T303" s="37" t="n">
        <f aca="false">Country_Data!$CM$47*Sector_Params!$I$9</f>
        <v>0.180460196955731</v>
      </c>
      <c r="U303" s="37" t="n">
        <f aca="false">Country_Data!$CN$47*Sector_Params!$J$9</f>
        <v>0.146803011719697</v>
      </c>
      <c r="V303" s="37" t="n">
        <f aca="false">p_a</f>
        <v>0.35</v>
      </c>
      <c r="W303" s="16" t="n">
        <f aca="false">T303*L303</f>
        <v>0.0457646828003864</v>
      </c>
      <c r="X303" s="16" t="n">
        <f aca="false">U303*L303</f>
        <v>0.0372292249417273</v>
      </c>
      <c r="Y303" s="16" t="n">
        <f aca="false">V303*L303</f>
        <v>0.0887599551055824</v>
      </c>
      <c r="Z303" s="16" t="n">
        <f aca="false">Q303*L303</f>
        <v>0.0221372789675548</v>
      </c>
      <c r="AA303" s="16" t="n">
        <f aca="false">R303*L303</f>
        <v>0.0316427983648631</v>
      </c>
      <c r="AB303" s="16" t="n">
        <f aca="false">S303*L303</f>
        <v>0.0198382857045099</v>
      </c>
      <c r="AC303" s="16" t="n">
        <f aca="false">Z303-W303</f>
        <v>-0.0236274038328316</v>
      </c>
      <c r="AD303" s="16" t="n">
        <f aca="false">AA303-W303</f>
        <v>-0.0141218844355233</v>
      </c>
      <c r="AE303" s="16" t="n">
        <f aca="false">AB303-W303</f>
        <v>-0.0259263970958764</v>
      </c>
      <c r="AF303" s="16" t="n">
        <f aca="false">AE303-X303</f>
        <v>-0.0631556220376037</v>
      </c>
      <c r="AG303" s="16" t="n">
        <f aca="false">AF303-p_spc_lo*Y303/1000</f>
        <v>-0.0675936197928828</v>
      </c>
      <c r="AH303" s="16" t="n">
        <f aca="false">AF303-p_spc_hi*Y303/1000</f>
        <v>-0.0720316175481619</v>
      </c>
      <c r="AI303" s="16" t="n">
        <f aca="false">Q303*J303</f>
        <v>0.0922386623648117</v>
      </c>
      <c r="AJ303" s="16" t="n">
        <f aca="false">S303*J303</f>
        <v>0.0826595237687914</v>
      </c>
      <c r="AK303" s="16" t="n">
        <f aca="false">T303*J303</f>
        <v>0.190686178334943</v>
      </c>
      <c r="AL303" s="16" t="n">
        <f aca="false">U303*J303</f>
        <v>0.15512177059053</v>
      </c>
      <c r="AM303" s="16" t="n">
        <f aca="false">AI303-AJ303</f>
        <v>0.00957913859602028</v>
      </c>
      <c r="AN303" s="16" t="n">
        <f aca="false">J303*Country_Data!$EB$47</f>
        <v>1.2129948202622</v>
      </c>
      <c r="AO303" s="16" t="n">
        <f aca="false">L303*Country_Data!$EB$47</f>
        <v>0.291118756862928</v>
      </c>
    </row>
    <row r="304" customFormat="false" ht="15" hidden="false" customHeight="false" outlineLevel="0" collapsed="false">
      <c r="A304" s="14" t="str">
        <f aca="false">Country_Data!$A$47</f>
        <v>ROU</v>
      </c>
      <c r="B304" s="14" t="str">
        <f aca="false">Country_Data!$E$47</f>
        <v>EMDC</v>
      </c>
      <c r="C304" s="35" t="s">
        <v>484</v>
      </c>
      <c r="D304" s="37" t="n">
        <f aca="false">IF(Country_Data!$CD$47="","",Country_Data!$CD$47)</f>
        <v>1.12383844428045</v>
      </c>
      <c r="E304" s="40" t="n">
        <f aca="false">Country_Data!$BW$47</f>
        <v>886.346</v>
      </c>
      <c r="F304" s="41" t="n">
        <f aca="false">Country_Data!$BX$47</f>
        <v>0.431716282354746</v>
      </c>
      <c r="G304" s="42" t="n">
        <f aca="false">IF(D304="","",D304/SUMIFS($D$5:$D$1369,$B$5:$B$1369,B304,$C$5:$C$1369,C304))</f>
        <v>0.0062759244327683</v>
      </c>
      <c r="H304" s="42" t="n">
        <f aca="false">E304/SUMIFS($E$5:$E$1369,$B$5:$B$1369,B304,$C$5:$C$1369,C304)</f>
        <v>0.0109788833136447</v>
      </c>
      <c r="I304" s="43" t="n">
        <f aca="false">IF(G304="",H304,p_beta_alloc*G304+(1-p_beta_alloc)*H304)*F304^p_phi</f>
        <v>0.00566864608703286</v>
      </c>
      <c r="J304" s="16" t="n">
        <f aca="false">INDEX(Sector_Params!$C$21:$E$21,MATCH(B304,Sector_Params!$C$15:$E$15,0))*I304/SUMIFS($I$5:$I$1369,$B$5:$B$1369,B304,$C$5:$C$1369,C304)</f>
        <v>1.25724803075796</v>
      </c>
      <c r="K304" s="28" t="n">
        <f aca="false">INDEX(Sector_Params!$F$10:$H$10,MATCH(B304,Sector_Params!$C$15:$E$15,0))</f>
        <v>0.24</v>
      </c>
      <c r="L304" s="16" t="n">
        <f aca="false">J304*K304</f>
        <v>0.30173952738191</v>
      </c>
      <c r="M304" s="44" t="n">
        <f aca="false">Country_Data!$DW$47+Sector_Params!$E$10</f>
        <v>0.07191</v>
      </c>
      <c r="N304" s="44" t="n">
        <f aca="false">Country_Data!$DX$47+Sector_Params!$E$10</f>
        <v>0.11691</v>
      </c>
      <c r="O304" s="11" t="n">
        <f aca="false">IF(p_use_ibrd=1,p_r_ibrd,p_r_wb)</f>
        <v>0.06</v>
      </c>
      <c r="P304" s="45" t="n">
        <f aca="false">Sector_Params!$D$10</f>
        <v>20</v>
      </c>
      <c r="Q304" s="46" t="n">
        <f aca="false">M304/(1-(1+M304)^-P304)</f>
        <v>0.0957987475192057</v>
      </c>
      <c r="R304" s="46" t="n">
        <f aca="false">N304/(1-(1+N304)^-P304)</f>
        <v>0.13129406022297</v>
      </c>
      <c r="S304" s="46" t="n">
        <f aca="false">O304/(1-(1+O304)^-P304)</f>
        <v>0.0871845569768514</v>
      </c>
      <c r="T304" s="37" t="n">
        <f aca="false">0*Sector_Params!$I$10</f>
        <v>0</v>
      </c>
      <c r="U304" s="37" t="n">
        <f aca="false">0*Sector_Params!$J$10</f>
        <v>0</v>
      </c>
      <c r="V304" s="37" t="n">
        <f aca="false">1000*p_r_wb/(1-(1+p_r_wb)^-Sector_Params!$D$10)/p_cpt_fuel</f>
        <v>0.871845569768514</v>
      </c>
      <c r="W304" s="16" t="n">
        <f aca="false">T304*L304</f>
        <v>0</v>
      </c>
      <c r="X304" s="16" t="n">
        <f aca="false">U304*L304</f>
        <v>0</v>
      </c>
      <c r="Y304" s="16" t="n">
        <f aca="false">V304*L304</f>
        <v>0.263070270171964</v>
      </c>
      <c r="Z304" s="16" t="n">
        <f aca="false">Q304*L304</f>
        <v>0.0289062688002241</v>
      </c>
      <c r="AA304" s="16" t="n">
        <f aca="false">R304*L304</f>
        <v>0.0396166076797308</v>
      </c>
      <c r="AB304" s="16" t="n">
        <f aca="false">S304*L304</f>
        <v>0.0263070270171964</v>
      </c>
      <c r="AC304" s="16" t="n">
        <f aca="false">Z304-W304</f>
        <v>0.0289062688002241</v>
      </c>
      <c r="AD304" s="16" t="n">
        <f aca="false">AA304-W304</f>
        <v>0.0396166076797308</v>
      </c>
      <c r="AE304" s="16" t="n">
        <f aca="false">AB304-W304</f>
        <v>0.0263070270171964</v>
      </c>
      <c r="AF304" s="16" t="n">
        <f aca="false">AE304-X304</f>
        <v>0.0263070270171964</v>
      </c>
      <c r="AG304" s="16" t="n">
        <f aca="false">AF304-p_spc_lo*Y304/1000</f>
        <v>0.0131535135085982</v>
      </c>
      <c r="AH304" s="16" t="n">
        <f aca="false">AF304-p_spc_hi*Y304/1000</f>
        <v>0</v>
      </c>
      <c r="AI304" s="16" t="n">
        <f aca="false">Q304*J304</f>
        <v>0.1204427866676</v>
      </c>
      <c r="AJ304" s="16" t="n">
        <f aca="false">S304*J304</f>
        <v>0.109612612571651</v>
      </c>
      <c r="AK304" s="16" t="n">
        <f aca="false">T304*J304</f>
        <v>0</v>
      </c>
      <c r="AL304" s="16" t="n">
        <f aca="false">U304*J304</f>
        <v>0</v>
      </c>
      <c r="AM304" s="16" t="n">
        <f aca="false">AI304-AJ304</f>
        <v>0.0108301740959488</v>
      </c>
      <c r="AN304" s="16" t="n">
        <f aca="false">J304*Country_Data!$EB$47</f>
        <v>1.44325184900708</v>
      </c>
      <c r="AO304" s="16" t="n">
        <f aca="false">L304*Country_Data!$EB$47</f>
        <v>0.346380443761699</v>
      </c>
    </row>
    <row r="305" customFormat="false" ht="15" hidden="false" customHeight="false" outlineLevel="0" collapsed="false">
      <c r="A305" s="14" t="str">
        <f aca="false">Country_Data!$A$47</f>
        <v>ROU</v>
      </c>
      <c r="B305" s="14" t="str">
        <f aca="false">Country_Data!$E$47</f>
        <v>EMDC</v>
      </c>
      <c r="C305" s="35" t="s">
        <v>488</v>
      </c>
      <c r="D305" s="37" t="n">
        <f aca="false">IF(Country_Data!$CE$47="","",Country_Data!$CE$47)</f>
        <v>40.14</v>
      </c>
      <c r="E305" s="40" t="n">
        <f aca="false">Country_Data!$BW$47</f>
        <v>886.346</v>
      </c>
      <c r="F305" s="41" t="n">
        <f aca="false">Country_Data!$BX$47</f>
        <v>0.431716282354746</v>
      </c>
      <c r="G305" s="42" t="n">
        <f aca="false">IF(D305="","",D305/SUMIFS($D$5:$D$1369,$B$5:$B$1369,B305,$C$5:$C$1369,C305))</f>
        <v>0.00328905590002057</v>
      </c>
      <c r="H305" s="42" t="n">
        <f aca="false">E305/SUMIFS($E$5:$E$1369,$B$5:$B$1369,B305,$C$5:$C$1369,C305)</f>
        <v>0.0109788833136447</v>
      </c>
      <c r="I305" s="43" t="n">
        <f aca="false">IF(G305="",H305,p_beta_alloc*G305+(1-p_beta_alloc)*H305)*F305^p_phi</f>
        <v>0.00468738330685718</v>
      </c>
      <c r="J305" s="16" t="n">
        <f aca="false">INDEX(Sector_Params!$C$22:$E$22,MATCH(B305,Sector_Params!$C$15:$E$15,0))*I305/SUMIFS($I$5:$I$1369,$B$5:$B$1369,B305,$C$5:$C$1369,C305)</f>
        <v>2.82559397617074</v>
      </c>
      <c r="K305" s="28" t="n">
        <f aca="false">INDEX(Sector_Params!$F$11:$H$11,MATCH(B305,Sector_Params!$C$15:$E$15,0))</f>
        <v>0.24</v>
      </c>
      <c r="L305" s="16" t="n">
        <f aca="false">J305*K305</f>
        <v>0.678142554280979</v>
      </c>
      <c r="M305" s="44" t="n">
        <f aca="false">Country_Data!$DW$47+Sector_Params!$E$11</f>
        <v>0.07191</v>
      </c>
      <c r="N305" s="44" t="n">
        <f aca="false">Country_Data!$DX$47+Sector_Params!$E$11</f>
        <v>0.11691</v>
      </c>
      <c r="O305" s="11" t="n">
        <f aca="false">IF(p_use_ibrd=1,p_r_ibrd,p_r_wb)</f>
        <v>0.06</v>
      </c>
      <c r="P305" s="45" t="n">
        <f aca="false">Sector_Params!$D$11</f>
        <v>30</v>
      </c>
      <c r="Q305" s="46" t="n">
        <f aca="false">M305/(1-(1+M305)^-P305)</f>
        <v>0.0821381002984873</v>
      </c>
      <c r="R305" s="46" t="n">
        <f aca="false">N305/(1-(1+N305)^-P305)</f>
        <v>0.121308933589967</v>
      </c>
      <c r="S305" s="46" t="n">
        <f aca="false">O305/(1-(1+O305)^-P305)</f>
        <v>0.0726489114900472</v>
      </c>
      <c r="T305" s="37" t="n">
        <f aca="false">0*Sector_Params!$I$11</f>
        <v>0</v>
      </c>
      <c r="U305" s="37" t="n">
        <f aca="false">p_c*Sector_Params!$J$11</f>
        <v>0.129</v>
      </c>
      <c r="V305" s="37" t="n">
        <f aca="false">1000*p_r_wb/(1-(1+p_r_wb)^-Sector_Params!$D$11)/p_cpt_afolu</f>
        <v>1.45297822980094</v>
      </c>
      <c r="W305" s="16" t="n">
        <f aca="false">T305*L305</f>
        <v>0</v>
      </c>
      <c r="X305" s="16" t="n">
        <f aca="false">U305*L305</f>
        <v>0.0874803895022462</v>
      </c>
      <c r="Y305" s="16" t="n">
        <f aca="false">V305*L305</f>
        <v>0.985326368071867</v>
      </c>
      <c r="Z305" s="16" t="n">
        <f aca="false">Q305*L305</f>
        <v>0.0557013411402034</v>
      </c>
      <c r="AA305" s="16" t="n">
        <f aca="false">R305*L305</f>
        <v>0.0822647500818015</v>
      </c>
      <c r="AB305" s="16" t="n">
        <f aca="false">S305*L305</f>
        <v>0.0492663184035933</v>
      </c>
      <c r="AC305" s="16" t="n">
        <f aca="false">Z305-W305</f>
        <v>0.0557013411402034</v>
      </c>
      <c r="AD305" s="16" t="n">
        <f aca="false">AA305-W305</f>
        <v>0.0822647500818015</v>
      </c>
      <c r="AE305" s="16" t="n">
        <f aca="false">AB305-W305</f>
        <v>0.0492663184035933</v>
      </c>
      <c r="AF305" s="16" t="n">
        <f aca="false">AE305-X305</f>
        <v>-0.0382140710986529</v>
      </c>
      <c r="AG305" s="16" t="n">
        <f aca="false">AF305-p_spc_lo*Y305/1000</f>
        <v>-0.0874803895022462</v>
      </c>
      <c r="AH305" s="16" t="n">
        <f aca="false">AF305-p_spc_hi*Y305/1000</f>
        <v>-0.13674670790584</v>
      </c>
      <c r="AI305" s="16" t="n">
        <f aca="false">Q305*J305</f>
        <v>0.232088921417514</v>
      </c>
      <c r="AJ305" s="16" t="n">
        <f aca="false">S305*J305</f>
        <v>0.205276326681639</v>
      </c>
      <c r="AK305" s="16" t="n">
        <f aca="false">T305*J305</f>
        <v>0</v>
      </c>
      <c r="AL305" s="16" t="n">
        <f aca="false">U305*J305</f>
        <v>0.364501622926026</v>
      </c>
      <c r="AM305" s="16" t="n">
        <f aca="false">AI305-AJ305</f>
        <v>0.0268125947358751</v>
      </c>
      <c r="AN305" s="16" t="n">
        <f aca="false">J305*Country_Data!$EB$47</f>
        <v>3.24362705757683</v>
      </c>
      <c r="AO305" s="16" t="n">
        <f aca="false">L305*Country_Data!$EB$47</f>
        <v>0.778470493818438</v>
      </c>
    </row>
    <row r="306" customFormat="false" ht="15" hidden="false" customHeight="false" outlineLevel="0" collapsed="false">
      <c r="A306" s="14" t="str">
        <f aca="false">Country_Data!$A$48</f>
        <v>PAK</v>
      </c>
      <c r="B306" s="14" t="str">
        <f aca="false">Country_Data!$E$48</f>
        <v>EMDC</v>
      </c>
      <c r="C306" s="35" t="s">
        <v>466</v>
      </c>
      <c r="D306" s="37" t="n">
        <f aca="false">IF(Country_Data!$BZ$48="","",Country_Data!$BZ$48)</f>
        <v>120.751426428113</v>
      </c>
      <c r="E306" s="40" t="n">
        <f aca="false">Country_Data!$BW$48</f>
        <v>1591.102</v>
      </c>
      <c r="F306" s="41" t="n">
        <f aca="false">Country_Data!$BX$48</f>
        <v>0.233952945819941</v>
      </c>
      <c r="G306" s="42" t="n">
        <f aca="false">IF(D306="","",D306/SUMIFS($D$5:$D$1369,$B$5:$B$1369,B306,$C$5:$C$1369,C306))</f>
        <v>0.0137852406971481</v>
      </c>
      <c r="H306" s="42" t="n">
        <f aca="false">E306/SUMIFS($E$5:$E$1369,$B$5:$B$1369,B306,$C$5:$C$1369,C306)</f>
        <v>0.0197084696022848</v>
      </c>
      <c r="I306" s="43" t="n">
        <f aca="false">IF(G306="",H306,p_beta_alloc*G306+(1-p_beta_alloc)*H306)*F306^p_phi</f>
        <v>0.00810023321586011</v>
      </c>
      <c r="J306" s="16" t="n">
        <f aca="false">INDEX(Sector_Params!$C$16:$E$16,MATCH(B306,Sector_Params!$C$15:$E$15,0))*I306/SUMIFS($I$5:$I$1369,$B$5:$B$1369,B306,$C$5:$C$1369,C306)</f>
        <v>7.83475092499731</v>
      </c>
      <c r="K306" s="28" t="n">
        <f aca="false">INDEX(Sector_Params!$F$5:$H$5,MATCH(B306,Sector_Params!$C$15:$E$15,0))</f>
        <v>0.24</v>
      </c>
      <c r="L306" s="16" t="n">
        <f aca="false">J306*K306</f>
        <v>1.88034022199935</v>
      </c>
      <c r="M306" s="44" t="n">
        <f aca="false">Country_Data!$DW$48+Sector_Params!$E$5</f>
        <v>0.0891200000000001</v>
      </c>
      <c r="N306" s="44" t="n">
        <f aca="false">Country_Data!$DX$48+Sector_Params!$E$5</f>
        <v>0.13412</v>
      </c>
      <c r="O306" s="11" t="n">
        <f aca="false">IF(p_use_ibrd=1,p_r_ibrd,p_r_wb)</f>
        <v>0.06</v>
      </c>
      <c r="P306" s="45" t="n">
        <f aca="false">Sector_Params!$D$5</f>
        <v>25</v>
      </c>
      <c r="Q306" s="46" t="n">
        <f aca="false">M306/(1-(1+M306)^-P306)</f>
        <v>0.101081272016453</v>
      </c>
      <c r="R306" s="46" t="n">
        <f aca="false">N306/(1-(1+N306)^-P306)</f>
        <v>0.140147107076343</v>
      </c>
      <c r="S306" s="46" t="n">
        <f aca="false">O306/(1-(1+O306)^-P306)</f>
        <v>0.078226718212274</v>
      </c>
      <c r="T306" s="37" t="n">
        <f aca="false">IF(AND(p_eng=1,ISNUMBER(Country_Data!$CZ$48)),Country_Data!$CZ$48,Country_Data!$CM$48)*Sector_Params!$I$5</f>
        <v>0.018866053550172</v>
      </c>
      <c r="U306" s="37" t="n">
        <f aca="false">IF(AND(p_eng=1,ISNUMBER(Country_Data!$DA$48)),Country_Data!$DA$48,Country_Data!$CN$48)*Sector_Params!$J$5</f>
        <v>0.00664520444600527</v>
      </c>
      <c r="V306" s="37" t="n">
        <f aca="false">IF(AND(p_eng=1,ISNUMBER(Country_Data!$DB$48)),Country_Data!$DB$48,p_a)</f>
        <v>0.56598162212832</v>
      </c>
      <c r="W306" s="16" t="n">
        <f aca="false">T306*L306</f>
        <v>0.035474599320782</v>
      </c>
      <c r="X306" s="16" t="n">
        <f aca="false">U306*L306</f>
        <v>0.0124952452032326</v>
      </c>
      <c r="Y306" s="16" t="n">
        <f aca="false">V306*L306</f>
        <v>1.06423800900032</v>
      </c>
      <c r="Z306" s="16" t="n">
        <f aca="false">Q306*L306</f>
        <v>0.190067181463394</v>
      </c>
      <c r="AA306" s="16" t="n">
        <f aca="false">R306*L306</f>
        <v>0.263524242432497</v>
      </c>
      <c r="AB306" s="16" t="n">
        <f aca="false">S306*L306</f>
        <v>0.147092844689548</v>
      </c>
      <c r="AC306" s="16" t="n">
        <f aca="false">Z306-W306</f>
        <v>0.154592582142612</v>
      </c>
      <c r="AD306" s="16" t="n">
        <f aca="false">AA306-W306</f>
        <v>0.228049643111715</v>
      </c>
      <c r="AE306" s="16" t="n">
        <f aca="false">AB306-W306</f>
        <v>0.111618245368766</v>
      </c>
      <c r="AF306" s="16" t="n">
        <f aca="false">AE306-X306</f>
        <v>0.0991230001655334</v>
      </c>
      <c r="AG306" s="16" t="n">
        <f aca="false">AF306-p_spc_lo*Y306/1000</f>
        <v>0.0459110997155175</v>
      </c>
      <c r="AH306" s="16" t="n">
        <f aca="false">AF306-p_spc_hi*Y306/1000</f>
        <v>-0.00730080073449851</v>
      </c>
      <c r="AI306" s="16" t="n">
        <f aca="false">Q306*J306</f>
        <v>0.791946589430807</v>
      </c>
      <c r="AJ306" s="16" t="n">
        <f aca="false">S306*J306</f>
        <v>0.612886852873117</v>
      </c>
      <c r="AK306" s="16" t="n">
        <f aca="false">T306*J306</f>
        <v>0.147810830503258</v>
      </c>
      <c r="AL306" s="16" t="n">
        <f aca="false">U306*J306</f>
        <v>0.052063521680136</v>
      </c>
      <c r="AM306" s="16" t="n">
        <f aca="false">AI306-AJ306</f>
        <v>0.17905973655769</v>
      </c>
      <c r="AN306" s="16" t="n">
        <f aca="false">J306*Country_Data!$EB$48</f>
        <v>8.99386476047636</v>
      </c>
      <c r="AO306" s="16" t="n">
        <f aca="false">L306*Country_Data!$EB$48</f>
        <v>2.15852754251433</v>
      </c>
    </row>
    <row r="307" customFormat="false" ht="15" hidden="false" customHeight="false" outlineLevel="0" collapsed="false">
      <c r="A307" s="14" t="str">
        <f aca="false">Country_Data!$A$48</f>
        <v>PAK</v>
      </c>
      <c r="B307" s="14" t="str">
        <f aca="false">Country_Data!$E$48</f>
        <v>EMDC</v>
      </c>
      <c r="C307" s="35" t="s">
        <v>470</v>
      </c>
      <c r="D307" s="37" t="n">
        <f aca="false">IF(Country_Data!$BZ$48="","",Country_Data!$BZ$48)</f>
        <v>120.751426428113</v>
      </c>
      <c r="E307" s="40" t="n">
        <f aca="false">Country_Data!$BW$48</f>
        <v>1591.102</v>
      </c>
      <c r="F307" s="41" t="n">
        <f aca="false">Country_Data!$BX$48</f>
        <v>0.233952945819941</v>
      </c>
      <c r="G307" s="42" t="n">
        <f aca="false">IF(D307="","",D307/SUMIFS($D$5:$D$1369,$B$5:$B$1369,B307,$C$5:$C$1369,C307))</f>
        <v>0.0137852406971481</v>
      </c>
      <c r="H307" s="42" t="n">
        <f aca="false">E307/SUMIFS($E$5:$E$1369,$B$5:$B$1369,B307,$C$5:$C$1369,C307)</f>
        <v>0.0197084696022848</v>
      </c>
      <c r="I307" s="43" t="n">
        <f aca="false">IF(G307="",H307,p_beta_alloc*G307+(1-p_beta_alloc)*H307)*F307^p_phi</f>
        <v>0.00810023321586011</v>
      </c>
      <c r="J307" s="16" t="n">
        <f aca="false">INDEX(Sector_Params!$C$17:$E$17,MATCH(B307,Sector_Params!$C$15:$E$15,0))*I307/SUMIFS($I$5:$I$1369,$B$5:$B$1369,B307,$C$5:$C$1369,C307)</f>
        <v>5.37240063428387</v>
      </c>
      <c r="K307" s="28" t="n">
        <f aca="false">INDEX(Sector_Params!$F$6:$H$6,MATCH(B307,Sector_Params!$C$15:$E$15,0))</f>
        <v>0.24</v>
      </c>
      <c r="L307" s="16" t="n">
        <f aca="false">J307*K307</f>
        <v>1.28937615222813</v>
      </c>
      <c r="M307" s="44" t="n">
        <f aca="false">Country_Data!$DW$48+Sector_Params!$E$6</f>
        <v>0.0891200000000001</v>
      </c>
      <c r="N307" s="44" t="n">
        <f aca="false">Country_Data!$DX$48+Sector_Params!$E$6</f>
        <v>0.13412</v>
      </c>
      <c r="O307" s="11" t="n">
        <f aca="false">IF(p_use_ibrd=1,p_r_ibrd,p_r_wb)</f>
        <v>0.06</v>
      </c>
      <c r="P307" s="45" t="n">
        <f aca="false">Sector_Params!$D$6</f>
        <v>40</v>
      </c>
      <c r="Q307" s="46" t="n">
        <f aca="false">M307/(1-(1+M307)^-P307)</f>
        <v>0.0921501686736365</v>
      </c>
      <c r="R307" s="46" t="n">
        <f aca="false">N307/(1-(1+N307)^-P307)</f>
        <v>0.134998961920537</v>
      </c>
      <c r="S307" s="46" t="n">
        <f aca="false">O307/(1-(1+O307)^-P307)</f>
        <v>0.0664615359206755</v>
      </c>
      <c r="T307" s="37" t="n">
        <f aca="false">p_grid_credit*IF(AND(p_eng=1,ISNUMBER(Country_Data!$CZ$48)),Country_Data!$CZ$48,Country_Data!$CM$48)*Sector_Params!$I$6</f>
        <v>0</v>
      </c>
      <c r="U307" s="37" t="n">
        <f aca="false">p_grid_credit*IF(AND(p_eng=1,ISNUMBER(Country_Data!$DA$48)),Country_Data!$DA$48,Country_Data!$CN$48)*Sector_Params!$J$6</f>
        <v>0</v>
      </c>
      <c r="V307" s="37" t="n">
        <f aca="false">p_grid_credit*IF(AND(p_eng=1,ISNUMBER(Country_Data!$DB$48)),Country_Data!$DB$48,p_a)</f>
        <v>0</v>
      </c>
      <c r="W307" s="16" t="n">
        <f aca="false">T307*L307</f>
        <v>0</v>
      </c>
      <c r="X307" s="16" t="n">
        <f aca="false">U307*L307</f>
        <v>0</v>
      </c>
      <c r="Y307" s="16" t="n">
        <f aca="false">V307*L307</f>
        <v>0</v>
      </c>
      <c r="Z307" s="16" t="n">
        <f aca="false">Q307*L307</f>
        <v>0.118816229911586</v>
      </c>
      <c r="AA307" s="16" t="n">
        <f aca="false">R307*L307</f>
        <v>0.174064442075893</v>
      </c>
      <c r="AB307" s="16" t="n">
        <f aca="false">S307*L307</f>
        <v>0.0856939194565721</v>
      </c>
      <c r="AC307" s="16" t="n">
        <f aca="false">Z307-W307</f>
        <v>0.118816229911586</v>
      </c>
      <c r="AD307" s="16" t="n">
        <f aca="false">AA307-W307</f>
        <v>0.174064442075893</v>
      </c>
      <c r="AE307" s="16" t="n">
        <f aca="false">AB307-W307</f>
        <v>0.0856939194565721</v>
      </c>
      <c r="AF307" s="16" t="n">
        <f aca="false">AE307-X307</f>
        <v>0.0856939194565721</v>
      </c>
      <c r="AG307" s="16" t="n">
        <f aca="false">AF307-p_spc_lo*Y307/1000</f>
        <v>0.0856939194565721</v>
      </c>
      <c r="AH307" s="16" t="n">
        <f aca="false">AF307-p_spc_hi*Y307/1000</f>
        <v>0.0856939194565721</v>
      </c>
      <c r="AI307" s="16" t="n">
        <f aca="false">Q307*J307</f>
        <v>0.49506762463161</v>
      </c>
      <c r="AJ307" s="16" t="n">
        <f aca="false">S307*J307</f>
        <v>0.357057997735717</v>
      </c>
      <c r="AK307" s="16" t="n">
        <f aca="false">T307*J307</f>
        <v>0</v>
      </c>
      <c r="AL307" s="16" t="n">
        <f aca="false">U307*J307</f>
        <v>0</v>
      </c>
      <c r="AM307" s="16" t="n">
        <f aca="false">AI307-AJ307</f>
        <v>0.138009626895893</v>
      </c>
      <c r="AN307" s="16" t="n">
        <f aca="false">J307*Country_Data!$EB$48</f>
        <v>6.16722155004093</v>
      </c>
      <c r="AO307" s="16" t="n">
        <f aca="false">L307*Country_Data!$EB$48</f>
        <v>1.48013317200982</v>
      </c>
    </row>
    <row r="308" customFormat="false" ht="15" hidden="false" customHeight="false" outlineLevel="0" collapsed="false">
      <c r="A308" s="14" t="str">
        <f aca="false">Country_Data!$A$48</f>
        <v>PAK</v>
      </c>
      <c r="B308" s="14" t="str">
        <f aca="false">Country_Data!$E$48</f>
        <v>EMDC</v>
      </c>
      <c r="C308" s="35" t="s">
        <v>473</v>
      </c>
      <c r="D308" s="37" t="n">
        <f aca="false">IF(Country_Data!$CA$48="","",Country_Data!$CA$48)</f>
        <v>0.813996313012822</v>
      </c>
      <c r="E308" s="40" t="n">
        <f aca="false">Country_Data!$BW$48</f>
        <v>1591.102</v>
      </c>
      <c r="F308" s="41" t="n">
        <f aca="false">Country_Data!$BX$48</f>
        <v>0.233952945819941</v>
      </c>
      <c r="G308" s="42" t="n">
        <f aca="false">IF(D308="","",D308/SUMIFS($D$5:$D$1369,$B$5:$B$1369,B308,$C$5:$C$1369,C308))</f>
        <v>0.0188052087675476</v>
      </c>
      <c r="H308" s="42" t="n">
        <f aca="false">E308/SUMIFS($E$5:$E$1369,$B$5:$B$1369,B308,$C$5:$C$1369,C308)</f>
        <v>0.0197084696022848</v>
      </c>
      <c r="I308" s="43" t="n">
        <f aca="false">IF(G308="",H308,p_beta_alloc*G308+(1-p_beta_alloc)*H308)*F308^p_phi</f>
        <v>0.00931427942760799</v>
      </c>
      <c r="J308" s="16" t="n">
        <f aca="false">INDEX(Sector_Params!$C$18:$E$18,MATCH(B308,Sector_Params!$C$15:$E$15,0))*I308/SUMIFS($I$5:$I$1369,$B$5:$B$1369,B308,$C$5:$C$1369,C308)</f>
        <v>3.81397703844366</v>
      </c>
      <c r="K308" s="28" t="n">
        <f aca="false">INDEX(Sector_Params!$F$7:$H$7,MATCH(B308,Sector_Params!$C$15:$E$15,0))</f>
        <v>0.24</v>
      </c>
      <c r="L308" s="16" t="n">
        <f aca="false">J308*K308</f>
        <v>0.915354489226478</v>
      </c>
      <c r="M308" s="44" t="n">
        <f aca="false">Country_Data!$DW$48+Sector_Params!$E$7</f>
        <v>0.0891200000000001</v>
      </c>
      <c r="N308" s="44" t="n">
        <f aca="false">Country_Data!$DX$48+Sector_Params!$E$7</f>
        <v>0.13412</v>
      </c>
      <c r="O308" s="11" t="n">
        <f aca="false">IF(p_use_ibrd=1,p_r_ibrd,p_r_wb)</f>
        <v>0.06</v>
      </c>
      <c r="P308" s="45" t="n">
        <f aca="false">Sector_Params!$D$7</f>
        <v>12</v>
      </c>
      <c r="Q308" s="46" t="n">
        <f aca="false">M308/(1-(1+M308)^-P308)</f>
        <v>0.139032179016428</v>
      </c>
      <c r="R308" s="46" t="n">
        <f aca="false">N308/(1-(1+N308)^-P308)</f>
        <v>0.172135682883743</v>
      </c>
      <c r="S308" s="46" t="n">
        <f aca="false">O308/(1-(1+O308)^-P308)</f>
        <v>0.119277029380664</v>
      </c>
      <c r="T308" s="37" t="n">
        <f aca="false">IF(AND(p_eng=1,ISNUMBER(Country_Data!$DE$48)),Country_Data!$DE$48,Country_Data!$CM$48)*Sector_Params!$I$7</f>
        <v>0.1377198</v>
      </c>
      <c r="U308" s="37" t="n">
        <f aca="false">IF(AND(p_eng=1,ISNUMBER(Country_Data!$DF$48)),Country_Data!$DF$48,Country_Data!$CN$48)*Sector_Params!$J$7</f>
        <v>0.01795545</v>
      </c>
      <c r="V308" s="37" t="n">
        <f aca="false">IF(AND(p_eng=1,ISNUMBER(Country_Data!$DG$48)),Country_Data!$DG$48,p_a)</f>
        <v>0.400455263591722</v>
      </c>
      <c r="W308" s="16" t="n">
        <f aca="false">T308*L308</f>
        <v>0.126062437185373</v>
      </c>
      <c r="X308" s="16" t="n">
        <f aca="false">U308*L308</f>
        <v>0.0164356017635816</v>
      </c>
      <c r="Y308" s="16" t="n">
        <f aca="false">V308*L308</f>
        <v>0.366558523263055</v>
      </c>
      <c r="Z308" s="16" t="n">
        <f aca="false">Q308*L308</f>
        <v>0.127263729209627</v>
      </c>
      <c r="AA308" s="16" t="n">
        <f aca="false">R308*L308</f>
        <v>0.1575651700837</v>
      </c>
      <c r="AB308" s="16" t="n">
        <f aca="false">S308*L308</f>
        <v>0.109180764305189</v>
      </c>
      <c r="AC308" s="16" t="n">
        <f aca="false">Z308-W308</f>
        <v>0.00120129202425398</v>
      </c>
      <c r="AD308" s="16" t="n">
        <f aca="false">AA308-W308</f>
        <v>0.0315027328983269</v>
      </c>
      <c r="AE308" s="16" t="n">
        <f aca="false">AB308-W308</f>
        <v>-0.0168816728801838</v>
      </c>
      <c r="AF308" s="16" t="n">
        <f aca="false">AE308-X308</f>
        <v>-0.0333172746437654</v>
      </c>
      <c r="AG308" s="16" t="n">
        <f aca="false">AF308-p_spc_lo*Y308/1000</f>
        <v>-0.0516452008069181</v>
      </c>
      <c r="AH308" s="16" t="n">
        <f aca="false">AF308-p_spc_hi*Y308/1000</f>
        <v>-0.0699731269700709</v>
      </c>
      <c r="AI308" s="16" t="n">
        <f aca="false">Q308*J308</f>
        <v>0.530265538373445</v>
      </c>
      <c r="AJ308" s="16" t="n">
        <f aca="false">S308*J308</f>
        <v>0.45491985127162</v>
      </c>
      <c r="AK308" s="16" t="n">
        <f aca="false">T308*J308</f>
        <v>0.525260154939053</v>
      </c>
      <c r="AL308" s="16" t="n">
        <f aca="false">U308*J308</f>
        <v>0.0684816740149232</v>
      </c>
      <c r="AM308" s="16" t="n">
        <f aca="false">AI308-AJ308</f>
        <v>0.0753456871018242</v>
      </c>
      <c r="AN308" s="16" t="n">
        <f aca="false">J308*Country_Data!$EB$48</f>
        <v>4.37823665509012</v>
      </c>
      <c r="AO308" s="16" t="n">
        <f aca="false">L308*Country_Data!$EB$48</f>
        <v>1.05077679722163</v>
      </c>
    </row>
    <row r="309" customFormat="false" ht="15" hidden="false" customHeight="false" outlineLevel="0" collapsed="false">
      <c r="A309" s="14" t="str">
        <f aca="false">Country_Data!$A$48</f>
        <v>PAK</v>
      </c>
      <c r="B309" s="14" t="str">
        <f aca="false">Country_Data!$E$48</f>
        <v>EMDC</v>
      </c>
      <c r="C309" s="35" t="s">
        <v>477</v>
      </c>
      <c r="D309" s="37" t="n">
        <f aca="false">IF(Country_Data!$CB$48="","",Country_Data!$CB$48)</f>
        <v>0.463649622853143</v>
      </c>
      <c r="E309" s="40" t="n">
        <f aca="false">Country_Data!$BW$48</f>
        <v>1591.102</v>
      </c>
      <c r="F309" s="41" t="n">
        <f aca="false">Country_Data!$BX$48</f>
        <v>0.233952945819941</v>
      </c>
      <c r="G309" s="42" t="n">
        <f aca="false">IF(D309="","",D309/SUMIFS($D$5:$D$1369,$B$5:$B$1369,B309,$C$5:$C$1369,C309))</f>
        <v>0.0146202844218079</v>
      </c>
      <c r="H309" s="42" t="n">
        <f aca="false">E309/SUMIFS($E$5:$E$1369,$B$5:$B$1369,B309,$C$5:$C$1369,C309)</f>
        <v>0.0197084696022848</v>
      </c>
      <c r="I309" s="43" t="n">
        <f aca="false">IF(G309="",H309,p_beta_alloc*G309+(1-p_beta_alloc)*H309)*F309^p_phi</f>
        <v>0.00830218304031116</v>
      </c>
      <c r="J309" s="16" t="n">
        <f aca="false">INDEX(Sector_Params!$C$19:$E$19,MATCH(B309,Sector_Params!$C$15:$E$15,0))*I309/SUMIFS($I$5:$I$1369,$B$5:$B$1369,B309,$C$5:$C$1369,C309)</f>
        <v>2.6721621901844</v>
      </c>
      <c r="K309" s="28" t="n">
        <f aca="false">INDEX(Sector_Params!$F$8:$H$8,MATCH(B309,Sector_Params!$C$15:$E$15,0))</f>
        <v>0.24</v>
      </c>
      <c r="L309" s="16" t="n">
        <f aca="false">J309*K309</f>
        <v>0.641318925644256</v>
      </c>
      <c r="M309" s="44" t="n">
        <f aca="false">Country_Data!$DW$48+Sector_Params!$E$8</f>
        <v>0.0891200000000001</v>
      </c>
      <c r="N309" s="44" t="n">
        <f aca="false">Country_Data!$DX$48+Sector_Params!$E$8</f>
        <v>0.13412</v>
      </c>
      <c r="O309" s="11" t="n">
        <f aca="false">IF(p_use_ibrd=1,p_r_ibrd,p_r_wb)</f>
        <v>0.06</v>
      </c>
      <c r="P309" s="45" t="n">
        <f aca="false">Sector_Params!$D$8</f>
        <v>25</v>
      </c>
      <c r="Q309" s="46" t="n">
        <f aca="false">M309/(1-(1+M309)^-P309)</f>
        <v>0.101081272016453</v>
      </c>
      <c r="R309" s="46" t="n">
        <f aca="false">N309/(1-(1+N309)^-P309)</f>
        <v>0.140147107076343</v>
      </c>
      <c r="S309" s="46" t="n">
        <f aca="false">O309/(1-(1+O309)^-P309)</f>
        <v>0.078226718212274</v>
      </c>
      <c r="T309" s="37" t="n">
        <f aca="false">Country_Data!$CM$48*Sector_Params!$I$8</f>
        <v>0.123858053600119</v>
      </c>
      <c r="U309" s="37" t="n">
        <f aca="false">Country_Data!$CN$48*Sector_Params!$J$8</f>
        <v>0.122235702032579</v>
      </c>
      <c r="V309" s="37" t="n">
        <f aca="false">p_a</f>
        <v>0.35</v>
      </c>
      <c r="W309" s="16" t="n">
        <f aca="false">T309*L309</f>
        <v>0.0794325138672167</v>
      </c>
      <c r="X309" s="16" t="n">
        <f aca="false">U309*L309</f>
        <v>0.0783920691029047</v>
      </c>
      <c r="Y309" s="16" t="n">
        <f aca="false">V309*L309</f>
        <v>0.22446162397549</v>
      </c>
      <c r="Z309" s="16" t="n">
        <f aca="false">Q309*L309</f>
        <v>0.0648253327723462</v>
      </c>
      <c r="AA309" s="16" t="n">
        <f aca="false">R309*L309</f>
        <v>0.0898789921423505</v>
      </c>
      <c r="AB309" s="16" t="n">
        <f aca="false">S309*L309</f>
        <v>0.0501682748805715</v>
      </c>
      <c r="AC309" s="16" t="n">
        <f aca="false">Z309-W309</f>
        <v>-0.0146071810948705</v>
      </c>
      <c r="AD309" s="16" t="n">
        <f aca="false">AA309-W309</f>
        <v>0.0104464782751338</v>
      </c>
      <c r="AE309" s="16" t="n">
        <f aca="false">AB309-W309</f>
        <v>-0.0292642389866452</v>
      </c>
      <c r="AF309" s="16" t="n">
        <f aca="false">AE309-X309</f>
        <v>-0.10765630808955</v>
      </c>
      <c r="AG309" s="16" t="n">
        <f aca="false">AF309-p_spc_lo*Y309/1000</f>
        <v>-0.118879389288324</v>
      </c>
      <c r="AH309" s="16" t="n">
        <f aca="false">AF309-p_spc_hi*Y309/1000</f>
        <v>-0.130102470487099</v>
      </c>
      <c r="AI309" s="16" t="n">
        <f aca="false">Q309*J309</f>
        <v>0.270105553218109</v>
      </c>
      <c r="AJ309" s="16" t="n">
        <f aca="false">S309*J309</f>
        <v>0.209034478669048</v>
      </c>
      <c r="AK309" s="16" t="n">
        <f aca="false">T309*J309</f>
        <v>0.33096880778007</v>
      </c>
      <c r="AL309" s="16" t="n">
        <f aca="false">U309*J309</f>
        <v>0.326633621262103</v>
      </c>
      <c r="AM309" s="16" t="n">
        <f aca="false">AI309-AJ309</f>
        <v>0.0610710745490614</v>
      </c>
      <c r="AN309" s="16" t="n">
        <f aca="false">J309*Country_Data!$EB$48</f>
        <v>3.06749577448566</v>
      </c>
      <c r="AO309" s="16" t="n">
        <f aca="false">L309*Country_Data!$EB$48</f>
        <v>0.736198985876557</v>
      </c>
    </row>
    <row r="310" customFormat="false" ht="15" hidden="false" customHeight="false" outlineLevel="0" collapsed="false">
      <c r="A310" s="14" t="str">
        <f aca="false">Country_Data!$A$48</f>
        <v>PAK</v>
      </c>
      <c r="B310" s="14" t="str">
        <f aca="false">Country_Data!$E$48</f>
        <v>EMDC</v>
      </c>
      <c r="C310" s="35" t="s">
        <v>481</v>
      </c>
      <c r="D310" s="37" t="n">
        <f aca="false">IF(Country_Data!$CC$48="","",Country_Data!$CC$48)</f>
        <v>0.776111408995769</v>
      </c>
      <c r="E310" s="40" t="n">
        <f aca="false">Country_Data!$BW$48</f>
        <v>1591.102</v>
      </c>
      <c r="F310" s="41" t="n">
        <f aca="false">Country_Data!$BX$48</f>
        <v>0.233952945819941</v>
      </c>
      <c r="G310" s="42" t="n">
        <f aca="false">IF(D310="","",D310/SUMIFS($D$5:$D$1369,$B$5:$B$1369,B310,$C$5:$C$1369,C310))</f>
        <v>0.0110861564416986</v>
      </c>
      <c r="H310" s="42" t="n">
        <f aca="false">E310/SUMIFS($E$5:$E$1369,$B$5:$B$1369,B310,$C$5:$C$1369,C310)</f>
        <v>0.0197084696022848</v>
      </c>
      <c r="I310" s="43" t="n">
        <f aca="false">IF(G310="",H310,p_beta_alloc*G310+(1-p_beta_alloc)*H310)*F310^p_phi</f>
        <v>0.0074474774673049</v>
      </c>
      <c r="J310" s="16" t="n">
        <f aca="false">INDEX(Sector_Params!$C$20:$E$20,MATCH(B310,Sector_Params!$C$15:$E$15,0))*I310/SUMIFS($I$5:$I$1369,$B$5:$B$1369,B310,$C$5:$C$1369,C310)</f>
        <v>1.35931461275332</v>
      </c>
      <c r="K310" s="28" t="n">
        <f aca="false">INDEX(Sector_Params!$F$9:$H$9,MATCH(B310,Sector_Params!$C$15:$E$15,0))</f>
        <v>0.24</v>
      </c>
      <c r="L310" s="16" t="n">
        <f aca="false">J310*K310</f>
        <v>0.326235507060797</v>
      </c>
      <c r="M310" s="44" t="n">
        <f aca="false">Country_Data!$DW$48+Sector_Params!$E$9</f>
        <v>0.0891200000000001</v>
      </c>
      <c r="N310" s="44" t="n">
        <f aca="false">Country_Data!$DX$48+Sector_Params!$E$9</f>
        <v>0.13412</v>
      </c>
      <c r="O310" s="11" t="n">
        <f aca="false">IF(p_use_ibrd=1,p_r_ibrd,p_r_wb)</f>
        <v>0.06</v>
      </c>
      <c r="P310" s="45" t="n">
        <f aca="false">Sector_Params!$D$9</f>
        <v>25</v>
      </c>
      <c r="Q310" s="46" t="n">
        <f aca="false">M310/(1-(1+M310)^-P310)</f>
        <v>0.101081272016453</v>
      </c>
      <c r="R310" s="46" t="n">
        <f aca="false">N310/(1-(1+N310)^-P310)</f>
        <v>0.140147107076343</v>
      </c>
      <c r="S310" s="46" t="n">
        <f aca="false">O310/(1-(1+O310)^-P310)</f>
        <v>0.078226718212274</v>
      </c>
      <c r="T310" s="37" t="n">
        <f aca="false">Country_Data!$CM$48*Sector_Params!$I$9</f>
        <v>0.123858053600119</v>
      </c>
      <c r="U310" s="37" t="n">
        <f aca="false">Country_Data!$CN$48*Sector_Params!$J$9</f>
        <v>0.122235702032579</v>
      </c>
      <c r="V310" s="37" t="n">
        <f aca="false">p_a</f>
        <v>0.35</v>
      </c>
      <c r="W310" s="16" t="n">
        <f aca="false">T310*L310</f>
        <v>0.040406894919798</v>
      </c>
      <c r="X310" s="16" t="n">
        <f aca="false">U310*L310</f>
        <v>0.0398776262335307</v>
      </c>
      <c r="Y310" s="16" t="n">
        <f aca="false">V310*L310</f>
        <v>0.114182427471279</v>
      </c>
      <c r="Z310" s="16" t="n">
        <f aca="false">Q310*L310</f>
        <v>0.0329763000306378</v>
      </c>
      <c r="AA310" s="16" t="n">
        <f aca="false">R310*L310</f>
        <v>0.0457209625401544</v>
      </c>
      <c r="AB310" s="16" t="n">
        <f aca="false">S310*L310</f>
        <v>0.0255203330816833</v>
      </c>
      <c r="AC310" s="16" t="n">
        <f aca="false">Z310-W310</f>
        <v>-0.00743059488916026</v>
      </c>
      <c r="AD310" s="16" t="n">
        <f aca="false">AA310-W310</f>
        <v>0.00531406762035637</v>
      </c>
      <c r="AE310" s="16" t="n">
        <f aca="false">AB310-W310</f>
        <v>-0.0148865618381148</v>
      </c>
      <c r="AF310" s="16" t="n">
        <f aca="false">AE310-X310</f>
        <v>-0.0547641880716455</v>
      </c>
      <c r="AG310" s="16" t="n">
        <f aca="false">AF310-p_spc_lo*Y310/1000</f>
        <v>-0.0604733094452095</v>
      </c>
      <c r="AH310" s="16" t="n">
        <f aca="false">AF310-p_spc_hi*Y310/1000</f>
        <v>-0.0661824308187734</v>
      </c>
      <c r="AI310" s="16" t="n">
        <f aca="false">Q310*J310</f>
        <v>0.137401250127657</v>
      </c>
      <c r="AJ310" s="16" t="n">
        <f aca="false">S310*J310</f>
        <v>0.10633472117368</v>
      </c>
      <c r="AK310" s="16" t="n">
        <f aca="false">T310*J310</f>
        <v>0.168362062165825</v>
      </c>
      <c r="AL310" s="16" t="n">
        <f aca="false">U310*J310</f>
        <v>0.166156775973045</v>
      </c>
      <c r="AM310" s="16" t="n">
        <f aca="false">AI310-AJ310</f>
        <v>0.0310665289539771</v>
      </c>
      <c r="AN310" s="16" t="n">
        <f aca="false">J310*Country_Data!$EB$48</f>
        <v>1.56041869244833</v>
      </c>
      <c r="AO310" s="16" t="n">
        <f aca="false">L310*Country_Data!$EB$48</f>
        <v>0.3745004861876</v>
      </c>
    </row>
    <row r="311" customFormat="false" ht="15" hidden="false" customHeight="false" outlineLevel="0" collapsed="false">
      <c r="A311" s="14" t="str">
        <f aca="false">Country_Data!$A$48</f>
        <v>PAK</v>
      </c>
      <c r="B311" s="14" t="str">
        <f aca="false">Country_Data!$E$48</f>
        <v>EMDC</v>
      </c>
      <c r="C311" s="35" t="s">
        <v>484</v>
      </c>
      <c r="D311" s="37" t="n">
        <f aca="false">IF(Country_Data!$CD$48="","",Country_Data!$CD$48)</f>
        <v>2.31190028412675</v>
      </c>
      <c r="E311" s="40" t="n">
        <f aca="false">Country_Data!$BW$48</f>
        <v>1591.102</v>
      </c>
      <c r="F311" s="41" t="n">
        <f aca="false">Country_Data!$BX$48</f>
        <v>0.233952945819941</v>
      </c>
      <c r="G311" s="42" t="n">
        <f aca="false">IF(D311="","",D311/SUMIFS($D$5:$D$1369,$B$5:$B$1369,B311,$C$5:$C$1369,C311))</f>
        <v>0.012910495768424</v>
      </c>
      <c r="H311" s="42" t="n">
        <f aca="false">E311/SUMIFS($E$5:$E$1369,$B$5:$B$1369,B311,$C$5:$C$1369,C311)</f>
        <v>0.0197084696022848</v>
      </c>
      <c r="I311" s="43" t="n">
        <f aca="false">IF(G311="",H311,p_beta_alloc*G311+(1-p_beta_alloc)*H311)*F311^p_phi</f>
        <v>0.00788868191671438</v>
      </c>
      <c r="J311" s="16" t="n">
        <f aca="false">INDEX(Sector_Params!$C$21:$E$21,MATCH(B311,Sector_Params!$C$15:$E$15,0))*I311/SUMIFS($I$5:$I$1369,$B$5:$B$1369,B311,$C$5:$C$1369,C311)</f>
        <v>1.74962939170832</v>
      </c>
      <c r="K311" s="28" t="n">
        <f aca="false">INDEX(Sector_Params!$F$10:$H$10,MATCH(B311,Sector_Params!$C$15:$E$15,0))</f>
        <v>0.24</v>
      </c>
      <c r="L311" s="16" t="n">
        <f aca="false">J311*K311</f>
        <v>0.419911054009998</v>
      </c>
      <c r="M311" s="44" t="n">
        <f aca="false">Country_Data!$DW$48+Sector_Params!$E$10</f>
        <v>0.0891200000000001</v>
      </c>
      <c r="N311" s="44" t="n">
        <f aca="false">Country_Data!$DX$48+Sector_Params!$E$10</f>
        <v>0.13412</v>
      </c>
      <c r="O311" s="11" t="n">
        <f aca="false">IF(p_use_ibrd=1,p_r_ibrd,p_r_wb)</f>
        <v>0.06</v>
      </c>
      <c r="P311" s="45" t="n">
        <f aca="false">Sector_Params!$D$10</f>
        <v>20</v>
      </c>
      <c r="Q311" s="46" t="n">
        <f aca="false">M311/(1-(1+M311)^-P311)</f>
        <v>0.108860361801939</v>
      </c>
      <c r="R311" s="46" t="n">
        <f aca="false">N311/(1-(1+N311)^-P311)</f>
        <v>0.145892030672734</v>
      </c>
      <c r="S311" s="46" t="n">
        <f aca="false">O311/(1-(1+O311)^-P311)</f>
        <v>0.0871845569768514</v>
      </c>
      <c r="T311" s="37" t="n">
        <f aca="false">0*Sector_Params!$I$10</f>
        <v>0</v>
      </c>
      <c r="U311" s="37" t="n">
        <f aca="false">0*Sector_Params!$J$10</f>
        <v>0</v>
      </c>
      <c r="V311" s="37" t="n">
        <f aca="false">1000*p_r_wb/(1-(1+p_r_wb)^-Sector_Params!$D$10)/p_cpt_fuel</f>
        <v>0.871845569768514</v>
      </c>
      <c r="W311" s="16" t="n">
        <f aca="false">T311*L311</f>
        <v>0</v>
      </c>
      <c r="X311" s="16" t="n">
        <f aca="false">U311*L311</f>
        <v>0</v>
      </c>
      <c r="Y311" s="16" t="n">
        <f aca="false">V311*L311</f>
        <v>0.366097592135444</v>
      </c>
      <c r="Z311" s="16" t="n">
        <f aca="false">Q311*L311</f>
        <v>0.0457116692641619</v>
      </c>
      <c r="AA311" s="16" t="n">
        <f aca="false">R311*L311</f>
        <v>0.0612616763714469</v>
      </c>
      <c r="AB311" s="16" t="n">
        <f aca="false">S311*L311</f>
        <v>0.0366097592135444</v>
      </c>
      <c r="AC311" s="16" t="n">
        <f aca="false">Z311-W311</f>
        <v>0.0457116692641619</v>
      </c>
      <c r="AD311" s="16" t="n">
        <f aca="false">AA311-W311</f>
        <v>0.0612616763714469</v>
      </c>
      <c r="AE311" s="16" t="n">
        <f aca="false">AB311-W311</f>
        <v>0.0366097592135444</v>
      </c>
      <c r="AF311" s="16" t="n">
        <f aca="false">AE311-X311</f>
        <v>0.0366097592135444</v>
      </c>
      <c r="AG311" s="16" t="n">
        <f aca="false">AF311-p_spc_lo*Y311/1000</f>
        <v>0.0183048796067722</v>
      </c>
      <c r="AH311" s="16" t="n">
        <f aca="false">AF311-p_spc_hi*Y311/1000</f>
        <v>0</v>
      </c>
      <c r="AI311" s="16" t="n">
        <f aca="false">Q311*J311</f>
        <v>0.190465288600675</v>
      </c>
      <c r="AJ311" s="16" t="n">
        <f aca="false">S311*J311</f>
        <v>0.152540663389768</v>
      </c>
      <c r="AK311" s="16" t="n">
        <f aca="false">T311*J311</f>
        <v>0</v>
      </c>
      <c r="AL311" s="16" t="n">
        <f aca="false">U311*J311</f>
        <v>0</v>
      </c>
      <c r="AM311" s="16" t="n">
        <f aca="false">AI311-AJ311</f>
        <v>0.0379246252109063</v>
      </c>
      <c r="AN311" s="16" t="n">
        <f aca="false">J311*Country_Data!$EB$48</f>
        <v>2.0084786715775</v>
      </c>
      <c r="AO311" s="16" t="n">
        <f aca="false">L311*Country_Data!$EB$48</f>
        <v>0.4820348811786</v>
      </c>
    </row>
    <row r="312" customFormat="false" ht="15" hidden="false" customHeight="false" outlineLevel="0" collapsed="false">
      <c r="A312" s="14" t="str">
        <f aca="false">Country_Data!$A$48</f>
        <v>PAK</v>
      </c>
      <c r="B312" s="14" t="str">
        <f aca="false">Country_Data!$E$48</f>
        <v>EMDC</v>
      </c>
      <c r="C312" s="35" t="s">
        <v>488</v>
      </c>
      <c r="D312" s="37" t="n">
        <f aca="false">IF(Country_Data!$CE$48="","",Country_Data!$CE$48)</f>
        <v>360.074</v>
      </c>
      <c r="E312" s="40" t="n">
        <f aca="false">Country_Data!$BW$48</f>
        <v>1591.102</v>
      </c>
      <c r="F312" s="41" t="n">
        <f aca="false">Country_Data!$BX$48</f>
        <v>0.233952945819941</v>
      </c>
      <c r="G312" s="42" t="n">
        <f aca="false">IF(D312="","",D312/SUMIFS($D$5:$D$1369,$B$5:$B$1369,B312,$C$5:$C$1369,C312))</f>
        <v>0.0295043227240659</v>
      </c>
      <c r="H312" s="42" t="n">
        <f aca="false">E312/SUMIFS($E$5:$E$1369,$B$5:$B$1369,B312,$C$5:$C$1369,C312)</f>
        <v>0.0197084696022848</v>
      </c>
      <c r="I312" s="43" t="n">
        <f aca="false">IF(G312="",H312,p_beta_alloc*G312+(1-p_beta_alloc)*H312)*F312^p_phi</f>
        <v>0.0119017896638904</v>
      </c>
      <c r="J312" s="16" t="n">
        <f aca="false">INDEX(Sector_Params!$C$22:$E$22,MATCH(B312,Sector_Params!$C$15:$E$15,0))*I312/SUMIFS($I$5:$I$1369,$B$5:$B$1369,B312,$C$5:$C$1369,C312)</f>
        <v>7.17449864421014</v>
      </c>
      <c r="K312" s="28" t="n">
        <f aca="false">INDEX(Sector_Params!$F$11:$H$11,MATCH(B312,Sector_Params!$C$15:$E$15,0))</f>
        <v>0.24</v>
      </c>
      <c r="L312" s="16" t="n">
        <f aca="false">J312*K312</f>
        <v>1.72187967461043</v>
      </c>
      <c r="M312" s="44" t="n">
        <f aca="false">Country_Data!$DW$48+Sector_Params!$E$11</f>
        <v>0.0891200000000001</v>
      </c>
      <c r="N312" s="44" t="n">
        <f aca="false">Country_Data!$DX$48+Sector_Params!$E$11</f>
        <v>0.13412</v>
      </c>
      <c r="O312" s="11" t="n">
        <f aca="false">IF(p_use_ibrd=1,p_r_ibrd,p_r_wb)</f>
        <v>0.06</v>
      </c>
      <c r="P312" s="45" t="n">
        <f aca="false">Sector_Params!$D$11</f>
        <v>30</v>
      </c>
      <c r="Q312" s="46" t="n">
        <f aca="false">M312/(1-(1+M312)^-P312)</f>
        <v>0.0965776990988523</v>
      </c>
      <c r="R312" s="46" t="n">
        <f aca="false">N312/(1-(1+N312)^-P312)</f>
        <v>0.137266251959774</v>
      </c>
      <c r="S312" s="46" t="n">
        <f aca="false">O312/(1-(1+O312)^-P312)</f>
        <v>0.0726489114900472</v>
      </c>
      <c r="T312" s="37" t="n">
        <f aca="false">0*Sector_Params!$I$11</f>
        <v>0</v>
      </c>
      <c r="U312" s="37" t="n">
        <f aca="false">p_c*Sector_Params!$J$11</f>
        <v>0.129</v>
      </c>
      <c r="V312" s="37" t="n">
        <f aca="false">1000*p_r_wb/(1-(1+p_r_wb)^-Sector_Params!$D$11)/p_cpt_afolu</f>
        <v>1.45297822980094</v>
      </c>
      <c r="W312" s="16" t="n">
        <f aca="false">T312*L312</f>
        <v>0</v>
      </c>
      <c r="X312" s="16" t="n">
        <f aca="false">U312*L312</f>
        <v>0.222122478024746</v>
      </c>
      <c r="Y312" s="16" t="n">
        <f aca="false">V312*L312</f>
        <v>2.50185368154569</v>
      </c>
      <c r="Z312" s="16" t="n">
        <f aca="false">Q312*L312</f>
        <v>0.166295177098956</v>
      </c>
      <c r="AA312" s="16" t="n">
        <f aca="false">R312*L312</f>
        <v>0.236355969259489</v>
      </c>
      <c r="AB312" s="16" t="n">
        <f aca="false">S312*L312</f>
        <v>0.125092684077285</v>
      </c>
      <c r="AC312" s="16" t="n">
        <f aca="false">Z312-W312</f>
        <v>0.166295177098956</v>
      </c>
      <c r="AD312" s="16" t="n">
        <f aca="false">AA312-W312</f>
        <v>0.236355969259489</v>
      </c>
      <c r="AE312" s="16" t="n">
        <f aca="false">AB312-W312</f>
        <v>0.125092684077285</v>
      </c>
      <c r="AF312" s="16" t="n">
        <f aca="false">AE312-X312</f>
        <v>-0.0970297939474612</v>
      </c>
      <c r="AG312" s="16" t="n">
        <f aca="false">AF312-p_spc_lo*Y312/1000</f>
        <v>-0.222122478024746</v>
      </c>
      <c r="AH312" s="16" t="n">
        <f aca="false">AF312-p_spc_hi*Y312/1000</f>
        <v>-0.34721516210203</v>
      </c>
      <c r="AI312" s="16" t="n">
        <f aca="false">Q312*J312</f>
        <v>0.69289657124565</v>
      </c>
      <c r="AJ312" s="16" t="n">
        <f aca="false">S312*J312</f>
        <v>0.521219516988686</v>
      </c>
      <c r="AK312" s="16" t="n">
        <f aca="false">T312*J312</f>
        <v>0</v>
      </c>
      <c r="AL312" s="16" t="n">
        <f aca="false">U312*J312</f>
        <v>0.925510325103108</v>
      </c>
      <c r="AM312" s="16" t="n">
        <f aca="false">AI312-AJ312</f>
        <v>0.171677054256964</v>
      </c>
      <c r="AN312" s="16" t="n">
        <f aca="false">J312*Country_Data!$EB$48</f>
        <v>8.23593132033986</v>
      </c>
      <c r="AO312" s="16" t="n">
        <f aca="false">L312*Country_Data!$EB$48</f>
        <v>1.97662351688157</v>
      </c>
    </row>
    <row r="313" customFormat="false" ht="15" hidden="false" customHeight="false" outlineLevel="0" collapsed="false">
      <c r="A313" s="14" t="str">
        <f aca="false">Country_Data!$A$49</f>
        <v>CZE</v>
      </c>
      <c r="B313" s="14" t="str">
        <f aca="false">Country_Data!$E$49</f>
        <v>AE</v>
      </c>
      <c r="C313" s="35" t="s">
        <v>466</v>
      </c>
      <c r="D313" s="37" t="n">
        <f aca="false">IF(Country_Data!$BZ$49="","",Country_Data!$BZ$49)</f>
        <v>61.6324480055869</v>
      </c>
      <c r="E313" s="40" t="n">
        <f aca="false">Country_Data!$BW$49</f>
        <v>622.915</v>
      </c>
      <c r="F313" s="41" t="n">
        <f aca="false">Country_Data!$BX$49</f>
        <v>0.55719159114807</v>
      </c>
      <c r="G313" s="42" t="n">
        <f aca="false">IF(D313="","",D313/SUMIFS($D$5:$D$1369,$B$5:$B$1369,B313,$C$5:$C$1369,C313))</f>
        <v>0.00629840768652055</v>
      </c>
      <c r="H313" s="42" t="n">
        <f aca="false">E313/SUMIFS($E$5:$E$1369,$B$5:$B$1369,B313,$C$5:$C$1369,C313)</f>
        <v>0.00789650981276494</v>
      </c>
      <c r="I313" s="43" t="n">
        <f aca="false">IF(G313="",H313,p_beta_alloc*G313+(1-p_beta_alloc)*H313)*F313^p_phi</f>
        <v>0.00529791704623663</v>
      </c>
      <c r="J313" s="16" t="n">
        <f aca="false">INDEX(Sector_Params!$C$16:$E$16,MATCH(B313,Sector_Params!$C$15:$E$15,0))*I313/SUMIFS($I$5:$I$1369,$B$5:$B$1369,B313,$C$5:$C$1369,C313)</f>
        <v>4.75199488294316</v>
      </c>
      <c r="K313" s="28" t="n">
        <f aca="false">INDEX(Sector_Params!$F$5:$H$5,MATCH(B313,Sector_Params!$C$15:$E$15,0))</f>
        <v>0.38</v>
      </c>
      <c r="L313" s="16" t="n">
        <f aca="false">J313*K313</f>
        <v>1.8057580555184</v>
      </c>
      <c r="M313" s="44" t="n">
        <f aca="false">Country_Data!$DW$49+Sector_Params!$E$5</f>
        <v>0.0575</v>
      </c>
      <c r="N313" s="44" t="n">
        <f aca="false">Country_Data!$DX$49+Sector_Params!$E$5</f>
        <v>0.0725</v>
      </c>
      <c r="O313" s="11" t="n">
        <f aca="false">IF(p_use_ibrd=1,p_r_ibrd,p_r_wb)</f>
        <v>0.06</v>
      </c>
      <c r="P313" s="45" t="n">
        <f aca="false">Sector_Params!$D$5</f>
        <v>25</v>
      </c>
      <c r="Q313" s="46" t="n">
        <f aca="false">M313/(1-(1+M313)^-P313)</f>
        <v>0.0763781673882639</v>
      </c>
      <c r="R313" s="46" t="n">
        <f aca="false">N313/(1-(1+N313)^-P313)</f>
        <v>0.0877519024658688</v>
      </c>
      <c r="S313" s="46" t="n">
        <f aca="false">O313/(1-(1+O313)^-P313)</f>
        <v>0.078226718212274</v>
      </c>
      <c r="T313" s="37" t="n">
        <f aca="false">IF(AND(p_eng=1,ISNUMBER(Country_Data!$CZ$49)),Country_Data!$CZ$49,Country_Data!$CM$49)*Sector_Params!$I$5</f>
        <v>0.0331235865372494</v>
      </c>
      <c r="U313" s="37" t="n">
        <f aca="false">IF(AND(p_eng=1,ISNUMBER(Country_Data!$DA$49)),Country_Data!$DA$49,Country_Data!$CN$49)*Sector_Params!$J$5</f>
        <v>0.0193273794628482</v>
      </c>
      <c r="V313" s="37" t="n">
        <f aca="false">IF(AND(p_eng=1,ISNUMBER(Country_Data!$DB$49)),Country_Data!$DB$49,p_a)</f>
        <v>0.82438297281817</v>
      </c>
      <c r="W313" s="16" t="n">
        <f aca="false">T313*L313</f>
        <v>0.059813183217299</v>
      </c>
      <c r="X313" s="16" t="n">
        <f aca="false">U313*L313</f>
        <v>0.034900571157099</v>
      </c>
      <c r="Y313" s="16" t="n">
        <f aca="false">V313*L313</f>
        <v>1.48863619399862</v>
      </c>
      <c r="Z313" s="16" t="n">
        <f aca="false">Q313*L313</f>
        <v>0.13792049102709</v>
      </c>
      <c r="AA313" s="16" t="n">
        <f aca="false">R313*L313</f>
        <v>0.158458704764808</v>
      </c>
      <c r="AB313" s="16" t="n">
        <f aca="false">S313*L313</f>
        <v>0.141258526568582</v>
      </c>
      <c r="AC313" s="16" t="n">
        <f aca="false">Z313-W313</f>
        <v>0.0781073078097913</v>
      </c>
      <c r="AD313" s="16" t="n">
        <f aca="false">AA313-W313</f>
        <v>0.0986455215475085</v>
      </c>
      <c r="AE313" s="16" t="n">
        <f aca="false">AB313-W313</f>
        <v>0.0814453433512826</v>
      </c>
      <c r="AF313" s="16" t="n">
        <f aca="false">AE313-X313</f>
        <v>0.0465447721941837</v>
      </c>
      <c r="AG313" s="16" t="n">
        <f aca="false">AF313-p_spc_lo*Y313/1000</f>
        <v>-0.0278870375057472</v>
      </c>
      <c r="AH313" s="16" t="n">
        <f aca="false">AF313-p_spc_hi*Y313/1000</f>
        <v>-0.102318847205678</v>
      </c>
      <c r="AI313" s="16" t="n">
        <f aca="false">Q313*J313</f>
        <v>0.362948660597606</v>
      </c>
      <c r="AJ313" s="16" t="n">
        <f aca="false">S313*J313</f>
        <v>0.371732964654162</v>
      </c>
      <c r="AK313" s="16" t="n">
        <f aca="false">T313*J313</f>
        <v>0.157403113729734</v>
      </c>
      <c r="AL313" s="16" t="n">
        <f aca="false">U313*J313</f>
        <v>0.0918436083081552</v>
      </c>
      <c r="AM313" s="16" t="n">
        <f aca="false">AI313-AJ313</f>
        <v>-0.00878430405655623</v>
      </c>
      <c r="AN313" s="16" t="n">
        <f aca="false">J313*Country_Data!$EB$49</f>
        <v>4.96501534321302</v>
      </c>
      <c r="AO313" s="16" t="n">
        <f aca="false">L313*Country_Data!$EB$49</f>
        <v>1.88670583042095</v>
      </c>
    </row>
    <row r="314" customFormat="false" ht="15" hidden="false" customHeight="false" outlineLevel="0" collapsed="false">
      <c r="A314" s="14" t="str">
        <f aca="false">Country_Data!$A$49</f>
        <v>CZE</v>
      </c>
      <c r="B314" s="14" t="str">
        <f aca="false">Country_Data!$E$49</f>
        <v>AE</v>
      </c>
      <c r="C314" s="35" t="s">
        <v>470</v>
      </c>
      <c r="D314" s="37" t="n">
        <f aca="false">IF(Country_Data!$BZ$49="","",Country_Data!$BZ$49)</f>
        <v>61.6324480055869</v>
      </c>
      <c r="E314" s="40" t="n">
        <f aca="false">Country_Data!$BW$49</f>
        <v>622.915</v>
      </c>
      <c r="F314" s="41" t="n">
        <f aca="false">Country_Data!$BX$49</f>
        <v>0.55719159114807</v>
      </c>
      <c r="G314" s="42" t="n">
        <f aca="false">IF(D314="","",D314/SUMIFS($D$5:$D$1369,$B$5:$B$1369,B314,$C$5:$C$1369,C314))</f>
        <v>0.00629840768652055</v>
      </c>
      <c r="H314" s="42" t="n">
        <f aca="false">E314/SUMIFS($E$5:$E$1369,$B$5:$B$1369,B314,$C$5:$C$1369,C314)</f>
        <v>0.00789650981276494</v>
      </c>
      <c r="I314" s="43" t="n">
        <f aca="false">IF(G314="",H314,p_beta_alloc*G314+(1-p_beta_alloc)*H314)*F314^p_phi</f>
        <v>0.00529791704623663</v>
      </c>
      <c r="J314" s="16" t="n">
        <f aca="false">INDEX(Sector_Params!$C$17:$E$17,MATCH(B314,Sector_Params!$C$15:$E$15,0))*I314/SUMIFS($I$5:$I$1369,$B$5:$B$1369,B314,$C$5:$C$1369,C314)</f>
        <v>3.25851077687531</v>
      </c>
      <c r="K314" s="28" t="n">
        <f aca="false">INDEX(Sector_Params!$F$6:$H$6,MATCH(B314,Sector_Params!$C$15:$E$15,0))</f>
        <v>0.38</v>
      </c>
      <c r="L314" s="16" t="n">
        <f aca="false">J314*K314</f>
        <v>1.23823409521262</v>
      </c>
      <c r="M314" s="44" t="n">
        <f aca="false">Country_Data!$DW$49+Sector_Params!$E$6</f>
        <v>0.0575</v>
      </c>
      <c r="N314" s="44" t="n">
        <f aca="false">Country_Data!$DX$49+Sector_Params!$E$6</f>
        <v>0.0725</v>
      </c>
      <c r="O314" s="11" t="n">
        <f aca="false">IF(p_use_ibrd=1,p_r_ibrd,p_r_wb)</f>
        <v>0.06</v>
      </c>
      <c r="P314" s="45" t="n">
        <f aca="false">Sector_Params!$D$6</f>
        <v>40</v>
      </c>
      <c r="Q314" s="46" t="n">
        <f aca="false">M314/(1-(1+M314)^-P314)</f>
        <v>0.0643790687242685</v>
      </c>
      <c r="R314" s="46" t="n">
        <f aca="false">N314/(1-(1+N314)^-P314)</f>
        <v>0.0771957084340643</v>
      </c>
      <c r="S314" s="46" t="n">
        <f aca="false">O314/(1-(1+O314)^-P314)</f>
        <v>0.0664615359206755</v>
      </c>
      <c r="T314" s="37" t="n">
        <f aca="false">p_grid_credit*IF(AND(p_eng=1,ISNUMBER(Country_Data!$CZ$49)),Country_Data!$CZ$49,Country_Data!$CM$49)*Sector_Params!$I$6</f>
        <v>0</v>
      </c>
      <c r="U314" s="37" t="n">
        <f aca="false">p_grid_credit*IF(AND(p_eng=1,ISNUMBER(Country_Data!$DA$49)),Country_Data!$DA$49,Country_Data!$CN$49)*Sector_Params!$J$6</f>
        <v>0</v>
      </c>
      <c r="V314" s="37" t="n">
        <f aca="false">p_grid_credit*IF(AND(p_eng=1,ISNUMBER(Country_Data!$DB$49)),Country_Data!$DB$49,p_a)</f>
        <v>0</v>
      </c>
      <c r="W314" s="16" t="n">
        <f aca="false">T314*L314</f>
        <v>0</v>
      </c>
      <c r="X314" s="16" t="n">
        <f aca="false">U314*L314</f>
        <v>0</v>
      </c>
      <c r="Y314" s="16" t="n">
        <f aca="false">V314*L314</f>
        <v>0</v>
      </c>
      <c r="Z314" s="16" t="n">
        <f aca="false">Q314*L314</f>
        <v>0.0797163579124255</v>
      </c>
      <c r="AA314" s="16" t="n">
        <f aca="false">R314*L314</f>
        <v>0.0955863581871507</v>
      </c>
      <c r="AB314" s="16" t="n">
        <f aca="false">S314*L314</f>
        <v>0.0822949397971785</v>
      </c>
      <c r="AC314" s="16" t="n">
        <f aca="false">Z314-W314</f>
        <v>0.0797163579124255</v>
      </c>
      <c r="AD314" s="16" t="n">
        <f aca="false">AA314-W314</f>
        <v>0.0955863581871507</v>
      </c>
      <c r="AE314" s="16" t="n">
        <f aca="false">AB314-W314</f>
        <v>0.0822949397971785</v>
      </c>
      <c r="AF314" s="16" t="n">
        <f aca="false">AE314-X314</f>
        <v>0.0822949397971785</v>
      </c>
      <c r="AG314" s="16" t="n">
        <f aca="false">AF314-p_spc_lo*Y314/1000</f>
        <v>0.0822949397971785</v>
      </c>
      <c r="AH314" s="16" t="n">
        <f aca="false">AF314-p_spc_hi*Y314/1000</f>
        <v>0.0822949397971785</v>
      </c>
      <c r="AI314" s="16" t="n">
        <f aca="false">Q314*J314</f>
        <v>0.209779889243225</v>
      </c>
      <c r="AJ314" s="16" t="n">
        <f aca="false">S314*J314</f>
        <v>0.216565631045207</v>
      </c>
      <c r="AK314" s="16" t="n">
        <f aca="false">T314*J314</f>
        <v>0</v>
      </c>
      <c r="AL314" s="16" t="n">
        <f aca="false">U314*J314</f>
        <v>0</v>
      </c>
      <c r="AM314" s="16" t="n">
        <f aca="false">AI314-AJ314</f>
        <v>-0.00678574180198158</v>
      </c>
      <c r="AN314" s="16" t="n">
        <f aca="false">J314*Country_Data!$EB$49</f>
        <v>3.40458194963179</v>
      </c>
      <c r="AO314" s="16" t="n">
        <f aca="false">L314*Country_Data!$EB$49</f>
        <v>1.29374114086008</v>
      </c>
    </row>
    <row r="315" customFormat="false" ht="15" hidden="false" customHeight="false" outlineLevel="0" collapsed="false">
      <c r="A315" s="14" t="str">
        <f aca="false">Country_Data!$A$49</f>
        <v>CZE</v>
      </c>
      <c r="B315" s="14" t="str">
        <f aca="false">Country_Data!$E$49</f>
        <v>AE</v>
      </c>
      <c r="C315" s="35" t="s">
        <v>473</v>
      </c>
      <c r="D315" s="37" t="n">
        <f aca="false">IF(Country_Data!$CA$49="","",Country_Data!$CA$49)</f>
        <v>0.337697939157694</v>
      </c>
      <c r="E315" s="40" t="n">
        <f aca="false">Country_Data!$BW$49</f>
        <v>622.915</v>
      </c>
      <c r="F315" s="41" t="n">
        <f aca="false">Country_Data!$BX$49</f>
        <v>0.55719159114807</v>
      </c>
      <c r="G315" s="42" t="n">
        <f aca="false">IF(D315="","",D315/SUMIFS($D$5:$D$1369,$B$5:$B$1369,B315,$C$5:$C$1369,C315))</f>
        <v>0.00661076470840339</v>
      </c>
      <c r="H315" s="42" t="n">
        <f aca="false">E315/SUMIFS($E$5:$E$1369,$B$5:$B$1369,B315,$C$5:$C$1369,C315)</f>
        <v>0.00789650981276494</v>
      </c>
      <c r="I315" s="43" t="n">
        <f aca="false">IF(G315="",H315,p_beta_alloc*G315+(1-p_beta_alloc)*H315)*F315^p_phi</f>
        <v>0.00541449691299725</v>
      </c>
      <c r="J315" s="16" t="n">
        <f aca="false">INDEX(Sector_Params!$C$18:$E$18,MATCH(B315,Sector_Params!$C$15:$E$15,0))*I315/SUMIFS($I$5:$I$1369,$B$5:$B$1369,B315,$C$5:$C$1369,C315)</f>
        <v>2.0404702757492</v>
      </c>
      <c r="K315" s="28" t="n">
        <f aca="false">INDEX(Sector_Params!$F$7:$H$7,MATCH(B315,Sector_Params!$C$15:$E$15,0))</f>
        <v>0.38</v>
      </c>
      <c r="L315" s="16" t="n">
        <f aca="false">J315*K315</f>
        <v>0.775378704784694</v>
      </c>
      <c r="M315" s="44" t="n">
        <f aca="false">Country_Data!$DW$49+Sector_Params!$E$7</f>
        <v>0.0575</v>
      </c>
      <c r="N315" s="44" t="n">
        <f aca="false">Country_Data!$DX$49+Sector_Params!$E$7</f>
        <v>0.0725</v>
      </c>
      <c r="O315" s="11" t="n">
        <f aca="false">IF(p_use_ibrd=1,p_r_ibrd,p_r_wb)</f>
        <v>0.06</v>
      </c>
      <c r="P315" s="45" t="n">
        <f aca="false">Sector_Params!$D$7</f>
        <v>12</v>
      </c>
      <c r="Q315" s="46" t="n">
        <f aca="false">M315/(1-(1+M315)^-P315)</f>
        <v>0.117647672711676</v>
      </c>
      <c r="R315" s="46" t="n">
        <f aca="false">N315/(1-(1+N315)^-P315)</f>
        <v>0.127584699542104</v>
      </c>
      <c r="S315" s="46" t="n">
        <f aca="false">O315/(1-(1+O315)^-P315)</f>
        <v>0.119277029380664</v>
      </c>
      <c r="T315" s="37" t="n">
        <f aca="false">IF(AND(p_eng=1,ISNUMBER(Country_Data!$DE$49)),Country_Data!$DE$49,Country_Data!$CM$49)*Sector_Params!$I$7</f>
        <v>0.06193116</v>
      </c>
      <c r="U315" s="37" t="n">
        <f aca="false">IF(AND(p_eng=1,ISNUMBER(Country_Data!$DF$49)),Country_Data!$DF$49,Country_Data!$CN$49)*Sector_Params!$J$7</f>
        <v>0.0137412</v>
      </c>
      <c r="V315" s="37" t="n">
        <f aca="false">IF(AND(p_eng=1,ISNUMBER(Country_Data!$DG$49)),Country_Data!$DG$49,p_a)</f>
        <v>0.339821090450928</v>
      </c>
      <c r="W315" s="16" t="n">
        <f aca="false">T315*L315</f>
        <v>0.0480201026266137</v>
      </c>
      <c r="X315" s="16" t="n">
        <f aca="false">U315*L315</f>
        <v>0.0106546338581874</v>
      </c>
      <c r="Y315" s="16" t="n">
        <f aca="false">V315*L315</f>
        <v>0.263490036972363</v>
      </c>
      <c r="Z315" s="16" t="n">
        <f aca="false">Q315*L315</f>
        <v>0.0912215000881127</v>
      </c>
      <c r="AA315" s="16" t="n">
        <f aca="false">R315*L315</f>
        <v>0.0989264590813009</v>
      </c>
      <c r="AB315" s="16" t="n">
        <f aca="false">S315*L315</f>
        <v>0.0924848685517448</v>
      </c>
      <c r="AC315" s="16" t="n">
        <f aca="false">Z315-W315</f>
        <v>0.043201397461499</v>
      </c>
      <c r="AD315" s="16" t="n">
        <f aca="false">AA315-W315</f>
        <v>0.0509063564546872</v>
      </c>
      <c r="AE315" s="16" t="n">
        <f aca="false">AB315-W315</f>
        <v>0.0444647659251312</v>
      </c>
      <c r="AF315" s="16" t="n">
        <f aca="false">AE315-X315</f>
        <v>0.0338101320669437</v>
      </c>
      <c r="AG315" s="16" t="n">
        <f aca="false">AF315-p_spc_lo*Y315/1000</f>
        <v>0.0206356302183255</v>
      </c>
      <c r="AH315" s="16" t="n">
        <f aca="false">AF315-p_spc_hi*Y315/1000</f>
        <v>0.00746112836970738</v>
      </c>
      <c r="AI315" s="16" t="n">
        <f aca="false">Q315*J315</f>
        <v>0.240056579179244</v>
      </c>
      <c r="AJ315" s="16" t="n">
        <f aca="false">S315*J315</f>
        <v>0.243381233030907</v>
      </c>
      <c r="AK315" s="16" t="n">
        <f aca="false">T315*J315</f>
        <v>0.126368691122668</v>
      </c>
      <c r="AL315" s="16" t="n">
        <f aca="false">U315*J315</f>
        <v>0.0280385101531248</v>
      </c>
      <c r="AM315" s="16" t="n">
        <f aca="false">AI315-AJ315</f>
        <v>-0.00332465385166353</v>
      </c>
      <c r="AN315" s="16" t="n">
        <f aca="false">J315*Country_Data!$EB$49</f>
        <v>2.13193963293795</v>
      </c>
      <c r="AO315" s="16" t="n">
        <f aca="false">L315*Country_Data!$EB$49</f>
        <v>0.810137060516422</v>
      </c>
    </row>
    <row r="316" customFormat="false" ht="15" hidden="false" customHeight="false" outlineLevel="0" collapsed="false">
      <c r="A316" s="14" t="str">
        <f aca="false">Country_Data!$A$49</f>
        <v>CZE</v>
      </c>
      <c r="B316" s="14" t="str">
        <f aca="false">Country_Data!$E$49</f>
        <v>AE</v>
      </c>
      <c r="C316" s="35" t="s">
        <v>477</v>
      </c>
      <c r="D316" s="37" t="n">
        <f aca="false">IF(Country_Data!$CB$49="","",Country_Data!$CB$49)</f>
        <v>0.295610001561018</v>
      </c>
      <c r="E316" s="40" t="n">
        <f aca="false">Country_Data!$BW$49</f>
        <v>622.915</v>
      </c>
      <c r="F316" s="41" t="n">
        <f aca="false">Country_Data!$BX$49</f>
        <v>0.55719159114807</v>
      </c>
      <c r="G316" s="42" t="n">
        <f aca="false">IF(D316="","",D316/SUMIFS($D$5:$D$1369,$B$5:$B$1369,B316,$C$5:$C$1369,C316))</f>
        <v>0.00760164285113936</v>
      </c>
      <c r="H316" s="42" t="n">
        <f aca="false">E316/SUMIFS($E$5:$E$1369,$B$5:$B$1369,B316,$C$5:$C$1369,C316)</f>
        <v>0.00789650981276494</v>
      </c>
      <c r="I316" s="43" t="n">
        <f aca="false">IF(G316="",H316,p_beta_alloc*G316+(1-p_beta_alloc)*H316)*F316^p_phi</f>
        <v>0.00578431873150437</v>
      </c>
      <c r="J316" s="16" t="n">
        <f aca="false">INDEX(Sector_Params!$C$19:$E$19,MATCH(B316,Sector_Params!$C$15:$E$15,0))*I316/SUMIFS($I$5:$I$1369,$B$5:$B$1369,B316,$C$5:$C$1369,C316)</f>
        <v>1.70034050414259</v>
      </c>
      <c r="K316" s="28" t="n">
        <f aca="false">INDEX(Sector_Params!$F$8:$H$8,MATCH(B316,Sector_Params!$C$15:$E$15,0))</f>
        <v>0.38</v>
      </c>
      <c r="L316" s="16" t="n">
        <f aca="false">J316*K316</f>
        <v>0.646129391574184</v>
      </c>
      <c r="M316" s="44" t="n">
        <f aca="false">Country_Data!$DW$49+Sector_Params!$E$8</f>
        <v>0.0575</v>
      </c>
      <c r="N316" s="44" t="n">
        <f aca="false">Country_Data!$DX$49+Sector_Params!$E$8</f>
        <v>0.0725</v>
      </c>
      <c r="O316" s="11" t="n">
        <f aca="false">IF(p_use_ibrd=1,p_r_ibrd,p_r_wb)</f>
        <v>0.06</v>
      </c>
      <c r="P316" s="45" t="n">
        <f aca="false">Sector_Params!$D$8</f>
        <v>25</v>
      </c>
      <c r="Q316" s="46" t="n">
        <f aca="false">M316/(1-(1+M316)^-P316)</f>
        <v>0.0763781673882639</v>
      </c>
      <c r="R316" s="46" t="n">
        <f aca="false">N316/(1-(1+N316)^-P316)</f>
        <v>0.0877519024658688</v>
      </c>
      <c r="S316" s="46" t="n">
        <f aca="false">O316/(1-(1+O316)^-P316)</f>
        <v>0.078226718212274</v>
      </c>
      <c r="T316" s="37" t="n">
        <f aca="false">Country_Data!$CM$49*Sector_Params!$I$8</f>
        <v>0.180981375059085</v>
      </c>
      <c r="U316" s="37" t="n">
        <f aca="false">Country_Data!$CN$49*Sector_Params!$J$8</f>
        <v>0.090838790666146</v>
      </c>
      <c r="V316" s="37" t="n">
        <f aca="false">p_a</f>
        <v>0.35</v>
      </c>
      <c r="W316" s="16" t="n">
        <f aca="false">T316*L316</f>
        <v>0.116937385753186</v>
      </c>
      <c r="X316" s="16" t="n">
        <f aca="false">U316*L316</f>
        <v>0.0586936125444516</v>
      </c>
      <c r="Y316" s="16" t="n">
        <f aca="false">V316*L316</f>
        <v>0.226145287050964</v>
      </c>
      <c r="Z316" s="16" t="n">
        <f aca="false">Q316*L316</f>
        <v>0.0493501788241301</v>
      </c>
      <c r="AA316" s="16" t="n">
        <f aca="false">R316*L316</f>
        <v>0.0566990833497489</v>
      </c>
      <c r="AB316" s="16" t="n">
        <f aca="false">S316*L316</f>
        <v>0.0505445818433417</v>
      </c>
      <c r="AC316" s="16" t="n">
        <f aca="false">Z316-W316</f>
        <v>-0.0675872069290555</v>
      </c>
      <c r="AD316" s="16" t="n">
        <f aca="false">AA316-W316</f>
        <v>-0.0602383024034367</v>
      </c>
      <c r="AE316" s="16" t="n">
        <f aca="false">AB316-W316</f>
        <v>-0.0663928039098439</v>
      </c>
      <c r="AF316" s="16" t="n">
        <f aca="false">AE316-X316</f>
        <v>-0.125086416454295</v>
      </c>
      <c r="AG316" s="16" t="n">
        <f aca="false">AF316-p_spc_lo*Y316/1000</f>
        <v>-0.136393680806844</v>
      </c>
      <c r="AH316" s="16" t="n">
        <f aca="false">AF316-p_spc_hi*Y316/1000</f>
        <v>-0.147700945159392</v>
      </c>
      <c r="AI316" s="16" t="n">
        <f aca="false">Q316*J316</f>
        <v>0.129868891642448</v>
      </c>
      <c r="AJ316" s="16" t="n">
        <f aca="false">S316*J316</f>
        <v>0.133012057482478</v>
      </c>
      <c r="AK316" s="16" t="n">
        <f aca="false">T316*J316</f>
        <v>0.307729962508383</v>
      </c>
      <c r="AL316" s="16" t="n">
        <f aca="false">U316*J316</f>
        <v>0.154456875116978</v>
      </c>
      <c r="AM316" s="16" t="n">
        <f aca="false">AI316-AJ316</f>
        <v>-0.00314316584003049</v>
      </c>
      <c r="AN316" s="16" t="n">
        <f aca="false">J316*Country_Data!$EB$49</f>
        <v>1.77656266467312</v>
      </c>
      <c r="AO316" s="16" t="n">
        <f aca="false">L316*Country_Data!$EB$49</f>
        <v>0.675093812575785</v>
      </c>
    </row>
    <row r="317" customFormat="false" ht="15" hidden="false" customHeight="false" outlineLevel="0" collapsed="false">
      <c r="A317" s="14" t="str">
        <f aca="false">Country_Data!$A$49</f>
        <v>CZE</v>
      </c>
      <c r="B317" s="14" t="str">
        <f aca="false">Country_Data!$E$49</f>
        <v>AE</v>
      </c>
      <c r="C317" s="35" t="s">
        <v>481</v>
      </c>
      <c r="D317" s="37" t="n">
        <f aca="false">IF(Country_Data!$CC$49="","",Country_Data!$CC$49)</f>
        <v>0.416707474284279</v>
      </c>
      <c r="E317" s="40" t="n">
        <f aca="false">Country_Data!$BW$49</f>
        <v>622.915</v>
      </c>
      <c r="F317" s="41" t="n">
        <f aca="false">Country_Data!$BX$49</f>
        <v>0.55719159114807</v>
      </c>
      <c r="G317" s="42" t="n">
        <f aca="false">IF(D317="","",D317/SUMIFS($D$5:$D$1369,$B$5:$B$1369,B317,$C$5:$C$1369,C317))</f>
        <v>0.00758735260860199</v>
      </c>
      <c r="H317" s="42" t="n">
        <f aca="false">E317/SUMIFS($E$5:$E$1369,$B$5:$B$1369,B317,$C$5:$C$1369,C317)</f>
        <v>0.00789650981276494</v>
      </c>
      <c r="I317" s="43" t="n">
        <f aca="false">IF(G317="",H317,p_beta_alloc*G317+(1-p_beta_alloc)*H317)*F317^p_phi</f>
        <v>0.00577898523664345</v>
      </c>
      <c r="J317" s="16" t="n">
        <f aca="false">INDEX(Sector_Params!$C$20:$E$20,MATCH(B317,Sector_Params!$C$15:$E$15,0))*I317/SUMIFS($I$5:$I$1369,$B$5:$B$1369,B317,$C$5:$C$1369,C317)</f>
        <v>0.9813719687308</v>
      </c>
      <c r="K317" s="28" t="n">
        <f aca="false">INDEX(Sector_Params!$F$9:$H$9,MATCH(B317,Sector_Params!$C$15:$E$15,0))</f>
        <v>0.38</v>
      </c>
      <c r="L317" s="16" t="n">
        <f aca="false">J317*K317</f>
        <v>0.372921348117704</v>
      </c>
      <c r="M317" s="44" t="n">
        <f aca="false">Country_Data!$DW$49+Sector_Params!$E$9</f>
        <v>0.0575</v>
      </c>
      <c r="N317" s="44" t="n">
        <f aca="false">Country_Data!$DX$49+Sector_Params!$E$9</f>
        <v>0.0725</v>
      </c>
      <c r="O317" s="11" t="n">
        <f aca="false">IF(p_use_ibrd=1,p_r_ibrd,p_r_wb)</f>
        <v>0.06</v>
      </c>
      <c r="P317" s="45" t="n">
        <f aca="false">Sector_Params!$D$9</f>
        <v>25</v>
      </c>
      <c r="Q317" s="46" t="n">
        <f aca="false">M317/(1-(1+M317)^-P317)</f>
        <v>0.0763781673882639</v>
      </c>
      <c r="R317" s="46" t="n">
        <f aca="false">N317/(1-(1+N317)^-P317)</f>
        <v>0.0877519024658688</v>
      </c>
      <c r="S317" s="46" t="n">
        <f aca="false">O317/(1-(1+O317)^-P317)</f>
        <v>0.078226718212274</v>
      </c>
      <c r="T317" s="37" t="n">
        <f aca="false">Country_Data!$CM$49*Sector_Params!$I$9</f>
        <v>0.180981375059085</v>
      </c>
      <c r="U317" s="37" t="n">
        <f aca="false">Country_Data!$CN$49*Sector_Params!$J$9</f>
        <v>0.090838790666146</v>
      </c>
      <c r="V317" s="37" t="n">
        <f aca="false">p_a</f>
        <v>0.35</v>
      </c>
      <c r="W317" s="16" t="n">
        <f aca="false">T317*L317</f>
        <v>0.0674918183712297</v>
      </c>
      <c r="X317" s="16" t="n">
        <f aca="false">U317*L317</f>
        <v>0.0338757242766011</v>
      </c>
      <c r="Y317" s="16" t="n">
        <f aca="false">V317*L317</f>
        <v>0.130522471841196</v>
      </c>
      <c r="Z317" s="16" t="n">
        <f aca="false">Q317*L317</f>
        <v>0.028483049149191</v>
      </c>
      <c r="AA317" s="16" t="n">
        <f aca="false">R317*L317</f>
        <v>0.0327245577674651</v>
      </c>
      <c r="AB317" s="16" t="n">
        <f aca="false">S317*L317</f>
        <v>0.029172413214545</v>
      </c>
      <c r="AC317" s="16" t="n">
        <f aca="false">Z317-W317</f>
        <v>-0.0390087692220387</v>
      </c>
      <c r="AD317" s="16" t="n">
        <f aca="false">AA317-W317</f>
        <v>-0.0347672606037647</v>
      </c>
      <c r="AE317" s="16" t="n">
        <f aca="false">AB317-W317</f>
        <v>-0.0383194051566848</v>
      </c>
      <c r="AF317" s="16" t="n">
        <f aca="false">AE317-X317</f>
        <v>-0.0721951294332859</v>
      </c>
      <c r="AG317" s="16" t="n">
        <f aca="false">AF317-p_spc_lo*Y317/1000</f>
        <v>-0.0787212530253457</v>
      </c>
      <c r="AH317" s="16" t="n">
        <f aca="false">AF317-p_spc_hi*Y317/1000</f>
        <v>-0.0852473766174055</v>
      </c>
      <c r="AI317" s="16" t="n">
        <f aca="false">Q317*J317</f>
        <v>0.0749553924978711</v>
      </c>
      <c r="AJ317" s="16" t="n">
        <f aca="false">S317*J317</f>
        <v>0.0767695084593288</v>
      </c>
      <c r="AK317" s="16" t="n">
        <f aca="false">T317*J317</f>
        <v>0.177610048345341</v>
      </c>
      <c r="AL317" s="16" t="n">
        <f aca="false">U317*J317</f>
        <v>0.0891466428331608</v>
      </c>
      <c r="AM317" s="16" t="n">
        <f aca="false">AI317-AJ317</f>
        <v>-0.00181411596145771</v>
      </c>
      <c r="AN317" s="16" t="n">
        <f aca="false">J317*Country_Data!$EB$49</f>
        <v>1.02536450526011</v>
      </c>
      <c r="AO317" s="16" t="n">
        <f aca="false">L317*Country_Data!$EB$49</f>
        <v>0.389638511998843</v>
      </c>
    </row>
    <row r="318" customFormat="false" ht="15" hidden="false" customHeight="false" outlineLevel="0" collapsed="false">
      <c r="A318" s="14" t="str">
        <f aca="false">Country_Data!$A$49</f>
        <v>CZE</v>
      </c>
      <c r="B318" s="14" t="str">
        <f aca="false">Country_Data!$E$49</f>
        <v>AE</v>
      </c>
      <c r="C318" s="35" t="s">
        <v>484</v>
      </c>
      <c r="D318" s="37" t="n">
        <f aca="false">IF(Country_Data!$CD$49="","",Country_Data!$CD$49)</f>
        <v>1.06230990670017</v>
      </c>
      <c r="E318" s="40" t="n">
        <f aca="false">Country_Data!$BW$49</f>
        <v>622.915</v>
      </c>
      <c r="F318" s="41" t="n">
        <f aca="false">Country_Data!$BX$49</f>
        <v>0.55719159114807</v>
      </c>
      <c r="G318" s="42" t="n">
        <f aca="false">IF(D318="","",D318/SUMIFS($D$5:$D$1369,$B$5:$B$1369,B318,$C$5:$C$1369,C318))</f>
        <v>0.00718747474932352</v>
      </c>
      <c r="H318" s="42" t="n">
        <f aca="false">E318/SUMIFS($E$5:$E$1369,$B$5:$B$1369,B318,$C$5:$C$1369,C318)</f>
        <v>0.00789650981276494</v>
      </c>
      <c r="I318" s="43" t="n">
        <f aca="false">IF(G318="",H318,p_beta_alloc*G318+(1-p_beta_alloc)*H318)*F318^p_phi</f>
        <v>0.00562974028842936</v>
      </c>
      <c r="J318" s="16" t="n">
        <f aca="false">INDEX(Sector_Params!$C$21:$E$21,MATCH(B318,Sector_Params!$C$15:$E$15,0))*I318/SUMIFS($I$5:$I$1369,$B$5:$B$1369,B318,$C$5:$C$1369,C318)</f>
        <v>1.14705809602204</v>
      </c>
      <c r="K318" s="28" t="n">
        <f aca="false">INDEX(Sector_Params!$F$10:$H$10,MATCH(B318,Sector_Params!$C$15:$E$15,0))</f>
        <v>0.38</v>
      </c>
      <c r="L318" s="16" t="n">
        <f aca="false">J318*K318</f>
        <v>0.435882076488376</v>
      </c>
      <c r="M318" s="44" t="n">
        <f aca="false">Country_Data!$DW$49+Sector_Params!$E$10</f>
        <v>0.0575</v>
      </c>
      <c r="N318" s="44" t="n">
        <f aca="false">Country_Data!$DX$49+Sector_Params!$E$10</f>
        <v>0.0725</v>
      </c>
      <c r="O318" s="11" t="n">
        <f aca="false">IF(p_use_ibrd=1,p_r_ibrd,p_r_wb)</f>
        <v>0.06</v>
      </c>
      <c r="P318" s="45" t="n">
        <f aca="false">Sector_Params!$D$10</f>
        <v>20</v>
      </c>
      <c r="Q318" s="46" t="n">
        <f aca="false">M318/(1-(1+M318)^-P318)</f>
        <v>0.0854234988224832</v>
      </c>
      <c r="R318" s="46" t="n">
        <f aca="false">N318/(1-(1+N318)^-P318)</f>
        <v>0.0962348402201361</v>
      </c>
      <c r="S318" s="46" t="n">
        <f aca="false">O318/(1-(1+O318)^-P318)</f>
        <v>0.0871845569768514</v>
      </c>
      <c r="T318" s="37" t="n">
        <f aca="false">0*Sector_Params!$I$10</f>
        <v>0</v>
      </c>
      <c r="U318" s="37" t="n">
        <f aca="false">0*Sector_Params!$J$10</f>
        <v>0</v>
      </c>
      <c r="V318" s="37" t="n">
        <f aca="false">1000*p_r_wb/(1-(1+p_r_wb)^-Sector_Params!$D$10)/p_cpt_fuel</f>
        <v>0.871845569768514</v>
      </c>
      <c r="W318" s="16" t="n">
        <f aca="false">T318*L318</f>
        <v>0</v>
      </c>
      <c r="X318" s="16" t="n">
        <f aca="false">U318*L318</f>
        <v>0</v>
      </c>
      <c r="Y318" s="16" t="n">
        <f aca="false">V318*L318</f>
        <v>0.380021857327891</v>
      </c>
      <c r="Z318" s="16" t="n">
        <f aca="false">Q318*L318</f>
        <v>0.0372345720476463</v>
      </c>
      <c r="AA318" s="16" t="n">
        <f aca="false">R318*L318</f>
        <v>0.04194704198568</v>
      </c>
      <c r="AB318" s="16" t="n">
        <f aca="false">S318*L318</f>
        <v>0.0380021857327891</v>
      </c>
      <c r="AC318" s="16" t="n">
        <f aca="false">Z318-W318</f>
        <v>0.0372345720476463</v>
      </c>
      <c r="AD318" s="16" t="n">
        <f aca="false">AA318-W318</f>
        <v>0.04194704198568</v>
      </c>
      <c r="AE318" s="16" t="n">
        <f aca="false">AB318-W318</f>
        <v>0.0380021857327891</v>
      </c>
      <c r="AF318" s="16" t="n">
        <f aca="false">AE318-X318</f>
        <v>0.0380021857327891</v>
      </c>
      <c r="AG318" s="16" t="n">
        <f aca="false">AF318-p_spc_lo*Y318/1000</f>
        <v>0.0190010928663945</v>
      </c>
      <c r="AH318" s="16" t="n">
        <f aca="false">AF318-p_spc_hi*Y318/1000</f>
        <v>0</v>
      </c>
      <c r="AI318" s="16" t="n">
        <f aca="false">Q318*J318</f>
        <v>0.0979857159148587</v>
      </c>
      <c r="AJ318" s="16" t="n">
        <f aca="false">S318*J318</f>
        <v>0.100005751928392</v>
      </c>
      <c r="AK318" s="16" t="n">
        <f aca="false">T318*J318</f>
        <v>0</v>
      </c>
      <c r="AL318" s="16" t="n">
        <f aca="false">U318*J318</f>
        <v>0</v>
      </c>
      <c r="AM318" s="16" t="n">
        <f aca="false">AI318-AJ318</f>
        <v>-0.00202003601353368</v>
      </c>
      <c r="AN318" s="16" t="n">
        <f aca="false">J318*Country_Data!$EB$49</f>
        <v>1.19847794170579</v>
      </c>
      <c r="AO318" s="16" t="n">
        <f aca="false">L318*Country_Data!$EB$49</f>
        <v>0.455421617848199</v>
      </c>
    </row>
    <row r="319" customFormat="false" ht="15" hidden="false" customHeight="false" outlineLevel="0" collapsed="false">
      <c r="A319" s="14" t="str">
        <f aca="false">Country_Data!$A$49</f>
        <v>CZE</v>
      </c>
      <c r="B319" s="14" t="str">
        <f aca="false">Country_Data!$E$49</f>
        <v>AE</v>
      </c>
      <c r="C319" s="35" t="s">
        <v>488</v>
      </c>
      <c r="D319" s="37" t="n">
        <f aca="false">IF(Country_Data!$CE$49="","",Country_Data!$CE$49)</f>
        <v>30.522</v>
      </c>
      <c r="E319" s="40" t="n">
        <f aca="false">Country_Data!$BW$49</f>
        <v>622.915</v>
      </c>
      <c r="F319" s="41" t="n">
        <f aca="false">Country_Data!$BX$49</f>
        <v>0.55719159114807</v>
      </c>
      <c r="G319" s="42" t="n">
        <f aca="false">IF(D319="","",D319/SUMIFS($D$5:$D$1369,$B$5:$B$1369,B319,$C$5:$C$1369,C319))</f>
        <v>0.0116484001291468</v>
      </c>
      <c r="H319" s="42" t="n">
        <f aca="false">E319/SUMIFS($E$5:$E$1369,$B$5:$B$1369,B319,$C$5:$C$1369,C319)</f>
        <v>0.00789650981276494</v>
      </c>
      <c r="I319" s="43" t="n">
        <f aca="false">IF(G319="",H319,p_beta_alloc*G319+(1-p_beta_alloc)*H319)*F319^p_phi</f>
        <v>0.00729467512253072</v>
      </c>
      <c r="J319" s="16" t="n">
        <f aca="false">INDEX(Sector_Params!$C$22:$E$22,MATCH(B319,Sector_Params!$C$15:$E$15,0))*I319/SUMIFS($I$5:$I$1369,$B$5:$B$1369,B319,$C$5:$C$1369,C319)</f>
        <v>0.282651319194799</v>
      </c>
      <c r="K319" s="28" t="n">
        <f aca="false">INDEX(Sector_Params!$F$11:$H$11,MATCH(B319,Sector_Params!$C$15:$E$15,0))</f>
        <v>0.38</v>
      </c>
      <c r="L319" s="16" t="n">
        <f aca="false">J319*K319</f>
        <v>0.107407501294024</v>
      </c>
      <c r="M319" s="44" t="n">
        <f aca="false">Country_Data!$DW$49+Sector_Params!$E$11</f>
        <v>0.0575</v>
      </c>
      <c r="N319" s="44" t="n">
        <f aca="false">Country_Data!$DX$49+Sector_Params!$E$11</f>
        <v>0.0725</v>
      </c>
      <c r="O319" s="11" t="n">
        <f aca="false">IF(p_use_ibrd=1,p_r_ibrd,p_r_wb)</f>
        <v>0.06</v>
      </c>
      <c r="P319" s="45" t="n">
        <f aca="false">Sector_Params!$D$11</f>
        <v>30</v>
      </c>
      <c r="Q319" s="46" t="n">
        <f aca="false">M319/(1-(1+M319)^-P319)</f>
        <v>0.0707162386172142</v>
      </c>
      <c r="R319" s="46" t="n">
        <f aca="false">N319/(1-(1+N319)^-P319)</f>
        <v>0.0826196190109954</v>
      </c>
      <c r="S319" s="46" t="n">
        <f aca="false">O319/(1-(1+O319)^-P319)</f>
        <v>0.0726489114900472</v>
      </c>
      <c r="T319" s="37" t="n">
        <f aca="false">0*Sector_Params!$I$11</f>
        <v>0</v>
      </c>
      <c r="U319" s="37" t="n">
        <f aca="false">p_c*Sector_Params!$J$11</f>
        <v>0.129</v>
      </c>
      <c r="V319" s="37" t="n">
        <f aca="false">1000*p_r_wb/(1-(1+p_r_wb)^-Sector_Params!$D$11)/p_cpt_afolu</f>
        <v>1.45297822980094</v>
      </c>
      <c r="W319" s="16" t="n">
        <f aca="false">T319*L319</f>
        <v>0</v>
      </c>
      <c r="X319" s="16" t="n">
        <f aca="false">U319*L319</f>
        <v>0.0138555676669291</v>
      </c>
      <c r="Y319" s="16" t="n">
        <f aca="false">V319*L319</f>
        <v>0.156060761097533</v>
      </c>
      <c r="Z319" s="16" t="n">
        <f aca="false">Q319*L319</f>
        <v>0.00759545449078692</v>
      </c>
      <c r="AA319" s="16" t="n">
        <f aca="false">R319*L319</f>
        <v>0.00887396683583523</v>
      </c>
      <c r="AB319" s="16" t="n">
        <f aca="false">S319*L319</f>
        <v>0.00780303805487666</v>
      </c>
      <c r="AC319" s="16" t="n">
        <f aca="false">Z319-W319</f>
        <v>0.00759545449078692</v>
      </c>
      <c r="AD319" s="16" t="n">
        <f aca="false">AA319-W319</f>
        <v>0.00887396683583523</v>
      </c>
      <c r="AE319" s="16" t="n">
        <f aca="false">AB319-W319</f>
        <v>0.00780303805487666</v>
      </c>
      <c r="AF319" s="16" t="n">
        <f aca="false">AE319-X319</f>
        <v>-0.0060525296120524</v>
      </c>
      <c r="AG319" s="16" t="n">
        <f aca="false">AF319-p_spc_lo*Y319/1000</f>
        <v>-0.0138555676669291</v>
      </c>
      <c r="AH319" s="16" t="n">
        <f aca="false">AF319-p_spc_hi*Y319/1000</f>
        <v>-0.0216586057218057</v>
      </c>
      <c r="AI319" s="16" t="n">
        <f aca="false">Q319*J319</f>
        <v>0.0199880381336498</v>
      </c>
      <c r="AJ319" s="16" t="n">
        <f aca="false">S319*J319</f>
        <v>0.020534310670728</v>
      </c>
      <c r="AK319" s="16" t="n">
        <f aca="false">T319*J319</f>
        <v>0</v>
      </c>
      <c r="AL319" s="16" t="n">
        <f aca="false">U319*J319</f>
        <v>0.0364620201761291</v>
      </c>
      <c r="AM319" s="16" t="n">
        <f aca="false">AI319-AJ319</f>
        <v>-0.000546272537078257</v>
      </c>
      <c r="AN319" s="16" t="n">
        <f aca="false">J319*Country_Data!$EB$49</f>
        <v>0.295321895572497</v>
      </c>
      <c r="AO319" s="16" t="n">
        <f aca="false">L319*Country_Data!$EB$49</f>
        <v>0.112222320317549</v>
      </c>
    </row>
    <row r="320" customFormat="false" ht="15" hidden="false" customHeight="false" outlineLevel="0" collapsed="false">
      <c r="A320" s="14" t="str">
        <f aca="false">Country_Data!$A$50</f>
        <v>CHL</v>
      </c>
      <c r="B320" s="14" t="str">
        <f aca="false">Country_Data!$E$50</f>
        <v>EMDC</v>
      </c>
      <c r="C320" s="35" t="s">
        <v>466</v>
      </c>
      <c r="D320" s="37" t="n">
        <f aca="false">IF(Country_Data!$BZ$50="","",Country_Data!$BZ$50)</f>
        <v>81.2781426605619</v>
      </c>
      <c r="E320" s="40" t="n">
        <f aca="false">Country_Data!$BW$50</f>
        <v>679.026</v>
      </c>
      <c r="F320" s="41" t="n">
        <f aca="false">Country_Data!$BX$50</f>
        <v>0.486299493686545</v>
      </c>
      <c r="G320" s="42" t="n">
        <f aca="false">IF(D320="","",D320/SUMIFS($D$5:$D$1369,$B$5:$B$1369,B320,$C$5:$C$1369,C320))</f>
        <v>0.00927888632984407</v>
      </c>
      <c r="H320" s="42" t="n">
        <f aca="false">E320/SUMIFS($E$5:$E$1369,$B$5:$B$1369,B320,$C$5:$C$1369,C320)</f>
        <v>0.00841087704003957</v>
      </c>
      <c r="I320" s="43" t="n">
        <f aca="false">IF(G320="",H320,p_beta_alloc*G320+(1-p_beta_alloc)*H320)*F320^p_phi</f>
        <v>0.00616799391469766</v>
      </c>
      <c r="J320" s="16" t="n">
        <f aca="false">INDEX(Sector_Params!$C$16:$E$16,MATCH(B320,Sector_Params!$C$15:$E$15,0))*I320/SUMIFS($I$5:$I$1369,$B$5:$B$1369,B320,$C$5:$C$1369,C320)</f>
        <v>5.96584008642324</v>
      </c>
      <c r="K320" s="28" t="n">
        <f aca="false">INDEX(Sector_Params!$F$5:$H$5,MATCH(B320,Sector_Params!$C$15:$E$15,0))</f>
        <v>0.24</v>
      </c>
      <c r="L320" s="16" t="n">
        <f aca="false">J320*K320</f>
        <v>1.43180162074158</v>
      </c>
      <c r="M320" s="44" t="n">
        <f aca="false">Country_Data!$DW$50+Sector_Params!$E$5</f>
        <v>0.0603</v>
      </c>
      <c r="N320" s="44" t="n">
        <f aca="false">Country_Data!$DX$50+Sector_Params!$E$5</f>
        <v>0.1053</v>
      </c>
      <c r="O320" s="11" t="n">
        <f aca="false">IF(p_use_ibrd=1,p_r_ibrd,p_r_wb)</f>
        <v>0.06</v>
      </c>
      <c r="P320" s="45" t="n">
        <f aca="false">Sector_Params!$D$5</f>
        <v>25</v>
      </c>
      <c r="Q320" s="46" t="n">
        <f aca="false">M320/(1-(1+M320)^-P320)</f>
        <v>0.078449852294624</v>
      </c>
      <c r="R320" s="46" t="n">
        <f aca="false">N320/(1-(1+N320)^-P320)</f>
        <v>0.114686602730792</v>
      </c>
      <c r="S320" s="46" t="n">
        <f aca="false">O320/(1-(1+O320)^-P320)</f>
        <v>0.078226718212274</v>
      </c>
      <c r="T320" s="37" t="n">
        <f aca="false">IF(AND(p_eng=1,ISNUMBER(Country_Data!$CZ$50)),Country_Data!$CZ$50,Country_Data!$CM$50)*Sector_Params!$I$5</f>
        <v>0.0394952487855724</v>
      </c>
      <c r="U320" s="37" t="n">
        <f aca="false">IF(AND(p_eng=1,ISNUMBER(Country_Data!$DA$50)),Country_Data!$DA$50,Country_Data!$CN$50)*Sector_Params!$J$5</f>
        <v>0.00181512042852235</v>
      </c>
      <c r="V320" s="37" t="n">
        <f aca="false">IF(AND(p_eng=1,ISNUMBER(Country_Data!$DB$50)),Country_Data!$DB$50,p_a)</f>
        <v>0.545403439955089</v>
      </c>
      <c r="W320" s="16" t="n">
        <f aca="false">T320*L320</f>
        <v>0.0565493612227744</v>
      </c>
      <c r="X320" s="16" t="n">
        <f aca="false">U320*L320</f>
        <v>0.00259889237139945</v>
      </c>
      <c r="Y320" s="16" t="n">
        <f aca="false">V320*L320</f>
        <v>0.780909529285728</v>
      </c>
      <c r="Z320" s="16" t="n">
        <f aca="false">Q320*L320</f>
        <v>0.11232462566238</v>
      </c>
      <c r="AA320" s="16" t="n">
        <f aca="false">R320*L320</f>
        <v>0.164208463667293</v>
      </c>
      <c r="AB320" s="16" t="n">
        <f aca="false">S320*L320</f>
        <v>0.112005141921628</v>
      </c>
      <c r="AC320" s="16" t="n">
        <f aca="false">Z320-W320</f>
        <v>0.0557752644396056</v>
      </c>
      <c r="AD320" s="16" t="n">
        <f aca="false">AA320-W320</f>
        <v>0.107659102444519</v>
      </c>
      <c r="AE320" s="16" t="n">
        <f aca="false">AB320-W320</f>
        <v>0.0554557806988541</v>
      </c>
      <c r="AF320" s="16" t="n">
        <f aca="false">AE320-X320</f>
        <v>0.0528568883274547</v>
      </c>
      <c r="AG320" s="16" t="n">
        <f aca="false">AF320-p_spc_lo*Y320/1000</f>
        <v>0.0138114118631683</v>
      </c>
      <c r="AH320" s="16" t="n">
        <f aca="false">AF320-p_spc_hi*Y320/1000</f>
        <v>-0.0252340646011181</v>
      </c>
      <c r="AI320" s="16" t="n">
        <f aca="false">Q320*J320</f>
        <v>0.46801927359325</v>
      </c>
      <c r="AJ320" s="16" t="n">
        <f aca="false">S320*J320</f>
        <v>0.466688091340119</v>
      </c>
      <c r="AK320" s="16" t="n">
        <f aca="false">T320*J320</f>
        <v>0.235622338428226</v>
      </c>
      <c r="AL320" s="16" t="n">
        <f aca="false">U320*J320</f>
        <v>0.0108287182141644</v>
      </c>
      <c r="AM320" s="16" t="n">
        <f aca="false">AI320-AJ320</f>
        <v>0.00133118225313134</v>
      </c>
      <c r="AN320" s="16" t="n">
        <f aca="false">J320*Country_Data!$EB$50</f>
        <v>6.84845752386667</v>
      </c>
      <c r="AO320" s="16" t="n">
        <f aca="false">L320*Country_Data!$EB$50</f>
        <v>1.643629805728</v>
      </c>
    </row>
    <row r="321" customFormat="false" ht="15" hidden="false" customHeight="false" outlineLevel="0" collapsed="false">
      <c r="A321" s="14" t="str">
        <f aca="false">Country_Data!$A$50</f>
        <v>CHL</v>
      </c>
      <c r="B321" s="14" t="str">
        <f aca="false">Country_Data!$E$50</f>
        <v>EMDC</v>
      </c>
      <c r="C321" s="35" t="s">
        <v>470</v>
      </c>
      <c r="D321" s="37" t="n">
        <f aca="false">IF(Country_Data!$BZ$50="","",Country_Data!$BZ$50)</f>
        <v>81.2781426605619</v>
      </c>
      <c r="E321" s="40" t="n">
        <f aca="false">Country_Data!$BW$50</f>
        <v>679.026</v>
      </c>
      <c r="F321" s="41" t="n">
        <f aca="false">Country_Data!$BX$50</f>
        <v>0.486299493686545</v>
      </c>
      <c r="G321" s="42" t="n">
        <f aca="false">IF(D321="","",D321/SUMIFS($D$5:$D$1369,$B$5:$B$1369,B321,$C$5:$C$1369,C321))</f>
        <v>0.00927888632984407</v>
      </c>
      <c r="H321" s="42" t="n">
        <f aca="false">E321/SUMIFS($E$5:$E$1369,$B$5:$B$1369,B321,$C$5:$C$1369,C321)</f>
        <v>0.00841087704003957</v>
      </c>
      <c r="I321" s="43" t="n">
        <f aca="false">IF(G321="",H321,p_beta_alloc*G321+(1-p_beta_alloc)*H321)*F321^p_phi</f>
        <v>0.00616799391469766</v>
      </c>
      <c r="J321" s="16" t="n">
        <f aca="false">INDEX(Sector_Params!$C$17:$E$17,MATCH(B321,Sector_Params!$C$15:$E$15,0))*I321/SUMIFS($I$5:$I$1369,$B$5:$B$1369,B321,$C$5:$C$1369,C321)</f>
        <v>4.09086177354736</v>
      </c>
      <c r="K321" s="28" t="n">
        <f aca="false">INDEX(Sector_Params!$F$6:$H$6,MATCH(B321,Sector_Params!$C$15:$E$15,0))</f>
        <v>0.24</v>
      </c>
      <c r="L321" s="16" t="n">
        <f aca="false">J321*K321</f>
        <v>0.981806825651367</v>
      </c>
      <c r="M321" s="44" t="n">
        <f aca="false">Country_Data!$DW$50+Sector_Params!$E$6</f>
        <v>0.0603</v>
      </c>
      <c r="N321" s="44" t="n">
        <f aca="false">Country_Data!$DX$50+Sector_Params!$E$6</f>
        <v>0.1053</v>
      </c>
      <c r="O321" s="11" t="n">
        <f aca="false">IF(p_use_ibrd=1,p_r_ibrd,p_r_wb)</f>
        <v>0.06</v>
      </c>
      <c r="P321" s="45" t="n">
        <f aca="false">Sector_Params!$D$6</f>
        <v>40</v>
      </c>
      <c r="Q321" s="46" t="n">
        <f aca="false">M321/(1-(1+M321)^-P321)</f>
        <v>0.0667129799801787</v>
      </c>
      <c r="R321" s="46" t="n">
        <f aca="false">N321/(1-(1+N321)^-P321)</f>
        <v>0.107255293400014</v>
      </c>
      <c r="S321" s="46" t="n">
        <f aca="false">O321/(1-(1+O321)^-P321)</f>
        <v>0.0664615359206755</v>
      </c>
      <c r="T321" s="37" t="n">
        <f aca="false">p_grid_credit*IF(AND(p_eng=1,ISNUMBER(Country_Data!$CZ$50)),Country_Data!$CZ$50,Country_Data!$CM$50)*Sector_Params!$I$6</f>
        <v>0</v>
      </c>
      <c r="U321" s="37" t="n">
        <f aca="false">p_grid_credit*IF(AND(p_eng=1,ISNUMBER(Country_Data!$DA$50)),Country_Data!$DA$50,Country_Data!$CN$50)*Sector_Params!$J$6</f>
        <v>0</v>
      </c>
      <c r="V321" s="37" t="n">
        <f aca="false">p_grid_credit*IF(AND(p_eng=1,ISNUMBER(Country_Data!$DB$50)),Country_Data!$DB$50,p_a)</f>
        <v>0</v>
      </c>
      <c r="W321" s="16" t="n">
        <f aca="false">T321*L321</f>
        <v>0</v>
      </c>
      <c r="X321" s="16" t="n">
        <f aca="false">U321*L321</f>
        <v>0</v>
      </c>
      <c r="Y321" s="16" t="n">
        <f aca="false">V321*L321</f>
        <v>0</v>
      </c>
      <c r="Z321" s="16" t="n">
        <f aca="false">Q321*L321</f>
        <v>0.0654992591040825</v>
      </c>
      <c r="AA321" s="16" t="n">
        <f aca="false">R321*L321</f>
        <v>0.105303979147374</v>
      </c>
      <c r="AB321" s="16" t="n">
        <f aca="false">S321*L321</f>
        <v>0.0652523896101927</v>
      </c>
      <c r="AC321" s="16" t="n">
        <f aca="false">Z321-W321</f>
        <v>0.0654992591040825</v>
      </c>
      <c r="AD321" s="16" t="n">
        <f aca="false">AA321-W321</f>
        <v>0.105303979147374</v>
      </c>
      <c r="AE321" s="16" t="n">
        <f aca="false">AB321-W321</f>
        <v>0.0652523896101927</v>
      </c>
      <c r="AF321" s="16" t="n">
        <f aca="false">AE321-X321</f>
        <v>0.0652523896101927</v>
      </c>
      <c r="AG321" s="16" t="n">
        <f aca="false">AF321-p_spc_lo*Y321/1000</f>
        <v>0.0652523896101927</v>
      </c>
      <c r="AH321" s="16" t="n">
        <f aca="false">AF321-p_spc_hi*Y321/1000</f>
        <v>0.0652523896101927</v>
      </c>
      <c r="AI321" s="16" t="n">
        <f aca="false">Q321*J321</f>
        <v>0.272913579600344</v>
      </c>
      <c r="AJ321" s="16" t="n">
        <f aca="false">S321*J321</f>
        <v>0.271884956709136</v>
      </c>
      <c r="AK321" s="16" t="n">
        <f aca="false">T321*J321</f>
        <v>0</v>
      </c>
      <c r="AL321" s="16" t="n">
        <f aca="false">U321*J321</f>
        <v>0</v>
      </c>
      <c r="AM321" s="16" t="n">
        <f aca="false">AI321-AJ321</f>
        <v>0.00102862289120736</v>
      </c>
      <c r="AN321" s="16" t="n">
        <f aca="false">J321*Country_Data!$EB$50</f>
        <v>4.69608515922286</v>
      </c>
      <c r="AO321" s="16" t="n">
        <f aca="false">L321*Country_Data!$EB$50</f>
        <v>1.12706043821349</v>
      </c>
    </row>
    <row r="322" customFormat="false" ht="15" hidden="false" customHeight="false" outlineLevel="0" collapsed="false">
      <c r="A322" s="14" t="str">
        <f aca="false">Country_Data!$A$50</f>
        <v>CHL</v>
      </c>
      <c r="B322" s="14" t="str">
        <f aca="false">Country_Data!$E$50</f>
        <v>EMDC</v>
      </c>
      <c r="C322" s="35" t="s">
        <v>473</v>
      </c>
      <c r="D322" s="37" t="n">
        <f aca="false">IF(Country_Data!$CA$50="","",Country_Data!$CA$50)</f>
        <v>0.562707533575977</v>
      </c>
      <c r="E322" s="40" t="n">
        <f aca="false">Country_Data!$BW$50</f>
        <v>679.026</v>
      </c>
      <c r="F322" s="41" t="n">
        <f aca="false">Country_Data!$BX$50</f>
        <v>0.486299493686545</v>
      </c>
      <c r="G322" s="42" t="n">
        <f aca="false">IF(D322="","",D322/SUMIFS($D$5:$D$1369,$B$5:$B$1369,B322,$C$5:$C$1369,C322))</f>
        <v>0.0129998532853322</v>
      </c>
      <c r="H322" s="42" t="n">
        <f aca="false">E322/SUMIFS($E$5:$E$1369,$B$5:$B$1369,B322,$C$5:$C$1369,C322)</f>
        <v>0.00841087704003957</v>
      </c>
      <c r="I322" s="43" t="n">
        <f aca="false">IF(G322="",H322,p_beta_alloc*G322+(1-p_beta_alloc)*H322)*F322^p_phi</f>
        <v>0.00746540536437909</v>
      </c>
      <c r="J322" s="16" t="n">
        <f aca="false">INDEX(Sector_Params!$C$18:$E$18,MATCH(B322,Sector_Params!$C$15:$E$15,0))*I322/SUMIFS($I$5:$I$1369,$B$5:$B$1369,B322,$C$5:$C$1369,C322)</f>
        <v>3.05690685615689</v>
      </c>
      <c r="K322" s="28" t="n">
        <f aca="false">INDEX(Sector_Params!$F$7:$H$7,MATCH(B322,Sector_Params!$C$15:$E$15,0))</f>
        <v>0.24</v>
      </c>
      <c r="L322" s="16" t="n">
        <f aca="false">J322*K322</f>
        <v>0.733657645477654</v>
      </c>
      <c r="M322" s="44" t="n">
        <f aca="false">Country_Data!$DW$50+Sector_Params!$E$7</f>
        <v>0.0603</v>
      </c>
      <c r="N322" s="44" t="n">
        <f aca="false">Country_Data!$DX$50+Sector_Params!$E$7</f>
        <v>0.1053</v>
      </c>
      <c r="O322" s="11" t="n">
        <f aca="false">IF(p_use_ibrd=1,p_r_ibrd,p_r_wb)</f>
        <v>0.06</v>
      </c>
      <c r="P322" s="45" t="n">
        <f aca="false">Sector_Params!$D$7</f>
        <v>12</v>
      </c>
      <c r="Q322" s="46" t="n">
        <f aca="false">M322/(1-(1+M322)^-P322)</f>
        <v>0.119473281875744</v>
      </c>
      <c r="R322" s="46" t="n">
        <f aca="false">N322/(1-(1+N322)^-P322)</f>
        <v>0.150594738757739</v>
      </c>
      <c r="S322" s="46" t="n">
        <f aca="false">O322/(1-(1+O322)^-P322)</f>
        <v>0.119277029380664</v>
      </c>
      <c r="T322" s="37" t="n">
        <f aca="false">IF(AND(p_eng=1,ISNUMBER(Country_Data!$DE$50)),Country_Data!$DE$50,Country_Data!$CM$50)*Sector_Params!$I$7</f>
        <v>0.1214613</v>
      </c>
      <c r="U322" s="37" t="n">
        <f aca="false">IF(AND(p_eng=1,ISNUMBER(Country_Data!$DF$50)),Country_Data!$DF$50,Country_Data!$CN$50)*Sector_Params!$J$7</f>
        <v>0.0123129</v>
      </c>
      <c r="V322" s="37" t="n">
        <f aca="false">IF(AND(p_eng=1,ISNUMBER(Country_Data!$DG$50)),Country_Data!$DG$50,p_a)</f>
        <v>0.405283957627119</v>
      </c>
      <c r="W322" s="16" t="n">
        <f aca="false">T322*L322</f>
        <v>0.0891110113746549</v>
      </c>
      <c r="X322" s="16" t="n">
        <f aca="false">U322*L322</f>
        <v>0.0090334532230018</v>
      </c>
      <c r="Y322" s="16" t="n">
        <f aca="false">V322*L322</f>
        <v>0.297339674102577</v>
      </c>
      <c r="Z322" s="16" t="n">
        <f aca="false">Q322*L322</f>
        <v>0.0876524866784464</v>
      </c>
      <c r="AA322" s="16" t="n">
        <f aca="false">R322*L322</f>
        <v>0.110484981458325</v>
      </c>
      <c r="AB322" s="16" t="n">
        <f aca="false">S322*L322</f>
        <v>0.0875085045349865</v>
      </c>
      <c r="AC322" s="16" t="n">
        <f aca="false">Z322-W322</f>
        <v>-0.00145852469620852</v>
      </c>
      <c r="AD322" s="16" t="n">
        <f aca="false">AA322-W322</f>
        <v>0.0213739700836705</v>
      </c>
      <c r="AE322" s="16" t="n">
        <f aca="false">AB322-W322</f>
        <v>-0.00160250683966839</v>
      </c>
      <c r="AF322" s="16" t="n">
        <f aca="false">AE322-X322</f>
        <v>-0.0106359600626702</v>
      </c>
      <c r="AG322" s="16" t="n">
        <f aca="false">AF322-p_spc_lo*Y322/1000</f>
        <v>-0.025502943767799</v>
      </c>
      <c r="AH322" s="16" t="n">
        <f aca="false">AF322-p_spc_hi*Y322/1000</f>
        <v>-0.0403699274729279</v>
      </c>
      <c r="AI322" s="16" t="n">
        <f aca="false">Q322*J322</f>
        <v>0.365218694493527</v>
      </c>
      <c r="AJ322" s="16" t="n">
        <f aca="false">S322*J322</f>
        <v>0.364618768895777</v>
      </c>
      <c r="AK322" s="16" t="n">
        <f aca="false">T322*J322</f>
        <v>0.371295880727729</v>
      </c>
      <c r="AL322" s="16" t="n">
        <f aca="false">U322*J322</f>
        <v>0.0376393884291742</v>
      </c>
      <c r="AM322" s="16" t="n">
        <f aca="false">AI322-AJ322</f>
        <v>0.000599925597749462</v>
      </c>
      <c r="AN322" s="16" t="n">
        <f aca="false">J322*Country_Data!$EB$50</f>
        <v>3.50916156912257</v>
      </c>
      <c r="AO322" s="16" t="n">
        <f aca="false">L322*Country_Data!$EB$50</f>
        <v>0.842198776589416</v>
      </c>
    </row>
    <row r="323" customFormat="false" ht="15" hidden="false" customHeight="false" outlineLevel="0" collapsed="false">
      <c r="A323" s="14" t="str">
        <f aca="false">Country_Data!$A$50</f>
        <v>CHL</v>
      </c>
      <c r="B323" s="14" t="str">
        <f aca="false">Country_Data!$E$50</f>
        <v>EMDC</v>
      </c>
      <c r="C323" s="35" t="s">
        <v>477</v>
      </c>
      <c r="D323" s="37" t="n">
        <f aca="false">IF(Country_Data!$CB$50="","",Country_Data!$CB$50)</f>
        <v>0.181727929547929</v>
      </c>
      <c r="E323" s="40" t="n">
        <f aca="false">Country_Data!$BW$50</f>
        <v>679.026</v>
      </c>
      <c r="F323" s="41" t="n">
        <f aca="false">Country_Data!$BX$50</f>
        <v>0.486299493686545</v>
      </c>
      <c r="G323" s="42" t="n">
        <f aca="false">IF(D323="","",D323/SUMIFS($D$5:$D$1369,$B$5:$B$1369,B323,$C$5:$C$1369,C323))</f>
        <v>0.00573043498024918</v>
      </c>
      <c r="H323" s="42" t="n">
        <f aca="false">E323/SUMIFS($E$5:$E$1369,$B$5:$B$1369,B323,$C$5:$C$1369,C323)</f>
        <v>0.00841087704003957</v>
      </c>
      <c r="I323" s="43" t="n">
        <f aca="false">IF(G323="",H323,p_beta_alloc*G323+(1-p_beta_alloc)*H323)*F323^p_phi</f>
        <v>0.00493073449673598</v>
      </c>
      <c r="J323" s="16" t="n">
        <f aca="false">INDEX(Sector_Params!$C$19:$E$19,MATCH(B323,Sector_Params!$C$15:$E$15,0))*I323/SUMIFS($I$5:$I$1369,$B$5:$B$1369,B323,$C$5:$C$1369,C323)</f>
        <v>1.58701900789723</v>
      </c>
      <c r="K323" s="28" t="n">
        <f aca="false">INDEX(Sector_Params!$F$8:$H$8,MATCH(B323,Sector_Params!$C$15:$E$15,0))</f>
        <v>0.24</v>
      </c>
      <c r="L323" s="16" t="n">
        <f aca="false">J323*K323</f>
        <v>0.380884561895335</v>
      </c>
      <c r="M323" s="44" t="n">
        <f aca="false">Country_Data!$DW$50+Sector_Params!$E$8</f>
        <v>0.0603</v>
      </c>
      <c r="N323" s="44" t="n">
        <f aca="false">Country_Data!$DX$50+Sector_Params!$E$8</f>
        <v>0.1053</v>
      </c>
      <c r="O323" s="11" t="n">
        <f aca="false">IF(p_use_ibrd=1,p_r_ibrd,p_r_wb)</f>
        <v>0.06</v>
      </c>
      <c r="P323" s="45" t="n">
        <f aca="false">Sector_Params!$D$8</f>
        <v>25</v>
      </c>
      <c r="Q323" s="46" t="n">
        <f aca="false">M323/(1-(1+M323)^-P323)</f>
        <v>0.078449852294624</v>
      </c>
      <c r="R323" s="46" t="n">
        <f aca="false">N323/(1-(1+N323)^-P323)</f>
        <v>0.114686602730792</v>
      </c>
      <c r="S323" s="46" t="n">
        <f aca="false">O323/(1-(1+O323)^-P323)</f>
        <v>0.078226718212274</v>
      </c>
      <c r="T323" s="37" t="n">
        <f aca="false">Country_Data!$CM$50*Sector_Params!$I$8</f>
        <v>0.162687929987675</v>
      </c>
      <c r="U323" s="37" t="n">
        <f aca="false">Country_Data!$CN$50*Sector_Params!$J$8</f>
        <v>0.140554348872906</v>
      </c>
      <c r="V323" s="37" t="n">
        <f aca="false">p_a</f>
        <v>0.35</v>
      </c>
      <c r="W323" s="16" t="n">
        <f aca="false">T323*L323</f>
        <v>0.0619653209390146</v>
      </c>
      <c r="X323" s="16" t="n">
        <f aca="false">U323*L323</f>
        <v>0.0535349815929407</v>
      </c>
      <c r="Y323" s="16" t="n">
        <f aca="false">V323*L323</f>
        <v>0.133309596663367</v>
      </c>
      <c r="Z323" s="16" t="n">
        <f aca="false">Q323*L323</f>
        <v>0.0298803376219916</v>
      </c>
      <c r="AA323" s="16" t="n">
        <f aca="false">R323*L323</f>
        <v>0.043682356436382</v>
      </c>
      <c r="AB323" s="16" t="n">
        <f aca="false">S323*L323</f>
        <v>0.0297953492947918</v>
      </c>
      <c r="AC323" s="16" t="n">
        <f aca="false">Z323-W323</f>
        <v>-0.0320849833170231</v>
      </c>
      <c r="AD323" s="16" t="n">
        <f aca="false">AA323-W323</f>
        <v>-0.0182829645026327</v>
      </c>
      <c r="AE323" s="16" t="n">
        <f aca="false">AB323-W323</f>
        <v>-0.0321699716442229</v>
      </c>
      <c r="AF323" s="16" t="n">
        <f aca="false">AE323-X323</f>
        <v>-0.0857049532371636</v>
      </c>
      <c r="AG323" s="16" t="n">
        <f aca="false">AF323-p_spc_lo*Y323/1000</f>
        <v>-0.092370433070332</v>
      </c>
      <c r="AH323" s="16" t="n">
        <f aca="false">AF323-p_spc_hi*Y323/1000</f>
        <v>-0.0990359129035003</v>
      </c>
      <c r="AI323" s="16" t="n">
        <f aca="false">Q323*J323</f>
        <v>0.124501406758298</v>
      </c>
      <c r="AJ323" s="16" t="n">
        <f aca="false">S323*J323</f>
        <v>0.124147288728299</v>
      </c>
      <c r="AK323" s="16" t="n">
        <f aca="false">T323*J323</f>
        <v>0.258188837245894</v>
      </c>
      <c r="AL323" s="16" t="n">
        <f aca="false">U323*J323</f>
        <v>0.22306242330392</v>
      </c>
      <c r="AM323" s="16" t="n">
        <f aca="false">AI323-AJ323</f>
        <v>0.000354118029999267</v>
      </c>
      <c r="AN323" s="16" t="n">
        <f aca="false">J323*Country_Data!$EB$50</f>
        <v>1.82181086112038</v>
      </c>
      <c r="AO323" s="16" t="n">
        <f aca="false">L323*Country_Data!$EB$50</f>
        <v>0.437234606668891</v>
      </c>
    </row>
    <row r="324" customFormat="false" ht="15" hidden="false" customHeight="false" outlineLevel="0" collapsed="false">
      <c r="A324" s="14" t="str">
        <f aca="false">Country_Data!$A$50</f>
        <v>CHL</v>
      </c>
      <c r="B324" s="14" t="str">
        <f aca="false">Country_Data!$E$50</f>
        <v>EMDC</v>
      </c>
      <c r="C324" s="35" t="s">
        <v>481</v>
      </c>
      <c r="D324" s="37" t="n">
        <f aca="false">IF(Country_Data!$CC$50="","",Country_Data!$CC$50)</f>
        <v>0.395824222492459</v>
      </c>
      <c r="E324" s="40" t="n">
        <f aca="false">Country_Data!$BW$50</f>
        <v>679.026</v>
      </c>
      <c r="F324" s="41" t="n">
        <f aca="false">Country_Data!$BX$50</f>
        <v>0.486299493686545</v>
      </c>
      <c r="G324" s="42" t="n">
        <f aca="false">IF(D324="","",D324/SUMIFS($D$5:$D$1369,$B$5:$B$1369,B324,$C$5:$C$1369,C324))</f>
        <v>0.00565404554436723</v>
      </c>
      <c r="H324" s="42" t="n">
        <f aca="false">E324/SUMIFS($E$5:$E$1369,$B$5:$B$1369,B324,$C$5:$C$1369,C324)</f>
        <v>0.00841087704003957</v>
      </c>
      <c r="I324" s="43" t="n">
        <f aca="false">IF(G324="",H324,p_beta_alloc*G324+(1-p_beta_alloc)*H324)*F324^p_phi</f>
        <v>0.00490409934250497</v>
      </c>
      <c r="J324" s="16" t="n">
        <f aca="false">INDEX(Sector_Params!$C$20:$E$20,MATCH(B324,Sector_Params!$C$15:$E$15,0))*I324/SUMIFS($I$5:$I$1369,$B$5:$B$1369,B324,$C$5:$C$1369,C324)</f>
        <v>0.895096887224732</v>
      </c>
      <c r="K324" s="28" t="n">
        <f aca="false">INDEX(Sector_Params!$F$9:$H$9,MATCH(B324,Sector_Params!$C$15:$E$15,0))</f>
        <v>0.24</v>
      </c>
      <c r="L324" s="16" t="n">
        <f aca="false">J324*K324</f>
        <v>0.214823252933936</v>
      </c>
      <c r="M324" s="44" t="n">
        <f aca="false">Country_Data!$DW$50+Sector_Params!$E$9</f>
        <v>0.0603</v>
      </c>
      <c r="N324" s="44" t="n">
        <f aca="false">Country_Data!$DX$50+Sector_Params!$E$9</f>
        <v>0.1053</v>
      </c>
      <c r="O324" s="11" t="n">
        <f aca="false">IF(p_use_ibrd=1,p_r_ibrd,p_r_wb)</f>
        <v>0.06</v>
      </c>
      <c r="P324" s="45" t="n">
        <f aca="false">Sector_Params!$D$9</f>
        <v>25</v>
      </c>
      <c r="Q324" s="46" t="n">
        <f aca="false">M324/(1-(1+M324)^-P324)</f>
        <v>0.078449852294624</v>
      </c>
      <c r="R324" s="46" t="n">
        <f aca="false">N324/(1-(1+N324)^-P324)</f>
        <v>0.114686602730792</v>
      </c>
      <c r="S324" s="46" t="n">
        <f aca="false">O324/(1-(1+O324)^-P324)</f>
        <v>0.078226718212274</v>
      </c>
      <c r="T324" s="37" t="n">
        <f aca="false">Country_Data!$CM$50*Sector_Params!$I$9</f>
        <v>0.162687929987675</v>
      </c>
      <c r="U324" s="37" t="n">
        <f aca="false">Country_Data!$CN$50*Sector_Params!$J$9</f>
        <v>0.140554348872906</v>
      </c>
      <c r="V324" s="37" t="n">
        <f aca="false">p_a</f>
        <v>0.35</v>
      </c>
      <c r="W324" s="16" t="n">
        <f aca="false">T324*L324</f>
        <v>0.0349491503330408</v>
      </c>
      <c r="X324" s="16" t="n">
        <f aca="false">U324*L324</f>
        <v>0.0301943424388889</v>
      </c>
      <c r="Y324" s="16" t="n">
        <f aca="false">V324*L324</f>
        <v>0.0751881385268775</v>
      </c>
      <c r="Z324" s="16" t="n">
        <f aca="false">Q324*L324</f>
        <v>0.0168528524621179</v>
      </c>
      <c r="AA324" s="16" t="n">
        <f aca="false">R324*L324</f>
        <v>0.0246373490665707</v>
      </c>
      <c r="AB324" s="16" t="n">
        <f aca="false">S324*L324</f>
        <v>0.016804918072707</v>
      </c>
      <c r="AC324" s="16" t="n">
        <f aca="false">Z324-W324</f>
        <v>-0.0180962978709229</v>
      </c>
      <c r="AD324" s="16" t="n">
        <f aca="false">AA324-W324</f>
        <v>-0.0103118012664701</v>
      </c>
      <c r="AE324" s="16" t="n">
        <f aca="false">AB324-W324</f>
        <v>-0.0181442322603338</v>
      </c>
      <c r="AF324" s="16" t="n">
        <f aca="false">AE324-X324</f>
        <v>-0.0483385746992227</v>
      </c>
      <c r="AG324" s="16" t="n">
        <f aca="false">AF324-p_spc_lo*Y324/1000</f>
        <v>-0.0520979816255665</v>
      </c>
      <c r="AH324" s="16" t="n">
        <f aca="false">AF324-p_spc_hi*Y324/1000</f>
        <v>-0.0558573885519104</v>
      </c>
      <c r="AI324" s="16" t="n">
        <f aca="false">Q324*J324</f>
        <v>0.070220218592158</v>
      </c>
      <c r="AJ324" s="16" t="n">
        <f aca="false">S324*J324</f>
        <v>0.0700204919696127</v>
      </c>
      <c r="AK324" s="16" t="n">
        <f aca="false">T324*J324</f>
        <v>0.145621459721003</v>
      </c>
      <c r="AL324" s="16" t="n">
        <f aca="false">U324*J324</f>
        <v>0.125809760162037</v>
      </c>
      <c r="AM324" s="16" t="n">
        <f aca="false">AI324-AJ324</f>
        <v>0.00019972662254529</v>
      </c>
      <c r="AN324" s="16" t="n">
        <f aca="false">J324*Country_Data!$EB$50</f>
        <v>1.02752218012921</v>
      </c>
      <c r="AO324" s="16" t="n">
        <f aca="false">L324*Country_Data!$EB$50</f>
        <v>0.246605323231011</v>
      </c>
    </row>
    <row r="325" customFormat="false" ht="15" hidden="false" customHeight="false" outlineLevel="0" collapsed="false">
      <c r="A325" s="14" t="str">
        <f aca="false">Country_Data!$A$50</f>
        <v>CHL</v>
      </c>
      <c r="B325" s="14" t="str">
        <f aca="false">Country_Data!$E$50</f>
        <v>EMDC</v>
      </c>
      <c r="C325" s="35" t="s">
        <v>484</v>
      </c>
      <c r="D325" s="37" t="n">
        <f aca="false">IF(Country_Data!$CD$50="","",Country_Data!$CD$50)</f>
        <v>1.08607735927521</v>
      </c>
      <c r="E325" s="40" t="n">
        <f aca="false">Country_Data!$BW$50</f>
        <v>679.026</v>
      </c>
      <c r="F325" s="41" t="n">
        <f aca="false">Country_Data!$BX$50</f>
        <v>0.486299493686545</v>
      </c>
      <c r="G325" s="42" t="n">
        <f aca="false">IF(D325="","",D325/SUMIFS($D$5:$D$1369,$B$5:$B$1369,B325,$C$5:$C$1369,C325))</f>
        <v>0.00606505273924483</v>
      </c>
      <c r="H325" s="42" t="n">
        <f aca="false">E325/SUMIFS($E$5:$E$1369,$B$5:$B$1369,B325,$C$5:$C$1369,C325)</f>
        <v>0.00841087704003957</v>
      </c>
      <c r="I325" s="43" t="n">
        <f aca="false">IF(G325="",H325,p_beta_alloc*G325+(1-p_beta_alloc)*H325)*F325^p_phi</f>
        <v>0.00504740764029814</v>
      </c>
      <c r="J325" s="16" t="n">
        <f aca="false">INDEX(Sector_Params!$C$21:$E$21,MATCH(B325,Sector_Params!$C$15:$E$15,0))*I325/SUMIFS($I$5:$I$1369,$B$5:$B$1369,B325,$C$5:$C$1369,C325)</f>
        <v>1.11946366359222</v>
      </c>
      <c r="K325" s="28" t="n">
        <f aca="false">INDEX(Sector_Params!$F$10:$H$10,MATCH(B325,Sector_Params!$C$15:$E$15,0))</f>
        <v>0.24</v>
      </c>
      <c r="L325" s="16" t="n">
        <f aca="false">J325*K325</f>
        <v>0.268671279262133</v>
      </c>
      <c r="M325" s="44" t="n">
        <f aca="false">Country_Data!$DW$50+Sector_Params!$E$10</f>
        <v>0.0603</v>
      </c>
      <c r="N325" s="44" t="n">
        <f aca="false">Country_Data!$DX$50+Sector_Params!$E$10</f>
        <v>0.1053</v>
      </c>
      <c r="O325" s="11" t="n">
        <f aca="false">IF(p_use_ibrd=1,p_r_ibrd,p_r_wb)</f>
        <v>0.06</v>
      </c>
      <c r="P325" s="45" t="n">
        <f aca="false">Sector_Params!$D$10</f>
        <v>20</v>
      </c>
      <c r="Q325" s="46" t="n">
        <f aca="false">M325/(1-(1+M325)^-P325)</f>
        <v>0.0873970077560001</v>
      </c>
      <c r="R325" s="46" t="n">
        <f aca="false">N325/(1-(1+N325)^-P325)</f>
        <v>0.12173685296042</v>
      </c>
      <c r="S325" s="46" t="n">
        <f aca="false">O325/(1-(1+O325)^-P325)</f>
        <v>0.0871845569768514</v>
      </c>
      <c r="T325" s="37" t="n">
        <f aca="false">0*Sector_Params!$I$10</f>
        <v>0</v>
      </c>
      <c r="U325" s="37" t="n">
        <f aca="false">0*Sector_Params!$J$10</f>
        <v>0</v>
      </c>
      <c r="V325" s="37" t="n">
        <f aca="false">1000*p_r_wb/(1-(1+p_r_wb)^-Sector_Params!$D$10)/p_cpt_fuel</f>
        <v>0.871845569768514</v>
      </c>
      <c r="W325" s="16" t="n">
        <f aca="false">T325*L325</f>
        <v>0</v>
      </c>
      <c r="X325" s="16" t="n">
        <f aca="false">U325*L325</f>
        <v>0</v>
      </c>
      <c r="Y325" s="16" t="n">
        <f aca="false">V325*L325</f>
        <v>0.23423986454873</v>
      </c>
      <c r="Z325" s="16" t="n">
        <f aca="false">Q325*L325</f>
        <v>0.0234810658774871</v>
      </c>
      <c r="AA325" s="16" t="n">
        <f aca="false">R325*L325</f>
        <v>0.0327071960182222</v>
      </c>
      <c r="AB325" s="16" t="n">
        <f aca="false">S325*L325</f>
        <v>0.023423986454873</v>
      </c>
      <c r="AC325" s="16" t="n">
        <f aca="false">Z325-W325</f>
        <v>0.0234810658774871</v>
      </c>
      <c r="AD325" s="16" t="n">
        <f aca="false">AA325-W325</f>
        <v>0.0327071960182222</v>
      </c>
      <c r="AE325" s="16" t="n">
        <f aca="false">AB325-W325</f>
        <v>0.023423986454873</v>
      </c>
      <c r="AF325" s="16" t="n">
        <f aca="false">AE325-X325</f>
        <v>0.023423986454873</v>
      </c>
      <c r="AG325" s="16" t="n">
        <f aca="false">AF325-p_spc_lo*Y325/1000</f>
        <v>0.0117119932274365</v>
      </c>
      <c r="AH325" s="16" t="n">
        <f aca="false">AF325-p_spc_hi*Y325/1000</f>
        <v>0</v>
      </c>
      <c r="AI325" s="16" t="n">
        <f aca="false">Q325*J325</f>
        <v>0.0978377744895296</v>
      </c>
      <c r="AJ325" s="16" t="n">
        <f aca="false">S325*J325</f>
        <v>0.0975999435619707</v>
      </c>
      <c r="AK325" s="16" t="n">
        <f aca="false">T325*J325</f>
        <v>0</v>
      </c>
      <c r="AL325" s="16" t="n">
        <f aca="false">U325*J325</f>
        <v>0</v>
      </c>
      <c r="AM325" s="16" t="n">
        <f aca="false">AI325-AJ325</f>
        <v>0.000237830927558857</v>
      </c>
      <c r="AN325" s="16" t="n">
        <f aca="false">J325*Country_Data!$EB$50</f>
        <v>1.28508294532915</v>
      </c>
      <c r="AO325" s="16" t="n">
        <f aca="false">L325*Country_Data!$EB$50</f>
        <v>0.308419906878996</v>
      </c>
    </row>
    <row r="326" customFormat="false" ht="15" hidden="false" customHeight="false" outlineLevel="0" collapsed="false">
      <c r="A326" s="14" t="str">
        <f aca="false">Country_Data!$A$50</f>
        <v>CHL</v>
      </c>
      <c r="B326" s="14" t="str">
        <f aca="false">Country_Data!$E$50</f>
        <v>EMDC</v>
      </c>
      <c r="C326" s="35" t="s">
        <v>488</v>
      </c>
      <c r="D326" s="37" t="n">
        <f aca="false">IF(Country_Data!$CE$50="","",Country_Data!$CE$50)</f>
        <v>45.534</v>
      </c>
      <c r="E326" s="40" t="n">
        <f aca="false">Country_Data!$BW$50</f>
        <v>679.026</v>
      </c>
      <c r="F326" s="41" t="n">
        <f aca="false">Country_Data!$BX$50</f>
        <v>0.486299493686545</v>
      </c>
      <c r="G326" s="42" t="n">
        <f aca="false">IF(D326="","",D326/SUMIFS($D$5:$D$1369,$B$5:$B$1369,B326,$C$5:$C$1369,C326))</f>
        <v>0.00373103815026249</v>
      </c>
      <c r="H326" s="42" t="n">
        <f aca="false">E326/SUMIFS($E$5:$E$1369,$B$5:$B$1369,B326,$C$5:$C$1369,C326)</f>
        <v>0.00841087704003957</v>
      </c>
      <c r="I326" s="43" t="n">
        <f aca="false">IF(G326="",H326,p_beta_alloc*G326+(1-p_beta_alloc)*H326)*F326^p_phi</f>
        <v>0.00423359303573606</v>
      </c>
      <c r="J326" s="16" t="n">
        <f aca="false">INDEX(Sector_Params!$C$22:$E$22,MATCH(B326,Sector_Params!$C$15:$E$15,0))*I326/SUMIFS($I$5:$I$1369,$B$5:$B$1369,B326,$C$5:$C$1369,C326)</f>
        <v>2.5520453942468</v>
      </c>
      <c r="K326" s="28" t="n">
        <f aca="false">INDEX(Sector_Params!$F$11:$H$11,MATCH(B326,Sector_Params!$C$15:$E$15,0))</f>
        <v>0.24</v>
      </c>
      <c r="L326" s="16" t="n">
        <f aca="false">J326*K326</f>
        <v>0.612490894619233</v>
      </c>
      <c r="M326" s="44" t="n">
        <f aca="false">Country_Data!$DW$50+Sector_Params!$E$11</f>
        <v>0.0603</v>
      </c>
      <c r="N326" s="44" t="n">
        <f aca="false">Country_Data!$DX$50+Sector_Params!$E$11</f>
        <v>0.1053</v>
      </c>
      <c r="O326" s="11" t="n">
        <f aca="false">IF(p_use_ibrd=1,p_r_ibrd,p_r_wb)</f>
        <v>0.06</v>
      </c>
      <c r="P326" s="45" t="n">
        <f aca="false">Sector_Params!$D$11</f>
        <v>30</v>
      </c>
      <c r="Q326" s="46" t="n">
        <f aca="false">M326/(1-(1+M326)^-P326)</f>
        <v>0.0728822716869027</v>
      </c>
      <c r="R326" s="46" t="n">
        <f aca="false">N326/(1-(1+N326)^-P326)</f>
        <v>0.110796962226316</v>
      </c>
      <c r="S326" s="46" t="n">
        <f aca="false">O326/(1-(1+O326)^-P326)</f>
        <v>0.0726489114900472</v>
      </c>
      <c r="T326" s="37" t="n">
        <f aca="false">0*Sector_Params!$I$11</f>
        <v>0</v>
      </c>
      <c r="U326" s="37" t="n">
        <f aca="false">p_c*Sector_Params!$J$11</f>
        <v>0.129</v>
      </c>
      <c r="V326" s="37" t="n">
        <f aca="false">1000*p_r_wb/(1-(1+p_r_wb)^-Sector_Params!$D$11)/p_cpt_afolu</f>
        <v>1.45297822980094</v>
      </c>
      <c r="W326" s="16" t="n">
        <f aca="false">T326*L326</f>
        <v>0</v>
      </c>
      <c r="X326" s="16" t="n">
        <f aca="false">U326*L326</f>
        <v>0.079011325405881</v>
      </c>
      <c r="Y326" s="16" t="n">
        <f aca="false">V326*L326</f>
        <v>0.88993593583305</v>
      </c>
      <c r="Z326" s="16" t="n">
        <f aca="false">Q326*L326</f>
        <v>0.044639727787393</v>
      </c>
      <c r="AA326" s="16" t="n">
        <f aca="false">R326*L326</f>
        <v>0.0678621305150896</v>
      </c>
      <c r="AB326" s="16" t="n">
        <f aca="false">S326*L326</f>
        <v>0.0444967967916525</v>
      </c>
      <c r="AC326" s="16" t="n">
        <f aca="false">Z326-W326</f>
        <v>0.044639727787393</v>
      </c>
      <c r="AD326" s="16" t="n">
        <f aca="false">AA326-W326</f>
        <v>0.0678621305150896</v>
      </c>
      <c r="AE326" s="16" t="n">
        <f aca="false">AB326-W326</f>
        <v>0.0444967967916525</v>
      </c>
      <c r="AF326" s="16" t="n">
        <f aca="false">AE326-X326</f>
        <v>-0.0345145286142286</v>
      </c>
      <c r="AG326" s="16" t="n">
        <f aca="false">AF326-p_spc_lo*Y326/1000</f>
        <v>-0.079011325405881</v>
      </c>
      <c r="AH326" s="16" t="n">
        <f aca="false">AF326-p_spc_hi*Y326/1000</f>
        <v>-0.123508122197534</v>
      </c>
      <c r="AI326" s="16" t="n">
        <f aca="false">Q326*J326</f>
        <v>0.185998865780804</v>
      </c>
      <c r="AJ326" s="16" t="n">
        <f aca="false">S326*J326</f>
        <v>0.185403319965219</v>
      </c>
      <c r="AK326" s="16" t="n">
        <f aca="false">T326*J326</f>
        <v>0</v>
      </c>
      <c r="AL326" s="16" t="n">
        <f aca="false">U326*J326</f>
        <v>0.329213855857838</v>
      </c>
      <c r="AM326" s="16" t="n">
        <f aca="false">AI326-AJ326</f>
        <v>0.000595545815585491</v>
      </c>
      <c r="AN326" s="16" t="n">
        <f aca="false">J326*Country_Data!$EB$50</f>
        <v>2.92960827449154</v>
      </c>
      <c r="AO326" s="16" t="n">
        <f aca="false">L326*Country_Data!$EB$50</f>
        <v>0.703105985877969</v>
      </c>
    </row>
    <row r="327" customFormat="false" ht="15" hidden="false" customHeight="false" outlineLevel="0" collapsed="false">
      <c r="A327" s="14" t="str">
        <f aca="false">Country_Data!$A$51</f>
        <v>PRT</v>
      </c>
      <c r="B327" s="14" t="str">
        <f aca="false">Country_Data!$E$51</f>
        <v>AE</v>
      </c>
      <c r="C327" s="35" t="s">
        <v>466</v>
      </c>
      <c r="D327" s="37" t="n">
        <f aca="false">IF(Country_Data!$BZ$51="","",Country_Data!$BZ$51)</f>
        <v>58.1748882442956</v>
      </c>
      <c r="E327" s="40" t="n">
        <f aca="false">Country_Data!$BW$51</f>
        <v>516.808</v>
      </c>
      <c r="F327" s="41" t="n">
        <f aca="false">Country_Data!$BX$51</f>
        <v>0.6067282240213</v>
      </c>
      <c r="G327" s="42" t="n">
        <f aca="false">IF(D327="","",D327/SUMIFS($D$5:$D$1369,$B$5:$B$1369,B327,$C$5:$C$1369,C327))</f>
        <v>0.00594506911760393</v>
      </c>
      <c r="H327" s="42" t="n">
        <f aca="false">E327/SUMIFS($E$5:$E$1369,$B$5:$B$1369,B327,$C$5:$C$1369,C327)</f>
        <v>0.0065514226552827</v>
      </c>
      <c r="I327" s="43" t="n">
        <f aca="false">IF(G327="",H327,p_beta_alloc*G327+(1-p_beta_alloc)*H327)*F327^p_phi</f>
        <v>0.00486693124464951</v>
      </c>
      <c r="J327" s="16" t="n">
        <f aca="false">INDEX(Sector_Params!$C$16:$E$16,MATCH(B327,Sector_Params!$C$15:$E$15,0))*I327/SUMIFS($I$5:$I$1369,$B$5:$B$1369,B327,$C$5:$C$1369,C327)</f>
        <v>4.36541987508833</v>
      </c>
      <c r="K327" s="28" t="n">
        <f aca="false">INDEX(Sector_Params!$F$5:$H$5,MATCH(B327,Sector_Params!$C$15:$E$15,0))</f>
        <v>0.38</v>
      </c>
      <c r="L327" s="16" t="n">
        <f aca="false">J327*K327</f>
        <v>1.65885955253357</v>
      </c>
      <c r="M327" s="44" t="n">
        <f aca="false">Country_Data!$DW$51+Sector_Params!$E$5</f>
        <v>0.1003</v>
      </c>
      <c r="N327" s="44" t="n">
        <f aca="false">Country_Data!$DX$51+Sector_Params!$E$5</f>
        <v>0.1153</v>
      </c>
      <c r="O327" s="11" t="n">
        <f aca="false">IF(p_use_ibrd=1,p_r_ibrd,p_r_wb)</f>
        <v>0.06</v>
      </c>
      <c r="P327" s="45" t="n">
        <f aca="false">Sector_Params!$D$5</f>
        <v>25</v>
      </c>
      <c r="Q327" s="46" t="n">
        <f aca="false">M327/(1-(1+M327)^-P327)</f>
        <v>0.11042229384962</v>
      </c>
      <c r="R327" s="46" t="n">
        <f aca="false">N327/(1-(1+N327)^-P327)</f>
        <v>0.123360928609393</v>
      </c>
      <c r="S327" s="46" t="n">
        <f aca="false">O327/(1-(1+O327)^-P327)</f>
        <v>0.078226718212274</v>
      </c>
      <c r="T327" s="37" t="n">
        <f aca="false">IF(AND(p_eng=1,ISNUMBER(Country_Data!$CZ$51)),Country_Data!$CZ$51,Country_Data!$CM$51)*Sector_Params!$I$5</f>
        <v>0.0344000686746199</v>
      </c>
      <c r="U327" s="37" t="n">
        <f aca="false">IF(AND(p_eng=1,ISNUMBER(Country_Data!$DA$51)),Country_Data!$DA$51,Country_Data!$CN$51)*Sector_Params!$J$5</f>
        <v>0.00271788056359479</v>
      </c>
      <c r="V327" s="37" t="n">
        <f aca="false">IF(AND(p_eng=1,ISNUMBER(Country_Data!$DB$51)),Country_Data!$DB$51,p_a)</f>
        <v>0.208792662631387</v>
      </c>
      <c r="W327" s="16" t="n">
        <f aca="false">T327*L327</f>
        <v>0.0570648825287038</v>
      </c>
      <c r="X327" s="16" t="n">
        <f aca="false">U327*L327</f>
        <v>0.00450858213556453</v>
      </c>
      <c r="Y327" s="16" t="n">
        <f aca="false">V327*L327</f>
        <v>0.346357702904995</v>
      </c>
      <c r="Z327" s="16" t="n">
        <f aca="false">Q327*L327</f>
        <v>0.18317507696511</v>
      </c>
      <c r="AA327" s="16" t="n">
        <f aca="false">R327*L327</f>
        <v>0.204638454833102</v>
      </c>
      <c r="AB327" s="16" t="n">
        <f aca="false">S327*L327</f>
        <v>0.129767138769782</v>
      </c>
      <c r="AC327" s="16" t="n">
        <f aca="false">Z327-W327</f>
        <v>0.126110194436406</v>
      </c>
      <c r="AD327" s="16" t="n">
        <f aca="false">AA327-W327</f>
        <v>0.147573572304398</v>
      </c>
      <c r="AE327" s="16" t="n">
        <f aca="false">AB327-W327</f>
        <v>0.0727022562410783</v>
      </c>
      <c r="AF327" s="16" t="n">
        <f aca="false">AE327-X327</f>
        <v>0.0681936741055138</v>
      </c>
      <c r="AG327" s="16" t="n">
        <f aca="false">AF327-p_spc_lo*Y327/1000</f>
        <v>0.050875788960264</v>
      </c>
      <c r="AH327" s="16" t="n">
        <f aca="false">AF327-p_spc_hi*Y327/1000</f>
        <v>0.0335579038150143</v>
      </c>
      <c r="AI327" s="16" t="n">
        <f aca="false">Q327*J327</f>
        <v>0.482039676223973</v>
      </c>
      <c r="AJ327" s="16" t="n">
        <f aca="false">S327*J327</f>
        <v>0.341492470446795</v>
      </c>
      <c r="AK327" s="16" t="n">
        <f aca="false">T327*J327</f>
        <v>0.150170743496589</v>
      </c>
      <c r="AL327" s="16" t="n">
        <f aca="false">U327*J327</f>
        <v>0.011864689830433</v>
      </c>
      <c r="AM327" s="16" t="n">
        <f aca="false">AI327-AJ327</f>
        <v>0.140547205777178</v>
      </c>
      <c r="AN327" s="16" t="n">
        <f aca="false">J327*Country_Data!$EB$51</f>
        <v>4.56111111086815</v>
      </c>
      <c r="AO327" s="16" t="n">
        <f aca="false">L327*Country_Data!$EB$51</f>
        <v>1.7332222221299</v>
      </c>
    </row>
    <row r="328" customFormat="false" ht="15" hidden="false" customHeight="false" outlineLevel="0" collapsed="false">
      <c r="A328" s="14" t="str">
        <f aca="false">Country_Data!$A$51</f>
        <v>PRT</v>
      </c>
      <c r="B328" s="14" t="str">
        <f aca="false">Country_Data!$E$51</f>
        <v>AE</v>
      </c>
      <c r="C328" s="35" t="s">
        <v>470</v>
      </c>
      <c r="D328" s="37" t="n">
        <f aca="false">IF(Country_Data!$BZ$51="","",Country_Data!$BZ$51)</f>
        <v>58.1748882442956</v>
      </c>
      <c r="E328" s="40" t="n">
        <f aca="false">Country_Data!$BW$51</f>
        <v>516.808</v>
      </c>
      <c r="F328" s="41" t="n">
        <f aca="false">Country_Data!$BX$51</f>
        <v>0.6067282240213</v>
      </c>
      <c r="G328" s="42" t="n">
        <f aca="false">IF(D328="","",D328/SUMIFS($D$5:$D$1369,$B$5:$B$1369,B328,$C$5:$C$1369,C328))</f>
        <v>0.00594506911760393</v>
      </c>
      <c r="H328" s="42" t="n">
        <f aca="false">E328/SUMIFS($E$5:$E$1369,$B$5:$B$1369,B328,$C$5:$C$1369,C328)</f>
        <v>0.0065514226552827</v>
      </c>
      <c r="I328" s="43" t="n">
        <f aca="false">IF(G328="",H328,p_beta_alloc*G328+(1-p_beta_alloc)*H328)*F328^p_phi</f>
        <v>0.00486693124464951</v>
      </c>
      <c r="J328" s="16" t="n">
        <f aca="false">INDEX(Sector_Params!$C$17:$E$17,MATCH(B328,Sector_Params!$C$15:$E$15,0))*I328/SUMIFS($I$5:$I$1369,$B$5:$B$1369,B328,$C$5:$C$1369,C328)</f>
        <v>2.99343077148914</v>
      </c>
      <c r="K328" s="28" t="n">
        <f aca="false">INDEX(Sector_Params!$F$6:$H$6,MATCH(B328,Sector_Params!$C$15:$E$15,0))</f>
        <v>0.38</v>
      </c>
      <c r="L328" s="16" t="n">
        <f aca="false">J328*K328</f>
        <v>1.13750369316587</v>
      </c>
      <c r="M328" s="44" t="n">
        <f aca="false">Country_Data!$DW$51+Sector_Params!$E$6</f>
        <v>0.1003</v>
      </c>
      <c r="N328" s="44" t="n">
        <f aca="false">Country_Data!$DX$51+Sector_Params!$E$6</f>
        <v>0.1153</v>
      </c>
      <c r="O328" s="11" t="n">
        <f aca="false">IF(p_use_ibrd=1,p_r_ibrd,p_r_wb)</f>
        <v>0.06</v>
      </c>
      <c r="P328" s="45" t="n">
        <f aca="false">Sector_Params!$D$6</f>
        <v>40</v>
      </c>
      <c r="Q328" s="46" t="n">
        <f aca="false">M328/(1-(1+M328)^-P328)</f>
        <v>0.102541058945529</v>
      </c>
      <c r="R328" s="46" t="n">
        <f aca="false">N328/(1-(1+N328)^-P328)</f>
        <v>0.116784974105949</v>
      </c>
      <c r="S328" s="46" t="n">
        <f aca="false">O328/(1-(1+O328)^-P328)</f>
        <v>0.0664615359206755</v>
      </c>
      <c r="T328" s="37" t="n">
        <f aca="false">p_grid_credit*IF(AND(p_eng=1,ISNUMBER(Country_Data!$CZ$51)),Country_Data!$CZ$51,Country_Data!$CM$51)*Sector_Params!$I$6</f>
        <v>0</v>
      </c>
      <c r="U328" s="37" t="n">
        <f aca="false">p_grid_credit*IF(AND(p_eng=1,ISNUMBER(Country_Data!$DA$51)),Country_Data!$DA$51,Country_Data!$CN$51)*Sector_Params!$J$6</f>
        <v>0</v>
      </c>
      <c r="V328" s="37" t="n">
        <f aca="false">p_grid_credit*IF(AND(p_eng=1,ISNUMBER(Country_Data!$DB$51)),Country_Data!$DB$51,p_a)</f>
        <v>0</v>
      </c>
      <c r="W328" s="16" t="n">
        <f aca="false">T328*L328</f>
        <v>0</v>
      </c>
      <c r="X328" s="16" t="n">
        <f aca="false">U328*L328</f>
        <v>0</v>
      </c>
      <c r="Y328" s="16" t="n">
        <f aca="false">V328*L328</f>
        <v>0</v>
      </c>
      <c r="Z328" s="16" t="n">
        <f aca="false">Q328*L328</f>
        <v>0.116640833251679</v>
      </c>
      <c r="AA328" s="16" t="n">
        <f aca="false">R328*L328</f>
        <v>0.132843339351798</v>
      </c>
      <c r="AB328" s="16" t="n">
        <f aca="false">S328*L328</f>
        <v>0.0756002425632448</v>
      </c>
      <c r="AC328" s="16" t="n">
        <f aca="false">Z328-W328</f>
        <v>0.116640833251679</v>
      </c>
      <c r="AD328" s="16" t="n">
        <f aca="false">AA328-W328</f>
        <v>0.132843339351798</v>
      </c>
      <c r="AE328" s="16" t="n">
        <f aca="false">AB328-W328</f>
        <v>0.0756002425632448</v>
      </c>
      <c r="AF328" s="16" t="n">
        <f aca="false">AE328-X328</f>
        <v>0.0756002425632448</v>
      </c>
      <c r="AG328" s="16" t="n">
        <f aca="false">AF328-p_spc_lo*Y328/1000</f>
        <v>0.0756002425632448</v>
      </c>
      <c r="AH328" s="16" t="n">
        <f aca="false">AF328-p_spc_hi*Y328/1000</f>
        <v>0.0756002425632448</v>
      </c>
      <c r="AI328" s="16" t="n">
        <f aca="false">Q328*J328</f>
        <v>0.30694956118863</v>
      </c>
      <c r="AJ328" s="16" t="n">
        <f aca="false">S328*J328</f>
        <v>0.198948006745381</v>
      </c>
      <c r="AK328" s="16" t="n">
        <f aca="false">T328*J328</f>
        <v>0</v>
      </c>
      <c r="AL328" s="16" t="n">
        <f aca="false">U328*J328</f>
        <v>0</v>
      </c>
      <c r="AM328" s="16" t="n">
        <f aca="false">AI328-AJ328</f>
        <v>0.108001554443249</v>
      </c>
      <c r="AN328" s="16" t="n">
        <f aca="false">J328*Country_Data!$EB$51</f>
        <v>3.12761904745245</v>
      </c>
      <c r="AO328" s="16" t="n">
        <f aca="false">L328*Country_Data!$EB$51</f>
        <v>1.18849523803193</v>
      </c>
    </row>
    <row r="329" customFormat="false" ht="15" hidden="false" customHeight="false" outlineLevel="0" collapsed="false">
      <c r="A329" s="14" t="str">
        <f aca="false">Country_Data!$A$51</f>
        <v>PRT</v>
      </c>
      <c r="B329" s="14" t="str">
        <f aca="false">Country_Data!$E$51</f>
        <v>AE</v>
      </c>
      <c r="C329" s="35" t="s">
        <v>473</v>
      </c>
      <c r="D329" s="37" t="n">
        <f aca="false">IF(Country_Data!$CA$51="","",Country_Data!$CA$51)</f>
        <v>0.270571913359004</v>
      </c>
      <c r="E329" s="40" t="n">
        <f aca="false">Country_Data!$BW$51</f>
        <v>516.808</v>
      </c>
      <c r="F329" s="41" t="n">
        <f aca="false">Country_Data!$BX$51</f>
        <v>0.6067282240213</v>
      </c>
      <c r="G329" s="42" t="n">
        <f aca="false">IF(D329="","",D329/SUMIFS($D$5:$D$1369,$B$5:$B$1369,B329,$C$5:$C$1369,C329))</f>
        <v>0.00529670764464933</v>
      </c>
      <c r="H329" s="42" t="n">
        <f aca="false">E329/SUMIFS($E$5:$E$1369,$B$5:$B$1369,B329,$C$5:$C$1369,C329)</f>
        <v>0.0065514226552827</v>
      </c>
      <c r="I329" s="43" t="n">
        <f aca="false">IF(G329="",H329,p_beta_alloc*G329+(1-p_beta_alloc)*H329)*F329^p_phi</f>
        <v>0.00461441791787757</v>
      </c>
      <c r="J329" s="16" t="n">
        <f aca="false">INDEX(Sector_Params!$C$18:$E$18,MATCH(B329,Sector_Params!$C$15:$E$15,0))*I329/SUMIFS($I$5:$I$1369,$B$5:$B$1369,B329,$C$5:$C$1369,C329)</f>
        <v>1.73895797755688</v>
      </c>
      <c r="K329" s="28" t="n">
        <f aca="false">INDEX(Sector_Params!$F$7:$H$7,MATCH(B329,Sector_Params!$C$15:$E$15,0))</f>
        <v>0.38</v>
      </c>
      <c r="L329" s="16" t="n">
        <f aca="false">J329*K329</f>
        <v>0.660804031471615</v>
      </c>
      <c r="M329" s="44" t="n">
        <f aca="false">Country_Data!$DW$51+Sector_Params!$E$7</f>
        <v>0.1003</v>
      </c>
      <c r="N329" s="44" t="n">
        <f aca="false">Country_Data!$DX$51+Sector_Params!$E$7</f>
        <v>0.1153</v>
      </c>
      <c r="O329" s="11" t="n">
        <f aca="false">IF(p_use_ibrd=1,p_r_ibrd,p_r_wb)</f>
        <v>0.06</v>
      </c>
      <c r="P329" s="45" t="n">
        <f aca="false">Sector_Params!$D$7</f>
        <v>12</v>
      </c>
      <c r="Q329" s="46" t="n">
        <f aca="false">M329/(1-(1+M329)^-P329)</f>
        <v>0.146979061287051</v>
      </c>
      <c r="R329" s="46" t="n">
        <f aca="false">N329/(1-(1+N329)^-P329)</f>
        <v>0.157936572148305</v>
      </c>
      <c r="S329" s="46" t="n">
        <f aca="false">O329/(1-(1+O329)^-P329)</f>
        <v>0.119277029380664</v>
      </c>
      <c r="T329" s="37" t="n">
        <f aca="false">IF(AND(p_eng=1,ISNUMBER(Country_Data!$DE$51)),Country_Data!$DE$51,Country_Data!$CM$51)*Sector_Params!$I$7</f>
        <v>0.123907905</v>
      </c>
      <c r="U329" s="37" t="n">
        <f aca="false">IF(AND(p_eng=1,ISNUMBER(Country_Data!$DF$51)),Country_Data!$DF$51,Country_Data!$CN$51)*Sector_Params!$J$7</f>
        <v>0.004724325</v>
      </c>
      <c r="V329" s="37" t="n">
        <f aca="false">IF(AND(p_eng=1,ISNUMBER(Country_Data!$DG$51)),Country_Data!$DG$51,p_a)</f>
        <v>0.484270062377786</v>
      </c>
      <c r="W329" s="16" t="n">
        <f aca="false">T329*L329</f>
        <v>0.0818788431552019</v>
      </c>
      <c r="X329" s="16" t="n">
        <f aca="false">U329*L329</f>
        <v>0.00312185300598214</v>
      </c>
      <c r="Y329" s="16" t="n">
        <f aca="false">V329*L329</f>
        <v>0.320007609540252</v>
      </c>
      <c r="Z329" s="16" t="n">
        <f aca="false">Q329*L329</f>
        <v>0.097124356240397</v>
      </c>
      <c r="AA329" s="16" t="n">
        <f aca="false">R329*L329</f>
        <v>0.104365123592408</v>
      </c>
      <c r="AB329" s="16" t="n">
        <f aca="false">S329*L329</f>
        <v>0.0788187418767007</v>
      </c>
      <c r="AC329" s="16" t="n">
        <f aca="false">Z329-W329</f>
        <v>0.0152455130851951</v>
      </c>
      <c r="AD329" s="16" t="n">
        <f aca="false">AA329-W329</f>
        <v>0.022486280437206</v>
      </c>
      <c r="AE329" s="16" t="n">
        <f aca="false">AB329-W329</f>
        <v>-0.00306010127850113</v>
      </c>
      <c r="AF329" s="16" t="n">
        <f aca="false">AE329-X329</f>
        <v>-0.00618195428448327</v>
      </c>
      <c r="AG329" s="16" t="n">
        <f aca="false">AF329-p_spc_lo*Y329/1000</f>
        <v>-0.0221823347614959</v>
      </c>
      <c r="AH329" s="16" t="n">
        <f aca="false">AF329-p_spc_hi*Y329/1000</f>
        <v>-0.0381827152385084</v>
      </c>
      <c r="AI329" s="16" t="n">
        <f aca="false">Q329*J329</f>
        <v>0.25559041115894</v>
      </c>
      <c r="AJ329" s="16" t="n">
        <f aca="false">S329*J329</f>
        <v>0.207417741780791</v>
      </c>
      <c r="AK329" s="16" t="n">
        <f aca="false">T329*J329</f>
        <v>0.21547063988211</v>
      </c>
      <c r="AL329" s="16" t="n">
        <f aca="false">U329*J329</f>
        <v>0.00821540264732141</v>
      </c>
      <c r="AM329" s="16" t="n">
        <f aca="false">AI329-AJ329</f>
        <v>0.0481726693781481</v>
      </c>
      <c r="AN329" s="16" t="n">
        <f aca="false">J329*Country_Data!$EB$51</f>
        <v>1.81691126620598</v>
      </c>
      <c r="AO329" s="16" t="n">
        <f aca="false">L329*Country_Data!$EB$51</f>
        <v>0.690426281158273</v>
      </c>
    </row>
    <row r="330" customFormat="false" ht="15" hidden="false" customHeight="false" outlineLevel="0" collapsed="false">
      <c r="A330" s="14" t="str">
        <f aca="false">Country_Data!$A$51</f>
        <v>PRT</v>
      </c>
      <c r="B330" s="14" t="str">
        <f aca="false">Country_Data!$E$51</f>
        <v>AE</v>
      </c>
      <c r="C330" s="35" t="s">
        <v>477</v>
      </c>
      <c r="D330" s="37" t="n">
        <f aca="false">IF(Country_Data!$CB$51="","",Country_Data!$CB$51)</f>
        <v>0.12978489396855</v>
      </c>
      <c r="E330" s="40" t="n">
        <f aca="false">Country_Data!$BW$51</f>
        <v>516.808</v>
      </c>
      <c r="F330" s="41" t="n">
        <f aca="false">Country_Data!$BX$51</f>
        <v>0.6067282240213</v>
      </c>
      <c r="G330" s="42" t="n">
        <f aca="false">IF(D330="","",D330/SUMIFS($D$5:$D$1369,$B$5:$B$1369,B330,$C$5:$C$1369,C330))</f>
        <v>0.0033374324488756</v>
      </c>
      <c r="H330" s="42" t="n">
        <f aca="false">E330/SUMIFS($E$5:$E$1369,$B$5:$B$1369,B330,$C$5:$C$1369,C330)</f>
        <v>0.0065514226552827</v>
      </c>
      <c r="I330" s="43" t="n">
        <f aca="false">IF(G330="",H330,p_beta_alloc*G330+(1-p_beta_alloc)*H330)*F330^p_phi</f>
        <v>0.00385135114357958</v>
      </c>
      <c r="J330" s="16" t="n">
        <f aca="false">INDEX(Sector_Params!$C$19:$E$19,MATCH(B330,Sector_Params!$C$15:$E$15,0))*I330/SUMIFS($I$5:$I$1369,$B$5:$B$1369,B330,$C$5:$C$1369,C330)</f>
        <v>1.13213131037146</v>
      </c>
      <c r="K330" s="28" t="n">
        <f aca="false">INDEX(Sector_Params!$F$8:$H$8,MATCH(B330,Sector_Params!$C$15:$E$15,0))</f>
        <v>0.38</v>
      </c>
      <c r="L330" s="16" t="n">
        <f aca="false">J330*K330</f>
        <v>0.430209897941156</v>
      </c>
      <c r="M330" s="44" t="n">
        <f aca="false">Country_Data!$DW$51+Sector_Params!$E$8</f>
        <v>0.1003</v>
      </c>
      <c r="N330" s="44" t="n">
        <f aca="false">Country_Data!$DX$51+Sector_Params!$E$8</f>
        <v>0.1153</v>
      </c>
      <c r="O330" s="11" t="n">
        <f aca="false">IF(p_use_ibrd=1,p_r_ibrd,p_r_wb)</f>
        <v>0.06</v>
      </c>
      <c r="P330" s="45" t="n">
        <f aca="false">Sector_Params!$D$8</f>
        <v>25</v>
      </c>
      <c r="Q330" s="46" t="n">
        <f aca="false">M330/(1-(1+M330)^-P330)</f>
        <v>0.11042229384962</v>
      </c>
      <c r="R330" s="46" t="n">
        <f aca="false">N330/(1-(1+N330)^-P330)</f>
        <v>0.123360928609393</v>
      </c>
      <c r="S330" s="46" t="n">
        <f aca="false">O330/(1-(1+O330)^-P330)</f>
        <v>0.078226718212274</v>
      </c>
      <c r="T330" s="37" t="n">
        <f aca="false">Country_Data!$CM$51*Sector_Params!$I$8</f>
        <v>0.194329034954839</v>
      </c>
      <c r="U330" s="37" t="n">
        <f aca="false">Country_Data!$CN$51*Sector_Params!$J$8</f>
        <v>0.03225</v>
      </c>
      <c r="V330" s="37" t="n">
        <f aca="false">p_a</f>
        <v>0.35</v>
      </c>
      <c r="W330" s="16" t="n">
        <f aca="false">T330*L330</f>
        <v>0.0836022742949245</v>
      </c>
      <c r="X330" s="16" t="n">
        <f aca="false">U330*L330</f>
        <v>0.0138742692086023</v>
      </c>
      <c r="Y330" s="16" t="n">
        <f aca="false">V330*L330</f>
        <v>0.150573464279405</v>
      </c>
      <c r="Z330" s="16" t="n">
        <f aca="false">Q330*L330</f>
        <v>0.0475047637674732</v>
      </c>
      <c r="AA330" s="16" t="n">
        <f aca="false">R330*L330</f>
        <v>0.053071092506973</v>
      </c>
      <c r="AB330" s="16" t="n">
        <f aca="false">S330*L330</f>
        <v>0.033653908458374</v>
      </c>
      <c r="AC330" s="16" t="n">
        <f aca="false">Z330-W330</f>
        <v>-0.0360975105274513</v>
      </c>
      <c r="AD330" s="16" t="n">
        <f aca="false">AA330-W330</f>
        <v>-0.0305311817879515</v>
      </c>
      <c r="AE330" s="16" t="n">
        <f aca="false">AB330-W330</f>
        <v>-0.0499483658365505</v>
      </c>
      <c r="AF330" s="16" t="n">
        <f aca="false">AE330-X330</f>
        <v>-0.0638226350451528</v>
      </c>
      <c r="AG330" s="16" t="n">
        <f aca="false">AF330-p_spc_lo*Y330/1000</f>
        <v>-0.0713513082591231</v>
      </c>
      <c r="AH330" s="16" t="n">
        <f aca="false">AF330-p_spc_hi*Y330/1000</f>
        <v>-0.0788799814730933</v>
      </c>
      <c r="AI330" s="16" t="n">
        <f aca="false">Q330*J330</f>
        <v>0.125012536230193</v>
      </c>
      <c r="AJ330" s="16" t="n">
        <f aca="false">S330*J330</f>
        <v>0.0885629169957209</v>
      </c>
      <c r="AK330" s="16" t="n">
        <f aca="false">T330*J330</f>
        <v>0.220005984986643</v>
      </c>
      <c r="AL330" s="16" t="n">
        <f aca="false">U330*J330</f>
        <v>0.0365112347594797</v>
      </c>
      <c r="AM330" s="16" t="n">
        <f aca="false">AI330-AJ330</f>
        <v>0.0364496192344716</v>
      </c>
      <c r="AN330" s="16" t="n">
        <f aca="false">J330*Country_Data!$EB$51</f>
        <v>1.18288202428467</v>
      </c>
      <c r="AO330" s="16" t="n">
        <f aca="false">L330*Country_Data!$EB$51</f>
        <v>0.449495169228174</v>
      </c>
    </row>
    <row r="331" customFormat="false" ht="15" hidden="false" customHeight="false" outlineLevel="0" collapsed="false">
      <c r="A331" s="14" t="str">
        <f aca="false">Country_Data!$A$51</f>
        <v>PRT</v>
      </c>
      <c r="B331" s="14" t="str">
        <f aca="false">Country_Data!$E$51</f>
        <v>AE</v>
      </c>
      <c r="C331" s="35" t="s">
        <v>481</v>
      </c>
      <c r="D331" s="37" t="n">
        <f aca="false">IF(Country_Data!$CC$51="","",Country_Data!$CC$51)</f>
        <v>0.254015956009374</v>
      </c>
      <c r="E331" s="40" t="n">
        <f aca="false">Country_Data!$BW$51</f>
        <v>516.808</v>
      </c>
      <c r="F331" s="41" t="n">
        <f aca="false">Country_Data!$BX$51</f>
        <v>0.6067282240213</v>
      </c>
      <c r="G331" s="42" t="n">
        <f aca="false">IF(D331="","",D331/SUMIFS($D$5:$D$1369,$B$5:$B$1369,B331,$C$5:$C$1369,C331))</f>
        <v>0.00462508773034254</v>
      </c>
      <c r="H331" s="42" t="n">
        <f aca="false">E331/SUMIFS($E$5:$E$1369,$B$5:$B$1369,B331,$C$5:$C$1369,C331)</f>
        <v>0.0065514226552827</v>
      </c>
      <c r="I331" s="43" t="n">
        <f aca="false">IF(G331="",H331,p_beta_alloc*G331+(1-p_beta_alloc)*H331)*F331^p_phi</f>
        <v>0.00435284627002032</v>
      </c>
      <c r="J331" s="16" t="n">
        <f aca="false">INDEX(Sector_Params!$C$20:$E$20,MATCH(B331,Sector_Params!$C$15:$E$15,0))*I331/SUMIFS($I$5:$I$1369,$B$5:$B$1369,B331,$C$5:$C$1369,C331)</f>
        <v>0.739188826181098</v>
      </c>
      <c r="K331" s="28" t="n">
        <f aca="false">INDEX(Sector_Params!$F$9:$H$9,MATCH(B331,Sector_Params!$C$15:$E$15,0))</f>
        <v>0.38</v>
      </c>
      <c r="L331" s="16" t="n">
        <f aca="false">J331*K331</f>
        <v>0.280891753948817</v>
      </c>
      <c r="M331" s="44" t="n">
        <f aca="false">Country_Data!$DW$51+Sector_Params!$E$9</f>
        <v>0.1003</v>
      </c>
      <c r="N331" s="44" t="n">
        <f aca="false">Country_Data!$DX$51+Sector_Params!$E$9</f>
        <v>0.1153</v>
      </c>
      <c r="O331" s="11" t="n">
        <f aca="false">IF(p_use_ibrd=1,p_r_ibrd,p_r_wb)</f>
        <v>0.06</v>
      </c>
      <c r="P331" s="45" t="n">
        <f aca="false">Sector_Params!$D$9</f>
        <v>25</v>
      </c>
      <c r="Q331" s="46" t="n">
        <f aca="false">M331/(1-(1+M331)^-P331)</f>
        <v>0.11042229384962</v>
      </c>
      <c r="R331" s="46" t="n">
        <f aca="false">N331/(1-(1+N331)^-P331)</f>
        <v>0.123360928609393</v>
      </c>
      <c r="S331" s="46" t="n">
        <f aca="false">O331/(1-(1+O331)^-P331)</f>
        <v>0.078226718212274</v>
      </c>
      <c r="T331" s="37" t="n">
        <f aca="false">Country_Data!$CM$51*Sector_Params!$I$9</f>
        <v>0.194329034954839</v>
      </c>
      <c r="U331" s="37" t="n">
        <f aca="false">Country_Data!$CN$51*Sector_Params!$J$9</f>
        <v>0.03225</v>
      </c>
      <c r="V331" s="37" t="n">
        <f aca="false">p_a</f>
        <v>0.35</v>
      </c>
      <c r="W331" s="16" t="n">
        <f aca="false">T331*L331</f>
        <v>0.0545854234716456</v>
      </c>
      <c r="X331" s="16" t="n">
        <f aca="false">U331*L331</f>
        <v>0.00905875906484935</v>
      </c>
      <c r="Y331" s="16" t="n">
        <f aca="false">V331*L331</f>
        <v>0.098312113882086</v>
      </c>
      <c r="Z331" s="16" t="n">
        <f aca="false">Q331*L331</f>
        <v>0.0310167117944713</v>
      </c>
      <c r="AA331" s="16" t="n">
        <f aca="false">R331*L331</f>
        <v>0.0346510676058471</v>
      </c>
      <c r="AB331" s="16" t="n">
        <f aca="false">S331*L331</f>
        <v>0.0219732400843055</v>
      </c>
      <c r="AC331" s="16" t="n">
        <f aca="false">Z331-W331</f>
        <v>-0.0235687116771743</v>
      </c>
      <c r="AD331" s="16" t="n">
        <f aca="false">AA331-W331</f>
        <v>-0.0199343558657985</v>
      </c>
      <c r="AE331" s="16" t="n">
        <f aca="false">AB331-W331</f>
        <v>-0.0326121833873401</v>
      </c>
      <c r="AF331" s="16" t="n">
        <f aca="false">AE331-X331</f>
        <v>-0.0416709424521895</v>
      </c>
      <c r="AG331" s="16" t="n">
        <f aca="false">AF331-p_spc_lo*Y331/1000</f>
        <v>-0.0465865481462938</v>
      </c>
      <c r="AH331" s="16" t="n">
        <f aca="false">AF331-p_spc_hi*Y331/1000</f>
        <v>-0.0515021538403981</v>
      </c>
      <c r="AI331" s="16" t="n">
        <f aca="false">Q331*J331</f>
        <v>0.0816229257749245</v>
      </c>
      <c r="AJ331" s="16" t="n">
        <f aca="false">S331*J331</f>
        <v>0.0578243160113303</v>
      </c>
      <c r="AK331" s="16" t="n">
        <f aca="false">T331*J331</f>
        <v>0.143645851241173</v>
      </c>
      <c r="AL331" s="16" t="n">
        <f aca="false">U331*J331</f>
        <v>0.0238388396443404</v>
      </c>
      <c r="AM331" s="16" t="n">
        <f aca="false">AI331-AJ331</f>
        <v>0.0237986097635942</v>
      </c>
      <c r="AN331" s="16" t="n">
        <f aca="false">J331*Country_Data!$EB$51</f>
        <v>0.772324877009905</v>
      </c>
      <c r="AO331" s="16" t="n">
        <f aca="false">L331*Country_Data!$EB$51</f>
        <v>0.293483453263764</v>
      </c>
    </row>
    <row r="332" customFormat="false" ht="15" hidden="false" customHeight="false" outlineLevel="0" collapsed="false">
      <c r="A332" s="14" t="str">
        <f aca="false">Country_Data!$A$51</f>
        <v>PRT</v>
      </c>
      <c r="B332" s="14" t="str">
        <f aca="false">Country_Data!$E$51</f>
        <v>AE</v>
      </c>
      <c r="C332" s="35" t="s">
        <v>484</v>
      </c>
      <c r="D332" s="37" t="n">
        <f aca="false">IF(Country_Data!$CD$51="","",Country_Data!$CD$51)</f>
        <v>0.557166767257635</v>
      </c>
      <c r="E332" s="40" t="n">
        <f aca="false">Country_Data!$BW$51</f>
        <v>516.808</v>
      </c>
      <c r="F332" s="41" t="n">
        <f aca="false">Country_Data!$BX$51</f>
        <v>0.6067282240213</v>
      </c>
      <c r="G332" s="42" t="n">
        <f aca="false">IF(D332="","",D332/SUMIFS($D$5:$D$1369,$B$5:$B$1369,B332,$C$5:$C$1369,C332))</f>
        <v>0.00376973051420176</v>
      </c>
      <c r="H332" s="42" t="n">
        <f aca="false">E332/SUMIFS($E$5:$E$1369,$B$5:$B$1369,B332,$C$5:$C$1369,C332)</f>
        <v>0.0065514226552827</v>
      </c>
      <c r="I332" s="43" t="n">
        <f aca="false">IF(G332="",H332,p_beta_alloc*G332+(1-p_beta_alloc)*H332)*F332^p_phi</f>
        <v>0.00401971559332878</v>
      </c>
      <c r="J332" s="16" t="n">
        <f aca="false">INDEX(Sector_Params!$C$21:$E$21,MATCH(B332,Sector_Params!$C$15:$E$15,0))*I332/SUMIFS($I$5:$I$1369,$B$5:$B$1369,B332,$C$5:$C$1369,C332)</f>
        <v>0.819015989869081</v>
      </c>
      <c r="K332" s="28" t="n">
        <f aca="false">INDEX(Sector_Params!$F$10:$H$10,MATCH(B332,Sector_Params!$C$15:$E$15,0))</f>
        <v>0.38</v>
      </c>
      <c r="L332" s="16" t="n">
        <f aca="false">J332*K332</f>
        <v>0.311226076150251</v>
      </c>
      <c r="M332" s="44" t="n">
        <f aca="false">Country_Data!$DW$51+Sector_Params!$E$10</f>
        <v>0.1003</v>
      </c>
      <c r="N332" s="44" t="n">
        <f aca="false">Country_Data!$DX$51+Sector_Params!$E$10</f>
        <v>0.1153</v>
      </c>
      <c r="O332" s="11" t="n">
        <f aca="false">IF(p_use_ibrd=1,p_r_ibrd,p_r_wb)</f>
        <v>0.06</v>
      </c>
      <c r="P332" s="45" t="n">
        <f aca="false">Sector_Params!$D$10</f>
        <v>20</v>
      </c>
      <c r="Q332" s="46" t="n">
        <f aca="false">M332/(1-(1+M332)^-P332)</f>
        <v>0.117700232980876</v>
      </c>
      <c r="R332" s="46" t="n">
        <f aca="false">N332/(1-(1+N332)^-P332)</f>
        <v>0.129953977960122</v>
      </c>
      <c r="S332" s="46" t="n">
        <f aca="false">O332/(1-(1+O332)^-P332)</f>
        <v>0.0871845569768514</v>
      </c>
      <c r="T332" s="37" t="n">
        <f aca="false">0*Sector_Params!$I$10</f>
        <v>0</v>
      </c>
      <c r="U332" s="37" t="n">
        <f aca="false">0*Sector_Params!$J$10</f>
        <v>0</v>
      </c>
      <c r="V332" s="37" t="n">
        <f aca="false">1000*p_r_wb/(1-(1+p_r_wb)^-Sector_Params!$D$10)/p_cpt_fuel</f>
        <v>0.871845569768514</v>
      </c>
      <c r="W332" s="16" t="n">
        <f aca="false">T332*L332</f>
        <v>0</v>
      </c>
      <c r="X332" s="16" t="n">
        <f aca="false">U332*L332</f>
        <v>0</v>
      </c>
      <c r="Y332" s="16" t="n">
        <f aca="false">V332*L332</f>
        <v>0.271341075688034</v>
      </c>
      <c r="Z332" s="16" t="n">
        <f aca="false">Q332*L332</f>
        <v>0.0366313816726084</v>
      </c>
      <c r="AA332" s="16" t="n">
        <f aca="false">R332*L332</f>
        <v>0.040445066640645</v>
      </c>
      <c r="AB332" s="16" t="n">
        <f aca="false">S332*L332</f>
        <v>0.0271341075688034</v>
      </c>
      <c r="AC332" s="16" t="n">
        <f aca="false">Z332-W332</f>
        <v>0.0366313816726084</v>
      </c>
      <c r="AD332" s="16" t="n">
        <f aca="false">AA332-W332</f>
        <v>0.040445066640645</v>
      </c>
      <c r="AE332" s="16" t="n">
        <f aca="false">AB332-W332</f>
        <v>0.0271341075688034</v>
      </c>
      <c r="AF332" s="16" t="n">
        <f aca="false">AE332-X332</f>
        <v>0.0271341075688034</v>
      </c>
      <c r="AG332" s="16" t="n">
        <f aca="false">AF332-p_spc_lo*Y332/1000</f>
        <v>0.0135670537844017</v>
      </c>
      <c r="AH332" s="16" t="n">
        <f aca="false">AF332-p_spc_hi*Y332/1000</f>
        <v>0</v>
      </c>
      <c r="AI332" s="16" t="n">
        <f aca="false">Q332*J332</f>
        <v>0.0963983728226537</v>
      </c>
      <c r="AJ332" s="16" t="n">
        <f aca="false">S332*J332</f>
        <v>0.0714055462336932</v>
      </c>
      <c r="AK332" s="16" t="n">
        <f aca="false">T332*J332</f>
        <v>0</v>
      </c>
      <c r="AL332" s="16" t="n">
        <f aca="false">U332*J332</f>
        <v>0</v>
      </c>
      <c r="AM332" s="16" t="n">
        <f aca="false">AI332-AJ332</f>
        <v>0.0249928265889605</v>
      </c>
      <c r="AN332" s="16" t="n">
        <f aca="false">J332*Country_Data!$EB$51</f>
        <v>0.855730499759764</v>
      </c>
      <c r="AO332" s="16" t="n">
        <f aca="false">L332*Country_Data!$EB$51</f>
        <v>0.32517758990871</v>
      </c>
    </row>
    <row r="333" customFormat="false" ht="15" hidden="false" customHeight="false" outlineLevel="0" collapsed="false">
      <c r="A333" s="14" t="str">
        <f aca="false">Country_Data!$A$51</f>
        <v>PRT</v>
      </c>
      <c r="B333" s="14" t="str">
        <f aca="false">Country_Data!$E$51</f>
        <v>AE</v>
      </c>
      <c r="C333" s="35" t="s">
        <v>488</v>
      </c>
      <c r="D333" s="37" t="n">
        <f aca="false">IF(Country_Data!$CE$51="","",Country_Data!$CE$51)</f>
        <v>17.163</v>
      </c>
      <c r="E333" s="40" t="n">
        <f aca="false">Country_Data!$BW$51</f>
        <v>516.808</v>
      </c>
      <c r="F333" s="41" t="n">
        <f aca="false">Country_Data!$BX$51</f>
        <v>0.6067282240213</v>
      </c>
      <c r="G333" s="42" t="n">
        <f aca="false">IF(D333="","",D333/SUMIFS($D$5:$D$1369,$B$5:$B$1369,B333,$C$5:$C$1369,C333))</f>
        <v>0.00655007835058471</v>
      </c>
      <c r="H333" s="42" t="n">
        <f aca="false">E333/SUMIFS($E$5:$E$1369,$B$5:$B$1369,B333,$C$5:$C$1369,C333)</f>
        <v>0.0065514226552827</v>
      </c>
      <c r="I333" s="43" t="n">
        <f aca="false">IF(G333="",H333,p_beta_alloc*G333+(1-p_beta_alloc)*H333)*F333^p_phi</f>
        <v>0.00510256044305255</v>
      </c>
      <c r="J333" s="16" t="n">
        <f aca="false">INDEX(Sector_Params!$C$22:$E$22,MATCH(B333,Sector_Params!$C$15:$E$15,0))*I333/SUMIFS($I$5:$I$1369,$B$5:$B$1369,B333,$C$5:$C$1369,C333)</f>
        <v>0.197712086730964</v>
      </c>
      <c r="K333" s="28" t="n">
        <f aca="false">INDEX(Sector_Params!$F$11:$H$11,MATCH(B333,Sector_Params!$C$15:$E$15,0))</f>
        <v>0.38</v>
      </c>
      <c r="L333" s="16" t="n">
        <f aca="false">J333*K333</f>
        <v>0.0751305929577665</v>
      </c>
      <c r="M333" s="44" t="n">
        <f aca="false">Country_Data!$DW$51+Sector_Params!$E$11</f>
        <v>0.1003</v>
      </c>
      <c r="N333" s="44" t="n">
        <f aca="false">Country_Data!$DX$51+Sector_Params!$E$11</f>
        <v>0.1153</v>
      </c>
      <c r="O333" s="11" t="n">
        <f aca="false">IF(p_use_ibrd=1,p_r_ibrd,p_r_wb)</f>
        <v>0.06</v>
      </c>
      <c r="P333" s="45" t="n">
        <f aca="false">Sector_Params!$D$11</f>
        <v>30</v>
      </c>
      <c r="Q333" s="46" t="n">
        <f aca="false">M333/(1-(1+M333)^-P333)</f>
        <v>0.106344813780591</v>
      </c>
      <c r="R333" s="46" t="n">
        <f aca="false">N333/(1-(1+N333)^-P333)</f>
        <v>0.119837771881583</v>
      </c>
      <c r="S333" s="46" t="n">
        <f aca="false">O333/(1-(1+O333)^-P333)</f>
        <v>0.0726489114900472</v>
      </c>
      <c r="T333" s="37" t="n">
        <f aca="false">0*Sector_Params!$I$11</f>
        <v>0</v>
      </c>
      <c r="U333" s="37" t="n">
        <f aca="false">p_c*Sector_Params!$J$11</f>
        <v>0.129</v>
      </c>
      <c r="V333" s="37" t="n">
        <f aca="false">1000*p_r_wb/(1-(1+p_r_wb)^-Sector_Params!$D$11)/p_cpt_afolu</f>
        <v>1.45297822980094</v>
      </c>
      <c r="W333" s="16" t="n">
        <f aca="false">T333*L333</f>
        <v>0</v>
      </c>
      <c r="X333" s="16" t="n">
        <f aca="false">U333*L333</f>
        <v>0.00969184649155188</v>
      </c>
      <c r="Y333" s="16" t="n">
        <f aca="false">V333*L333</f>
        <v>0.109163115959671</v>
      </c>
      <c r="Z333" s="16" t="n">
        <f aca="false">Q333*L333</f>
        <v>0.00798974891731904</v>
      </c>
      <c r="AA333" s="16" t="n">
        <f aca="false">R333*L333</f>
        <v>0.00900348286020087</v>
      </c>
      <c r="AB333" s="16" t="n">
        <f aca="false">S333*L333</f>
        <v>0.00545815579798354</v>
      </c>
      <c r="AC333" s="16" t="n">
        <f aca="false">Z333-W333</f>
        <v>0.00798974891731904</v>
      </c>
      <c r="AD333" s="16" t="n">
        <f aca="false">AA333-W333</f>
        <v>0.00900348286020087</v>
      </c>
      <c r="AE333" s="16" t="n">
        <f aca="false">AB333-W333</f>
        <v>0.00545815579798354</v>
      </c>
      <c r="AF333" s="16" t="n">
        <f aca="false">AE333-X333</f>
        <v>-0.00423369069356834</v>
      </c>
      <c r="AG333" s="16" t="n">
        <f aca="false">AF333-p_spc_lo*Y333/1000</f>
        <v>-0.00969184649155188</v>
      </c>
      <c r="AH333" s="16" t="n">
        <f aca="false">AF333-p_spc_hi*Y333/1000</f>
        <v>-0.0151500022895354</v>
      </c>
      <c r="AI333" s="16" t="n">
        <f aca="false">Q333*J333</f>
        <v>0.0210256550455764</v>
      </c>
      <c r="AJ333" s="16" t="n">
        <f aca="false">S333*J333</f>
        <v>0.0143635678894304</v>
      </c>
      <c r="AK333" s="16" t="n">
        <f aca="false">T333*J333</f>
        <v>0</v>
      </c>
      <c r="AL333" s="16" t="n">
        <f aca="false">U333*J333</f>
        <v>0.0255048591882944</v>
      </c>
      <c r="AM333" s="16" t="n">
        <f aca="false">AI333-AJ333</f>
        <v>0.00666208715614604</v>
      </c>
      <c r="AN333" s="16" t="n">
        <f aca="false">J333*Country_Data!$EB$51</f>
        <v>0.206575042343042</v>
      </c>
      <c r="AO333" s="16" t="n">
        <f aca="false">L333*Country_Data!$EB$51</f>
        <v>0.078498516090356</v>
      </c>
    </row>
    <row r="334" customFormat="false" ht="15" hidden="false" customHeight="false" outlineLevel="0" collapsed="false">
      <c r="A334" s="14" t="str">
        <f aca="false">Country_Data!$A$52</f>
        <v>FIN</v>
      </c>
      <c r="B334" s="14" t="str">
        <f aca="false">Country_Data!$E$52</f>
        <v>AE</v>
      </c>
      <c r="C334" s="35" t="s">
        <v>466</v>
      </c>
      <c r="D334" s="37" t="n">
        <f aca="false">IF(Country_Data!$BZ$52="","",Country_Data!$BZ$52)</f>
        <v>87.0702851176383</v>
      </c>
      <c r="E334" s="40" t="n">
        <f aca="false">Country_Data!$BW$52</f>
        <v>361.15</v>
      </c>
      <c r="F334" s="41" t="n">
        <f aca="false">Country_Data!$BX$52</f>
        <v>0.826911255710924</v>
      </c>
      <c r="G334" s="42" t="n">
        <f aca="false">IF(D334="","",D334/SUMIFS($D$5:$D$1369,$B$5:$B$1369,B334,$C$5:$C$1369,C334))</f>
        <v>0.0088979777827867</v>
      </c>
      <c r="H334" s="42" t="n">
        <f aca="false">E334/SUMIFS($E$5:$E$1369,$B$5:$B$1369,B334,$C$5:$C$1369,C334)</f>
        <v>0.00457819207898358</v>
      </c>
      <c r="I334" s="43" t="n">
        <f aca="false">IF(G334="",H334,p_beta_alloc*G334+(1-p_beta_alloc)*H334)*F334^p_phi</f>
        <v>0.00612725468457758</v>
      </c>
      <c r="J334" s="16" t="n">
        <f aca="false">INDEX(Sector_Params!$C$16:$E$16,MATCH(B334,Sector_Params!$C$15:$E$15,0))*I334/SUMIFS($I$5:$I$1369,$B$5:$B$1369,B334,$C$5:$C$1369,C334)</f>
        <v>5.49587369026195</v>
      </c>
      <c r="K334" s="28" t="n">
        <f aca="false">INDEX(Sector_Params!$F$5:$H$5,MATCH(B334,Sector_Params!$C$15:$E$15,0))</f>
        <v>0.38</v>
      </c>
      <c r="L334" s="16" t="n">
        <f aca="false">J334*K334</f>
        <v>2.08843200229954</v>
      </c>
      <c r="M334" s="44" t="n">
        <f aca="false">Country_Data!$DW$52+Sector_Params!$E$5</f>
        <v>0.0369</v>
      </c>
      <c r="N334" s="44" t="n">
        <f aca="false">Country_Data!$DX$52+Sector_Params!$E$5</f>
        <v>0.0519</v>
      </c>
      <c r="O334" s="11" t="n">
        <f aca="false">IF(p_use_ibrd=1,p_r_ibrd,p_r_wb)</f>
        <v>0.06</v>
      </c>
      <c r="P334" s="45" t="n">
        <f aca="false">Sector_Params!$D$5</f>
        <v>25</v>
      </c>
      <c r="Q334" s="46" t="n">
        <f aca="false">M334/(1-(1+M334)^-P334)</f>
        <v>0.0619317768295319</v>
      </c>
      <c r="R334" s="46" t="n">
        <f aca="false">N334/(1-(1+N334)^-P334)</f>
        <v>0.0723096057713674</v>
      </c>
      <c r="S334" s="46" t="n">
        <f aca="false">O334/(1-(1+O334)^-P334)</f>
        <v>0.078226718212274</v>
      </c>
      <c r="T334" s="37" t="n">
        <f aca="false">IF(AND(p_eng=1,ISNUMBER(Country_Data!$CZ$52)),Country_Data!$CZ$52,Country_Data!$CM$52)*Sector_Params!$I$5</f>
        <v>-0.00306800880734072</v>
      </c>
      <c r="U334" s="37" t="n">
        <f aca="false">IF(AND(p_eng=1,ISNUMBER(Country_Data!$DA$52)),Country_Data!$DA$52,Country_Data!$CN$52)*Sector_Params!$J$5</f>
        <v>0.000623287566819375</v>
      </c>
      <c r="V334" s="37" t="n">
        <f aca="false">IF(AND(p_eng=1,ISNUMBER(Country_Data!$DB$52)),Country_Data!$DB$52,p_a)</f>
        <v>0.0585864587753846</v>
      </c>
      <c r="W334" s="16" t="n">
        <f aca="false">T334*L334</f>
        <v>-0.00640732777658719</v>
      </c>
      <c r="X334" s="16" t="n">
        <f aca="false">U334*L334</f>
        <v>0.001301693701181</v>
      </c>
      <c r="Y334" s="16" t="n">
        <f aca="false">V334*L334</f>
        <v>0.122353835407916</v>
      </c>
      <c r="Z334" s="16" t="n">
        <f aca="false">Q334*L334</f>
        <v>0.129340304690068</v>
      </c>
      <c r="AA334" s="16" t="n">
        <f aca="false">R334*L334</f>
        <v>0.151013694766587</v>
      </c>
      <c r="AB334" s="16" t="n">
        <f aca="false">S334*L334</f>
        <v>0.163371181749381</v>
      </c>
      <c r="AC334" s="16" t="n">
        <f aca="false">Z334-W334</f>
        <v>0.135747632466655</v>
      </c>
      <c r="AD334" s="16" t="n">
        <f aca="false">AA334-W334</f>
        <v>0.157421022543174</v>
      </c>
      <c r="AE334" s="16" t="n">
        <f aca="false">AB334-W334</f>
        <v>0.169778509525968</v>
      </c>
      <c r="AF334" s="16" t="n">
        <f aca="false">AE334-X334</f>
        <v>0.168476815824787</v>
      </c>
      <c r="AG334" s="16" t="n">
        <f aca="false">AF334-p_spc_lo*Y334/1000</f>
        <v>0.162359124054392</v>
      </c>
      <c r="AH334" s="16" t="n">
        <f aca="false">AF334-p_spc_hi*Y334/1000</f>
        <v>0.156241432283996</v>
      </c>
      <c r="AI334" s="16" t="n">
        <f aca="false">Q334*J334</f>
        <v>0.340369222868599</v>
      </c>
      <c r="AJ334" s="16" t="n">
        <f aca="false">S334*J334</f>
        <v>0.429924162498371</v>
      </c>
      <c r="AK334" s="16" t="n">
        <f aca="false">T334*J334</f>
        <v>-0.0168613888857558</v>
      </c>
      <c r="AL334" s="16" t="n">
        <f aca="false">U334*J334</f>
        <v>0.00342550973994999</v>
      </c>
      <c r="AM334" s="16" t="n">
        <f aca="false">AI334-AJ334</f>
        <v>-0.0895549396297726</v>
      </c>
      <c r="AN334" s="16" t="n">
        <f aca="false">J334*Country_Data!$EB$52</f>
        <v>5.74224044189438</v>
      </c>
      <c r="AO334" s="16" t="n">
        <f aca="false">L334*Country_Data!$EB$52</f>
        <v>2.18205136791986</v>
      </c>
    </row>
    <row r="335" customFormat="false" ht="15" hidden="false" customHeight="false" outlineLevel="0" collapsed="false">
      <c r="A335" s="14" t="str">
        <f aca="false">Country_Data!$A$52</f>
        <v>FIN</v>
      </c>
      <c r="B335" s="14" t="str">
        <f aca="false">Country_Data!$E$52</f>
        <v>AE</v>
      </c>
      <c r="C335" s="35" t="s">
        <v>470</v>
      </c>
      <c r="D335" s="37" t="n">
        <f aca="false">IF(Country_Data!$BZ$52="","",Country_Data!$BZ$52)</f>
        <v>87.0702851176383</v>
      </c>
      <c r="E335" s="40" t="n">
        <f aca="false">Country_Data!$BW$52</f>
        <v>361.15</v>
      </c>
      <c r="F335" s="41" t="n">
        <f aca="false">Country_Data!$BX$52</f>
        <v>0.826911255710924</v>
      </c>
      <c r="G335" s="42" t="n">
        <f aca="false">IF(D335="","",D335/SUMIFS($D$5:$D$1369,$B$5:$B$1369,B335,$C$5:$C$1369,C335))</f>
        <v>0.0088979777827867</v>
      </c>
      <c r="H335" s="42" t="n">
        <f aca="false">E335/SUMIFS($E$5:$E$1369,$B$5:$B$1369,B335,$C$5:$C$1369,C335)</f>
        <v>0.00457819207898358</v>
      </c>
      <c r="I335" s="43" t="n">
        <f aca="false">IF(G335="",H335,p_beta_alloc*G335+(1-p_beta_alloc)*H335)*F335^p_phi</f>
        <v>0.00612725468457758</v>
      </c>
      <c r="J335" s="16" t="n">
        <f aca="false">INDEX(Sector_Params!$C$17:$E$17,MATCH(B335,Sector_Params!$C$15:$E$15,0))*I335/SUMIFS($I$5:$I$1369,$B$5:$B$1369,B335,$C$5:$C$1369,C335)</f>
        <v>3.76859910189391</v>
      </c>
      <c r="K335" s="28" t="n">
        <f aca="false">INDEX(Sector_Params!$F$6:$H$6,MATCH(B335,Sector_Params!$C$15:$E$15,0))</f>
        <v>0.38</v>
      </c>
      <c r="L335" s="16" t="n">
        <f aca="false">J335*K335</f>
        <v>1.43206765871968</v>
      </c>
      <c r="M335" s="44" t="n">
        <f aca="false">Country_Data!$DW$52+Sector_Params!$E$6</f>
        <v>0.0369</v>
      </c>
      <c r="N335" s="44" t="n">
        <f aca="false">Country_Data!$DX$52+Sector_Params!$E$6</f>
        <v>0.0519</v>
      </c>
      <c r="O335" s="11" t="n">
        <f aca="false">IF(p_use_ibrd=1,p_r_ibrd,p_r_wb)</f>
        <v>0.06</v>
      </c>
      <c r="P335" s="45" t="n">
        <f aca="false">Sector_Params!$D$6</f>
        <v>40</v>
      </c>
      <c r="Q335" s="46" t="n">
        <f aca="false">M335/(1-(1+M335)^-P335)</f>
        <v>0.0482167919772114</v>
      </c>
      <c r="R335" s="46" t="n">
        <f aca="false">N335/(1-(1+N335)^-P335)</f>
        <v>0.0598020100402209</v>
      </c>
      <c r="S335" s="46" t="n">
        <f aca="false">O335/(1-(1+O335)^-P335)</f>
        <v>0.0664615359206755</v>
      </c>
      <c r="T335" s="37" t="n">
        <f aca="false">p_grid_credit*IF(AND(p_eng=1,ISNUMBER(Country_Data!$CZ$52)),Country_Data!$CZ$52,Country_Data!$CM$52)*Sector_Params!$I$6</f>
        <v>-0</v>
      </c>
      <c r="U335" s="37" t="n">
        <f aca="false">p_grid_credit*IF(AND(p_eng=1,ISNUMBER(Country_Data!$DA$52)),Country_Data!$DA$52,Country_Data!$CN$52)*Sector_Params!$J$6</f>
        <v>0</v>
      </c>
      <c r="V335" s="37" t="n">
        <f aca="false">p_grid_credit*IF(AND(p_eng=1,ISNUMBER(Country_Data!$DB$52)),Country_Data!$DB$52,p_a)</f>
        <v>0</v>
      </c>
      <c r="W335" s="16" t="n">
        <f aca="false">T335*L335</f>
        <v>-0</v>
      </c>
      <c r="X335" s="16" t="n">
        <f aca="false">U335*L335</f>
        <v>0</v>
      </c>
      <c r="Y335" s="16" t="n">
        <f aca="false">V335*L335</f>
        <v>0</v>
      </c>
      <c r="Z335" s="16" t="n">
        <f aca="false">Q335*L335</f>
        <v>0.0690497083977791</v>
      </c>
      <c r="AA335" s="16" t="n">
        <f aca="false">R335*L335</f>
        <v>0.0856405245050302</v>
      </c>
      <c r="AB335" s="16" t="n">
        <f aca="false">S335*L335</f>
        <v>0.0951774161408359</v>
      </c>
      <c r="AC335" s="16" t="n">
        <f aca="false">Z335-W335</f>
        <v>0.0690497083977791</v>
      </c>
      <c r="AD335" s="16" t="n">
        <f aca="false">AA335-W335</f>
        <v>0.0856405245050302</v>
      </c>
      <c r="AE335" s="16" t="n">
        <f aca="false">AB335-W335</f>
        <v>0.0951774161408359</v>
      </c>
      <c r="AF335" s="16" t="n">
        <f aca="false">AE335-X335</f>
        <v>0.0951774161408359</v>
      </c>
      <c r="AG335" s="16" t="n">
        <f aca="false">AF335-p_spc_lo*Y335/1000</f>
        <v>0.0951774161408359</v>
      </c>
      <c r="AH335" s="16" t="n">
        <f aca="false">AF335-p_spc_hi*Y335/1000</f>
        <v>0.0951774161408359</v>
      </c>
      <c r="AI335" s="16" t="n">
        <f aca="false">Q335*J335</f>
        <v>0.181709758941524</v>
      </c>
      <c r="AJ335" s="16" t="n">
        <f aca="false">S335*J335</f>
        <v>0.250466884581147</v>
      </c>
      <c r="AK335" s="16" t="n">
        <f aca="false">T335*J335</f>
        <v>-0</v>
      </c>
      <c r="AL335" s="16" t="n">
        <f aca="false">U335*J335</f>
        <v>0</v>
      </c>
      <c r="AM335" s="16" t="n">
        <f aca="false">AI335-AJ335</f>
        <v>-0.0687571256396232</v>
      </c>
      <c r="AN335" s="16" t="n">
        <f aca="false">J335*Country_Data!$EB$52</f>
        <v>3.93753630301329</v>
      </c>
      <c r="AO335" s="16" t="n">
        <f aca="false">L335*Country_Data!$EB$52</f>
        <v>1.49626379514505</v>
      </c>
    </row>
    <row r="336" customFormat="false" ht="15" hidden="false" customHeight="false" outlineLevel="0" collapsed="false">
      <c r="A336" s="14" t="str">
        <f aca="false">Country_Data!$A$52</f>
        <v>FIN</v>
      </c>
      <c r="B336" s="14" t="str">
        <f aca="false">Country_Data!$E$52</f>
        <v>AE</v>
      </c>
      <c r="C336" s="35" t="s">
        <v>473</v>
      </c>
      <c r="D336" s="37" t="n">
        <f aca="false">IF(Country_Data!$CA$52="","",Country_Data!$CA$52)</f>
        <v>0.240073984846969</v>
      </c>
      <c r="E336" s="40" t="n">
        <f aca="false">Country_Data!$BW$52</f>
        <v>361.15</v>
      </c>
      <c r="F336" s="41" t="n">
        <f aca="false">Country_Data!$BX$52</f>
        <v>0.826911255710924</v>
      </c>
      <c r="G336" s="42" t="n">
        <f aca="false">IF(D336="","",D336/SUMIFS($D$5:$D$1369,$B$5:$B$1369,B336,$C$5:$C$1369,C336))</f>
        <v>0.00469968111262592</v>
      </c>
      <c r="H336" s="42" t="n">
        <f aca="false">E336/SUMIFS($E$5:$E$1369,$B$5:$B$1369,B336,$C$5:$C$1369,C336)</f>
        <v>0.00457819207898358</v>
      </c>
      <c r="I336" s="43" t="n">
        <f aca="false">IF(G336="",H336,p_beta_alloc*G336+(1-p_beta_alloc)*H336)*F336^p_phi</f>
        <v>0.00421840126380971</v>
      </c>
      <c r="J336" s="16" t="n">
        <f aca="false">INDEX(Sector_Params!$C$18:$E$18,MATCH(B336,Sector_Params!$C$15:$E$15,0))*I336/SUMIFS($I$5:$I$1369,$B$5:$B$1369,B336,$C$5:$C$1369,C336)</f>
        <v>1.58971784974604</v>
      </c>
      <c r="K336" s="28" t="n">
        <f aca="false">INDEX(Sector_Params!$F$7:$H$7,MATCH(B336,Sector_Params!$C$15:$E$15,0))</f>
        <v>0.38</v>
      </c>
      <c r="L336" s="16" t="n">
        <f aca="false">J336*K336</f>
        <v>0.604092782903494</v>
      </c>
      <c r="M336" s="44" t="n">
        <f aca="false">Country_Data!$DW$52+Sector_Params!$E$7</f>
        <v>0.0369</v>
      </c>
      <c r="N336" s="44" t="n">
        <f aca="false">Country_Data!$DX$52+Sector_Params!$E$7</f>
        <v>0.0519</v>
      </c>
      <c r="O336" s="11" t="n">
        <f aca="false">IF(p_use_ibrd=1,p_r_ibrd,p_r_wb)</f>
        <v>0.06</v>
      </c>
      <c r="P336" s="45" t="n">
        <f aca="false">Sector_Params!$D$7</f>
        <v>12</v>
      </c>
      <c r="Q336" s="46" t="n">
        <f aca="false">M336/(1-(1+M336)^-P336)</f>
        <v>0.104644443274562</v>
      </c>
      <c r="R336" s="46" t="n">
        <f aca="false">N336/(1-(1+N336)^-P336)</f>
        <v>0.114037641596614</v>
      </c>
      <c r="S336" s="46" t="n">
        <f aca="false">O336/(1-(1+O336)^-P336)</f>
        <v>0.119277029380664</v>
      </c>
      <c r="T336" s="37" t="n">
        <f aca="false">IF(AND(p_eng=1,ISNUMBER(Country_Data!$DE$52)),Country_Data!$DE$52,Country_Data!$CM$52)*Sector_Params!$I$7</f>
        <v>0.09507564</v>
      </c>
      <c r="U336" s="37" t="n">
        <f aca="false">IF(AND(p_eng=1,ISNUMBER(Country_Data!$DF$52)),Country_Data!$DF$52,Country_Data!$CN$52)*Sector_Params!$J$7</f>
        <v>0.002201175</v>
      </c>
      <c r="V336" s="37" t="n">
        <f aca="false">IF(AND(p_eng=1,ISNUMBER(Country_Data!$DG$52)),Country_Data!$DG$52,p_a)</f>
        <v>0.519516120291616</v>
      </c>
      <c r="W336" s="16" t="n">
        <f aca="false">T336*L336</f>
        <v>0.0574345079539308</v>
      </c>
      <c r="X336" s="16" t="n">
        <f aca="false">U336*L336</f>
        <v>0.0013297139314076</v>
      </c>
      <c r="Y336" s="16" t="n">
        <f aca="false">V336*L336</f>
        <v>0.313835938870189</v>
      </c>
      <c r="Z336" s="16" t="n">
        <f aca="false">Q336*L336</f>
        <v>0.0632149529531169</v>
      </c>
      <c r="AA336" s="16" t="n">
        <f aca="false">R336*L336</f>
        <v>0.0688893162678499</v>
      </c>
      <c r="AB336" s="16" t="n">
        <f aca="false">S336*L336</f>
        <v>0.0720543926150269</v>
      </c>
      <c r="AC336" s="16" t="n">
        <f aca="false">Z336-W336</f>
        <v>0.0057804449991861</v>
      </c>
      <c r="AD336" s="16" t="n">
        <f aca="false">AA336-W336</f>
        <v>0.0114548083139191</v>
      </c>
      <c r="AE336" s="16" t="n">
        <f aca="false">AB336-W336</f>
        <v>0.0146198846610961</v>
      </c>
      <c r="AF336" s="16" t="n">
        <f aca="false">AE336-X336</f>
        <v>0.0132901707296885</v>
      </c>
      <c r="AG336" s="16" t="n">
        <f aca="false">AF336-p_spc_lo*Y336/1000</f>
        <v>-0.00240162621382092</v>
      </c>
      <c r="AH336" s="16" t="n">
        <f aca="false">AF336-p_spc_hi*Y336/1000</f>
        <v>-0.0180934231573304</v>
      </c>
      <c r="AI336" s="16" t="n">
        <f aca="false">Q336*J336</f>
        <v>0.166355139350308</v>
      </c>
      <c r="AJ336" s="16" t="n">
        <f aca="false">S336*J336</f>
        <v>0.189616822671123</v>
      </c>
      <c r="AK336" s="16" t="n">
        <f aca="false">T336*J336</f>
        <v>0.151143441984028</v>
      </c>
      <c r="AL336" s="16" t="n">
        <f aca="false">U336*J336</f>
        <v>0.00349924718791473</v>
      </c>
      <c r="AM336" s="16" t="n">
        <f aca="false">AI336-AJ336</f>
        <v>-0.0232616833208158</v>
      </c>
      <c r="AN336" s="16" t="n">
        <f aca="false">J336*Country_Data!$EB$52</f>
        <v>1.66098106370017</v>
      </c>
      <c r="AO336" s="16" t="n">
        <f aca="false">L336*Country_Data!$EB$52</f>
        <v>0.631172804206065</v>
      </c>
    </row>
    <row r="337" customFormat="false" ht="15" hidden="false" customHeight="false" outlineLevel="0" collapsed="false">
      <c r="A337" s="14" t="str">
        <f aca="false">Country_Data!$A$52</f>
        <v>FIN</v>
      </c>
      <c r="B337" s="14" t="str">
        <f aca="false">Country_Data!$E$52</f>
        <v>AE</v>
      </c>
      <c r="C337" s="35" t="s">
        <v>477</v>
      </c>
      <c r="D337" s="37" t="n">
        <f aca="false">IF(Country_Data!$CB$52="","",Country_Data!$CB$52)</f>
        <v>0.117878663425664</v>
      </c>
      <c r="E337" s="40" t="n">
        <f aca="false">Country_Data!$BW$52</f>
        <v>361.15</v>
      </c>
      <c r="F337" s="41" t="n">
        <f aca="false">Country_Data!$BX$52</f>
        <v>0.826911255710924</v>
      </c>
      <c r="G337" s="42" t="n">
        <f aca="false">IF(D337="","",D337/SUMIFS($D$5:$D$1369,$B$5:$B$1369,B337,$C$5:$C$1369,C337))</f>
        <v>0.00303126245526101</v>
      </c>
      <c r="H337" s="42" t="n">
        <f aca="false">E337/SUMIFS($E$5:$E$1369,$B$5:$B$1369,B337,$C$5:$C$1369,C337)</f>
        <v>0.00457819207898358</v>
      </c>
      <c r="I337" s="43" t="n">
        <f aca="false">IF(G337="",H337,p_beta_alloc*G337+(1-p_beta_alloc)*H337)*F337^p_phi</f>
        <v>0.00345981583938758</v>
      </c>
      <c r="J337" s="16" t="n">
        <f aca="false">INDEX(Sector_Params!$C$19:$E$19,MATCH(B337,Sector_Params!$C$15:$E$15,0))*I337/SUMIFS($I$5:$I$1369,$B$5:$B$1369,B337,$C$5:$C$1369,C337)</f>
        <v>1.01703679925929</v>
      </c>
      <c r="K337" s="28" t="n">
        <f aca="false">INDEX(Sector_Params!$F$8:$H$8,MATCH(B337,Sector_Params!$C$15:$E$15,0))</f>
        <v>0.38</v>
      </c>
      <c r="L337" s="16" t="n">
        <f aca="false">J337*K337</f>
        <v>0.386473983718532</v>
      </c>
      <c r="M337" s="44" t="n">
        <f aca="false">Country_Data!$DW$52+Sector_Params!$E$8</f>
        <v>0.0369</v>
      </c>
      <c r="N337" s="44" t="n">
        <f aca="false">Country_Data!$DX$52+Sector_Params!$E$8</f>
        <v>0.0519</v>
      </c>
      <c r="O337" s="11" t="n">
        <f aca="false">IF(p_use_ibrd=1,p_r_ibrd,p_r_wb)</f>
        <v>0.06</v>
      </c>
      <c r="P337" s="45" t="n">
        <f aca="false">Sector_Params!$D$8</f>
        <v>25</v>
      </c>
      <c r="Q337" s="46" t="n">
        <f aca="false">M337/(1-(1+M337)^-P337)</f>
        <v>0.0619317768295319</v>
      </c>
      <c r="R337" s="46" t="n">
        <f aca="false">N337/(1-(1+N337)^-P337)</f>
        <v>0.0723096057713674</v>
      </c>
      <c r="S337" s="46" t="n">
        <f aca="false">O337/(1-(1+O337)^-P337)</f>
        <v>0.078226718212274</v>
      </c>
      <c r="T337" s="37" t="n">
        <f aca="false">Country_Data!$CM$52*Sector_Params!$I$8</f>
        <v>0.204763656258703</v>
      </c>
      <c r="U337" s="37" t="n">
        <f aca="false">Country_Data!$CN$52*Sector_Params!$J$8</f>
        <v>0.03225</v>
      </c>
      <c r="V337" s="37" t="n">
        <f aca="false">p_a</f>
        <v>0.35</v>
      </c>
      <c r="W337" s="16" t="n">
        <f aca="false">T337*L337</f>
        <v>0.0791358259550732</v>
      </c>
      <c r="X337" s="16" t="n">
        <f aca="false">U337*L337</f>
        <v>0.0124637859749227</v>
      </c>
      <c r="Y337" s="16" t="n">
        <f aca="false">V337*L337</f>
        <v>0.135265894301486</v>
      </c>
      <c r="Z337" s="16" t="n">
        <f aca="false">Q337*L337</f>
        <v>0.0239350205100763</v>
      </c>
      <c r="AA337" s="16" t="n">
        <f aca="false">R337*L337</f>
        <v>0.0279457814035769</v>
      </c>
      <c r="AB337" s="16" t="n">
        <f aca="false">S337*L337</f>
        <v>0.0302325914207245</v>
      </c>
      <c r="AC337" s="16" t="n">
        <f aca="false">Z337-W337</f>
        <v>-0.055200805444997</v>
      </c>
      <c r="AD337" s="16" t="n">
        <f aca="false">AA337-W337</f>
        <v>-0.0511900445514963</v>
      </c>
      <c r="AE337" s="16" t="n">
        <f aca="false">AB337-W337</f>
        <v>-0.0489032345343487</v>
      </c>
      <c r="AF337" s="16" t="n">
        <f aca="false">AE337-X337</f>
        <v>-0.0613670205092713</v>
      </c>
      <c r="AG337" s="16" t="n">
        <f aca="false">AF337-p_spc_lo*Y337/1000</f>
        <v>-0.0681303152243456</v>
      </c>
      <c r="AH337" s="16" t="n">
        <f aca="false">AF337-p_spc_hi*Y337/1000</f>
        <v>-0.0748936099394199</v>
      </c>
      <c r="AI337" s="16" t="n">
        <f aca="false">Q337*J337</f>
        <v>0.0629868960791481</v>
      </c>
      <c r="AJ337" s="16" t="n">
        <f aca="false">S337*J337</f>
        <v>0.0795594511071699</v>
      </c>
      <c r="AK337" s="16" t="n">
        <f aca="false">T337*J337</f>
        <v>0.208252173565982</v>
      </c>
      <c r="AL337" s="16" t="n">
        <f aca="false">U337*J337</f>
        <v>0.0327994367761122</v>
      </c>
      <c r="AM337" s="16" t="n">
        <f aca="false">AI337-AJ337</f>
        <v>-0.0165725550280218</v>
      </c>
      <c r="AN337" s="16" t="n">
        <f aca="false">J337*Country_Data!$EB$52</f>
        <v>1.06262810405368</v>
      </c>
      <c r="AO337" s="16" t="n">
        <f aca="false">L337*Country_Data!$EB$52</f>
        <v>0.403798679540397</v>
      </c>
    </row>
    <row r="338" customFormat="false" ht="15" hidden="false" customHeight="false" outlineLevel="0" collapsed="false">
      <c r="A338" s="14" t="str">
        <f aca="false">Country_Data!$A$52</f>
        <v>FIN</v>
      </c>
      <c r="B338" s="14" t="str">
        <f aca="false">Country_Data!$E$52</f>
        <v>AE</v>
      </c>
      <c r="C338" s="35" t="s">
        <v>481</v>
      </c>
      <c r="D338" s="37" t="n">
        <f aca="false">IF(Country_Data!$CC$52="","",Country_Data!$CC$52)</f>
        <v>0.362419203652954</v>
      </c>
      <c r="E338" s="40" t="n">
        <f aca="false">Country_Data!$BW$52</f>
        <v>361.15</v>
      </c>
      <c r="F338" s="41" t="n">
        <f aca="false">Country_Data!$BX$52</f>
        <v>0.826911255710924</v>
      </c>
      <c r="G338" s="42" t="n">
        <f aca="false">IF(D338="","",D338/SUMIFS($D$5:$D$1369,$B$5:$B$1369,B338,$C$5:$C$1369,C338))</f>
        <v>0.00659887921368978</v>
      </c>
      <c r="H338" s="42" t="n">
        <f aca="false">E338/SUMIFS($E$5:$E$1369,$B$5:$B$1369,B338,$C$5:$C$1369,C338)</f>
        <v>0.00457819207898358</v>
      </c>
      <c r="I338" s="43" t="n">
        <f aca="false">IF(G338="",H338,p_beta_alloc*G338+(1-p_beta_alloc)*H338)*F338^p_phi</f>
        <v>0.0050819159405352</v>
      </c>
      <c r="J338" s="16" t="n">
        <f aca="false">INDEX(Sector_Params!$C$20:$E$20,MATCH(B338,Sector_Params!$C$15:$E$15,0))*I338/SUMIFS($I$5:$I$1369,$B$5:$B$1369,B338,$C$5:$C$1369,C338)</f>
        <v>0.862997506874436</v>
      </c>
      <c r="K338" s="28" t="n">
        <f aca="false">INDEX(Sector_Params!$F$9:$H$9,MATCH(B338,Sector_Params!$C$15:$E$15,0))</f>
        <v>0.38</v>
      </c>
      <c r="L338" s="16" t="n">
        <f aca="false">J338*K338</f>
        <v>0.327939052612286</v>
      </c>
      <c r="M338" s="44" t="n">
        <f aca="false">Country_Data!$DW$52+Sector_Params!$E$9</f>
        <v>0.0369</v>
      </c>
      <c r="N338" s="44" t="n">
        <f aca="false">Country_Data!$DX$52+Sector_Params!$E$9</f>
        <v>0.0519</v>
      </c>
      <c r="O338" s="11" t="n">
        <f aca="false">IF(p_use_ibrd=1,p_r_ibrd,p_r_wb)</f>
        <v>0.06</v>
      </c>
      <c r="P338" s="45" t="n">
        <f aca="false">Sector_Params!$D$9</f>
        <v>25</v>
      </c>
      <c r="Q338" s="46" t="n">
        <f aca="false">M338/(1-(1+M338)^-P338)</f>
        <v>0.0619317768295319</v>
      </c>
      <c r="R338" s="46" t="n">
        <f aca="false">N338/(1-(1+N338)^-P338)</f>
        <v>0.0723096057713674</v>
      </c>
      <c r="S338" s="46" t="n">
        <f aca="false">O338/(1-(1+O338)^-P338)</f>
        <v>0.078226718212274</v>
      </c>
      <c r="T338" s="37" t="n">
        <f aca="false">Country_Data!$CM$52*Sector_Params!$I$9</f>
        <v>0.204763656258703</v>
      </c>
      <c r="U338" s="37" t="n">
        <f aca="false">Country_Data!$CN$52*Sector_Params!$J$9</f>
        <v>0.03225</v>
      </c>
      <c r="V338" s="37" t="n">
        <f aca="false">p_a</f>
        <v>0.35</v>
      </c>
      <c r="W338" s="16" t="n">
        <f aca="false">T338*L338</f>
        <v>0.0671499994429069</v>
      </c>
      <c r="X338" s="16" t="n">
        <f aca="false">U338*L338</f>
        <v>0.0105760344467462</v>
      </c>
      <c r="Y338" s="16" t="n">
        <f aca="false">V338*L338</f>
        <v>0.1147786684143</v>
      </c>
      <c r="Z338" s="16" t="n">
        <f aca="false">Q338*L338</f>
        <v>0.0203098482200722</v>
      </c>
      <c r="AA338" s="16" t="n">
        <f aca="false">R338*L338</f>
        <v>0.0237131436114301</v>
      </c>
      <c r="AB338" s="16" t="n">
        <f aca="false">S338*L338</f>
        <v>0.0256535958595014</v>
      </c>
      <c r="AC338" s="16" t="n">
        <f aca="false">Z338-W338</f>
        <v>-0.0468401512228347</v>
      </c>
      <c r="AD338" s="16" t="n">
        <f aca="false">AA338-W338</f>
        <v>-0.0434368558314769</v>
      </c>
      <c r="AE338" s="16" t="n">
        <f aca="false">AB338-W338</f>
        <v>-0.0414964035834056</v>
      </c>
      <c r="AF338" s="16" t="n">
        <f aca="false">AE338-X338</f>
        <v>-0.0520724380301518</v>
      </c>
      <c r="AG338" s="16" t="n">
        <f aca="false">AF338-p_spc_lo*Y338/1000</f>
        <v>-0.0578113714508668</v>
      </c>
      <c r="AH338" s="16" t="n">
        <f aca="false">AF338-p_spc_hi*Y338/1000</f>
        <v>-0.0635503048715818</v>
      </c>
      <c r="AI338" s="16" t="n">
        <f aca="false">Q338*J338</f>
        <v>0.05344696900019</v>
      </c>
      <c r="AJ338" s="16" t="n">
        <f aca="false">S338*J338</f>
        <v>0.0675094627881615</v>
      </c>
      <c r="AK338" s="16" t="n">
        <f aca="false">T338*J338</f>
        <v>0.176710524849755</v>
      </c>
      <c r="AL338" s="16" t="n">
        <f aca="false">U338*J338</f>
        <v>0.0278316695967006</v>
      </c>
      <c r="AM338" s="16" t="n">
        <f aca="false">AI338-AJ338</f>
        <v>-0.0140624937879715</v>
      </c>
      <c r="AN338" s="16" t="n">
        <f aca="false">J338*Country_Data!$EB$52</f>
        <v>0.901683602010187</v>
      </c>
      <c r="AO338" s="16" t="n">
        <f aca="false">L338*Country_Data!$EB$52</f>
        <v>0.342639768763871</v>
      </c>
    </row>
    <row r="339" customFormat="false" ht="15" hidden="false" customHeight="false" outlineLevel="0" collapsed="false">
      <c r="A339" s="14" t="str">
        <f aca="false">Country_Data!$A$52</f>
        <v>FIN</v>
      </c>
      <c r="B339" s="14" t="str">
        <f aca="false">Country_Data!$E$52</f>
        <v>AE</v>
      </c>
      <c r="C339" s="35" t="s">
        <v>484</v>
      </c>
      <c r="D339" s="37" t="n">
        <f aca="false">IF(Country_Data!$CD$52="","",Country_Data!$CD$52)</f>
        <v>0.432275476705853</v>
      </c>
      <c r="E339" s="40" t="n">
        <f aca="false">Country_Data!$BW$52</f>
        <v>361.15</v>
      </c>
      <c r="F339" s="41" t="n">
        <f aca="false">Country_Data!$BX$52</f>
        <v>0.826911255710924</v>
      </c>
      <c r="G339" s="42" t="n">
        <f aca="false">IF(D339="","",D339/SUMIFS($D$5:$D$1369,$B$5:$B$1369,B339,$C$5:$C$1369,C339))</f>
        <v>0.00292472945416297</v>
      </c>
      <c r="H339" s="42" t="n">
        <f aca="false">E339/SUMIFS($E$5:$E$1369,$B$5:$B$1369,B339,$C$5:$C$1369,C339)</f>
        <v>0.00457819207898358</v>
      </c>
      <c r="I339" s="43" t="n">
        <f aca="false">IF(G339="",H339,p_beta_alloc*G339+(1-p_beta_alloc)*H339)*F339^p_phi</f>
        <v>0.00341137812772798</v>
      </c>
      <c r="J339" s="16" t="n">
        <f aca="false">INDEX(Sector_Params!$C$21:$E$21,MATCH(B339,Sector_Params!$C$15:$E$15,0))*I339/SUMIFS($I$5:$I$1369,$B$5:$B$1369,B339,$C$5:$C$1369,C339)</f>
        <v>0.695067392015448</v>
      </c>
      <c r="K339" s="28" t="n">
        <f aca="false">INDEX(Sector_Params!$F$10:$H$10,MATCH(B339,Sector_Params!$C$15:$E$15,0))</f>
        <v>0.38</v>
      </c>
      <c r="L339" s="16" t="n">
        <f aca="false">J339*K339</f>
        <v>0.26412560896587</v>
      </c>
      <c r="M339" s="44" t="n">
        <f aca="false">Country_Data!$DW$52+Sector_Params!$E$10</f>
        <v>0.0369</v>
      </c>
      <c r="N339" s="44" t="n">
        <f aca="false">Country_Data!$DX$52+Sector_Params!$E$10</f>
        <v>0.0519</v>
      </c>
      <c r="O339" s="11" t="n">
        <f aca="false">IF(p_use_ibrd=1,p_r_ibrd,p_r_wb)</f>
        <v>0.06</v>
      </c>
      <c r="P339" s="45" t="n">
        <f aca="false">Sector_Params!$D$10</f>
        <v>20</v>
      </c>
      <c r="Q339" s="46" t="n">
        <f aca="false">M339/(1-(1+M339)^-P339)</f>
        <v>0.0715761456629317</v>
      </c>
      <c r="R339" s="46" t="n">
        <f aca="false">N339/(1-(1+N339)^-P339)</f>
        <v>0.0815403651703409</v>
      </c>
      <c r="S339" s="46" t="n">
        <f aca="false">O339/(1-(1+O339)^-P339)</f>
        <v>0.0871845569768514</v>
      </c>
      <c r="T339" s="37" t="n">
        <f aca="false">0*Sector_Params!$I$10</f>
        <v>0</v>
      </c>
      <c r="U339" s="37" t="n">
        <f aca="false">0*Sector_Params!$J$10</f>
        <v>0</v>
      </c>
      <c r="V339" s="37" t="n">
        <f aca="false">1000*p_r_wb/(1-(1+p_r_wb)^-Sector_Params!$D$10)/p_cpt_fuel</f>
        <v>0.871845569768514</v>
      </c>
      <c r="W339" s="16" t="n">
        <f aca="false">T339*L339</f>
        <v>0</v>
      </c>
      <c r="X339" s="16" t="n">
        <f aca="false">U339*L339</f>
        <v>0</v>
      </c>
      <c r="Y339" s="16" t="n">
        <f aca="false">V339*L339</f>
        <v>0.230276742039305</v>
      </c>
      <c r="Z339" s="16" t="n">
        <f aca="false">Q339*L339</f>
        <v>0.0189050930606517</v>
      </c>
      <c r="AA339" s="16" t="n">
        <f aca="false">R339*L339</f>
        <v>0.0215368986059157</v>
      </c>
      <c r="AB339" s="16" t="n">
        <f aca="false">S339*L339</f>
        <v>0.0230276742039305</v>
      </c>
      <c r="AC339" s="16" t="n">
        <f aca="false">Z339-W339</f>
        <v>0.0189050930606517</v>
      </c>
      <c r="AD339" s="16" t="n">
        <f aca="false">AA339-W339</f>
        <v>0.0215368986059157</v>
      </c>
      <c r="AE339" s="16" t="n">
        <f aca="false">AB339-W339</f>
        <v>0.0230276742039305</v>
      </c>
      <c r="AF339" s="16" t="n">
        <f aca="false">AE339-X339</f>
        <v>0.0230276742039305</v>
      </c>
      <c r="AG339" s="16" t="n">
        <f aca="false">AF339-p_spc_lo*Y339/1000</f>
        <v>0.0115138371019653</v>
      </c>
      <c r="AH339" s="16" t="n">
        <f aca="false">AF339-p_spc_hi*Y339/1000</f>
        <v>0</v>
      </c>
      <c r="AI339" s="16" t="n">
        <f aca="false">Q339*J339</f>
        <v>0.0497502448964518</v>
      </c>
      <c r="AJ339" s="16" t="n">
        <f aca="false">S339*J339</f>
        <v>0.0605991426419224</v>
      </c>
      <c r="AK339" s="16" t="n">
        <f aca="false">T339*J339</f>
        <v>0</v>
      </c>
      <c r="AL339" s="16" t="n">
        <f aca="false">U339*J339</f>
        <v>0</v>
      </c>
      <c r="AM339" s="16" t="n">
        <f aca="false">AI339-AJ339</f>
        <v>-0.0108488977454706</v>
      </c>
      <c r="AN339" s="16" t="n">
        <f aca="false">J339*Country_Data!$EB$52</f>
        <v>0.726225585450624</v>
      </c>
      <c r="AO339" s="16" t="n">
        <f aca="false">L339*Country_Data!$EB$52</f>
        <v>0.275965722471237</v>
      </c>
    </row>
    <row r="340" customFormat="false" ht="15" hidden="false" customHeight="false" outlineLevel="0" collapsed="false">
      <c r="A340" s="14" t="str">
        <f aca="false">Country_Data!$A$52</f>
        <v>FIN</v>
      </c>
      <c r="B340" s="14" t="str">
        <f aca="false">Country_Data!$E$52</f>
        <v>AE</v>
      </c>
      <c r="C340" s="35" t="s">
        <v>488</v>
      </c>
      <c r="D340" s="37" t="n">
        <f aca="false">IF(Country_Data!$CE$52="","",Country_Data!$CE$52)</f>
        <v>10.175</v>
      </c>
      <c r="E340" s="40" t="n">
        <f aca="false">Country_Data!$BW$52</f>
        <v>361.15</v>
      </c>
      <c r="F340" s="41" t="n">
        <f aca="false">Country_Data!$BX$52</f>
        <v>0.826911255710924</v>
      </c>
      <c r="G340" s="42" t="n">
        <f aca="false">IF(D340="","",D340/SUMIFS($D$5:$D$1369,$B$5:$B$1369,B340,$C$5:$C$1369,C340))</f>
        <v>0.00388318168252633</v>
      </c>
      <c r="H340" s="42" t="n">
        <f aca="false">E340/SUMIFS($E$5:$E$1369,$B$5:$B$1369,B340,$C$5:$C$1369,C340)</f>
        <v>0.00457819207898358</v>
      </c>
      <c r="I340" s="43" t="n">
        <f aca="false">IF(G340="",H340,p_beta_alloc*G340+(1-p_beta_alloc)*H340)*F340^p_phi</f>
        <v>0.00384716076971167</v>
      </c>
      <c r="J340" s="16" t="n">
        <f aca="false">INDEX(Sector_Params!$C$22:$E$22,MATCH(B340,Sector_Params!$C$15:$E$15,0))*I340/SUMIFS($I$5:$I$1369,$B$5:$B$1369,B340,$C$5:$C$1369,C340)</f>
        <v>0.149068333880266</v>
      </c>
      <c r="K340" s="28" t="n">
        <f aca="false">INDEX(Sector_Params!$F$11:$H$11,MATCH(B340,Sector_Params!$C$15:$E$15,0))</f>
        <v>0.38</v>
      </c>
      <c r="L340" s="16" t="n">
        <f aca="false">J340*K340</f>
        <v>0.0566459668745013</v>
      </c>
      <c r="M340" s="44" t="n">
        <f aca="false">Country_Data!$DW$52+Sector_Params!$E$11</f>
        <v>0.0369</v>
      </c>
      <c r="N340" s="44" t="n">
        <f aca="false">Country_Data!$DX$52+Sector_Params!$E$11</f>
        <v>0.0519</v>
      </c>
      <c r="O340" s="11" t="n">
        <f aca="false">IF(p_use_ibrd=1,p_r_ibrd,p_r_wb)</f>
        <v>0.06</v>
      </c>
      <c r="P340" s="45" t="n">
        <f aca="false">Sector_Params!$D$11</f>
        <v>30</v>
      </c>
      <c r="Q340" s="46" t="n">
        <f aca="false">M340/(1-(1+M340)^-P340)</f>
        <v>0.0556733071732019</v>
      </c>
      <c r="R340" s="46" t="n">
        <f aca="false">N340/(1-(1+N340)^-P340)</f>
        <v>0.0664670989595619</v>
      </c>
      <c r="S340" s="46" t="n">
        <f aca="false">O340/(1-(1+O340)^-P340)</f>
        <v>0.0726489114900472</v>
      </c>
      <c r="T340" s="37" t="n">
        <f aca="false">0*Sector_Params!$I$11</f>
        <v>0</v>
      </c>
      <c r="U340" s="37" t="n">
        <f aca="false">p_c*Sector_Params!$J$11</f>
        <v>0.129</v>
      </c>
      <c r="V340" s="37" t="n">
        <f aca="false">1000*p_r_wb/(1-(1+p_r_wb)^-Sector_Params!$D$11)/p_cpt_afolu</f>
        <v>1.45297822980094</v>
      </c>
      <c r="W340" s="16" t="n">
        <f aca="false">T340*L340</f>
        <v>0</v>
      </c>
      <c r="X340" s="16" t="n">
        <f aca="false">U340*L340</f>
        <v>0.00730732972681066</v>
      </c>
      <c r="Y340" s="16" t="n">
        <f aca="false">V340*L340</f>
        <v>0.0823053566746757</v>
      </c>
      <c r="Z340" s="16" t="n">
        <f aca="false">Q340*L340</f>
        <v>0.00315366831392713</v>
      </c>
      <c r="AA340" s="16" t="n">
        <f aca="false">R340*L340</f>
        <v>0.00376509308590754</v>
      </c>
      <c r="AB340" s="16" t="n">
        <f aca="false">S340*L340</f>
        <v>0.00411526783373379</v>
      </c>
      <c r="AC340" s="16" t="n">
        <f aca="false">Z340-W340</f>
        <v>0.00315366831392713</v>
      </c>
      <c r="AD340" s="16" t="n">
        <f aca="false">AA340-W340</f>
        <v>0.00376509308590754</v>
      </c>
      <c r="AE340" s="16" t="n">
        <f aca="false">AB340-W340</f>
        <v>0.00411526783373379</v>
      </c>
      <c r="AF340" s="16" t="n">
        <f aca="false">AE340-X340</f>
        <v>-0.00319206189307687</v>
      </c>
      <c r="AG340" s="16" t="n">
        <f aca="false">AF340-p_spc_lo*Y340/1000</f>
        <v>-0.00730732972681066</v>
      </c>
      <c r="AH340" s="16" t="n">
        <f aca="false">AF340-p_spc_hi*Y340/1000</f>
        <v>-0.0114225975605444</v>
      </c>
      <c r="AI340" s="16" t="n">
        <f aca="false">Q340*J340</f>
        <v>0.00829912714191349</v>
      </c>
      <c r="AJ340" s="16" t="n">
        <f aca="false">S340*J340</f>
        <v>0.0108296521940363</v>
      </c>
      <c r="AK340" s="16" t="n">
        <f aca="false">T340*J340</f>
        <v>0</v>
      </c>
      <c r="AL340" s="16" t="n">
        <f aca="false">U340*J340</f>
        <v>0.0192298150705544</v>
      </c>
      <c r="AM340" s="16" t="n">
        <f aca="false">AI340-AJ340</f>
        <v>-0.00253052505212279</v>
      </c>
      <c r="AN340" s="16" t="n">
        <f aca="false">J340*Country_Data!$EB$52</f>
        <v>0.155750707468003</v>
      </c>
      <c r="AO340" s="16" t="n">
        <f aca="false">L340*Country_Data!$EB$52</f>
        <v>0.059185268837841</v>
      </c>
    </row>
    <row r="341" customFormat="false" ht="15" hidden="false" customHeight="false" outlineLevel="0" collapsed="false">
      <c r="A341" s="14" t="str">
        <f aca="false">Country_Data!$A$53</f>
        <v>PER</v>
      </c>
      <c r="B341" s="14" t="str">
        <f aca="false">Country_Data!$E$53</f>
        <v>EMDC</v>
      </c>
      <c r="C341" s="35" t="s">
        <v>466</v>
      </c>
      <c r="D341" s="37" t="n">
        <f aca="false">IF(Country_Data!$BZ$53="","",Country_Data!$BZ$53)</f>
        <v>55.9185959100968</v>
      </c>
      <c r="E341" s="40" t="n">
        <f aca="false">Country_Data!$BW$53</f>
        <v>621.37</v>
      </c>
      <c r="F341" s="41" t="n">
        <f aca="false">Country_Data!$BX$53</f>
        <v>0.475111447285836</v>
      </c>
      <c r="G341" s="42" t="n">
        <f aca="false">IF(D341="","",D341/SUMIFS($D$5:$D$1369,$B$5:$B$1369,B341,$C$5:$C$1369,C341))</f>
        <v>0.00638378631929586</v>
      </c>
      <c r="H341" s="42" t="n">
        <f aca="false">E341/SUMIFS($E$5:$E$1369,$B$5:$B$1369,B341,$C$5:$C$1369,C341)</f>
        <v>0.00769671068025287</v>
      </c>
      <c r="I341" s="43" t="n">
        <f aca="false">IF(G341="",H341,p_beta_alloc*G341+(1-p_beta_alloc)*H341)*F341^p_phi</f>
        <v>0.00485272561470068</v>
      </c>
      <c r="J341" s="16" t="n">
        <f aca="false">INDEX(Sector_Params!$C$16:$E$16,MATCH(B341,Sector_Params!$C$15:$E$15,0))*I341/SUMIFS($I$5:$I$1369,$B$5:$B$1369,B341,$C$5:$C$1369,C341)</f>
        <v>4.69367924173986</v>
      </c>
      <c r="K341" s="28" t="n">
        <f aca="false">INDEX(Sector_Params!$F$5:$H$5,MATCH(B341,Sector_Params!$C$15:$E$15,0))</f>
        <v>0.24</v>
      </c>
      <c r="L341" s="16" t="n">
        <f aca="false">J341*K341</f>
        <v>1.12648301801757</v>
      </c>
      <c r="M341" s="44" t="n">
        <f aca="false">Country_Data!$DW$53+Sector_Params!$E$5</f>
        <v>0.07592</v>
      </c>
      <c r="N341" s="44" t="n">
        <f aca="false">Country_Data!$DX$53+Sector_Params!$E$5</f>
        <v>0.12092</v>
      </c>
      <c r="O341" s="11" t="n">
        <f aca="false">IF(p_use_ibrd=1,p_r_ibrd,p_r_wb)</f>
        <v>0.06</v>
      </c>
      <c r="P341" s="45" t="n">
        <f aca="false">Sector_Params!$D$5</f>
        <v>25</v>
      </c>
      <c r="Q341" s="46" t="n">
        <f aca="false">M341/(1-(1+M341)^-P341)</f>
        <v>0.0904357957985562</v>
      </c>
      <c r="R341" s="46" t="n">
        <f aca="false">N341/(1-(1+N341)^-P341)</f>
        <v>0.128314526550995</v>
      </c>
      <c r="S341" s="46" t="n">
        <f aca="false">O341/(1-(1+O341)^-P341)</f>
        <v>0.078226718212274</v>
      </c>
      <c r="T341" s="37" t="n">
        <f aca="false">IF(AND(p_eng=1,ISNUMBER(Country_Data!$CZ$53)),Country_Data!$CZ$53,Country_Data!$CM$53)*Sector_Params!$I$5</f>
        <v>0.018480277897432</v>
      </c>
      <c r="U341" s="37" t="n">
        <f aca="false">IF(AND(p_eng=1,ISNUMBER(Country_Data!$DA$53)),Country_Data!$DA$53,Country_Data!$CN$53)*Sector_Params!$J$5</f>
        <v>0.00343977047799911</v>
      </c>
      <c r="V341" s="37" t="n">
        <f aca="false">IF(AND(p_eng=1,ISNUMBER(Country_Data!$DB$53)),Country_Data!$DB$53,p_a)</f>
        <v>0.354377557850584</v>
      </c>
      <c r="W341" s="16" t="n">
        <f aca="false">T341*L341</f>
        <v>0.0208177192197025</v>
      </c>
      <c r="X341" s="16" t="n">
        <f aca="false">U341*L341</f>
        <v>0.00387484302934417</v>
      </c>
      <c r="Y341" s="16" t="n">
        <f aca="false">V341*L341</f>
        <v>0.399200300885221</v>
      </c>
      <c r="Z341" s="16" t="n">
        <f aca="false">Q341*L341</f>
        <v>0.101874388187978</v>
      </c>
      <c r="AA341" s="16" t="n">
        <f aca="false">R341*L341</f>
        <v>0.14454413512466</v>
      </c>
      <c r="AB341" s="16" t="n">
        <f aca="false">S341*L341</f>
        <v>0.0881210696213721</v>
      </c>
      <c r="AC341" s="16" t="n">
        <f aca="false">Z341-W341</f>
        <v>0.0810566689682755</v>
      </c>
      <c r="AD341" s="16" t="n">
        <f aca="false">AA341-W341</f>
        <v>0.123726415904958</v>
      </c>
      <c r="AE341" s="16" t="n">
        <f aca="false">AB341-W341</f>
        <v>0.0673033504016696</v>
      </c>
      <c r="AF341" s="16" t="n">
        <f aca="false">AE341-X341</f>
        <v>0.0634285073723254</v>
      </c>
      <c r="AG341" s="16" t="n">
        <f aca="false">AF341-p_spc_lo*Y341/1000</f>
        <v>0.0434684923280644</v>
      </c>
      <c r="AH341" s="16" t="n">
        <f aca="false">AF341-p_spc_hi*Y341/1000</f>
        <v>0.0235084772838033</v>
      </c>
      <c r="AI341" s="16" t="n">
        <f aca="false">Q341*J341</f>
        <v>0.424476617449908</v>
      </c>
      <c r="AJ341" s="16" t="n">
        <f aca="false">S341*J341</f>
        <v>0.367171123422384</v>
      </c>
      <c r="AK341" s="16" t="n">
        <f aca="false">T341*J341</f>
        <v>0.0867404967487603</v>
      </c>
      <c r="AL341" s="16" t="n">
        <f aca="false">U341*J341</f>
        <v>0.016145179288934</v>
      </c>
      <c r="AM341" s="16" t="n">
        <f aca="false">AI341-AJ341</f>
        <v>0.0573054940275246</v>
      </c>
      <c r="AN341" s="16" t="n">
        <f aca="false">J341*Country_Data!$EB$53</f>
        <v>5.3880865816137</v>
      </c>
      <c r="AO341" s="16" t="n">
        <f aca="false">L341*Country_Data!$EB$53</f>
        <v>1.29314077958729</v>
      </c>
    </row>
    <row r="342" customFormat="false" ht="15" hidden="false" customHeight="false" outlineLevel="0" collapsed="false">
      <c r="A342" s="14" t="str">
        <f aca="false">Country_Data!$A$53</f>
        <v>PER</v>
      </c>
      <c r="B342" s="14" t="str">
        <f aca="false">Country_Data!$E$53</f>
        <v>EMDC</v>
      </c>
      <c r="C342" s="35" t="s">
        <v>470</v>
      </c>
      <c r="D342" s="37" t="n">
        <f aca="false">IF(Country_Data!$BZ$53="","",Country_Data!$BZ$53)</f>
        <v>55.9185959100968</v>
      </c>
      <c r="E342" s="40" t="n">
        <f aca="false">Country_Data!$BW$53</f>
        <v>621.37</v>
      </c>
      <c r="F342" s="41" t="n">
        <f aca="false">Country_Data!$BX$53</f>
        <v>0.475111447285836</v>
      </c>
      <c r="G342" s="42" t="n">
        <f aca="false">IF(D342="","",D342/SUMIFS($D$5:$D$1369,$B$5:$B$1369,B342,$C$5:$C$1369,C342))</f>
        <v>0.00638378631929586</v>
      </c>
      <c r="H342" s="42" t="n">
        <f aca="false">E342/SUMIFS($E$5:$E$1369,$B$5:$B$1369,B342,$C$5:$C$1369,C342)</f>
        <v>0.00769671068025287</v>
      </c>
      <c r="I342" s="43" t="n">
        <f aca="false">IF(G342="",H342,p_beta_alloc*G342+(1-p_beta_alloc)*H342)*F342^p_phi</f>
        <v>0.00485272561470068</v>
      </c>
      <c r="J342" s="16" t="n">
        <f aca="false">INDEX(Sector_Params!$C$17:$E$17,MATCH(B342,Sector_Params!$C$15:$E$15,0))*I342/SUMIFS($I$5:$I$1369,$B$5:$B$1369,B342,$C$5:$C$1369,C342)</f>
        <v>3.21852290862162</v>
      </c>
      <c r="K342" s="28" t="n">
        <f aca="false">INDEX(Sector_Params!$F$6:$H$6,MATCH(B342,Sector_Params!$C$15:$E$15,0))</f>
        <v>0.24</v>
      </c>
      <c r="L342" s="16" t="n">
        <f aca="false">J342*K342</f>
        <v>0.772445498069188</v>
      </c>
      <c r="M342" s="44" t="n">
        <f aca="false">Country_Data!$DW$53+Sector_Params!$E$6</f>
        <v>0.07592</v>
      </c>
      <c r="N342" s="44" t="n">
        <f aca="false">Country_Data!$DX$53+Sector_Params!$E$6</f>
        <v>0.12092</v>
      </c>
      <c r="O342" s="11" t="n">
        <f aca="false">IF(p_use_ibrd=1,p_r_ibrd,p_r_wb)</f>
        <v>0.06</v>
      </c>
      <c r="P342" s="45" t="n">
        <f aca="false">Sector_Params!$D$6</f>
        <v>40</v>
      </c>
      <c r="Q342" s="46" t="n">
        <f aca="false">M342/(1-(1+M342)^-P342)</f>
        <v>0.080215973935199</v>
      </c>
      <c r="R342" s="46" t="n">
        <f aca="false">N342/(1-(1+N342)^-P342)</f>
        <v>0.122190730742848</v>
      </c>
      <c r="S342" s="46" t="n">
        <f aca="false">O342/(1-(1+O342)^-P342)</f>
        <v>0.0664615359206755</v>
      </c>
      <c r="T342" s="37" t="n">
        <f aca="false">p_grid_credit*IF(AND(p_eng=1,ISNUMBER(Country_Data!$CZ$53)),Country_Data!$CZ$53,Country_Data!$CM$53)*Sector_Params!$I$6</f>
        <v>0</v>
      </c>
      <c r="U342" s="37" t="n">
        <f aca="false">p_grid_credit*IF(AND(p_eng=1,ISNUMBER(Country_Data!$DA$53)),Country_Data!$DA$53,Country_Data!$CN$53)*Sector_Params!$J$6</f>
        <v>0</v>
      </c>
      <c r="V342" s="37" t="n">
        <f aca="false">p_grid_credit*IF(AND(p_eng=1,ISNUMBER(Country_Data!$DB$53)),Country_Data!$DB$53,p_a)</f>
        <v>0</v>
      </c>
      <c r="W342" s="16" t="n">
        <f aca="false">T342*L342</f>
        <v>0</v>
      </c>
      <c r="X342" s="16" t="n">
        <f aca="false">U342*L342</f>
        <v>0</v>
      </c>
      <c r="Y342" s="16" t="n">
        <f aca="false">V342*L342</f>
        <v>0</v>
      </c>
      <c r="Z342" s="16" t="n">
        <f aca="false">Q342*L342</f>
        <v>0.0619624679394798</v>
      </c>
      <c r="AA342" s="16" t="n">
        <f aca="false">R342*L342</f>
        <v>0.0943856798680972</v>
      </c>
      <c r="AB342" s="16" t="n">
        <f aca="false">S342*L342</f>
        <v>0.0513379142166894</v>
      </c>
      <c r="AC342" s="16" t="n">
        <f aca="false">Z342-W342</f>
        <v>0.0619624679394798</v>
      </c>
      <c r="AD342" s="16" t="n">
        <f aca="false">AA342-W342</f>
        <v>0.0943856798680972</v>
      </c>
      <c r="AE342" s="16" t="n">
        <f aca="false">AB342-W342</f>
        <v>0.0513379142166894</v>
      </c>
      <c r="AF342" s="16" t="n">
        <f aca="false">AE342-X342</f>
        <v>0.0513379142166894</v>
      </c>
      <c r="AG342" s="16" t="n">
        <f aca="false">AF342-p_spc_lo*Y342/1000</f>
        <v>0.0513379142166894</v>
      </c>
      <c r="AH342" s="16" t="n">
        <f aca="false">AF342-p_spc_hi*Y342/1000</f>
        <v>0.0513379142166894</v>
      </c>
      <c r="AI342" s="16" t="n">
        <f aca="false">Q342*J342</f>
        <v>0.258176949747833</v>
      </c>
      <c r="AJ342" s="16" t="n">
        <f aca="false">S342*J342</f>
        <v>0.213907975902873</v>
      </c>
      <c r="AK342" s="16" t="n">
        <f aca="false">T342*J342</f>
        <v>0</v>
      </c>
      <c r="AL342" s="16" t="n">
        <f aca="false">U342*J342</f>
        <v>0</v>
      </c>
      <c r="AM342" s="16" t="n">
        <f aca="false">AI342-AJ342</f>
        <v>0.0442689738449601</v>
      </c>
      <c r="AN342" s="16" t="n">
        <f aca="false">J342*Country_Data!$EB$53</f>
        <v>3.69468794167797</v>
      </c>
      <c r="AO342" s="16" t="n">
        <f aca="false">L342*Country_Data!$EB$53</f>
        <v>0.886725106002712</v>
      </c>
    </row>
    <row r="343" customFormat="false" ht="15" hidden="false" customHeight="false" outlineLevel="0" collapsed="false">
      <c r="A343" s="14" t="str">
        <f aca="false">Country_Data!$A$53</f>
        <v>PER</v>
      </c>
      <c r="B343" s="14" t="str">
        <f aca="false">Country_Data!$E$53</f>
        <v>EMDC</v>
      </c>
      <c r="C343" s="35" t="s">
        <v>473</v>
      </c>
      <c r="D343" s="37" t="n">
        <f aca="false">IF(Country_Data!$CA$53="","",Country_Data!$CA$53)</f>
        <v>0.393963214784736</v>
      </c>
      <c r="E343" s="40" t="n">
        <f aca="false">Country_Data!$BW$53</f>
        <v>621.37</v>
      </c>
      <c r="F343" s="41" t="n">
        <f aca="false">Country_Data!$BX$53</f>
        <v>0.475111447285836</v>
      </c>
      <c r="G343" s="42" t="n">
        <f aca="false">IF(D343="","",D343/SUMIFS($D$5:$D$1369,$B$5:$B$1369,B343,$C$5:$C$1369,C343))</f>
        <v>0.00910146690141638</v>
      </c>
      <c r="H343" s="42" t="n">
        <f aca="false">E343/SUMIFS($E$5:$E$1369,$B$5:$B$1369,B343,$C$5:$C$1369,C343)</f>
        <v>0.00769671068025287</v>
      </c>
      <c r="I343" s="43" t="n">
        <f aca="false">IF(G343="",H343,p_beta_alloc*G343+(1-p_beta_alloc)*H343)*F343^p_phi</f>
        <v>0.00578935151461413</v>
      </c>
      <c r="J343" s="16" t="n">
        <f aca="false">INDEX(Sector_Params!$C$18:$E$18,MATCH(B343,Sector_Params!$C$15:$E$15,0))*I343/SUMIFS($I$5:$I$1369,$B$5:$B$1369,B343,$C$5:$C$1369,C343)</f>
        <v>2.3706024621475</v>
      </c>
      <c r="K343" s="28" t="n">
        <f aca="false">INDEX(Sector_Params!$F$7:$H$7,MATCH(B343,Sector_Params!$C$15:$E$15,0))</f>
        <v>0.24</v>
      </c>
      <c r="L343" s="16" t="n">
        <f aca="false">J343*K343</f>
        <v>0.5689445909154</v>
      </c>
      <c r="M343" s="44" t="n">
        <f aca="false">Country_Data!$DW$53+Sector_Params!$E$7</f>
        <v>0.07592</v>
      </c>
      <c r="N343" s="44" t="n">
        <f aca="false">Country_Data!$DX$53+Sector_Params!$E$7</f>
        <v>0.12092</v>
      </c>
      <c r="O343" s="11" t="n">
        <f aca="false">IF(p_use_ibrd=1,p_r_ibrd,p_r_wb)</f>
        <v>0.06</v>
      </c>
      <c r="P343" s="45" t="n">
        <f aca="false">Sector_Params!$D$7</f>
        <v>12</v>
      </c>
      <c r="Q343" s="46" t="n">
        <f aca="false">M343/(1-(1+M343)^-P343)</f>
        <v>0.129903510012928</v>
      </c>
      <c r="R343" s="46" t="n">
        <f aca="false">N343/(1-(1+N343)^-P343)</f>
        <v>0.162125591919636</v>
      </c>
      <c r="S343" s="46" t="n">
        <f aca="false">O343/(1-(1+O343)^-P343)</f>
        <v>0.119277029380664</v>
      </c>
      <c r="T343" s="37" t="n">
        <f aca="false">IF(AND(p_eng=1,ISNUMBER(Country_Data!$DE$53)),Country_Data!$DE$53,Country_Data!$CM$53)*Sector_Params!$I$7</f>
        <v>0.17653986</v>
      </c>
      <c r="U343" s="37" t="n">
        <f aca="false">IF(AND(p_eng=1,ISNUMBER(Country_Data!$DF$53)),Country_Data!$DF$53,Country_Data!$CN$53)*Sector_Params!$J$7</f>
        <v>0.015485625</v>
      </c>
      <c r="V343" s="37" t="n">
        <f aca="false">IF(AND(p_eng=1,ISNUMBER(Country_Data!$DG$53)),Country_Data!$DG$53,p_a)</f>
        <v>0.450108399832917</v>
      </c>
      <c r="W343" s="16" t="n">
        <f aca="false">T343*L343</f>
        <v>0.100441398427962</v>
      </c>
      <c r="X343" s="16" t="n">
        <f aca="false">U343*L343</f>
        <v>0.00881046258069429</v>
      </c>
      <c r="Y343" s="16" t="n">
        <f aca="false">V343*L343</f>
        <v>0.256086739410524</v>
      </c>
      <c r="Z343" s="16" t="n">
        <f aca="false">Q343*L343</f>
        <v>0.0739078993627799</v>
      </c>
      <c r="AA343" s="16" t="n">
        <f aca="false">R343*L343</f>
        <v>0.0922404785716345</v>
      </c>
      <c r="AB343" s="16" t="n">
        <f aca="false">S343*L343</f>
        <v>0.0678620206865858</v>
      </c>
      <c r="AC343" s="16" t="n">
        <f aca="false">Z343-W343</f>
        <v>-0.0265334990651821</v>
      </c>
      <c r="AD343" s="16" t="n">
        <f aca="false">AA343-W343</f>
        <v>-0.00820091985632745</v>
      </c>
      <c r="AE343" s="16" t="n">
        <f aca="false">AB343-W343</f>
        <v>-0.0325793777413762</v>
      </c>
      <c r="AF343" s="16" t="n">
        <f aca="false">AE343-X343</f>
        <v>-0.0413898403220705</v>
      </c>
      <c r="AG343" s="16" t="n">
        <f aca="false">AF343-p_spc_lo*Y343/1000</f>
        <v>-0.0541941772925967</v>
      </c>
      <c r="AH343" s="16" t="n">
        <f aca="false">AF343-p_spc_hi*Y343/1000</f>
        <v>-0.0669985142631229</v>
      </c>
      <c r="AI343" s="16" t="n">
        <f aca="false">Q343*J343</f>
        <v>0.307949580678249</v>
      </c>
      <c r="AJ343" s="16" t="n">
        <f aca="false">S343*J343</f>
        <v>0.282758419527441</v>
      </c>
      <c r="AK343" s="16" t="n">
        <f aca="false">T343*J343</f>
        <v>0.418505826783175</v>
      </c>
      <c r="AL343" s="16" t="n">
        <f aca="false">U343*J343</f>
        <v>0.0367102607528929</v>
      </c>
      <c r="AM343" s="16" t="n">
        <f aca="false">AI343-AJ343</f>
        <v>0.0251911611508087</v>
      </c>
      <c r="AN343" s="16" t="n">
        <f aca="false">J343*Country_Data!$EB$53</f>
        <v>2.72132173052001</v>
      </c>
      <c r="AO343" s="16" t="n">
        <f aca="false">L343*Country_Data!$EB$53</f>
        <v>0.653117215324802</v>
      </c>
    </row>
    <row r="344" customFormat="false" ht="15" hidden="false" customHeight="false" outlineLevel="0" collapsed="false">
      <c r="A344" s="14" t="str">
        <f aca="false">Country_Data!$A$53</f>
        <v>PER</v>
      </c>
      <c r="B344" s="14" t="str">
        <f aca="false">Country_Data!$E$53</f>
        <v>EMDC</v>
      </c>
      <c r="C344" s="35" t="s">
        <v>477</v>
      </c>
      <c r="D344" s="37" t="n">
        <f aca="false">IF(Country_Data!$CB$53="","",Country_Data!$CB$53)</f>
        <v>0.17096790660274</v>
      </c>
      <c r="E344" s="40" t="n">
        <f aca="false">Country_Data!$BW$53</f>
        <v>621.37</v>
      </c>
      <c r="F344" s="41" t="n">
        <f aca="false">Country_Data!$BX$53</f>
        <v>0.475111447285836</v>
      </c>
      <c r="G344" s="42" t="n">
        <f aca="false">IF(D344="","",D344/SUMIFS($D$5:$D$1369,$B$5:$B$1369,B344,$C$5:$C$1369,C344))</f>
        <v>0.00539113869251412</v>
      </c>
      <c r="H344" s="42" t="n">
        <f aca="false">E344/SUMIFS($E$5:$E$1369,$B$5:$B$1369,B344,$C$5:$C$1369,C344)</f>
        <v>0.00769671068025287</v>
      </c>
      <c r="I344" s="43" t="n">
        <f aca="false">IF(G344="",H344,p_beta_alloc*G344+(1-p_beta_alloc)*H344)*F344^p_phi</f>
        <v>0.00451061790607293</v>
      </c>
      <c r="J344" s="16" t="n">
        <f aca="false">INDEX(Sector_Params!$C$19:$E$19,MATCH(B344,Sector_Params!$C$15:$E$15,0))*I344/SUMIFS($I$5:$I$1369,$B$5:$B$1369,B344,$C$5:$C$1369,C344)</f>
        <v>1.45179919118298</v>
      </c>
      <c r="K344" s="28" t="n">
        <f aca="false">INDEX(Sector_Params!$F$8:$H$8,MATCH(B344,Sector_Params!$C$15:$E$15,0))</f>
        <v>0.24</v>
      </c>
      <c r="L344" s="16" t="n">
        <f aca="false">J344*K344</f>
        <v>0.348431805883916</v>
      </c>
      <c r="M344" s="44" t="n">
        <f aca="false">Country_Data!$DW$53+Sector_Params!$E$8</f>
        <v>0.07592</v>
      </c>
      <c r="N344" s="44" t="n">
        <f aca="false">Country_Data!$DX$53+Sector_Params!$E$8</f>
        <v>0.12092</v>
      </c>
      <c r="O344" s="11" t="n">
        <f aca="false">IF(p_use_ibrd=1,p_r_ibrd,p_r_wb)</f>
        <v>0.06</v>
      </c>
      <c r="P344" s="45" t="n">
        <f aca="false">Sector_Params!$D$8</f>
        <v>25</v>
      </c>
      <c r="Q344" s="46" t="n">
        <f aca="false">M344/(1-(1+M344)^-P344)</f>
        <v>0.0904357957985562</v>
      </c>
      <c r="R344" s="46" t="n">
        <f aca="false">N344/(1-(1+N344)^-P344)</f>
        <v>0.128314526550995</v>
      </c>
      <c r="S344" s="46" t="n">
        <f aca="false">O344/(1-(1+O344)^-P344)</f>
        <v>0.078226718212274</v>
      </c>
      <c r="T344" s="37" t="n">
        <f aca="false">Country_Data!$CM$53*Sector_Params!$I$8</f>
        <v>0.171396725504753</v>
      </c>
      <c r="U344" s="37" t="n">
        <f aca="false">Country_Data!$CN$53*Sector_Params!$J$8</f>
        <v>0.184856213460437</v>
      </c>
      <c r="V344" s="37" t="n">
        <f aca="false">p_a</f>
        <v>0.35</v>
      </c>
      <c r="W344" s="16" t="n">
        <f aca="false">T344*L344</f>
        <v>0.0597200705902109</v>
      </c>
      <c r="X344" s="16" t="n">
        <f aca="false">U344*L344</f>
        <v>0.0644097842848825</v>
      </c>
      <c r="Y344" s="16" t="n">
        <f aca="false">V344*L344</f>
        <v>0.12195113205937</v>
      </c>
      <c r="Z344" s="16" t="n">
        <f aca="false">Q344*L344</f>
        <v>0.03151070764664</v>
      </c>
      <c r="AA344" s="16" t="n">
        <f aca="false">R344*L344</f>
        <v>0.044708862207303</v>
      </c>
      <c r="AB344" s="16" t="n">
        <f aca="false">S344*L344</f>
        <v>0.0272566766950748</v>
      </c>
      <c r="AC344" s="16" t="n">
        <f aca="false">Z344-W344</f>
        <v>-0.028209362943571</v>
      </c>
      <c r="AD344" s="16" t="n">
        <f aca="false">AA344-W344</f>
        <v>-0.015011208382908</v>
      </c>
      <c r="AE344" s="16" t="n">
        <f aca="false">AB344-W344</f>
        <v>-0.0324633938951361</v>
      </c>
      <c r="AF344" s="16" t="n">
        <f aca="false">AE344-X344</f>
        <v>-0.0968731781800186</v>
      </c>
      <c r="AG344" s="16" t="n">
        <f aca="false">AF344-p_spc_lo*Y344/1000</f>
        <v>-0.102970734782987</v>
      </c>
      <c r="AH344" s="16" t="n">
        <f aca="false">AF344-p_spc_hi*Y344/1000</f>
        <v>-0.109068291385956</v>
      </c>
      <c r="AI344" s="16" t="n">
        <f aca="false">Q344*J344</f>
        <v>0.131294615194333</v>
      </c>
      <c r="AJ344" s="16" t="n">
        <f aca="false">S344*J344</f>
        <v>0.113569486229478</v>
      </c>
      <c r="AK344" s="16" t="n">
        <f aca="false">T344*J344</f>
        <v>0.248833627459212</v>
      </c>
      <c r="AL344" s="16" t="n">
        <f aca="false">U344*J344</f>
        <v>0.26837410118701</v>
      </c>
      <c r="AM344" s="16" t="n">
        <f aca="false">AI344-AJ344</f>
        <v>0.0177251289648549</v>
      </c>
      <c r="AN344" s="16" t="n">
        <f aca="false">J344*Country_Data!$EB$53</f>
        <v>1.66658592083745</v>
      </c>
      <c r="AO344" s="16" t="n">
        <f aca="false">L344*Country_Data!$EB$53</f>
        <v>0.399980621000988</v>
      </c>
    </row>
    <row r="345" customFormat="false" ht="15" hidden="false" customHeight="false" outlineLevel="0" collapsed="false">
      <c r="A345" s="14" t="str">
        <f aca="false">Country_Data!$A$53</f>
        <v>PER</v>
      </c>
      <c r="B345" s="14" t="str">
        <f aca="false">Country_Data!$E$53</f>
        <v>EMDC</v>
      </c>
      <c r="C345" s="35" t="s">
        <v>481</v>
      </c>
      <c r="D345" s="37" t="n">
        <f aca="false">IF(Country_Data!$CC$53="","",Country_Data!$CC$53)</f>
        <v>0.334473160634888</v>
      </c>
      <c r="E345" s="40" t="n">
        <f aca="false">Country_Data!$BW$53</f>
        <v>621.37</v>
      </c>
      <c r="F345" s="41" t="n">
        <f aca="false">Country_Data!$BX$53</f>
        <v>0.475111447285836</v>
      </c>
      <c r="G345" s="42" t="n">
        <f aca="false">IF(D345="","",D345/SUMIFS($D$5:$D$1369,$B$5:$B$1369,B345,$C$5:$C$1369,C345))</f>
        <v>0.00477769266289442</v>
      </c>
      <c r="H345" s="42" t="n">
        <f aca="false">E345/SUMIFS($E$5:$E$1369,$B$5:$B$1369,B345,$C$5:$C$1369,C345)</f>
        <v>0.00769671068025287</v>
      </c>
      <c r="I345" s="43" t="n">
        <f aca="false">IF(G345="",H345,p_beta_alloc*G345+(1-p_beta_alloc)*H345)*F345^p_phi</f>
        <v>0.00429919885877173</v>
      </c>
      <c r="J345" s="16" t="n">
        <f aca="false">INDEX(Sector_Params!$C$20:$E$20,MATCH(B345,Sector_Params!$C$15:$E$15,0))*I345/SUMIFS($I$5:$I$1369,$B$5:$B$1369,B345,$C$5:$C$1369,C345)</f>
        <v>0.784690367646809</v>
      </c>
      <c r="K345" s="28" t="n">
        <f aca="false">INDEX(Sector_Params!$F$9:$H$9,MATCH(B345,Sector_Params!$C$15:$E$15,0))</f>
        <v>0.24</v>
      </c>
      <c r="L345" s="16" t="n">
        <f aca="false">J345*K345</f>
        <v>0.188325688235234</v>
      </c>
      <c r="M345" s="44" t="n">
        <f aca="false">Country_Data!$DW$53+Sector_Params!$E$9</f>
        <v>0.07592</v>
      </c>
      <c r="N345" s="44" t="n">
        <f aca="false">Country_Data!$DX$53+Sector_Params!$E$9</f>
        <v>0.12092</v>
      </c>
      <c r="O345" s="11" t="n">
        <f aca="false">IF(p_use_ibrd=1,p_r_ibrd,p_r_wb)</f>
        <v>0.06</v>
      </c>
      <c r="P345" s="45" t="n">
        <f aca="false">Sector_Params!$D$9</f>
        <v>25</v>
      </c>
      <c r="Q345" s="46" t="n">
        <f aca="false">M345/(1-(1+M345)^-P345)</f>
        <v>0.0904357957985562</v>
      </c>
      <c r="R345" s="46" t="n">
        <f aca="false">N345/(1-(1+N345)^-P345)</f>
        <v>0.128314526550995</v>
      </c>
      <c r="S345" s="46" t="n">
        <f aca="false">O345/(1-(1+O345)^-P345)</f>
        <v>0.078226718212274</v>
      </c>
      <c r="T345" s="37" t="n">
        <f aca="false">Country_Data!$CM$53*Sector_Params!$I$9</f>
        <v>0.171396725504753</v>
      </c>
      <c r="U345" s="37" t="n">
        <f aca="false">Country_Data!$CN$53*Sector_Params!$J$9</f>
        <v>0.184856213460437</v>
      </c>
      <c r="V345" s="37" t="n">
        <f aca="false">p_a</f>
        <v>0.35</v>
      </c>
      <c r="W345" s="16" t="n">
        <f aca="false">T345*L345</f>
        <v>0.0322784062919482</v>
      </c>
      <c r="X345" s="16" t="n">
        <f aca="false">U345*L345</f>
        <v>0.0348131736244961</v>
      </c>
      <c r="Y345" s="16" t="n">
        <f aca="false">V345*L345</f>
        <v>0.065913990882332</v>
      </c>
      <c r="Z345" s="16" t="n">
        <f aca="false">Q345*L345</f>
        <v>0.0170313834848642</v>
      </c>
      <c r="AA345" s="16" t="n">
        <f aca="false">R345*L345</f>
        <v>0.0241649215232944</v>
      </c>
      <c r="AB345" s="16" t="n">
        <f aca="false">S345*L345</f>
        <v>0.0147321005457102</v>
      </c>
      <c r="AC345" s="16" t="n">
        <f aca="false">Z345-W345</f>
        <v>-0.015247022807084</v>
      </c>
      <c r="AD345" s="16" t="n">
        <f aca="false">AA345-W345</f>
        <v>-0.00811348476865371</v>
      </c>
      <c r="AE345" s="16" t="n">
        <f aca="false">AB345-W345</f>
        <v>-0.0175463057462379</v>
      </c>
      <c r="AF345" s="16" t="n">
        <f aca="false">AE345-X345</f>
        <v>-0.052359479370734</v>
      </c>
      <c r="AG345" s="16" t="n">
        <f aca="false">AF345-p_spc_lo*Y345/1000</f>
        <v>-0.0556551789148506</v>
      </c>
      <c r="AH345" s="16" t="n">
        <f aca="false">AF345-p_spc_hi*Y345/1000</f>
        <v>-0.0589508784589672</v>
      </c>
      <c r="AI345" s="16" t="n">
        <f aca="false">Q345*J345</f>
        <v>0.0709640978536009</v>
      </c>
      <c r="AJ345" s="16" t="n">
        <f aca="false">S345*J345</f>
        <v>0.0613837522737926</v>
      </c>
      <c r="AK345" s="16" t="n">
        <f aca="false">T345*J345</f>
        <v>0.134493359549784</v>
      </c>
      <c r="AL345" s="16" t="n">
        <f aca="false">U345*J345</f>
        <v>0.145054890102067</v>
      </c>
      <c r="AM345" s="16" t="n">
        <f aca="false">AI345-AJ345</f>
        <v>0.00958034557980827</v>
      </c>
      <c r="AN345" s="16" t="n">
        <f aca="false">J345*Country_Data!$EB$53</f>
        <v>0.900781545326063</v>
      </c>
      <c r="AO345" s="16" t="n">
        <f aca="false">L345*Country_Data!$EB$53</f>
        <v>0.216187570878255</v>
      </c>
    </row>
    <row r="346" customFormat="false" ht="15" hidden="false" customHeight="false" outlineLevel="0" collapsed="false">
      <c r="A346" s="14" t="str">
        <f aca="false">Country_Data!$A$53</f>
        <v>PER</v>
      </c>
      <c r="B346" s="14" t="str">
        <f aca="false">Country_Data!$E$53</f>
        <v>EMDC</v>
      </c>
      <c r="C346" s="35" t="s">
        <v>484</v>
      </c>
      <c r="D346" s="37" t="n">
        <f aca="false">IF(Country_Data!$CD$53="","",Country_Data!$CD$53)</f>
        <v>0.889902945003246</v>
      </c>
      <c r="E346" s="40" t="n">
        <f aca="false">Country_Data!$BW$53</f>
        <v>621.37</v>
      </c>
      <c r="F346" s="41" t="n">
        <f aca="false">Country_Data!$BX$53</f>
        <v>0.475111447285836</v>
      </c>
      <c r="G346" s="42" t="n">
        <f aca="false">IF(D346="","",D346/SUMIFS($D$5:$D$1369,$B$5:$B$1369,B346,$C$5:$C$1369,C346))</f>
        <v>0.00496954314364478</v>
      </c>
      <c r="H346" s="42" t="n">
        <f aca="false">E346/SUMIFS($E$5:$E$1369,$B$5:$B$1369,B346,$C$5:$C$1369,C346)</f>
        <v>0.00769671068025287</v>
      </c>
      <c r="I346" s="43" t="n">
        <f aca="false">IF(G346="",H346,p_beta_alloc*G346+(1-p_beta_alloc)*H346)*F346^p_phi</f>
        <v>0.00436531852359321</v>
      </c>
      <c r="J346" s="16" t="n">
        <f aca="false">INDEX(Sector_Params!$C$21:$E$21,MATCH(B346,Sector_Params!$C$15:$E$15,0))*I346/SUMIFS($I$5:$I$1369,$B$5:$B$1369,B346,$C$5:$C$1369,C346)</f>
        <v>0.96818323690614</v>
      </c>
      <c r="K346" s="28" t="n">
        <f aca="false">INDEX(Sector_Params!$F$10:$H$10,MATCH(B346,Sector_Params!$C$15:$E$15,0))</f>
        <v>0.24</v>
      </c>
      <c r="L346" s="16" t="n">
        <f aca="false">J346*K346</f>
        <v>0.232363976857474</v>
      </c>
      <c r="M346" s="44" t="n">
        <f aca="false">Country_Data!$DW$53+Sector_Params!$E$10</f>
        <v>0.07592</v>
      </c>
      <c r="N346" s="44" t="n">
        <f aca="false">Country_Data!$DX$53+Sector_Params!$E$10</f>
        <v>0.12092</v>
      </c>
      <c r="O346" s="11" t="n">
        <f aca="false">IF(p_use_ibrd=1,p_r_ibrd,p_r_wb)</f>
        <v>0.06</v>
      </c>
      <c r="P346" s="45" t="n">
        <f aca="false">Sector_Params!$D$10</f>
        <v>20</v>
      </c>
      <c r="Q346" s="46" t="n">
        <f aca="false">M346/(1-(1+M346)^-P346)</f>
        <v>0.0987795332170884</v>
      </c>
      <c r="R346" s="46" t="n">
        <f aca="false">N346/(1-(1+N346)^-P346)</f>
        <v>0.134651529996748</v>
      </c>
      <c r="S346" s="46" t="n">
        <f aca="false">O346/(1-(1+O346)^-P346)</f>
        <v>0.0871845569768514</v>
      </c>
      <c r="T346" s="37" t="n">
        <f aca="false">0*Sector_Params!$I$10</f>
        <v>0</v>
      </c>
      <c r="U346" s="37" t="n">
        <f aca="false">0*Sector_Params!$J$10</f>
        <v>0</v>
      </c>
      <c r="V346" s="37" t="n">
        <f aca="false">1000*p_r_wb/(1-(1+p_r_wb)^-Sector_Params!$D$10)/p_cpt_fuel</f>
        <v>0.871845569768514</v>
      </c>
      <c r="W346" s="16" t="n">
        <f aca="false">T346*L346</f>
        <v>0</v>
      </c>
      <c r="X346" s="16" t="n">
        <f aca="false">U346*L346</f>
        <v>0</v>
      </c>
      <c r="Y346" s="16" t="n">
        <f aca="false">V346*L346</f>
        <v>0.202585503796982</v>
      </c>
      <c r="Z346" s="16" t="n">
        <f aca="false">Q346*L346</f>
        <v>0.0229528051704476</v>
      </c>
      <c r="AA346" s="16" t="n">
        <f aca="false">R346*L346</f>
        <v>0.0312881649999877</v>
      </c>
      <c r="AB346" s="16" t="n">
        <f aca="false">S346*L346</f>
        <v>0.0202585503796982</v>
      </c>
      <c r="AC346" s="16" t="n">
        <f aca="false">Z346-W346</f>
        <v>0.0229528051704476</v>
      </c>
      <c r="AD346" s="16" t="n">
        <f aca="false">AA346-W346</f>
        <v>0.0312881649999877</v>
      </c>
      <c r="AE346" s="16" t="n">
        <f aca="false">AB346-W346</f>
        <v>0.0202585503796982</v>
      </c>
      <c r="AF346" s="16" t="n">
        <f aca="false">AE346-X346</f>
        <v>0.0202585503796982</v>
      </c>
      <c r="AG346" s="16" t="n">
        <f aca="false">AF346-p_spc_lo*Y346/1000</f>
        <v>0.0101292751898491</v>
      </c>
      <c r="AH346" s="16" t="n">
        <f aca="false">AF346-p_spc_hi*Y346/1000</f>
        <v>0</v>
      </c>
      <c r="AI346" s="16" t="n">
        <f aca="false">Q346*J346</f>
        <v>0.0956366882101983</v>
      </c>
      <c r="AJ346" s="16" t="n">
        <f aca="false">S346*J346</f>
        <v>0.0844106265820758</v>
      </c>
      <c r="AK346" s="16" t="n">
        <f aca="false">T346*J346</f>
        <v>0</v>
      </c>
      <c r="AL346" s="16" t="n">
        <f aca="false">U346*J346</f>
        <v>0</v>
      </c>
      <c r="AM346" s="16" t="n">
        <f aca="false">AI346-AJ346</f>
        <v>0.0112260616281225</v>
      </c>
      <c r="AN346" s="16" t="n">
        <f aca="false">J346*Country_Data!$EB$53</f>
        <v>1.11142130483198</v>
      </c>
      <c r="AO346" s="16" t="n">
        <f aca="false">L346*Country_Data!$EB$53</f>
        <v>0.266741113159675</v>
      </c>
    </row>
    <row r="347" customFormat="false" ht="15" hidden="false" customHeight="false" outlineLevel="0" collapsed="false">
      <c r="A347" s="14" t="str">
        <f aca="false">Country_Data!$A$53</f>
        <v>PER</v>
      </c>
      <c r="B347" s="14" t="str">
        <f aca="false">Country_Data!$E$53</f>
        <v>EMDC</v>
      </c>
      <c r="C347" s="35" t="s">
        <v>488</v>
      </c>
      <c r="D347" s="37" t="n">
        <f aca="false">IF(Country_Data!$CE$53="","",Country_Data!$CE$53)</f>
        <v>129.28</v>
      </c>
      <c r="E347" s="40" t="n">
        <f aca="false">Country_Data!$BW$53</f>
        <v>621.37</v>
      </c>
      <c r="F347" s="41" t="n">
        <f aca="false">Country_Data!$BX$53</f>
        <v>0.475111447285836</v>
      </c>
      <c r="G347" s="42" t="n">
        <f aca="false">IF(D347="","",D347/SUMIFS($D$5:$D$1369,$B$5:$B$1369,B347,$C$5:$C$1369,C347))</f>
        <v>0.0105931526346452</v>
      </c>
      <c r="H347" s="42" t="n">
        <f aca="false">E347/SUMIFS($E$5:$E$1369,$B$5:$B$1369,B347,$C$5:$C$1369,C347)</f>
        <v>0.00769671068025287</v>
      </c>
      <c r="I347" s="43" t="n">
        <f aca="false">IF(G347="",H347,p_beta_alloc*G347+(1-p_beta_alloc)*H347)*F347^p_phi</f>
        <v>0.00630344853597319</v>
      </c>
      <c r="J347" s="16" t="n">
        <f aca="false">INDEX(Sector_Params!$C$22:$E$22,MATCH(B347,Sector_Params!$C$15:$E$15,0))*I347/SUMIFS($I$5:$I$1369,$B$5:$B$1369,B347,$C$5:$C$1369,C347)</f>
        <v>3.79977165219077</v>
      </c>
      <c r="K347" s="28" t="n">
        <f aca="false">INDEX(Sector_Params!$F$11:$H$11,MATCH(B347,Sector_Params!$C$15:$E$15,0))</f>
        <v>0.24</v>
      </c>
      <c r="L347" s="16" t="n">
        <f aca="false">J347*K347</f>
        <v>0.911945196525784</v>
      </c>
      <c r="M347" s="44" t="n">
        <f aca="false">Country_Data!$DW$53+Sector_Params!$E$11</f>
        <v>0.07592</v>
      </c>
      <c r="N347" s="44" t="n">
        <f aca="false">Country_Data!$DX$53+Sector_Params!$E$11</f>
        <v>0.12092</v>
      </c>
      <c r="O347" s="11" t="n">
        <f aca="false">IF(p_use_ibrd=1,p_r_ibrd,p_r_wb)</f>
        <v>0.06</v>
      </c>
      <c r="P347" s="45" t="n">
        <f aca="false">Sector_Params!$D$11</f>
        <v>30</v>
      </c>
      <c r="Q347" s="46" t="n">
        <f aca="false">M347/(1-(1+M347)^-P347)</f>
        <v>0.0854307508823607</v>
      </c>
      <c r="R347" s="46" t="n">
        <f aca="false">N347/(1-(1+N347)^-P347)</f>
        <v>0.124990409924935</v>
      </c>
      <c r="S347" s="46" t="n">
        <f aca="false">O347/(1-(1+O347)^-P347)</f>
        <v>0.0726489114900472</v>
      </c>
      <c r="T347" s="37" t="n">
        <f aca="false">0*Sector_Params!$I$11</f>
        <v>0</v>
      </c>
      <c r="U347" s="37" t="n">
        <f aca="false">p_c*Sector_Params!$J$11</f>
        <v>0.129</v>
      </c>
      <c r="V347" s="37" t="n">
        <f aca="false">1000*p_r_wb/(1-(1+p_r_wb)^-Sector_Params!$D$11)/p_cpt_afolu</f>
        <v>1.45297822980094</v>
      </c>
      <c r="W347" s="16" t="n">
        <f aca="false">T347*L347</f>
        <v>0</v>
      </c>
      <c r="X347" s="16" t="n">
        <f aca="false">U347*L347</f>
        <v>0.117640930351826</v>
      </c>
      <c r="Y347" s="16" t="n">
        <f aca="false">V347*L347</f>
        <v>1.32503651732351</v>
      </c>
      <c r="Z347" s="16" t="n">
        <f aca="false">Q347*L347</f>
        <v>0.0779081629027597</v>
      </c>
      <c r="AA347" s="16" t="n">
        <f aca="false">R347*L347</f>
        <v>0.113984403942833</v>
      </c>
      <c r="AB347" s="16" t="n">
        <f aca="false">S347*L347</f>
        <v>0.0662518258661754</v>
      </c>
      <c r="AC347" s="16" t="n">
        <f aca="false">Z347-W347</f>
        <v>0.0779081629027597</v>
      </c>
      <c r="AD347" s="16" t="n">
        <f aca="false">AA347-W347</f>
        <v>0.113984403942833</v>
      </c>
      <c r="AE347" s="16" t="n">
        <f aca="false">AB347-W347</f>
        <v>0.0662518258661754</v>
      </c>
      <c r="AF347" s="16" t="n">
        <f aca="false">AE347-X347</f>
        <v>-0.0513891044856508</v>
      </c>
      <c r="AG347" s="16" t="n">
        <f aca="false">AF347-p_spc_lo*Y347/1000</f>
        <v>-0.117640930351826</v>
      </c>
      <c r="AH347" s="16" t="n">
        <f aca="false">AF347-p_spc_hi*Y347/1000</f>
        <v>-0.183892756218002</v>
      </c>
      <c r="AI347" s="16" t="n">
        <f aca="false">Q347*J347</f>
        <v>0.324617345428166</v>
      </c>
      <c r="AJ347" s="16" t="n">
        <f aca="false">S347*J347</f>
        <v>0.276049274442397</v>
      </c>
      <c r="AK347" s="16" t="n">
        <f aca="false">T347*J347</f>
        <v>0</v>
      </c>
      <c r="AL347" s="16" t="n">
        <f aca="false">U347*J347</f>
        <v>0.490170543132609</v>
      </c>
      <c r="AM347" s="16" t="n">
        <f aca="false">AI347-AJ347</f>
        <v>0.048568070985768</v>
      </c>
      <c r="AN347" s="16" t="n">
        <f aca="false">J347*Country_Data!$EB$53</f>
        <v>4.36192965004913</v>
      </c>
      <c r="AO347" s="16" t="n">
        <f aca="false">L347*Country_Data!$EB$53</f>
        <v>1.04686311601179</v>
      </c>
    </row>
    <row r="348" customFormat="false" ht="15" hidden="false" customHeight="false" outlineLevel="0" collapsed="false">
      <c r="A348" s="14" t="str">
        <f aca="false">Country_Data!$A$54</f>
        <v>KAZ</v>
      </c>
      <c r="B348" s="14" t="str">
        <f aca="false">Country_Data!$E$54</f>
        <v>EMDC</v>
      </c>
      <c r="C348" s="35" t="s">
        <v>466</v>
      </c>
      <c r="D348" s="37" t="n">
        <f aca="false">IF(Country_Data!$BZ$54="","",Country_Data!$BZ$54)</f>
        <v>86.4592000941362</v>
      </c>
      <c r="E348" s="40" t="n">
        <f aca="false">Country_Data!$BW$54</f>
        <v>843.272</v>
      </c>
      <c r="F348" s="41" t="n">
        <f aca="false">Country_Data!$BX$54</f>
        <v>0.345653596941438</v>
      </c>
      <c r="G348" s="42" t="n">
        <f aca="false">IF(D348="","",D348/SUMIFS($D$5:$D$1369,$B$5:$B$1369,B348,$C$5:$C$1369,C348))</f>
        <v>0.00987036691024193</v>
      </c>
      <c r="H348" s="42" t="n">
        <f aca="false">E348/SUMIFS($E$5:$E$1369,$B$5:$B$1369,B348,$C$5:$C$1369,C348)</f>
        <v>0.0104453395058632</v>
      </c>
      <c r="I348" s="43" t="n">
        <f aca="false">IF(G348="",H348,p_beta_alloc*G348+(1-p_beta_alloc)*H348)*F348^p_phi</f>
        <v>0.0059720367670881</v>
      </c>
      <c r="J348" s="16" t="n">
        <f aca="false">INDEX(Sector_Params!$C$16:$E$16,MATCH(B348,Sector_Params!$C$15:$E$15,0))*I348/SUMIFS($I$5:$I$1369,$B$5:$B$1369,B348,$C$5:$C$1369,C348)</f>
        <v>5.77630536531326</v>
      </c>
      <c r="K348" s="28" t="n">
        <f aca="false">INDEX(Sector_Params!$F$5:$H$5,MATCH(B348,Sector_Params!$C$15:$E$15,0))</f>
        <v>0.24</v>
      </c>
      <c r="L348" s="16" t="n">
        <f aca="false">J348*K348</f>
        <v>1.38631328767518</v>
      </c>
      <c r="M348" s="44" t="n">
        <f aca="false">Country_Data!$DW$54+Sector_Params!$E$5</f>
        <v>0.08426</v>
      </c>
      <c r="N348" s="44" t="n">
        <f aca="false">Country_Data!$DX$54+Sector_Params!$E$5</f>
        <v>0.12926</v>
      </c>
      <c r="O348" s="11" t="n">
        <f aca="false">IF(p_use_ibrd=1,p_r_ibrd,p_r_wb)</f>
        <v>0.06</v>
      </c>
      <c r="P348" s="45" t="n">
        <f aca="false">Sector_Params!$D$5</f>
        <v>25</v>
      </c>
      <c r="Q348" s="46" t="n">
        <f aca="false">M348/(1-(1+M348)^-P348)</f>
        <v>0.0971108497943563</v>
      </c>
      <c r="R348" s="46" t="n">
        <f aca="false">N348/(1-(1+N348)^-P348)</f>
        <v>0.135760154769008</v>
      </c>
      <c r="S348" s="46" t="n">
        <f aca="false">O348/(1-(1+O348)^-P348)</f>
        <v>0.078226718212274</v>
      </c>
      <c r="T348" s="37" t="n">
        <f aca="false">IF(AND(p_eng=1,ISNUMBER(Country_Data!$CZ$54)),Country_Data!$CZ$54,Country_Data!$CM$54)*Sector_Params!$I$5</f>
        <v>0.0748365822524128</v>
      </c>
      <c r="U348" s="37" t="n">
        <f aca="false">IF(AND(p_eng=1,ISNUMBER(Country_Data!$DA$54)),Country_Data!$DA$54,Country_Data!$CN$54)*Sector_Params!$J$5</f>
        <v>0.0340023383069699</v>
      </c>
      <c r="V348" s="37" t="n">
        <f aca="false">IF(AND(p_eng=1,ISNUMBER(Country_Data!$DB$54)),Country_Data!$DB$54,p_a)</f>
        <v>1.49358282062975</v>
      </c>
      <c r="W348" s="16" t="n">
        <f aca="false">T348*L348</f>
        <v>0.103746948380717</v>
      </c>
      <c r="X348" s="16" t="n">
        <f aca="false">U348*L348</f>
        <v>0.0471378934069792</v>
      </c>
      <c r="Y348" s="16" t="n">
        <f aca="false">V348*L348</f>
        <v>2.07057371048239</v>
      </c>
      <c r="Z348" s="16" t="n">
        <f aca="false">Q348*L348</f>
        <v>0.134626061447345</v>
      </c>
      <c r="AA348" s="16" t="n">
        <f aca="false">R348*L348</f>
        <v>0.188206106493115</v>
      </c>
      <c r="AB348" s="16" t="n">
        <f aca="false">S348*L348</f>
        <v>0.108446738908898</v>
      </c>
      <c r="AC348" s="16" t="n">
        <f aca="false">Z348-W348</f>
        <v>0.0308791130666283</v>
      </c>
      <c r="AD348" s="16" t="n">
        <f aca="false">AA348-W348</f>
        <v>0.0844591581123988</v>
      </c>
      <c r="AE348" s="16" t="n">
        <f aca="false">AB348-W348</f>
        <v>0.00469979052818102</v>
      </c>
      <c r="AF348" s="16" t="n">
        <f aca="false">AE348-X348</f>
        <v>-0.0424381028787981</v>
      </c>
      <c r="AG348" s="16" t="n">
        <f aca="false">AF348-p_spc_lo*Y348/1000</f>
        <v>-0.145966788402918</v>
      </c>
      <c r="AH348" s="16" t="n">
        <f aca="false">AF348-p_spc_hi*Y348/1000</f>
        <v>-0.249495473927038</v>
      </c>
      <c r="AI348" s="16" t="n">
        <f aca="false">Q348*J348</f>
        <v>0.56094192269727</v>
      </c>
      <c r="AJ348" s="16" t="n">
        <f aca="false">S348*J348</f>
        <v>0.451861412120406</v>
      </c>
      <c r="AK348" s="16" t="n">
        <f aca="false">T348*J348</f>
        <v>0.432278951586319</v>
      </c>
      <c r="AL348" s="16" t="n">
        <f aca="false">U348*J348</f>
        <v>0.196407889195747</v>
      </c>
      <c r="AM348" s="16" t="n">
        <f aca="false">AI348-AJ348</f>
        <v>0.109080510576864</v>
      </c>
      <c r="AN348" s="16" t="n">
        <f aca="false">J348*Country_Data!$EB$54</f>
        <v>6.60935076493667</v>
      </c>
      <c r="AO348" s="16" t="n">
        <f aca="false">L348*Country_Data!$EB$54</f>
        <v>1.5862441835848</v>
      </c>
    </row>
    <row r="349" customFormat="false" ht="15" hidden="false" customHeight="false" outlineLevel="0" collapsed="false">
      <c r="A349" s="14" t="str">
        <f aca="false">Country_Data!$A$54</f>
        <v>KAZ</v>
      </c>
      <c r="B349" s="14" t="str">
        <f aca="false">Country_Data!$E$54</f>
        <v>EMDC</v>
      </c>
      <c r="C349" s="35" t="s">
        <v>470</v>
      </c>
      <c r="D349" s="37" t="n">
        <f aca="false">IF(Country_Data!$BZ$54="","",Country_Data!$BZ$54)</f>
        <v>86.4592000941362</v>
      </c>
      <c r="E349" s="40" t="n">
        <f aca="false">Country_Data!$BW$54</f>
        <v>843.272</v>
      </c>
      <c r="F349" s="41" t="n">
        <f aca="false">Country_Data!$BX$54</f>
        <v>0.345653596941438</v>
      </c>
      <c r="G349" s="42" t="n">
        <f aca="false">IF(D349="","",D349/SUMIFS($D$5:$D$1369,$B$5:$B$1369,B349,$C$5:$C$1369,C349))</f>
        <v>0.00987036691024193</v>
      </c>
      <c r="H349" s="42" t="n">
        <f aca="false">E349/SUMIFS($E$5:$E$1369,$B$5:$B$1369,B349,$C$5:$C$1369,C349)</f>
        <v>0.0104453395058632</v>
      </c>
      <c r="I349" s="43" t="n">
        <f aca="false">IF(G349="",H349,p_beta_alloc*G349+(1-p_beta_alloc)*H349)*F349^p_phi</f>
        <v>0.0059720367670881</v>
      </c>
      <c r="J349" s="16" t="n">
        <f aca="false">INDEX(Sector_Params!$C$17:$E$17,MATCH(B349,Sector_Params!$C$15:$E$15,0))*I349/SUMIFS($I$5:$I$1369,$B$5:$B$1369,B349,$C$5:$C$1369,C349)</f>
        <v>3.96089510764338</v>
      </c>
      <c r="K349" s="28" t="n">
        <f aca="false">INDEX(Sector_Params!$F$6:$H$6,MATCH(B349,Sector_Params!$C$15:$E$15,0))</f>
        <v>0.24</v>
      </c>
      <c r="L349" s="16" t="n">
        <f aca="false">J349*K349</f>
        <v>0.950614825834411</v>
      </c>
      <c r="M349" s="44" t="n">
        <f aca="false">Country_Data!$DW$54+Sector_Params!$E$6</f>
        <v>0.08426</v>
      </c>
      <c r="N349" s="44" t="n">
        <f aca="false">Country_Data!$DX$54+Sector_Params!$E$6</f>
        <v>0.12926</v>
      </c>
      <c r="O349" s="11" t="n">
        <f aca="false">IF(p_use_ibrd=1,p_r_ibrd,p_r_wb)</f>
        <v>0.06</v>
      </c>
      <c r="P349" s="45" t="n">
        <f aca="false">Sector_Params!$D$6</f>
        <v>40</v>
      </c>
      <c r="Q349" s="46" t="n">
        <f aca="false">M349/(1-(1+M349)^-P349)</f>
        <v>0.0877091117156166</v>
      </c>
      <c r="R349" s="46" t="n">
        <f aca="false">N349/(1-(1+N349)^-P349)</f>
        <v>0.13026711015601</v>
      </c>
      <c r="S349" s="46" t="n">
        <f aca="false">O349/(1-(1+O349)^-P349)</f>
        <v>0.0664615359206755</v>
      </c>
      <c r="T349" s="37" t="n">
        <f aca="false">p_grid_credit*IF(AND(p_eng=1,ISNUMBER(Country_Data!$CZ$54)),Country_Data!$CZ$54,Country_Data!$CM$54)*Sector_Params!$I$6</f>
        <v>0</v>
      </c>
      <c r="U349" s="37" t="n">
        <f aca="false">p_grid_credit*IF(AND(p_eng=1,ISNUMBER(Country_Data!$DA$54)),Country_Data!$DA$54,Country_Data!$CN$54)*Sector_Params!$J$6</f>
        <v>0</v>
      </c>
      <c r="V349" s="37" t="n">
        <f aca="false">p_grid_credit*IF(AND(p_eng=1,ISNUMBER(Country_Data!$DB$54)),Country_Data!$DB$54,p_a)</f>
        <v>0</v>
      </c>
      <c r="W349" s="16" t="n">
        <f aca="false">T349*L349</f>
        <v>0</v>
      </c>
      <c r="X349" s="16" t="n">
        <f aca="false">U349*L349</f>
        <v>0</v>
      </c>
      <c r="Y349" s="16" t="n">
        <f aca="false">V349*L349</f>
        <v>0</v>
      </c>
      <c r="Z349" s="16" t="n">
        <f aca="false">Q349*L349</f>
        <v>0.0833775819576317</v>
      </c>
      <c r="AA349" s="16" t="n">
        <f aca="false">R349*L349</f>
        <v>0.123833846232908</v>
      </c>
      <c r="AB349" s="16" t="n">
        <f aca="false">S349*L349</f>
        <v>0.0631793213939204</v>
      </c>
      <c r="AC349" s="16" t="n">
        <f aca="false">Z349-W349</f>
        <v>0.0833775819576317</v>
      </c>
      <c r="AD349" s="16" t="n">
        <f aca="false">AA349-W349</f>
        <v>0.123833846232908</v>
      </c>
      <c r="AE349" s="16" t="n">
        <f aca="false">AB349-W349</f>
        <v>0.0631793213939204</v>
      </c>
      <c r="AF349" s="16" t="n">
        <f aca="false">AE349-X349</f>
        <v>0.0631793213939204</v>
      </c>
      <c r="AG349" s="16" t="n">
        <f aca="false">AF349-p_spc_lo*Y349/1000</f>
        <v>0.0631793213939204</v>
      </c>
      <c r="AH349" s="16" t="n">
        <f aca="false">AF349-p_spc_hi*Y349/1000</f>
        <v>0.0631793213939204</v>
      </c>
      <c r="AI349" s="16" t="n">
        <f aca="false">Q349*J349</f>
        <v>0.347406591490132</v>
      </c>
      <c r="AJ349" s="16" t="n">
        <f aca="false">S349*J349</f>
        <v>0.263247172474668</v>
      </c>
      <c r="AK349" s="16" t="n">
        <f aca="false">T349*J349</f>
        <v>0</v>
      </c>
      <c r="AL349" s="16" t="n">
        <f aca="false">U349*J349</f>
        <v>0</v>
      </c>
      <c r="AM349" s="16" t="n">
        <f aca="false">AI349-AJ349</f>
        <v>0.084159419015464</v>
      </c>
      <c r="AN349" s="16" t="n">
        <f aca="false">J349*Country_Data!$EB$54</f>
        <v>4.53212623881371</v>
      </c>
      <c r="AO349" s="16" t="n">
        <f aca="false">L349*Country_Data!$EB$54</f>
        <v>1.08771029731529</v>
      </c>
    </row>
    <row r="350" customFormat="false" ht="15" hidden="false" customHeight="false" outlineLevel="0" collapsed="false">
      <c r="A350" s="14" t="str">
        <f aca="false">Country_Data!$A$54</f>
        <v>KAZ</v>
      </c>
      <c r="B350" s="14" t="str">
        <f aca="false">Country_Data!$E$54</f>
        <v>EMDC</v>
      </c>
      <c r="C350" s="35" t="s">
        <v>473</v>
      </c>
      <c r="D350" s="37" t="n">
        <f aca="false">IF(Country_Data!$CA$54="","",Country_Data!$CA$54)</f>
        <v>0.489409682981477</v>
      </c>
      <c r="E350" s="40" t="n">
        <f aca="false">Country_Data!$BW$54</f>
        <v>843.272</v>
      </c>
      <c r="F350" s="41" t="n">
        <f aca="false">Country_Data!$BX$54</f>
        <v>0.345653596941438</v>
      </c>
      <c r="G350" s="42" t="n">
        <f aca="false">IF(D350="","",D350/SUMIFS($D$5:$D$1369,$B$5:$B$1369,B350,$C$5:$C$1369,C350))</f>
        <v>0.0113065023934341</v>
      </c>
      <c r="H350" s="42" t="n">
        <f aca="false">E350/SUMIFS($E$5:$E$1369,$B$5:$B$1369,B350,$C$5:$C$1369,C350)</f>
        <v>0.0104453395058632</v>
      </c>
      <c r="I350" s="43" t="n">
        <f aca="false">IF(G350="",H350,p_beta_alloc*G350+(1-p_beta_alloc)*H350)*F350^p_phi</f>
        <v>0.00639420539526557</v>
      </c>
      <c r="J350" s="16" t="n">
        <f aca="false">INDEX(Sector_Params!$C$18:$E$18,MATCH(B350,Sector_Params!$C$15:$E$15,0))*I350/SUMIFS($I$5:$I$1369,$B$5:$B$1369,B350,$C$5:$C$1369,C350)</f>
        <v>2.61827581469696</v>
      </c>
      <c r="K350" s="28" t="n">
        <f aca="false">INDEX(Sector_Params!$F$7:$H$7,MATCH(B350,Sector_Params!$C$15:$E$15,0))</f>
        <v>0.24</v>
      </c>
      <c r="L350" s="16" t="n">
        <f aca="false">J350*K350</f>
        <v>0.62838619552727</v>
      </c>
      <c r="M350" s="44" t="n">
        <f aca="false">Country_Data!$DW$54+Sector_Params!$E$7</f>
        <v>0.08426</v>
      </c>
      <c r="N350" s="44" t="n">
        <f aca="false">Country_Data!$DX$54+Sector_Params!$E$7</f>
        <v>0.12926</v>
      </c>
      <c r="O350" s="11" t="n">
        <f aca="false">IF(p_use_ibrd=1,p_r_ibrd,p_r_wb)</f>
        <v>0.06</v>
      </c>
      <c r="P350" s="45" t="n">
        <f aca="false">Sector_Params!$D$7</f>
        <v>12</v>
      </c>
      <c r="Q350" s="46" t="n">
        <f aca="false">M350/(1-(1+M350)^-P350)</f>
        <v>0.135638561337566</v>
      </c>
      <c r="R350" s="46" t="n">
        <f aca="false">N350/(1-(1+N350)^-P350)</f>
        <v>0.168422777371465</v>
      </c>
      <c r="S350" s="46" t="n">
        <f aca="false">O350/(1-(1+O350)^-P350)</f>
        <v>0.119277029380664</v>
      </c>
      <c r="T350" s="37" t="n">
        <f aca="false">IF(AND(p_eng=1,ISNUMBER(Country_Data!$DE$54)),Country_Data!$DE$54,Country_Data!$CM$54)*Sector_Params!$I$7</f>
        <v>0.1585728</v>
      </c>
      <c r="U350" s="37" t="n">
        <f aca="false">IF(AND(p_eng=1,ISNUMBER(Country_Data!$DF$54)),Country_Data!$DF$54,Country_Data!$CN$54)*Sector_Params!$J$7</f>
        <v>0.095210325</v>
      </c>
      <c r="V350" s="37" t="n">
        <f aca="false">IF(AND(p_eng=1,ISNUMBER(Country_Data!$DG$54)),Country_Data!$DG$54,p_a)</f>
        <v>0.182792579068639</v>
      </c>
      <c r="W350" s="16" t="n">
        <f aca="false">T350*L350</f>
        <v>0.0996449585061067</v>
      </c>
      <c r="X350" s="16" t="n">
        <f aca="false">U350*L350</f>
        <v>0.0598288539016649</v>
      </c>
      <c r="Y350" s="16" t="n">
        <f aca="false">V350*L350</f>
        <v>0.11486433333156</v>
      </c>
      <c r="Z350" s="16" t="n">
        <f aca="false">Q350*L350</f>
        <v>0.0852333995257052</v>
      </c>
      <c r="AA350" s="16" t="n">
        <f aca="false">R350*L350</f>
        <v>0.105834548312591</v>
      </c>
      <c r="AB350" s="16" t="n">
        <f aca="false">S350*L350</f>
        <v>0.0749520387063096</v>
      </c>
      <c r="AC350" s="16" t="n">
        <f aca="false">Z350-W350</f>
        <v>-0.0144115589804015</v>
      </c>
      <c r="AD350" s="16" t="n">
        <f aca="false">AA350-W350</f>
        <v>0.00618958980648447</v>
      </c>
      <c r="AE350" s="16" t="n">
        <f aca="false">AB350-W350</f>
        <v>-0.0246929197997971</v>
      </c>
      <c r="AF350" s="16" t="n">
        <f aca="false">AE350-X350</f>
        <v>-0.0845217737014621</v>
      </c>
      <c r="AG350" s="16" t="n">
        <f aca="false">AF350-p_spc_lo*Y350/1000</f>
        <v>-0.0902649903680401</v>
      </c>
      <c r="AH350" s="16" t="n">
        <f aca="false">AF350-p_spc_hi*Y350/1000</f>
        <v>-0.0960082070346181</v>
      </c>
      <c r="AI350" s="16" t="n">
        <f aca="false">Q350*J350</f>
        <v>0.355139164690438</v>
      </c>
      <c r="AJ350" s="16" t="n">
        <f aca="false">S350*J350</f>
        <v>0.31230016127629</v>
      </c>
      <c r="AK350" s="16" t="n">
        <f aca="false">T350*J350</f>
        <v>0.415187327108778</v>
      </c>
      <c r="AL350" s="16" t="n">
        <f aca="false">U350*J350</f>
        <v>0.249286891256937</v>
      </c>
      <c r="AM350" s="16" t="n">
        <f aca="false">AI350-AJ350</f>
        <v>0.0428390034141483</v>
      </c>
      <c r="AN350" s="16" t="n">
        <f aca="false">J350*Country_Data!$EB$54</f>
        <v>2.99587749681652</v>
      </c>
      <c r="AO350" s="16" t="n">
        <f aca="false">L350*Country_Data!$EB$54</f>
        <v>0.719010599235965</v>
      </c>
    </row>
    <row r="351" customFormat="false" ht="15" hidden="false" customHeight="false" outlineLevel="0" collapsed="false">
      <c r="A351" s="14" t="str">
        <f aca="false">Country_Data!$A$54</f>
        <v>KAZ</v>
      </c>
      <c r="B351" s="14" t="str">
        <f aca="false">Country_Data!$E$54</f>
        <v>EMDC</v>
      </c>
      <c r="C351" s="35" t="s">
        <v>477</v>
      </c>
      <c r="D351" s="37" t="n">
        <f aca="false">IF(Country_Data!$CB$54="","",Country_Data!$CB$54)</f>
        <v>0.520042932723193</v>
      </c>
      <c r="E351" s="40" t="n">
        <f aca="false">Country_Data!$BW$54</f>
        <v>843.272</v>
      </c>
      <c r="F351" s="41" t="n">
        <f aca="false">Country_Data!$BX$54</f>
        <v>0.345653596941438</v>
      </c>
      <c r="G351" s="42" t="n">
        <f aca="false">IF(D351="","",D351/SUMIFS($D$5:$D$1369,$B$5:$B$1369,B351,$C$5:$C$1369,C351))</f>
        <v>0.016398537199657</v>
      </c>
      <c r="H351" s="42" t="n">
        <f aca="false">E351/SUMIFS($E$5:$E$1369,$B$5:$B$1369,B351,$C$5:$C$1369,C351)</f>
        <v>0.0104453395058632</v>
      </c>
      <c r="I351" s="43" t="n">
        <f aca="false">IF(G351="",H351,p_beta_alloc*G351+(1-p_beta_alloc)*H351)*F351^p_phi</f>
        <v>0.00789106789461477</v>
      </c>
      <c r="J351" s="16" t="n">
        <f aca="false">INDEX(Sector_Params!$C$19:$E$19,MATCH(B351,Sector_Params!$C$15:$E$15,0))*I351/SUMIFS($I$5:$I$1369,$B$5:$B$1369,B351,$C$5:$C$1369,C351)</f>
        <v>2.53983960191961</v>
      </c>
      <c r="K351" s="28" t="n">
        <f aca="false">INDEX(Sector_Params!$F$8:$H$8,MATCH(B351,Sector_Params!$C$15:$E$15,0))</f>
        <v>0.24</v>
      </c>
      <c r="L351" s="16" t="n">
        <f aca="false">J351*K351</f>
        <v>0.609561504460706</v>
      </c>
      <c r="M351" s="44" t="n">
        <f aca="false">Country_Data!$DW$54+Sector_Params!$E$8</f>
        <v>0.08426</v>
      </c>
      <c r="N351" s="44" t="n">
        <f aca="false">Country_Data!$DX$54+Sector_Params!$E$8</f>
        <v>0.12926</v>
      </c>
      <c r="O351" s="11" t="n">
        <f aca="false">IF(p_use_ibrd=1,p_r_ibrd,p_r_wb)</f>
        <v>0.06</v>
      </c>
      <c r="P351" s="45" t="n">
        <f aca="false">Sector_Params!$D$8</f>
        <v>25</v>
      </c>
      <c r="Q351" s="46" t="n">
        <f aca="false">M351/(1-(1+M351)^-P351)</f>
        <v>0.0971108497943563</v>
      </c>
      <c r="R351" s="46" t="n">
        <f aca="false">N351/(1-(1+N351)^-P351)</f>
        <v>0.135760154769008</v>
      </c>
      <c r="S351" s="46" t="n">
        <f aca="false">O351/(1-(1+O351)^-P351)</f>
        <v>0.078226718212274</v>
      </c>
      <c r="T351" s="37" t="n">
        <f aca="false">Country_Data!$CM$54*Sector_Params!$I$8</f>
        <v>0.0961511826702492</v>
      </c>
      <c r="U351" s="37" t="n">
        <f aca="false">Country_Data!$CN$54*Sector_Params!$J$8</f>
        <v>0.294526075238473</v>
      </c>
      <c r="V351" s="37" t="n">
        <f aca="false">p_a</f>
        <v>0.35</v>
      </c>
      <c r="W351" s="16" t="n">
        <f aca="false">T351*L351</f>
        <v>0.0586100595641532</v>
      </c>
      <c r="X351" s="16" t="n">
        <f aca="false">U351*L351</f>
        <v>0.17953175752527</v>
      </c>
      <c r="Y351" s="16" t="n">
        <f aca="false">V351*L351</f>
        <v>0.213346526561247</v>
      </c>
      <c r="Z351" s="16" t="n">
        <f aca="false">Q351*L351</f>
        <v>0.0591950357001054</v>
      </c>
      <c r="AA351" s="16" t="n">
        <f aca="false">R351*L351</f>
        <v>0.0827541641868149</v>
      </c>
      <c r="AB351" s="16" t="n">
        <f aca="false">S351*L351</f>
        <v>0.0476839960424974</v>
      </c>
      <c r="AC351" s="16" t="n">
        <f aca="false">Z351-W351</f>
        <v>0.000584976135952174</v>
      </c>
      <c r="AD351" s="16" t="n">
        <f aca="false">AA351-W351</f>
        <v>0.0241441046226616</v>
      </c>
      <c r="AE351" s="16" t="n">
        <f aca="false">AB351-W351</f>
        <v>-0.0109260635216558</v>
      </c>
      <c r="AF351" s="16" t="n">
        <f aca="false">AE351-X351</f>
        <v>-0.190457821046926</v>
      </c>
      <c r="AG351" s="16" t="n">
        <f aca="false">AF351-p_spc_lo*Y351/1000</f>
        <v>-0.201125147374988</v>
      </c>
      <c r="AH351" s="16" t="n">
        <f aca="false">AF351-p_spc_hi*Y351/1000</f>
        <v>-0.211792473703051</v>
      </c>
      <c r="AI351" s="16" t="n">
        <f aca="false">Q351*J351</f>
        <v>0.246645982083773</v>
      </c>
      <c r="AJ351" s="16" t="n">
        <f aca="false">S351*J351</f>
        <v>0.198683316843739</v>
      </c>
      <c r="AK351" s="16" t="n">
        <f aca="false">T351*J351</f>
        <v>0.244208581517305</v>
      </c>
      <c r="AL351" s="16" t="n">
        <f aca="false">U351*J351</f>
        <v>0.748048989688626</v>
      </c>
      <c r="AM351" s="16" t="n">
        <f aca="false">AI351-AJ351</f>
        <v>0.0479626652400334</v>
      </c>
      <c r="AN351" s="16" t="n">
        <f aca="false">J351*Country_Data!$EB$54</f>
        <v>2.90612939484951</v>
      </c>
      <c r="AO351" s="16" t="n">
        <f aca="false">L351*Country_Data!$EB$54</f>
        <v>0.697471054763882</v>
      </c>
    </row>
    <row r="352" customFormat="false" ht="15" hidden="false" customHeight="false" outlineLevel="0" collapsed="false">
      <c r="A352" s="14" t="str">
        <f aca="false">Country_Data!$A$54</f>
        <v>KAZ</v>
      </c>
      <c r="B352" s="14" t="str">
        <f aca="false">Country_Data!$E$54</f>
        <v>EMDC</v>
      </c>
      <c r="C352" s="35" t="s">
        <v>481</v>
      </c>
      <c r="D352" s="37" t="n">
        <f aca="false">IF(Country_Data!$CC$54="","",Country_Data!$CC$54)</f>
        <v>1.11005059685175</v>
      </c>
      <c r="E352" s="40" t="n">
        <f aca="false">Country_Data!$BW$54</f>
        <v>843.272</v>
      </c>
      <c r="F352" s="41" t="n">
        <f aca="false">Country_Data!$BX$54</f>
        <v>0.345653596941438</v>
      </c>
      <c r="G352" s="42" t="n">
        <f aca="false">IF(D352="","",D352/SUMIFS($D$5:$D$1369,$B$5:$B$1369,B352,$C$5:$C$1369,C352))</f>
        <v>0.0158562217128372</v>
      </c>
      <c r="H352" s="42" t="n">
        <f aca="false">E352/SUMIFS($E$5:$E$1369,$B$5:$B$1369,B352,$C$5:$C$1369,C352)</f>
        <v>0.0104453395058632</v>
      </c>
      <c r="I352" s="43" t="n">
        <f aca="false">IF(G352="",H352,p_beta_alloc*G352+(1-p_beta_alloc)*H352)*F352^p_phi</f>
        <v>0.00773164798765638</v>
      </c>
      <c r="J352" s="16" t="n">
        <f aca="false">INDEX(Sector_Params!$C$20:$E$20,MATCH(B352,Sector_Params!$C$15:$E$15,0))*I352/SUMIFS($I$5:$I$1369,$B$5:$B$1369,B352,$C$5:$C$1369,C352)</f>
        <v>1.41118145525446</v>
      </c>
      <c r="K352" s="28" t="n">
        <f aca="false">INDEX(Sector_Params!$F$9:$H$9,MATCH(B352,Sector_Params!$C$15:$E$15,0))</f>
        <v>0.24</v>
      </c>
      <c r="L352" s="16" t="n">
        <f aca="false">J352*K352</f>
        <v>0.33868354926107</v>
      </c>
      <c r="M352" s="44" t="n">
        <f aca="false">Country_Data!$DW$54+Sector_Params!$E$9</f>
        <v>0.08426</v>
      </c>
      <c r="N352" s="44" t="n">
        <f aca="false">Country_Data!$DX$54+Sector_Params!$E$9</f>
        <v>0.12926</v>
      </c>
      <c r="O352" s="11" t="n">
        <f aca="false">IF(p_use_ibrd=1,p_r_ibrd,p_r_wb)</f>
        <v>0.06</v>
      </c>
      <c r="P352" s="45" t="n">
        <f aca="false">Sector_Params!$D$9</f>
        <v>25</v>
      </c>
      <c r="Q352" s="46" t="n">
        <f aca="false">M352/(1-(1+M352)^-P352)</f>
        <v>0.0971108497943563</v>
      </c>
      <c r="R352" s="46" t="n">
        <f aca="false">N352/(1-(1+N352)^-P352)</f>
        <v>0.135760154769008</v>
      </c>
      <c r="S352" s="46" t="n">
        <f aca="false">O352/(1-(1+O352)^-P352)</f>
        <v>0.078226718212274</v>
      </c>
      <c r="T352" s="37" t="n">
        <f aca="false">Country_Data!$CM$54*Sector_Params!$I$9</f>
        <v>0.0961511826702492</v>
      </c>
      <c r="U352" s="37" t="n">
        <f aca="false">Country_Data!$CN$54*Sector_Params!$J$9</f>
        <v>0.294526075238473</v>
      </c>
      <c r="V352" s="37" t="n">
        <f aca="false">p_a</f>
        <v>0.35</v>
      </c>
      <c r="W352" s="16" t="n">
        <f aca="false">T352*L352</f>
        <v>0.0325648238124095</v>
      </c>
      <c r="X352" s="16" t="n">
        <f aca="false">U352*L352</f>
        <v>0.0997511365116988</v>
      </c>
      <c r="Y352" s="16" t="n">
        <f aca="false">V352*L352</f>
        <v>0.118539242241374</v>
      </c>
      <c r="Z352" s="16" t="n">
        <f aca="false">Q352*L352</f>
        <v>0.0328898472801112</v>
      </c>
      <c r="AA352" s="16" t="n">
        <f aca="false">R352*L352</f>
        <v>0.0459797310653999</v>
      </c>
      <c r="AB352" s="16" t="n">
        <f aca="false">S352*L352</f>
        <v>0.0264941025711785</v>
      </c>
      <c r="AC352" s="16" t="n">
        <f aca="false">Z352-W352</f>
        <v>0.000325023467701739</v>
      </c>
      <c r="AD352" s="16" t="n">
        <f aca="false">AA352-W352</f>
        <v>0.0134149072529904</v>
      </c>
      <c r="AE352" s="16" t="n">
        <f aca="false">AB352-W352</f>
        <v>-0.00607072124123096</v>
      </c>
      <c r="AF352" s="16" t="n">
        <f aca="false">AE352-X352</f>
        <v>-0.10582185775293</v>
      </c>
      <c r="AG352" s="16" t="n">
        <f aca="false">AF352-p_spc_lo*Y352/1000</f>
        <v>-0.111748819864998</v>
      </c>
      <c r="AH352" s="16" t="n">
        <f aca="false">AF352-p_spc_hi*Y352/1000</f>
        <v>-0.117675781977067</v>
      </c>
      <c r="AI352" s="16" t="n">
        <f aca="false">Q352*J352</f>
        <v>0.137041030333797</v>
      </c>
      <c r="AJ352" s="16" t="n">
        <f aca="false">S352*J352</f>
        <v>0.110392094046577</v>
      </c>
      <c r="AK352" s="16" t="n">
        <f aca="false">T352*J352</f>
        <v>0.13568676588504</v>
      </c>
      <c r="AL352" s="16" t="n">
        <f aca="false">U352*J352</f>
        <v>0.415629735465412</v>
      </c>
      <c r="AM352" s="16" t="n">
        <f aca="false">AI352-AJ352</f>
        <v>0.0266489362872196</v>
      </c>
      <c r="AN352" s="16" t="n">
        <f aca="false">J352*Country_Data!$EB$54</f>
        <v>1.61469878077415</v>
      </c>
      <c r="AO352" s="16" t="n">
        <f aca="false">L352*Country_Data!$EB$54</f>
        <v>0.387527707385796</v>
      </c>
    </row>
    <row r="353" customFormat="false" ht="15" hidden="false" customHeight="false" outlineLevel="0" collapsed="false">
      <c r="A353" s="14" t="str">
        <f aca="false">Country_Data!$A$54</f>
        <v>KAZ</v>
      </c>
      <c r="B353" s="14" t="str">
        <f aca="false">Country_Data!$E$54</f>
        <v>EMDC</v>
      </c>
      <c r="C353" s="35" t="s">
        <v>484</v>
      </c>
      <c r="D353" s="37" t="n">
        <f aca="false">IF(Country_Data!$CD$54="","",Country_Data!$CD$54)</f>
        <v>2.72636222887242</v>
      </c>
      <c r="E353" s="40" t="n">
        <f aca="false">Country_Data!$BW$54</f>
        <v>843.272</v>
      </c>
      <c r="F353" s="41" t="n">
        <f aca="false">Country_Data!$BX$54</f>
        <v>0.345653596941438</v>
      </c>
      <c r="G353" s="42" t="n">
        <f aca="false">IF(D353="","",D353/SUMIFS($D$5:$D$1369,$B$5:$B$1369,B353,$C$5:$C$1369,C353))</f>
        <v>0.0152250026788434</v>
      </c>
      <c r="H353" s="42" t="n">
        <f aca="false">E353/SUMIFS($E$5:$E$1369,$B$5:$B$1369,B353,$C$5:$C$1369,C353)</f>
        <v>0.0104453395058632</v>
      </c>
      <c r="I353" s="43" t="n">
        <f aca="false">IF(G353="",H353,p_beta_alloc*G353+(1-p_beta_alloc)*H353)*F353^p_phi</f>
        <v>0.00754609385520898</v>
      </c>
      <c r="J353" s="16" t="n">
        <f aca="false">INDEX(Sector_Params!$C$21:$E$21,MATCH(B353,Sector_Params!$C$15:$E$15,0))*I353/SUMIFS($I$5:$I$1369,$B$5:$B$1369,B353,$C$5:$C$1369,C353)</f>
        <v>1.67364684506917</v>
      </c>
      <c r="K353" s="28" t="n">
        <f aca="false">INDEX(Sector_Params!$F$10:$H$10,MATCH(B353,Sector_Params!$C$15:$E$15,0))</f>
        <v>0.24</v>
      </c>
      <c r="L353" s="16" t="n">
        <f aca="false">J353*K353</f>
        <v>0.4016752428166</v>
      </c>
      <c r="M353" s="44" t="n">
        <f aca="false">Country_Data!$DW$54+Sector_Params!$E$10</f>
        <v>0.08426</v>
      </c>
      <c r="N353" s="44" t="n">
        <f aca="false">Country_Data!$DX$54+Sector_Params!$E$10</f>
        <v>0.12926</v>
      </c>
      <c r="O353" s="11" t="n">
        <f aca="false">IF(p_use_ibrd=1,p_r_ibrd,p_r_wb)</f>
        <v>0.06</v>
      </c>
      <c r="P353" s="45" t="n">
        <f aca="false">Sector_Params!$D$10</f>
        <v>20</v>
      </c>
      <c r="Q353" s="46" t="n">
        <f aca="false">M353/(1-(1+M353)^-P353)</f>
        <v>0.105102171388505</v>
      </c>
      <c r="R353" s="46" t="n">
        <f aca="false">N353/(1-(1+N353)^-P353)</f>
        <v>0.141721075828747</v>
      </c>
      <c r="S353" s="46" t="n">
        <f aca="false">O353/(1-(1+O353)^-P353)</f>
        <v>0.0871845569768514</v>
      </c>
      <c r="T353" s="37" t="n">
        <f aca="false">0*Sector_Params!$I$10</f>
        <v>0</v>
      </c>
      <c r="U353" s="37" t="n">
        <f aca="false">0*Sector_Params!$J$10</f>
        <v>0</v>
      </c>
      <c r="V353" s="37" t="n">
        <f aca="false">1000*p_r_wb/(1-(1+p_r_wb)^-Sector_Params!$D$10)/p_cpt_fuel</f>
        <v>0.871845569768514</v>
      </c>
      <c r="W353" s="16" t="n">
        <f aca="false">T353*L353</f>
        <v>0</v>
      </c>
      <c r="X353" s="16" t="n">
        <f aca="false">U353*L353</f>
        <v>0</v>
      </c>
      <c r="Y353" s="16" t="n">
        <f aca="false">V353*L353</f>
        <v>0.350198780935345</v>
      </c>
      <c r="Z353" s="16" t="n">
        <f aca="false">Q353*L353</f>
        <v>0.0422169402130297</v>
      </c>
      <c r="AA353" s="16" t="n">
        <f aca="false">R353*L353</f>
        <v>0.0569258475457416</v>
      </c>
      <c r="AB353" s="16" t="n">
        <f aca="false">S353*L353</f>
        <v>0.0350198780935345</v>
      </c>
      <c r="AC353" s="16" t="n">
        <f aca="false">Z353-W353</f>
        <v>0.0422169402130297</v>
      </c>
      <c r="AD353" s="16" t="n">
        <f aca="false">AA353-W353</f>
        <v>0.0569258475457416</v>
      </c>
      <c r="AE353" s="16" t="n">
        <f aca="false">AB353-W353</f>
        <v>0.0350198780935345</v>
      </c>
      <c r="AF353" s="16" t="n">
        <f aca="false">AE353-X353</f>
        <v>0.0350198780935345</v>
      </c>
      <c r="AG353" s="16" t="n">
        <f aca="false">AF353-p_spc_lo*Y353/1000</f>
        <v>0.0175099390467672</v>
      </c>
      <c r="AH353" s="16" t="n">
        <f aca="false">AF353-p_spc_hi*Y353/1000</f>
        <v>0</v>
      </c>
      <c r="AI353" s="16" t="n">
        <f aca="false">Q353*J353</f>
        <v>0.17590391755429</v>
      </c>
      <c r="AJ353" s="16" t="n">
        <f aca="false">S353*J353</f>
        <v>0.14591615872306</v>
      </c>
      <c r="AK353" s="16" t="n">
        <f aca="false">T353*J353</f>
        <v>0</v>
      </c>
      <c r="AL353" s="16" t="n">
        <f aca="false">U353*J353</f>
        <v>0</v>
      </c>
      <c r="AM353" s="16" t="n">
        <f aca="false">AI353-AJ353</f>
        <v>0.0299877588312299</v>
      </c>
      <c r="AN353" s="16" t="n">
        <f aca="false">J353*Country_Data!$EB$54</f>
        <v>1.91501632204513</v>
      </c>
      <c r="AO353" s="16" t="n">
        <f aca="false">L353*Country_Data!$EB$54</f>
        <v>0.459603917290831</v>
      </c>
    </row>
    <row r="354" customFormat="false" ht="15" hidden="false" customHeight="false" outlineLevel="0" collapsed="false">
      <c r="A354" s="14" t="str">
        <f aca="false">Country_Data!$A$54</f>
        <v>KAZ</v>
      </c>
      <c r="B354" s="14" t="str">
        <f aca="false">Country_Data!$E$54</f>
        <v>EMDC</v>
      </c>
      <c r="C354" s="35" t="s">
        <v>488</v>
      </c>
      <c r="D354" s="37" t="n">
        <f aca="false">IF(Country_Data!$CE$54="","",Country_Data!$CE$54)</f>
        <v>88.472</v>
      </c>
      <c r="E354" s="40" t="n">
        <f aca="false">Country_Data!$BW$54</f>
        <v>843.272</v>
      </c>
      <c r="F354" s="41" t="n">
        <f aca="false">Country_Data!$BX$54</f>
        <v>0.345653596941438</v>
      </c>
      <c r="G354" s="42" t="n">
        <f aca="false">IF(D354="","",D354/SUMIFS($D$5:$D$1369,$B$5:$B$1369,B354,$C$5:$C$1369,C354))</f>
        <v>0.00724936107589984</v>
      </c>
      <c r="H354" s="42" t="n">
        <f aca="false">E354/SUMIFS($E$5:$E$1369,$B$5:$B$1369,B354,$C$5:$C$1369,C354)</f>
        <v>0.0104453395058632</v>
      </c>
      <c r="I354" s="43" t="n">
        <f aca="false">IF(G354="",H354,p_beta_alloc*G354+(1-p_beta_alloc)*H354)*F354^p_phi</f>
        <v>0.00520156180112606</v>
      </c>
      <c r="J354" s="16" t="n">
        <f aca="false">INDEX(Sector_Params!$C$22:$E$22,MATCH(B354,Sector_Params!$C$15:$E$15,0))*I354/SUMIFS($I$5:$I$1369,$B$5:$B$1369,B354,$C$5:$C$1369,C354)</f>
        <v>3.13554508555779</v>
      </c>
      <c r="K354" s="28" t="n">
        <f aca="false">INDEX(Sector_Params!$F$11:$H$11,MATCH(B354,Sector_Params!$C$15:$E$15,0))</f>
        <v>0.24</v>
      </c>
      <c r="L354" s="16" t="n">
        <f aca="false">J354*K354</f>
        <v>0.752530820533869</v>
      </c>
      <c r="M354" s="44" t="n">
        <f aca="false">Country_Data!$DW$54+Sector_Params!$E$11</f>
        <v>0.08426</v>
      </c>
      <c r="N354" s="44" t="n">
        <f aca="false">Country_Data!$DX$54+Sector_Params!$E$11</f>
        <v>0.12926</v>
      </c>
      <c r="O354" s="11" t="n">
        <f aca="false">IF(p_use_ibrd=1,p_r_ibrd,p_r_wb)</f>
        <v>0.06</v>
      </c>
      <c r="P354" s="45" t="n">
        <f aca="false">Sector_Params!$D$11</f>
        <v>30</v>
      </c>
      <c r="Q354" s="46" t="n">
        <f aca="false">M354/(1-(1+M354)^-P354)</f>
        <v>0.0924214987491502</v>
      </c>
      <c r="R354" s="46" t="n">
        <f aca="false">N354/(1-(1+N354)^-P354)</f>
        <v>0.132720342945679</v>
      </c>
      <c r="S354" s="46" t="n">
        <f aca="false">O354/(1-(1+O354)^-P354)</f>
        <v>0.0726489114900472</v>
      </c>
      <c r="T354" s="37" t="n">
        <f aca="false">0*Sector_Params!$I$11</f>
        <v>0</v>
      </c>
      <c r="U354" s="37" t="n">
        <f aca="false">p_c*Sector_Params!$J$11</f>
        <v>0.129</v>
      </c>
      <c r="V354" s="37" t="n">
        <f aca="false">1000*p_r_wb/(1-(1+p_r_wb)^-Sector_Params!$D$11)/p_cpt_afolu</f>
        <v>1.45297822980094</v>
      </c>
      <c r="W354" s="16" t="n">
        <f aca="false">T354*L354</f>
        <v>0</v>
      </c>
      <c r="X354" s="16" t="n">
        <f aca="false">U354*L354</f>
        <v>0.0970764758488691</v>
      </c>
      <c r="Y354" s="16" t="n">
        <f aca="false">V354*L354</f>
        <v>1.09341089948995</v>
      </c>
      <c r="Z354" s="16" t="n">
        <f aca="false">Q354*L354</f>
        <v>0.069550026288668</v>
      </c>
      <c r="AA354" s="16" t="n">
        <f aca="false">R354*L354</f>
        <v>0.0998761485784481</v>
      </c>
      <c r="AB354" s="16" t="n">
        <f aca="false">S354*L354</f>
        <v>0.0546705449744976</v>
      </c>
      <c r="AC354" s="16" t="n">
        <f aca="false">Z354-W354</f>
        <v>0.069550026288668</v>
      </c>
      <c r="AD354" s="16" t="n">
        <f aca="false">AA354-W354</f>
        <v>0.0998761485784481</v>
      </c>
      <c r="AE354" s="16" t="n">
        <f aca="false">AB354-W354</f>
        <v>0.0546705449744976</v>
      </c>
      <c r="AF354" s="16" t="n">
        <f aca="false">AE354-X354</f>
        <v>-0.0424059308743715</v>
      </c>
      <c r="AG354" s="16" t="n">
        <f aca="false">AF354-p_spc_lo*Y354/1000</f>
        <v>-0.0970764758488691</v>
      </c>
      <c r="AH354" s="16" t="n">
        <f aca="false">AF354-p_spc_hi*Y354/1000</f>
        <v>-0.151747020823367</v>
      </c>
      <c r="AI354" s="16" t="n">
        <f aca="false">Q354*J354</f>
        <v>0.289791776202783</v>
      </c>
      <c r="AJ354" s="16" t="n">
        <f aca="false">S354*J354</f>
        <v>0.22779393739374</v>
      </c>
      <c r="AK354" s="16" t="n">
        <f aca="false">T354*J354</f>
        <v>0</v>
      </c>
      <c r="AL354" s="16" t="n">
        <f aca="false">U354*J354</f>
        <v>0.404485316036955</v>
      </c>
      <c r="AM354" s="16" t="n">
        <f aca="false">AI354-AJ354</f>
        <v>0.0619978388090429</v>
      </c>
      <c r="AN354" s="16" t="n">
        <f aca="false">J354*Country_Data!$EB$54</f>
        <v>3.58774614551578</v>
      </c>
      <c r="AO354" s="16" t="n">
        <f aca="false">L354*Country_Data!$EB$54</f>
        <v>0.861059074923787</v>
      </c>
    </row>
    <row r="355" customFormat="false" ht="15" hidden="false" customHeight="false" outlineLevel="0" collapsed="false">
      <c r="A355" s="14" t="str">
        <f aca="false">Country_Data!$A$55</f>
        <v>IRQ</v>
      </c>
      <c r="B355" s="14" t="str">
        <f aca="false">Country_Data!$E$55</f>
        <v>EMDC</v>
      </c>
      <c r="C355" s="35" t="s">
        <v>466</v>
      </c>
      <c r="D355" s="37" t="n">
        <f aca="false">IF(Country_Data!$BZ$55="","",Country_Data!$BZ$55)</f>
        <v>60.1857447121559</v>
      </c>
      <c r="E355" s="40" t="n">
        <f aca="false">Country_Data!$BW$55</f>
        <v>682.72</v>
      </c>
      <c r="F355" s="41" t="n">
        <f aca="false">Country_Data!$BX$55</f>
        <v>0.419678638387626</v>
      </c>
      <c r="G355" s="42" t="n">
        <f aca="false">IF(D355="","",D355/SUMIFS($D$5:$D$1369,$B$5:$B$1369,B355,$C$5:$C$1369,C355))</f>
        <v>0.00687093313873282</v>
      </c>
      <c r="H355" s="42" t="n">
        <f aca="false">E355/SUMIFS($E$5:$E$1369,$B$5:$B$1369,B355,$C$5:$C$1369,C355)</f>
        <v>0.00845663343196846</v>
      </c>
      <c r="I355" s="43" t="n">
        <f aca="false">IF(G355="",H355,p_beta_alloc*G355+(1-p_beta_alloc)*H355)*F355^p_phi</f>
        <v>0.00496479873375593</v>
      </c>
      <c r="J355" s="16" t="n">
        <f aca="false">INDEX(Sector_Params!$C$16:$E$16,MATCH(B355,Sector_Params!$C$15:$E$15,0))*I355/SUMIFS($I$5:$I$1369,$B$5:$B$1369,B355,$C$5:$C$1369,C355)</f>
        <v>4.80207920378863</v>
      </c>
      <c r="K355" s="28" t="n">
        <f aca="false">INDEX(Sector_Params!$F$5:$H$5,MATCH(B355,Sector_Params!$C$15:$E$15,0))</f>
        <v>0.24</v>
      </c>
      <c r="L355" s="16" t="n">
        <f aca="false">J355*K355</f>
        <v>1.15249900890927</v>
      </c>
      <c r="M355" s="44" t="n">
        <f aca="false">Country_Data!$DW$55+Sector_Params!$E$5</f>
        <v>0.11792</v>
      </c>
      <c r="N355" s="44" t="n">
        <f aca="false">Country_Data!$DX$55+Sector_Params!$E$5</f>
        <v>0.16292</v>
      </c>
      <c r="O355" s="11" t="n">
        <f aca="false">IF(p_use_ibrd=1,p_r_ibrd,p_r_wb)</f>
        <v>0.06</v>
      </c>
      <c r="P355" s="45" t="n">
        <f aca="false">Sector_Params!$D$5</f>
        <v>25</v>
      </c>
      <c r="Q355" s="46" t="n">
        <f aca="false">M355/(1-(1+M355)^-P355)</f>
        <v>0.125663570325489</v>
      </c>
      <c r="R355" s="46" t="n">
        <f aca="false">N355/(1-(1+N355)^-P355)</f>
        <v>0.166751093037718</v>
      </c>
      <c r="S355" s="46" t="n">
        <f aca="false">O355/(1-(1+O355)^-P355)</f>
        <v>0.078226718212274</v>
      </c>
      <c r="T355" s="37" t="n">
        <f aca="false">IF(AND(p_eng=1,ISNUMBER(Country_Data!$CZ$55)),Country_Data!$CZ$55,Country_Data!$CM$55)*Sector_Params!$I$5</f>
        <v>0.197874006634601</v>
      </c>
      <c r="U355" s="37" t="n">
        <f aca="false">IF(AND(p_eng=1,ISNUMBER(Country_Data!$DA$55)),Country_Data!$DA$55,Country_Data!$CN$55)*Sector_Params!$J$5</f>
        <v>0.0568632174012489</v>
      </c>
      <c r="V355" s="37" t="n">
        <f aca="false">IF(AND(p_eng=1,ISNUMBER(Country_Data!$DB$55)),Country_Data!$DB$55,p_a)</f>
        <v>1.36219245932152</v>
      </c>
      <c r="W355" s="16" t="n">
        <f aca="false">T355*L355</f>
        <v>0.228049596535285</v>
      </c>
      <c r="X355" s="16" t="n">
        <f aca="false">U355*L355</f>
        <v>0.0655348016983318</v>
      </c>
      <c r="Y355" s="16" t="n">
        <f aca="false">V355*L355</f>
        <v>1.56992545931173</v>
      </c>
      <c r="Z355" s="16" t="n">
        <f aca="false">Q355*L355</f>
        <v>0.144827140256127</v>
      </c>
      <c r="AA355" s="16" t="n">
        <f aca="false">R355*L355</f>
        <v>0.192180469460507</v>
      </c>
      <c r="AB355" s="16" t="n">
        <f aca="false">S355*L355</f>
        <v>0.0901562152098706</v>
      </c>
      <c r="AC355" s="16" t="n">
        <f aca="false">Z355-W355</f>
        <v>-0.0832224562791579</v>
      </c>
      <c r="AD355" s="16" t="n">
        <f aca="false">AA355-W355</f>
        <v>-0.0358691270747772</v>
      </c>
      <c r="AE355" s="16" t="n">
        <f aca="false">AB355-W355</f>
        <v>-0.137893381325414</v>
      </c>
      <c r="AF355" s="16" t="n">
        <f aca="false">AE355-X355</f>
        <v>-0.203428183023746</v>
      </c>
      <c r="AG355" s="16" t="n">
        <f aca="false">AF355-p_spc_lo*Y355/1000</f>
        <v>-0.281924455989332</v>
      </c>
      <c r="AH355" s="16" t="n">
        <f aca="false">AF355-p_spc_hi*Y355/1000</f>
        <v>-0.360420728954919</v>
      </c>
      <c r="AI355" s="16" t="n">
        <f aca="false">Q355*J355</f>
        <v>0.603446417733861</v>
      </c>
      <c r="AJ355" s="16" t="n">
        <f aca="false">S355*J355</f>
        <v>0.375650896707794</v>
      </c>
      <c r="AK355" s="16" t="n">
        <f aca="false">T355*J355</f>
        <v>0.950206652230352</v>
      </c>
      <c r="AL355" s="16" t="n">
        <f aca="false">U355*J355</f>
        <v>0.273061673743049</v>
      </c>
      <c r="AM355" s="16" t="n">
        <f aca="false">AI355-AJ355</f>
        <v>0.227795521026067</v>
      </c>
      <c r="AN355" s="16" t="n">
        <f aca="false">J355*Country_Data!$EB$55</f>
        <v>5.51252379832175</v>
      </c>
      <c r="AO355" s="16" t="n">
        <f aca="false">L355*Country_Data!$EB$55</f>
        <v>1.32300571159722</v>
      </c>
    </row>
    <row r="356" customFormat="false" ht="15" hidden="false" customHeight="false" outlineLevel="0" collapsed="false">
      <c r="A356" s="14" t="str">
        <f aca="false">Country_Data!$A$55</f>
        <v>IRQ</v>
      </c>
      <c r="B356" s="14" t="str">
        <f aca="false">Country_Data!$E$55</f>
        <v>EMDC</v>
      </c>
      <c r="C356" s="35" t="s">
        <v>470</v>
      </c>
      <c r="D356" s="37" t="n">
        <f aca="false">IF(Country_Data!$BZ$55="","",Country_Data!$BZ$55)</f>
        <v>60.1857447121559</v>
      </c>
      <c r="E356" s="40" t="n">
        <f aca="false">Country_Data!$BW$55</f>
        <v>682.72</v>
      </c>
      <c r="F356" s="41" t="n">
        <f aca="false">Country_Data!$BX$55</f>
        <v>0.419678638387626</v>
      </c>
      <c r="G356" s="42" t="n">
        <f aca="false">IF(D356="","",D356/SUMIFS($D$5:$D$1369,$B$5:$B$1369,B356,$C$5:$C$1369,C356))</f>
        <v>0.00687093313873282</v>
      </c>
      <c r="H356" s="42" t="n">
        <f aca="false">E356/SUMIFS($E$5:$E$1369,$B$5:$B$1369,B356,$C$5:$C$1369,C356)</f>
        <v>0.00845663343196846</v>
      </c>
      <c r="I356" s="43" t="n">
        <f aca="false">IF(G356="",H356,p_beta_alloc*G356+(1-p_beta_alloc)*H356)*F356^p_phi</f>
        <v>0.00496479873375593</v>
      </c>
      <c r="J356" s="16" t="n">
        <f aca="false">INDEX(Sector_Params!$C$17:$E$17,MATCH(B356,Sector_Params!$C$15:$E$15,0))*I356/SUMIFS($I$5:$I$1369,$B$5:$B$1369,B356,$C$5:$C$1369,C356)</f>
        <v>3.29285431116935</v>
      </c>
      <c r="K356" s="28" t="n">
        <f aca="false">INDEX(Sector_Params!$F$6:$H$6,MATCH(B356,Sector_Params!$C$15:$E$15,0))</f>
        <v>0.24</v>
      </c>
      <c r="L356" s="16" t="n">
        <f aca="false">J356*K356</f>
        <v>0.790285034680644</v>
      </c>
      <c r="M356" s="44" t="n">
        <f aca="false">Country_Data!$DW$55+Sector_Params!$E$6</f>
        <v>0.11792</v>
      </c>
      <c r="N356" s="44" t="n">
        <f aca="false">Country_Data!$DX$55+Sector_Params!$E$6</f>
        <v>0.16292</v>
      </c>
      <c r="O356" s="11" t="n">
        <f aca="false">IF(p_use_ibrd=1,p_r_ibrd,p_r_wb)</f>
        <v>0.06</v>
      </c>
      <c r="P356" s="45" t="n">
        <f aca="false">Sector_Params!$D$6</f>
        <v>40</v>
      </c>
      <c r="Q356" s="46" t="n">
        <f aca="false">M356/(1-(1+M356)^-P356)</f>
        <v>0.119301068748236</v>
      </c>
      <c r="R356" s="46" t="n">
        <f aca="false">N356/(1-(1+N356)^-P356)</f>
        <v>0.163309959123338</v>
      </c>
      <c r="S356" s="46" t="n">
        <f aca="false">O356/(1-(1+O356)^-P356)</f>
        <v>0.0664615359206755</v>
      </c>
      <c r="T356" s="37" t="n">
        <f aca="false">p_grid_credit*IF(AND(p_eng=1,ISNUMBER(Country_Data!$CZ$55)),Country_Data!$CZ$55,Country_Data!$CM$55)*Sector_Params!$I$6</f>
        <v>0</v>
      </c>
      <c r="U356" s="37" t="n">
        <f aca="false">p_grid_credit*IF(AND(p_eng=1,ISNUMBER(Country_Data!$DA$55)),Country_Data!$DA$55,Country_Data!$CN$55)*Sector_Params!$J$6</f>
        <v>0</v>
      </c>
      <c r="V356" s="37" t="n">
        <f aca="false">p_grid_credit*IF(AND(p_eng=1,ISNUMBER(Country_Data!$DB$55)),Country_Data!$DB$55,p_a)</f>
        <v>0</v>
      </c>
      <c r="W356" s="16" t="n">
        <f aca="false">T356*L356</f>
        <v>0</v>
      </c>
      <c r="X356" s="16" t="n">
        <f aca="false">U356*L356</f>
        <v>0</v>
      </c>
      <c r="Y356" s="16" t="n">
        <f aca="false">V356*L356</f>
        <v>0</v>
      </c>
      <c r="Z356" s="16" t="n">
        <f aca="false">Q356*L356</f>
        <v>0.0942818492531375</v>
      </c>
      <c r="AA356" s="16" t="n">
        <f aca="false">R356*L356</f>
        <v>0.129061416709482</v>
      </c>
      <c r="AB356" s="16" t="n">
        <f aca="false">S356*L356</f>
        <v>0.0525235572199999</v>
      </c>
      <c r="AC356" s="16" t="n">
        <f aca="false">Z356-W356</f>
        <v>0.0942818492531375</v>
      </c>
      <c r="AD356" s="16" t="n">
        <f aca="false">AA356-W356</f>
        <v>0.129061416709482</v>
      </c>
      <c r="AE356" s="16" t="n">
        <f aca="false">AB356-W356</f>
        <v>0.0525235572199999</v>
      </c>
      <c r="AF356" s="16" t="n">
        <f aca="false">AE356-X356</f>
        <v>0.0525235572199999</v>
      </c>
      <c r="AG356" s="16" t="n">
        <f aca="false">AF356-p_spc_lo*Y356/1000</f>
        <v>0.0525235572199999</v>
      </c>
      <c r="AH356" s="16" t="n">
        <f aca="false">AF356-p_spc_hi*Y356/1000</f>
        <v>0.0525235572199999</v>
      </c>
      <c r="AI356" s="16" t="n">
        <f aca="false">Q356*J356</f>
        <v>0.392841038554739</v>
      </c>
      <c r="AJ356" s="16" t="n">
        <f aca="false">S356*J356</f>
        <v>0.218848155083333</v>
      </c>
      <c r="AK356" s="16" t="n">
        <f aca="false">T356*J356</f>
        <v>0</v>
      </c>
      <c r="AL356" s="16" t="n">
        <f aca="false">U356*J356</f>
        <v>0</v>
      </c>
      <c r="AM356" s="16" t="n">
        <f aca="false">AI356-AJ356</f>
        <v>0.173992883471407</v>
      </c>
      <c r="AN356" s="16" t="n">
        <f aca="false">J356*Country_Data!$EB$55</f>
        <v>3.7800163188492</v>
      </c>
      <c r="AO356" s="16" t="n">
        <f aca="false">L356*Country_Data!$EB$55</f>
        <v>0.907203916523808</v>
      </c>
    </row>
    <row r="357" customFormat="false" ht="15" hidden="false" customHeight="false" outlineLevel="0" collapsed="false">
      <c r="A357" s="14" t="str">
        <f aca="false">Country_Data!$A$55</f>
        <v>IRQ</v>
      </c>
      <c r="B357" s="14" t="str">
        <f aca="false">Country_Data!$E$55</f>
        <v>EMDC</v>
      </c>
      <c r="C357" s="35" t="s">
        <v>473</v>
      </c>
      <c r="D357" s="37" t="n">
        <f aca="false">IF(Country_Data!$CA$55="","",Country_Data!$CA$55)</f>
        <v>0.719335436893213</v>
      </c>
      <c r="E357" s="40" t="n">
        <f aca="false">Country_Data!$BW$55</f>
        <v>682.72</v>
      </c>
      <c r="F357" s="41" t="n">
        <f aca="false">Country_Data!$BX$55</f>
        <v>0.419678638387626</v>
      </c>
      <c r="G357" s="42" t="n">
        <f aca="false">IF(D357="","",D357/SUMIFS($D$5:$D$1369,$B$5:$B$1369,B357,$C$5:$C$1369,C357))</f>
        <v>0.0166183222803601</v>
      </c>
      <c r="H357" s="42" t="n">
        <f aca="false">E357/SUMIFS($E$5:$E$1369,$B$5:$B$1369,B357,$C$5:$C$1369,C357)</f>
        <v>0.00845663343196846</v>
      </c>
      <c r="I357" s="43" t="n">
        <f aca="false">IF(G357="",H357,p_beta_alloc*G357+(1-p_beta_alloc)*H357)*F357^p_phi</f>
        <v>0.00812210521450432</v>
      </c>
      <c r="J357" s="16" t="n">
        <f aca="false">INDEX(Sector_Params!$C$18:$E$18,MATCH(B357,Sector_Params!$C$15:$E$15,0))*I357/SUMIFS($I$5:$I$1369,$B$5:$B$1369,B357,$C$5:$C$1369,C357)</f>
        <v>3.32580990646727</v>
      </c>
      <c r="K357" s="28" t="n">
        <f aca="false">INDEX(Sector_Params!$F$7:$H$7,MATCH(B357,Sector_Params!$C$15:$E$15,0))</f>
        <v>0.24</v>
      </c>
      <c r="L357" s="16" t="n">
        <f aca="false">J357*K357</f>
        <v>0.798194377552146</v>
      </c>
      <c r="M357" s="44" t="n">
        <f aca="false">Country_Data!$DW$55+Sector_Params!$E$7</f>
        <v>0.11792</v>
      </c>
      <c r="N357" s="44" t="n">
        <f aca="false">Country_Data!$DX$55+Sector_Params!$E$7</f>
        <v>0.16292</v>
      </c>
      <c r="O357" s="11" t="n">
        <f aca="false">IF(p_use_ibrd=1,p_r_ibrd,p_r_wb)</f>
        <v>0.06</v>
      </c>
      <c r="P357" s="45" t="n">
        <f aca="false">Sector_Params!$D$7</f>
        <v>12</v>
      </c>
      <c r="Q357" s="46" t="n">
        <f aca="false">M357/(1-(1+M357)^-P357)</f>
        <v>0.159883923447753</v>
      </c>
      <c r="R357" s="46" t="n">
        <f aca="false">N357/(1-(1+N357)^-P357)</f>
        <v>0.194753745800949</v>
      </c>
      <c r="S357" s="46" t="n">
        <f aca="false">O357/(1-(1+O357)^-P357)</f>
        <v>0.119277029380664</v>
      </c>
      <c r="T357" s="37" t="n">
        <f aca="false">IF(AND(p_eng=1,ISNUMBER(Country_Data!$DE$55)),Country_Data!$DE$55,Country_Data!$CM$55)*Sector_Params!$I$7</f>
        <v>0.13803084</v>
      </c>
      <c r="U357" s="37" t="n">
        <f aca="false">IF(AND(p_eng=1,ISNUMBER(Country_Data!$DF$55)),Country_Data!$DF$55,Country_Data!$CN$55)*Sector_Params!$J$7</f>
        <v>0.020585025</v>
      </c>
      <c r="V357" s="37" t="n">
        <f aca="false">IF(AND(p_eng=1,ISNUMBER(Country_Data!$DG$55)),Country_Data!$DG$55,p_a)</f>
        <v>0.213623477960329</v>
      </c>
      <c r="W357" s="16" t="n">
        <f aca="false">T357*L357</f>
        <v>0.1101754404168</v>
      </c>
      <c r="X357" s="16" t="n">
        <f aca="false">U357*L357</f>
        <v>0.0164308512167704</v>
      </c>
      <c r="Y357" s="16" t="n">
        <f aca="false">V357*L357</f>
        <v>0.170513059021069</v>
      </c>
      <c r="Z357" s="16" t="n">
        <f aca="false">Q357*L357</f>
        <v>0.127618448756974</v>
      </c>
      <c r="AA357" s="16" t="n">
        <f aca="false">R357*L357</f>
        <v>0.155451344905537</v>
      </c>
      <c r="AB357" s="16" t="n">
        <f aca="false">S357*L357</f>
        <v>0.0952062542227677</v>
      </c>
      <c r="AC357" s="16" t="n">
        <f aca="false">Z357-W357</f>
        <v>0.0174430083401746</v>
      </c>
      <c r="AD357" s="16" t="n">
        <f aca="false">AA357-W357</f>
        <v>0.0452759044887373</v>
      </c>
      <c r="AE357" s="16" t="n">
        <f aca="false">AB357-W357</f>
        <v>-0.0149691861940321</v>
      </c>
      <c r="AF357" s="16" t="n">
        <f aca="false">AE357-X357</f>
        <v>-0.0314000374108024</v>
      </c>
      <c r="AG357" s="16" t="n">
        <f aca="false">AF357-p_spc_lo*Y357/1000</f>
        <v>-0.0399256903618559</v>
      </c>
      <c r="AH357" s="16" t="n">
        <f aca="false">AF357-p_spc_hi*Y357/1000</f>
        <v>-0.0484513433129093</v>
      </c>
      <c r="AI357" s="16" t="n">
        <f aca="false">Q357*J357</f>
        <v>0.531743536487393</v>
      </c>
      <c r="AJ357" s="16" t="n">
        <f aca="false">S357*J357</f>
        <v>0.396692725928199</v>
      </c>
      <c r="AK357" s="16" t="n">
        <f aca="false">T357*J357</f>
        <v>0.459064335069999</v>
      </c>
      <c r="AL357" s="16" t="n">
        <f aca="false">U357*J357</f>
        <v>0.0684618800698765</v>
      </c>
      <c r="AM357" s="16" t="n">
        <f aca="false">AI357-AJ357</f>
        <v>0.135050810559194</v>
      </c>
      <c r="AN357" s="16" t="n">
        <f aca="false">J357*Country_Data!$EB$55</f>
        <v>3.81784753646517</v>
      </c>
      <c r="AO357" s="16" t="n">
        <f aca="false">L357*Country_Data!$EB$55</f>
        <v>0.916283408751641</v>
      </c>
    </row>
    <row r="358" customFormat="false" ht="15" hidden="false" customHeight="false" outlineLevel="0" collapsed="false">
      <c r="A358" s="14" t="str">
        <f aca="false">Country_Data!$A$55</f>
        <v>IRQ</v>
      </c>
      <c r="B358" s="14" t="str">
        <f aca="false">Country_Data!$E$55</f>
        <v>EMDC</v>
      </c>
      <c r="C358" s="35" t="s">
        <v>477</v>
      </c>
      <c r="D358" s="37" t="n">
        <f aca="false">IF(Country_Data!$CB$55="","",Country_Data!$CB$55)</f>
        <v>0.305011495518768</v>
      </c>
      <c r="E358" s="40" t="n">
        <f aca="false">Country_Data!$BW$55</f>
        <v>682.72</v>
      </c>
      <c r="F358" s="41" t="n">
        <f aca="false">Country_Data!$BX$55</f>
        <v>0.419678638387626</v>
      </c>
      <c r="G358" s="42" t="n">
        <f aca="false">IF(D358="","",D358/SUMIFS($D$5:$D$1369,$B$5:$B$1369,B358,$C$5:$C$1369,C358))</f>
        <v>0.00961794121380715</v>
      </c>
      <c r="H358" s="42" t="n">
        <f aca="false">E358/SUMIFS($E$5:$E$1369,$B$5:$B$1369,B358,$C$5:$C$1369,C358)</f>
        <v>0.00845663343196846</v>
      </c>
      <c r="I358" s="43" t="n">
        <f aca="false">IF(G358="",H358,p_beta_alloc*G358+(1-p_beta_alloc)*H358)*F358^p_phi</f>
        <v>0.00585459047922557</v>
      </c>
      <c r="J358" s="16" t="n">
        <f aca="false">INDEX(Sector_Params!$C$19:$E$19,MATCH(B358,Sector_Params!$C$15:$E$15,0))*I358/SUMIFS($I$5:$I$1369,$B$5:$B$1369,B358,$C$5:$C$1369,C358)</f>
        <v>1.88437369323693</v>
      </c>
      <c r="K358" s="28" t="n">
        <f aca="false">INDEX(Sector_Params!$F$8:$H$8,MATCH(B358,Sector_Params!$C$15:$E$15,0))</f>
        <v>0.24</v>
      </c>
      <c r="L358" s="16" t="n">
        <f aca="false">J358*K358</f>
        <v>0.452249686376863</v>
      </c>
      <c r="M358" s="44" t="n">
        <f aca="false">Country_Data!$DW$55+Sector_Params!$E$8</f>
        <v>0.11792</v>
      </c>
      <c r="N358" s="44" t="n">
        <f aca="false">Country_Data!$DX$55+Sector_Params!$E$8</f>
        <v>0.16292</v>
      </c>
      <c r="O358" s="11" t="n">
        <f aca="false">IF(p_use_ibrd=1,p_r_ibrd,p_r_wb)</f>
        <v>0.06</v>
      </c>
      <c r="P358" s="45" t="n">
        <f aca="false">Sector_Params!$D$8</f>
        <v>25</v>
      </c>
      <c r="Q358" s="46" t="n">
        <f aca="false">M358/(1-(1+M358)^-P358)</f>
        <v>0.125663570325489</v>
      </c>
      <c r="R358" s="46" t="n">
        <f aca="false">N358/(1-(1+N358)^-P358)</f>
        <v>0.166751093037718</v>
      </c>
      <c r="S358" s="46" t="n">
        <f aca="false">O358/(1-(1+O358)^-P358)</f>
        <v>0.078226718212274</v>
      </c>
      <c r="T358" s="37" t="n">
        <f aca="false">Country_Data!$CM$55*Sector_Params!$I$8</f>
        <v>0.134098819753829</v>
      </c>
      <c r="U358" s="37" t="n">
        <f aca="false">Country_Data!$CN$55*Sector_Params!$J$8</f>
        <v>0.0978228930206604</v>
      </c>
      <c r="V358" s="37" t="n">
        <f aca="false">p_a</f>
        <v>0.35</v>
      </c>
      <c r="W358" s="16" t="n">
        <f aca="false">T358*L358</f>
        <v>0.0606461491771766</v>
      </c>
      <c r="X358" s="16" t="n">
        <f aca="false">U358*L358</f>
        <v>0.0442403726890711</v>
      </c>
      <c r="Y358" s="16" t="n">
        <f aca="false">V358*L358</f>
        <v>0.158287390231902</v>
      </c>
      <c r="Z358" s="16" t="n">
        <f aca="false">Q358*L358</f>
        <v>0.0568313102686993</v>
      </c>
      <c r="AA358" s="16" t="n">
        <f aca="false">R358*L358</f>
        <v>0.0754131295293069</v>
      </c>
      <c r="AB358" s="16" t="n">
        <f aca="false">S358*L358</f>
        <v>0.0353780087777922</v>
      </c>
      <c r="AC358" s="16" t="n">
        <f aca="false">Z358-W358</f>
        <v>-0.00381483890847733</v>
      </c>
      <c r="AD358" s="16" t="n">
        <f aca="false">AA358-W358</f>
        <v>0.0147669803521303</v>
      </c>
      <c r="AE358" s="16" t="n">
        <f aca="false">AB358-W358</f>
        <v>-0.0252681403993845</v>
      </c>
      <c r="AF358" s="16" t="n">
        <f aca="false">AE358-X358</f>
        <v>-0.0695085130884556</v>
      </c>
      <c r="AG358" s="16" t="n">
        <f aca="false">AF358-p_spc_lo*Y358/1000</f>
        <v>-0.0774228826000507</v>
      </c>
      <c r="AH358" s="16" t="n">
        <f aca="false">AF358-p_spc_hi*Y358/1000</f>
        <v>-0.0853372521116458</v>
      </c>
      <c r="AI358" s="16" t="n">
        <f aca="false">Q358*J358</f>
        <v>0.23679712611958</v>
      </c>
      <c r="AJ358" s="16" t="n">
        <f aca="false">S358*J358</f>
        <v>0.147408369907467</v>
      </c>
      <c r="AK358" s="16" t="n">
        <f aca="false">T358*J358</f>
        <v>0.252692288238236</v>
      </c>
      <c r="AL358" s="16" t="n">
        <f aca="false">U358*J358</f>
        <v>0.184334886204463</v>
      </c>
      <c r="AM358" s="16" t="n">
        <f aca="false">AI358-AJ358</f>
        <v>0.0893887562121131</v>
      </c>
      <c r="AN358" s="16" t="n">
        <f aca="false">J358*Country_Data!$EB$55</f>
        <v>2.16315774648294</v>
      </c>
      <c r="AO358" s="16" t="n">
        <f aca="false">L358*Country_Data!$EB$55</f>
        <v>0.519157859155906</v>
      </c>
    </row>
    <row r="359" customFormat="false" ht="15" hidden="false" customHeight="false" outlineLevel="0" collapsed="false">
      <c r="A359" s="14" t="str">
        <f aca="false">Country_Data!$A$55</f>
        <v>IRQ</v>
      </c>
      <c r="B359" s="14" t="str">
        <f aca="false">Country_Data!$E$55</f>
        <v>EMDC</v>
      </c>
      <c r="C359" s="35" t="s">
        <v>481</v>
      </c>
      <c r="D359" s="37" t="n">
        <f aca="false">IF(Country_Data!$CC$55="","",Country_Data!$CC$55)</f>
        <v>0.411064249430318</v>
      </c>
      <c r="E359" s="40" t="n">
        <f aca="false">Country_Data!$BW$55</f>
        <v>682.72</v>
      </c>
      <c r="F359" s="41" t="n">
        <f aca="false">Country_Data!$BX$55</f>
        <v>0.419678638387626</v>
      </c>
      <c r="G359" s="42" t="n">
        <f aca="false">IF(D359="","",D359/SUMIFS($D$5:$D$1369,$B$5:$B$1369,B359,$C$5:$C$1369,C359))</f>
        <v>0.00587173764481891</v>
      </c>
      <c r="H359" s="42" t="n">
        <f aca="false">E359/SUMIFS($E$5:$E$1369,$B$5:$B$1369,B359,$C$5:$C$1369,C359)</f>
        <v>0.00845663343196846</v>
      </c>
      <c r="I359" s="43" t="n">
        <f aca="false">IF(G359="",H359,p_beta_alloc*G359+(1-p_beta_alloc)*H359)*F359^p_phi</f>
        <v>0.00464114628050605</v>
      </c>
      <c r="J359" s="16" t="n">
        <f aca="false">INDEX(Sector_Params!$C$20:$E$20,MATCH(B359,Sector_Params!$C$15:$E$15,0))*I359/SUMIFS($I$5:$I$1369,$B$5:$B$1369,B359,$C$5:$C$1369,C359)</f>
        <v>0.847102658143471</v>
      </c>
      <c r="K359" s="28" t="n">
        <f aca="false">INDEX(Sector_Params!$F$9:$H$9,MATCH(B359,Sector_Params!$C$15:$E$15,0))</f>
        <v>0.24</v>
      </c>
      <c r="L359" s="16" t="n">
        <f aca="false">J359*K359</f>
        <v>0.203304637954433</v>
      </c>
      <c r="M359" s="44" t="n">
        <f aca="false">Country_Data!$DW$55+Sector_Params!$E$9</f>
        <v>0.11792</v>
      </c>
      <c r="N359" s="44" t="n">
        <f aca="false">Country_Data!$DX$55+Sector_Params!$E$9</f>
        <v>0.16292</v>
      </c>
      <c r="O359" s="11" t="n">
        <f aca="false">IF(p_use_ibrd=1,p_r_ibrd,p_r_wb)</f>
        <v>0.06</v>
      </c>
      <c r="P359" s="45" t="n">
        <f aca="false">Sector_Params!$D$9</f>
        <v>25</v>
      </c>
      <c r="Q359" s="46" t="n">
        <f aca="false">M359/(1-(1+M359)^-P359)</f>
        <v>0.125663570325489</v>
      </c>
      <c r="R359" s="46" t="n">
        <f aca="false">N359/(1-(1+N359)^-P359)</f>
        <v>0.166751093037718</v>
      </c>
      <c r="S359" s="46" t="n">
        <f aca="false">O359/(1-(1+O359)^-P359)</f>
        <v>0.078226718212274</v>
      </c>
      <c r="T359" s="37" t="n">
        <f aca="false">Country_Data!$CM$55*Sector_Params!$I$9</f>
        <v>0.134098819753829</v>
      </c>
      <c r="U359" s="37" t="n">
        <f aca="false">Country_Data!$CN$55*Sector_Params!$J$9</f>
        <v>0.0978228930206604</v>
      </c>
      <c r="V359" s="37" t="n">
        <f aca="false">p_a</f>
        <v>0.35</v>
      </c>
      <c r="W359" s="16" t="n">
        <f aca="false">T359*L359</f>
        <v>0.027262912000169</v>
      </c>
      <c r="X359" s="16" t="n">
        <f aca="false">U359*L359</f>
        <v>0.0198878478492206</v>
      </c>
      <c r="Y359" s="16" t="n">
        <f aca="false">V359*L359</f>
        <v>0.0711566232840516</v>
      </c>
      <c r="Z359" s="16" t="n">
        <f aca="false">Q359*L359</f>
        <v>0.025547986669085</v>
      </c>
      <c r="AA359" s="16" t="n">
        <f aca="false">R359*L359</f>
        <v>0.0339012705985392</v>
      </c>
      <c r="AB359" s="16" t="n">
        <f aca="false">S359*L359</f>
        <v>0.0159038546245098</v>
      </c>
      <c r="AC359" s="16" t="n">
        <f aca="false">Z359-W359</f>
        <v>-0.00171492533108398</v>
      </c>
      <c r="AD359" s="16" t="n">
        <f aca="false">AA359-W359</f>
        <v>0.0066383585983702</v>
      </c>
      <c r="AE359" s="16" t="n">
        <f aca="false">AB359-W359</f>
        <v>-0.0113590573756591</v>
      </c>
      <c r="AF359" s="16" t="n">
        <f aca="false">AE359-X359</f>
        <v>-0.0312469052248797</v>
      </c>
      <c r="AG359" s="16" t="n">
        <f aca="false">AF359-p_spc_lo*Y359/1000</f>
        <v>-0.0348047363890823</v>
      </c>
      <c r="AH359" s="16" t="n">
        <f aca="false">AF359-p_spc_hi*Y359/1000</f>
        <v>-0.0383625675532849</v>
      </c>
      <c r="AI359" s="16" t="n">
        <f aca="false">Q359*J359</f>
        <v>0.106449944454521</v>
      </c>
      <c r="AJ359" s="16" t="n">
        <f aca="false">S359*J359</f>
        <v>0.0662660609354576</v>
      </c>
      <c r="AK359" s="16" t="n">
        <f aca="false">T359*J359</f>
        <v>0.113595466667371</v>
      </c>
      <c r="AL359" s="16" t="n">
        <f aca="false">U359*J359</f>
        <v>0.0828660327050858</v>
      </c>
      <c r="AM359" s="16" t="n">
        <f aca="false">AI359-AJ359</f>
        <v>0.0401838835190632</v>
      </c>
      <c r="AN359" s="16" t="n">
        <f aca="false">J359*Country_Data!$EB$55</f>
        <v>0.972427434964697</v>
      </c>
      <c r="AO359" s="16" t="n">
        <f aca="false">L359*Country_Data!$EB$55</f>
        <v>0.233382584391527</v>
      </c>
    </row>
    <row r="360" customFormat="false" ht="15" hidden="false" customHeight="false" outlineLevel="0" collapsed="false">
      <c r="A360" s="14" t="str">
        <f aca="false">Country_Data!$A$55</f>
        <v>IRQ</v>
      </c>
      <c r="B360" s="14" t="str">
        <f aca="false">Country_Data!$E$55</f>
        <v>EMDC</v>
      </c>
      <c r="C360" s="35" t="s">
        <v>484</v>
      </c>
      <c r="D360" s="37" t="n">
        <f aca="false">IF(Country_Data!$CD$55="","",Country_Data!$CD$55)</f>
        <v>2.30267893400882</v>
      </c>
      <c r="E360" s="40" t="n">
        <f aca="false">Country_Data!$BW$55</f>
        <v>682.72</v>
      </c>
      <c r="F360" s="41" t="n">
        <f aca="false">Country_Data!$BX$55</f>
        <v>0.419678638387626</v>
      </c>
      <c r="G360" s="42" t="n">
        <f aca="false">IF(D360="","",D360/SUMIFS($D$5:$D$1369,$B$5:$B$1369,B360,$C$5:$C$1369,C360))</f>
        <v>0.0128590003806281</v>
      </c>
      <c r="H360" s="42" t="n">
        <f aca="false">E360/SUMIFS($E$5:$E$1369,$B$5:$B$1369,B360,$C$5:$C$1369,C360)</f>
        <v>0.00845663343196846</v>
      </c>
      <c r="I360" s="43" t="n">
        <f aca="false">IF(G360="",H360,p_beta_alloc*G360+(1-p_beta_alloc)*H360)*F360^p_phi</f>
        <v>0.00690441181735103</v>
      </c>
      <c r="J360" s="16" t="n">
        <f aca="false">INDEX(Sector_Params!$C$21:$E$21,MATCH(B360,Sector_Params!$C$15:$E$15,0))*I360/SUMIFS($I$5:$I$1369,$B$5:$B$1369,B360,$C$5:$C$1369,C360)</f>
        <v>1.53132829738013</v>
      </c>
      <c r="K360" s="28" t="n">
        <f aca="false">INDEX(Sector_Params!$F$10:$H$10,MATCH(B360,Sector_Params!$C$15:$E$15,0))</f>
        <v>0.24</v>
      </c>
      <c r="L360" s="16" t="n">
        <f aca="false">J360*K360</f>
        <v>0.367518791371231</v>
      </c>
      <c r="M360" s="44" t="n">
        <f aca="false">Country_Data!$DW$55+Sector_Params!$E$10</f>
        <v>0.11792</v>
      </c>
      <c r="N360" s="44" t="n">
        <f aca="false">Country_Data!$DX$55+Sector_Params!$E$10</f>
        <v>0.16292</v>
      </c>
      <c r="O360" s="11" t="n">
        <f aca="false">IF(p_use_ibrd=1,p_r_ibrd,p_r_wb)</f>
        <v>0.06</v>
      </c>
      <c r="P360" s="45" t="n">
        <f aca="false">Sector_Params!$D$10</f>
        <v>20</v>
      </c>
      <c r="Q360" s="46" t="n">
        <f aca="false">M360/(1-(1+M360)^-P360)</f>
        <v>0.132137071929886</v>
      </c>
      <c r="R360" s="46" t="n">
        <f aca="false">N360/(1-(1+N360)^-P360)</f>
        <v>0.171290197747096</v>
      </c>
      <c r="S360" s="46" t="n">
        <f aca="false">O360/(1-(1+O360)^-P360)</f>
        <v>0.0871845569768514</v>
      </c>
      <c r="T360" s="37" t="n">
        <f aca="false">0*Sector_Params!$I$10</f>
        <v>0</v>
      </c>
      <c r="U360" s="37" t="n">
        <f aca="false">0*Sector_Params!$J$10</f>
        <v>0</v>
      </c>
      <c r="V360" s="37" t="n">
        <f aca="false">1000*p_r_wb/(1-(1+p_r_wb)^-Sector_Params!$D$10)/p_cpt_fuel</f>
        <v>0.871845569768514</v>
      </c>
      <c r="W360" s="16" t="n">
        <f aca="false">T360*L360</f>
        <v>0</v>
      </c>
      <c r="X360" s="16" t="n">
        <f aca="false">U360*L360</f>
        <v>0</v>
      </c>
      <c r="Y360" s="16" t="n">
        <f aca="false">V360*L360</f>
        <v>0.320419630063687</v>
      </c>
      <c r="Z360" s="16" t="n">
        <f aca="false">Q360*L360</f>
        <v>0.0485628569710051</v>
      </c>
      <c r="AA360" s="16" t="n">
        <f aca="false">R360*L360</f>
        <v>0.0629523664497518</v>
      </c>
      <c r="AB360" s="16" t="n">
        <f aca="false">S360*L360</f>
        <v>0.0320419630063687</v>
      </c>
      <c r="AC360" s="16" t="n">
        <f aca="false">Z360-W360</f>
        <v>0.0485628569710051</v>
      </c>
      <c r="AD360" s="16" t="n">
        <f aca="false">AA360-W360</f>
        <v>0.0629523664497518</v>
      </c>
      <c r="AE360" s="16" t="n">
        <f aca="false">AB360-W360</f>
        <v>0.0320419630063687</v>
      </c>
      <c r="AF360" s="16" t="n">
        <f aca="false">AE360-X360</f>
        <v>0.0320419630063687</v>
      </c>
      <c r="AG360" s="16" t="n">
        <f aca="false">AF360-p_spc_lo*Y360/1000</f>
        <v>0.0160209815031843</v>
      </c>
      <c r="AH360" s="16" t="n">
        <f aca="false">AF360-p_spc_hi*Y360/1000</f>
        <v>0</v>
      </c>
      <c r="AI360" s="16" t="n">
        <f aca="false">Q360*J360</f>
        <v>0.202345237379188</v>
      </c>
      <c r="AJ360" s="16" t="n">
        <f aca="false">S360*J360</f>
        <v>0.133508179193203</v>
      </c>
      <c r="AK360" s="16" t="n">
        <f aca="false">T360*J360</f>
        <v>0</v>
      </c>
      <c r="AL360" s="16" t="n">
        <f aca="false">U360*J360</f>
        <v>0</v>
      </c>
      <c r="AM360" s="16" t="n">
        <f aca="false">AI360-AJ360</f>
        <v>0.0688370581859851</v>
      </c>
      <c r="AN360" s="16" t="n">
        <f aca="false">J360*Country_Data!$EB$55</f>
        <v>1.75788097699253</v>
      </c>
      <c r="AO360" s="16" t="n">
        <f aca="false">L360*Country_Data!$EB$55</f>
        <v>0.421891434478208</v>
      </c>
    </row>
    <row r="361" customFormat="false" ht="15" hidden="false" customHeight="false" outlineLevel="0" collapsed="false">
      <c r="A361" s="14" t="str">
        <f aca="false">Country_Data!$A$55</f>
        <v>IRQ</v>
      </c>
      <c r="B361" s="14" t="str">
        <f aca="false">Country_Data!$E$55</f>
        <v>EMDC</v>
      </c>
      <c r="C361" s="35" t="s">
        <v>488</v>
      </c>
      <c r="D361" s="37" t="n">
        <f aca="false">IF(Country_Data!$CE$55="","",Country_Data!$CE$55)</f>
        <v>175.049</v>
      </c>
      <c r="E361" s="40" t="n">
        <f aca="false">Country_Data!$BW$55</f>
        <v>682.72</v>
      </c>
      <c r="F361" s="41" t="n">
        <f aca="false">Country_Data!$BX$55</f>
        <v>0.419678638387626</v>
      </c>
      <c r="G361" s="42" t="n">
        <f aca="false">IF(D361="","",D361/SUMIFS($D$5:$D$1369,$B$5:$B$1369,B361,$C$5:$C$1369,C361))</f>
        <v>0.014343446592992</v>
      </c>
      <c r="H361" s="42" t="n">
        <f aca="false">E361/SUMIFS($E$5:$E$1369,$B$5:$B$1369,B361,$C$5:$C$1369,C361)</f>
        <v>0.00845663343196846</v>
      </c>
      <c r="I361" s="43" t="n">
        <f aca="false">IF(G361="",H361,p_beta_alloc*G361+(1-p_beta_alloc)*H361)*F361^p_phi</f>
        <v>0.00738524330756038</v>
      </c>
      <c r="J361" s="16" t="n">
        <f aca="false">INDEX(Sector_Params!$C$22:$E$22,MATCH(B361,Sector_Params!$C$15:$E$15,0))*I361/SUMIFS($I$5:$I$1369,$B$5:$B$1369,B361,$C$5:$C$1369,C361)</f>
        <v>4.45188661483487</v>
      </c>
      <c r="K361" s="28" t="n">
        <f aca="false">INDEX(Sector_Params!$F$11:$H$11,MATCH(B361,Sector_Params!$C$15:$E$15,0))</f>
        <v>0.24</v>
      </c>
      <c r="L361" s="16" t="n">
        <f aca="false">J361*K361</f>
        <v>1.06845278756037</v>
      </c>
      <c r="M361" s="44" t="n">
        <f aca="false">Country_Data!$DW$55+Sector_Params!$E$11</f>
        <v>0.11792</v>
      </c>
      <c r="N361" s="44" t="n">
        <f aca="false">Country_Data!$DX$55+Sector_Params!$E$11</f>
        <v>0.16292</v>
      </c>
      <c r="O361" s="11" t="n">
        <f aca="false">IF(p_use_ibrd=1,p_r_ibrd,p_r_wb)</f>
        <v>0.06</v>
      </c>
      <c r="P361" s="45" t="n">
        <f aca="false">Sector_Params!$D$11</f>
        <v>30</v>
      </c>
      <c r="Q361" s="46" t="n">
        <f aca="false">M361/(1-(1+M361)^-P361)</f>
        <v>0.122233898123334</v>
      </c>
      <c r="R361" s="46" t="n">
        <f aca="false">N361/(1-(1+N361)^-P361)</f>
        <v>0.164699082100529</v>
      </c>
      <c r="S361" s="46" t="n">
        <f aca="false">O361/(1-(1+O361)^-P361)</f>
        <v>0.0726489114900472</v>
      </c>
      <c r="T361" s="37" t="n">
        <f aca="false">0*Sector_Params!$I$11</f>
        <v>0</v>
      </c>
      <c r="U361" s="37" t="n">
        <f aca="false">p_c*Sector_Params!$J$11</f>
        <v>0.129</v>
      </c>
      <c r="V361" s="37" t="n">
        <f aca="false">1000*p_r_wb/(1-(1+p_r_wb)^-Sector_Params!$D$11)/p_cpt_afolu</f>
        <v>1.45297822980094</v>
      </c>
      <c r="W361" s="16" t="n">
        <f aca="false">T361*L361</f>
        <v>0</v>
      </c>
      <c r="X361" s="16" t="n">
        <f aca="false">U361*L361</f>
        <v>0.137830409595288</v>
      </c>
      <c r="Y361" s="16" t="n">
        <f aca="false">V361*L361</f>
        <v>1.55243863989535</v>
      </c>
      <c r="Z361" s="16" t="n">
        <f aca="false">Q361*L361</f>
        <v>0.130601149184246</v>
      </c>
      <c r="AA361" s="16" t="n">
        <f aca="false">R361*L361</f>
        <v>0.175973193378944</v>
      </c>
      <c r="AB361" s="16" t="n">
        <f aca="false">S361*L361</f>
        <v>0.0776219319947675</v>
      </c>
      <c r="AC361" s="16" t="n">
        <f aca="false">Z361-W361</f>
        <v>0.130601149184246</v>
      </c>
      <c r="AD361" s="16" t="n">
        <f aca="false">AA361-W361</f>
        <v>0.175973193378944</v>
      </c>
      <c r="AE361" s="16" t="n">
        <f aca="false">AB361-W361</f>
        <v>0.0776219319947675</v>
      </c>
      <c r="AF361" s="16" t="n">
        <f aca="false">AE361-X361</f>
        <v>-0.0602084776005202</v>
      </c>
      <c r="AG361" s="16" t="n">
        <f aca="false">AF361-p_spc_lo*Y361/1000</f>
        <v>-0.137830409595288</v>
      </c>
      <c r="AH361" s="16" t="n">
        <f aca="false">AF361-p_spc_hi*Y361/1000</f>
        <v>-0.215452341590055</v>
      </c>
      <c r="AI361" s="16" t="n">
        <f aca="false">Q361*J361</f>
        <v>0.54417145493436</v>
      </c>
      <c r="AJ361" s="16" t="n">
        <f aca="false">S361*J361</f>
        <v>0.323424716644865</v>
      </c>
      <c r="AK361" s="16" t="n">
        <f aca="false">T361*J361</f>
        <v>0</v>
      </c>
      <c r="AL361" s="16" t="n">
        <f aca="false">U361*J361</f>
        <v>0.574293373313699</v>
      </c>
      <c r="AM361" s="16" t="n">
        <f aca="false">AI361-AJ361</f>
        <v>0.220746738289496</v>
      </c>
      <c r="AN361" s="16" t="n">
        <f aca="false">J361*Country_Data!$EB$55</f>
        <v>5.11052189483784</v>
      </c>
      <c r="AO361" s="16" t="n">
        <f aca="false">L361*Country_Data!$EB$55</f>
        <v>1.22652525476108</v>
      </c>
    </row>
    <row r="362" customFormat="false" ht="15" hidden="false" customHeight="false" outlineLevel="0" collapsed="false">
      <c r="A362" s="14" t="str">
        <f aca="false">Country_Data!$A$56</f>
        <v>DZA</v>
      </c>
      <c r="B362" s="14" t="str">
        <f aca="false">Country_Data!$E$56</f>
        <v>EMDC</v>
      </c>
      <c r="C362" s="35" t="s">
        <v>466</v>
      </c>
      <c r="D362" s="37" t="n">
        <f aca="false">IF(Country_Data!$BZ$56="","",Country_Data!$BZ$56)</f>
        <v>64.9088411250675</v>
      </c>
      <c r="E362" s="40" t="n">
        <f aca="false">Country_Data!$BW$56</f>
        <v>826.1</v>
      </c>
      <c r="F362" s="41" t="n">
        <f aca="false">Country_Data!$BX$56</f>
        <v>0.325795908485656</v>
      </c>
      <c r="G362" s="42" t="n">
        <f aca="false">IF(D362="","",D362/SUMIFS($D$5:$D$1369,$B$5:$B$1369,B362,$C$5:$C$1369,C362))</f>
        <v>0.00741013191106852</v>
      </c>
      <c r="H362" s="42" t="n">
        <f aca="false">E362/SUMIFS($E$5:$E$1369,$B$5:$B$1369,B362,$C$5:$C$1369,C362)</f>
        <v>0.0102326354554563</v>
      </c>
      <c r="I362" s="43" t="n">
        <f aca="false">IF(G362="",H362,p_beta_alloc*G362+(1-p_beta_alloc)*H362)*F362^p_phi</f>
        <v>0.0050351165168104</v>
      </c>
      <c r="J362" s="16" t="n">
        <f aca="false">INDEX(Sector_Params!$C$16:$E$16,MATCH(B362,Sector_Params!$C$15:$E$15,0))*I362/SUMIFS($I$5:$I$1369,$B$5:$B$1369,B362,$C$5:$C$1369,C362)</f>
        <v>4.87009234626841</v>
      </c>
      <c r="K362" s="28" t="n">
        <f aca="false">INDEX(Sector_Params!$F$5:$H$5,MATCH(B362,Sector_Params!$C$15:$E$15,0))</f>
        <v>0.24</v>
      </c>
      <c r="L362" s="16" t="n">
        <f aca="false">J362*K362</f>
        <v>1.16882216310442</v>
      </c>
      <c r="M362" s="44" t="n">
        <f aca="false">Country_Data!$DW$56+Sector_Params!$E$5</f>
        <v>0.1322</v>
      </c>
      <c r="N362" s="44" t="n">
        <f aca="false">Country_Data!$DX$56+Sector_Params!$E$5</f>
        <v>0.1772</v>
      </c>
      <c r="O362" s="11" t="n">
        <f aca="false">IF(p_use_ibrd=1,p_r_ibrd,p_r_wb)</f>
        <v>0.06</v>
      </c>
      <c r="P362" s="45" t="n">
        <f aca="false">Sector_Params!$D$5</f>
        <v>25</v>
      </c>
      <c r="Q362" s="46" t="n">
        <f aca="false">M362/(1-(1+M362)^-P362)</f>
        <v>0.138409956656199</v>
      </c>
      <c r="R362" s="46" t="n">
        <f aca="false">N362/(1-(1+N362)^-P362)</f>
        <v>0.180252280429776</v>
      </c>
      <c r="S362" s="46" t="n">
        <f aca="false">O362/(1-(1+O362)^-P362)</f>
        <v>0.078226718212274</v>
      </c>
      <c r="T362" s="37" t="n">
        <f aca="false">IF(AND(p_eng=1,ISNUMBER(Country_Data!$CZ$56)),Country_Data!$CZ$56,Country_Data!$CM$56)*Sector_Params!$I$5</f>
        <v>0.0610014971598915</v>
      </c>
      <c r="U362" s="37" t="n">
        <f aca="false">IF(AND(p_eng=1,ISNUMBER(Country_Data!$DA$56)),Country_Data!$DA$56,Country_Data!$CN$56)*Sector_Params!$J$5</f>
        <v>0.00235716335547057</v>
      </c>
      <c r="V362" s="37" t="n">
        <f aca="false">IF(AND(p_eng=1,ISNUMBER(Country_Data!$DB$56)),Country_Data!$DB$56,p_a)</f>
        <v>0.961006283575317</v>
      </c>
      <c r="W362" s="16" t="n">
        <f aca="false">T362*L362</f>
        <v>0.0712999018630325</v>
      </c>
      <c r="X362" s="16" t="n">
        <f aca="false">U362*L362</f>
        <v>0.00275510477193158</v>
      </c>
      <c r="Y362" s="16" t="n">
        <f aca="false">V362*L362</f>
        <v>1.12324544312544</v>
      </c>
      <c r="Z362" s="16" t="n">
        <f aca="false">Q362*L362</f>
        <v>0.161776624934087</v>
      </c>
      <c r="AA362" s="16" t="n">
        <f aca="false">R362*L362</f>
        <v>0.210682860316436</v>
      </c>
      <c r="AB362" s="16" t="n">
        <f aca="false">S362*L362</f>
        <v>0.0914331219934299</v>
      </c>
      <c r="AC362" s="16" t="n">
        <f aca="false">Z362-W362</f>
        <v>0.0904767230710546</v>
      </c>
      <c r="AD362" s="16" t="n">
        <f aca="false">AA362-W362</f>
        <v>0.139382958453403</v>
      </c>
      <c r="AE362" s="16" t="n">
        <f aca="false">AB362-W362</f>
        <v>0.0201332201303974</v>
      </c>
      <c r="AF362" s="16" t="n">
        <f aca="false">AE362-X362</f>
        <v>0.0173781153584658</v>
      </c>
      <c r="AG362" s="16" t="n">
        <f aca="false">AF362-p_spc_lo*Y362/1000</f>
        <v>-0.0387841567978063</v>
      </c>
      <c r="AH362" s="16" t="n">
        <f aca="false">AF362-p_spc_hi*Y362/1000</f>
        <v>-0.0949464289540783</v>
      </c>
      <c r="AI362" s="16" t="n">
        <f aca="false">Q362*J362</f>
        <v>0.674069270558696</v>
      </c>
      <c r="AJ362" s="16" t="n">
        <f aca="false">S362*J362</f>
        <v>0.380971341639291</v>
      </c>
      <c r="AK362" s="16" t="n">
        <f aca="false">T362*J362</f>
        <v>0.297082924429302</v>
      </c>
      <c r="AL362" s="16" t="n">
        <f aca="false">U362*J362</f>
        <v>0.0114796032163816</v>
      </c>
      <c r="AM362" s="16" t="n">
        <f aca="false">AI362-AJ362</f>
        <v>0.293097928919405</v>
      </c>
      <c r="AN362" s="16" t="n">
        <f aca="false">J362*Country_Data!$EB$56</f>
        <v>5.590599159141</v>
      </c>
      <c r="AO362" s="16" t="n">
        <f aca="false">L362*Country_Data!$EB$56</f>
        <v>1.34174379819384</v>
      </c>
    </row>
    <row r="363" customFormat="false" ht="15" hidden="false" customHeight="false" outlineLevel="0" collapsed="false">
      <c r="A363" s="14" t="str">
        <f aca="false">Country_Data!$A$56</f>
        <v>DZA</v>
      </c>
      <c r="B363" s="14" t="str">
        <f aca="false">Country_Data!$E$56</f>
        <v>EMDC</v>
      </c>
      <c r="C363" s="35" t="s">
        <v>470</v>
      </c>
      <c r="D363" s="37" t="n">
        <f aca="false">IF(Country_Data!$BZ$56="","",Country_Data!$BZ$56)</f>
        <v>64.9088411250675</v>
      </c>
      <c r="E363" s="40" t="n">
        <f aca="false">Country_Data!$BW$56</f>
        <v>826.1</v>
      </c>
      <c r="F363" s="41" t="n">
        <f aca="false">Country_Data!$BX$56</f>
        <v>0.325795908485656</v>
      </c>
      <c r="G363" s="42" t="n">
        <f aca="false">IF(D363="","",D363/SUMIFS($D$5:$D$1369,$B$5:$B$1369,B363,$C$5:$C$1369,C363))</f>
        <v>0.00741013191106852</v>
      </c>
      <c r="H363" s="42" t="n">
        <f aca="false">E363/SUMIFS($E$5:$E$1369,$B$5:$B$1369,B363,$C$5:$C$1369,C363)</f>
        <v>0.0102326354554563</v>
      </c>
      <c r="I363" s="43" t="n">
        <f aca="false">IF(G363="",H363,p_beta_alloc*G363+(1-p_beta_alloc)*H363)*F363^p_phi</f>
        <v>0.0050351165168104</v>
      </c>
      <c r="J363" s="16" t="n">
        <f aca="false">INDEX(Sector_Params!$C$17:$E$17,MATCH(B363,Sector_Params!$C$15:$E$15,0))*I363/SUMIFS($I$5:$I$1369,$B$5:$B$1369,B363,$C$5:$C$1369,C363)</f>
        <v>3.33949189458406</v>
      </c>
      <c r="K363" s="28" t="n">
        <f aca="false">INDEX(Sector_Params!$F$6:$H$6,MATCH(B363,Sector_Params!$C$15:$E$15,0))</f>
        <v>0.24</v>
      </c>
      <c r="L363" s="16" t="n">
        <f aca="false">J363*K363</f>
        <v>0.801478054700173</v>
      </c>
      <c r="M363" s="44" t="n">
        <f aca="false">Country_Data!$DW$56+Sector_Params!$E$6</f>
        <v>0.1322</v>
      </c>
      <c r="N363" s="44" t="n">
        <f aca="false">Country_Data!$DX$56+Sector_Params!$E$6</f>
        <v>0.1772</v>
      </c>
      <c r="O363" s="11" t="n">
        <f aca="false">IF(p_use_ibrd=1,p_r_ibrd,p_r_wb)</f>
        <v>0.06</v>
      </c>
      <c r="P363" s="45" t="n">
        <f aca="false">Sector_Params!$D$6</f>
        <v>40</v>
      </c>
      <c r="Q363" s="46" t="n">
        <f aca="false">M363/(1-(1+M363)^-P363)</f>
        <v>0.133127559867432</v>
      </c>
      <c r="R363" s="46" t="n">
        <f aca="false">N363/(1-(1+N363)^-P363)</f>
        <v>0.177460070152158</v>
      </c>
      <c r="S363" s="46" t="n">
        <f aca="false">O363/(1-(1+O363)^-P363)</f>
        <v>0.0664615359206755</v>
      </c>
      <c r="T363" s="37" t="n">
        <f aca="false">p_grid_credit*IF(AND(p_eng=1,ISNUMBER(Country_Data!$CZ$56)),Country_Data!$CZ$56,Country_Data!$CM$56)*Sector_Params!$I$6</f>
        <v>0</v>
      </c>
      <c r="U363" s="37" t="n">
        <f aca="false">p_grid_credit*IF(AND(p_eng=1,ISNUMBER(Country_Data!$DA$56)),Country_Data!$DA$56,Country_Data!$CN$56)*Sector_Params!$J$6</f>
        <v>0</v>
      </c>
      <c r="V363" s="37" t="n">
        <f aca="false">p_grid_credit*IF(AND(p_eng=1,ISNUMBER(Country_Data!$DB$56)),Country_Data!$DB$56,p_a)</f>
        <v>0</v>
      </c>
      <c r="W363" s="16" t="n">
        <f aca="false">T363*L363</f>
        <v>0</v>
      </c>
      <c r="X363" s="16" t="n">
        <f aca="false">U363*L363</f>
        <v>0</v>
      </c>
      <c r="Y363" s="16" t="n">
        <f aca="false">V363*L363</f>
        <v>0</v>
      </c>
      <c r="Z363" s="16" t="n">
        <f aca="false">Q363*L363</f>
        <v>0.10669881770953</v>
      </c>
      <c r="AA363" s="16" t="n">
        <f aca="false">R363*L363</f>
        <v>0.142230351812508</v>
      </c>
      <c r="AB363" s="16" t="n">
        <f aca="false">S363*L363</f>
        <v>0.0532674625220887</v>
      </c>
      <c r="AC363" s="16" t="n">
        <f aca="false">Z363-W363</f>
        <v>0.10669881770953</v>
      </c>
      <c r="AD363" s="16" t="n">
        <f aca="false">AA363-W363</f>
        <v>0.142230351812508</v>
      </c>
      <c r="AE363" s="16" t="n">
        <f aca="false">AB363-W363</f>
        <v>0.0532674625220887</v>
      </c>
      <c r="AF363" s="16" t="n">
        <f aca="false">AE363-X363</f>
        <v>0.0532674625220887</v>
      </c>
      <c r="AG363" s="16" t="n">
        <f aca="false">AF363-p_spc_lo*Y363/1000</f>
        <v>0.0532674625220887</v>
      </c>
      <c r="AH363" s="16" t="n">
        <f aca="false">AF363-p_spc_hi*Y363/1000</f>
        <v>0.0532674625220887</v>
      </c>
      <c r="AI363" s="16" t="n">
        <f aca="false">Q363*J363</f>
        <v>0.444578407123044</v>
      </c>
      <c r="AJ363" s="16" t="n">
        <f aca="false">S363*J363</f>
        <v>0.221947760508703</v>
      </c>
      <c r="AK363" s="16" t="n">
        <f aca="false">T363*J363</f>
        <v>0</v>
      </c>
      <c r="AL363" s="16" t="n">
        <f aca="false">U363*J363</f>
        <v>0</v>
      </c>
      <c r="AM363" s="16" t="n">
        <f aca="false">AI363-AJ363</f>
        <v>0.222630646614341</v>
      </c>
      <c r="AN363" s="16" t="n">
        <f aca="false">J363*Country_Data!$EB$56</f>
        <v>3.83355370912526</v>
      </c>
      <c r="AO363" s="16" t="n">
        <f aca="false">L363*Country_Data!$EB$56</f>
        <v>0.920052890190062</v>
      </c>
    </row>
    <row r="364" customFormat="false" ht="15" hidden="false" customHeight="false" outlineLevel="0" collapsed="false">
      <c r="A364" s="14" t="str">
        <f aca="false">Country_Data!$A$56</f>
        <v>DZA</v>
      </c>
      <c r="B364" s="14" t="str">
        <f aca="false">Country_Data!$E$56</f>
        <v>EMDC</v>
      </c>
      <c r="C364" s="35" t="s">
        <v>473</v>
      </c>
      <c r="D364" s="37" t="n">
        <f aca="false">IF(Country_Data!$CA$56="","",Country_Data!$CA$56)</f>
        <v>0.557539426984098</v>
      </c>
      <c r="E364" s="40" t="n">
        <f aca="false">Country_Data!$BW$56</f>
        <v>826.1</v>
      </c>
      <c r="F364" s="41" t="n">
        <f aca="false">Country_Data!$BX$56</f>
        <v>0.325795908485656</v>
      </c>
      <c r="G364" s="42" t="n">
        <f aca="false">IF(D364="","",D364/SUMIFS($D$5:$D$1369,$B$5:$B$1369,B364,$C$5:$C$1369,C364))</f>
        <v>0.0128804579983518</v>
      </c>
      <c r="H364" s="42" t="n">
        <f aca="false">E364/SUMIFS($E$5:$E$1369,$B$5:$B$1369,B364,$C$5:$C$1369,C364)</f>
        <v>0.0102326354554563</v>
      </c>
      <c r="I364" s="43" t="n">
        <f aca="false">IF(G364="",H364,p_beta_alloc*G364+(1-p_beta_alloc)*H364)*F364^p_phi</f>
        <v>0.00659630749451834</v>
      </c>
      <c r="J364" s="16" t="n">
        <f aca="false">INDEX(Sector_Params!$C$18:$E$18,MATCH(B364,Sector_Params!$C$15:$E$15,0))*I364/SUMIFS($I$5:$I$1369,$B$5:$B$1369,B364,$C$5:$C$1369,C364)</f>
        <v>2.70103184235988</v>
      </c>
      <c r="K364" s="28" t="n">
        <f aca="false">INDEX(Sector_Params!$F$7:$H$7,MATCH(B364,Sector_Params!$C$15:$E$15,0))</f>
        <v>0.24</v>
      </c>
      <c r="L364" s="16" t="n">
        <f aca="false">J364*K364</f>
        <v>0.648247642166372</v>
      </c>
      <c r="M364" s="44" t="n">
        <f aca="false">Country_Data!$DW$56+Sector_Params!$E$7</f>
        <v>0.1322</v>
      </c>
      <c r="N364" s="44" t="n">
        <f aca="false">Country_Data!$DX$56+Sector_Params!$E$7</f>
        <v>0.1772</v>
      </c>
      <c r="O364" s="11" t="n">
        <f aca="false">IF(p_use_ibrd=1,p_r_ibrd,p_r_wb)</f>
        <v>0.06</v>
      </c>
      <c r="P364" s="45" t="n">
        <f aca="false">Sector_Params!$D$7</f>
        <v>12</v>
      </c>
      <c r="Q364" s="46" t="n">
        <f aca="false">M364/(1-(1+M364)^-P364)</f>
        <v>0.170665105388931</v>
      </c>
      <c r="R364" s="46" t="n">
        <f aca="false">N364/(1-(1+N364)^-P364)</f>
        <v>0.206331472429296</v>
      </c>
      <c r="S364" s="46" t="n">
        <f aca="false">O364/(1-(1+O364)^-P364)</f>
        <v>0.119277029380664</v>
      </c>
      <c r="T364" s="37" t="n">
        <f aca="false">IF(AND(p_eng=1,ISNUMBER(Country_Data!$DE$56)),Country_Data!$DE$56,Country_Data!$CM$56)*Sector_Params!$I$7</f>
        <v>0.160953975</v>
      </c>
      <c r="U364" s="37" t="n">
        <f aca="false">IF(AND(p_eng=1,ISNUMBER(Country_Data!$DF$56)),Country_Data!$DF$56,Country_Data!$CN$56)*Sector_Params!$J$7</f>
        <v>0.017528625</v>
      </c>
      <c r="V364" s="37" t="n">
        <f aca="false">IF(AND(p_eng=1,ISNUMBER(Country_Data!$DG$56)),Country_Data!$DG$56,p_a)</f>
        <v>0.307762273972603</v>
      </c>
      <c r="W364" s="16" t="n">
        <f aca="false">T364*L364</f>
        <v>0.104338034791055</v>
      </c>
      <c r="X364" s="16" t="n">
        <f aca="false">U364*L364</f>
        <v>0.0113628898266685</v>
      </c>
      <c r="Y364" s="16" t="n">
        <f aca="false">V364*L364</f>
        <v>0.199506168450501</v>
      </c>
      <c r="Z364" s="16" t="n">
        <f aca="false">Q364*L364</f>
        <v>0.11063325216845</v>
      </c>
      <c r="AA364" s="16" t="n">
        <f aca="false">R364*L364</f>
        <v>0.133753890507007</v>
      </c>
      <c r="AB364" s="16" t="n">
        <f aca="false">S364*L364</f>
        <v>0.0773210530606242</v>
      </c>
      <c r="AC364" s="16" t="n">
        <f aca="false">Z364-W364</f>
        <v>0.00629521737739443</v>
      </c>
      <c r="AD364" s="16" t="n">
        <f aca="false">AA364-W364</f>
        <v>0.0294158557159516</v>
      </c>
      <c r="AE364" s="16" t="n">
        <f aca="false">AB364-W364</f>
        <v>-0.0270169817304309</v>
      </c>
      <c r="AF364" s="16" t="n">
        <f aca="false">AE364-X364</f>
        <v>-0.0383798715570995</v>
      </c>
      <c r="AG364" s="16" t="n">
        <f aca="false">AF364-p_spc_lo*Y364/1000</f>
        <v>-0.0483551799796245</v>
      </c>
      <c r="AH364" s="16" t="n">
        <f aca="false">AF364-p_spc_hi*Y364/1000</f>
        <v>-0.0583304884021495</v>
      </c>
      <c r="AI364" s="16" t="n">
        <f aca="false">Q364*J364</f>
        <v>0.460971884035207</v>
      </c>
      <c r="AJ364" s="16" t="n">
        <f aca="false">S364*J364</f>
        <v>0.322171054419268</v>
      </c>
      <c r="AK364" s="16" t="n">
        <f aca="false">T364*J364</f>
        <v>0.434741811629397</v>
      </c>
      <c r="AL364" s="16" t="n">
        <f aca="false">U364*J364</f>
        <v>0.0473453742777855</v>
      </c>
      <c r="AM364" s="16" t="n">
        <f aca="false">AI364-AJ364</f>
        <v>0.138800829615939</v>
      </c>
      <c r="AN364" s="16" t="n">
        <f aca="false">J364*Country_Data!$EB$56</f>
        <v>3.10063655328436</v>
      </c>
      <c r="AO364" s="16" t="n">
        <f aca="false">L364*Country_Data!$EB$56</f>
        <v>0.744152772788246</v>
      </c>
    </row>
    <row r="365" customFormat="false" ht="15" hidden="false" customHeight="false" outlineLevel="0" collapsed="false">
      <c r="A365" s="14" t="str">
        <f aca="false">Country_Data!$A$56</f>
        <v>DZA</v>
      </c>
      <c r="B365" s="14" t="str">
        <f aca="false">Country_Data!$E$56</f>
        <v>EMDC</v>
      </c>
      <c r="C365" s="35" t="s">
        <v>477</v>
      </c>
      <c r="D365" s="37" t="n">
        <f aca="false">IF(Country_Data!$CB$56="","",Country_Data!$CB$56)</f>
        <v>0.635259473733866</v>
      </c>
      <c r="E365" s="40" t="n">
        <f aca="false">Country_Data!$BW$56</f>
        <v>826.1</v>
      </c>
      <c r="F365" s="41" t="n">
        <f aca="false">Country_Data!$BX$56</f>
        <v>0.325795908485656</v>
      </c>
      <c r="G365" s="42" t="n">
        <f aca="false">IF(D365="","",D365/SUMIFS($D$5:$D$1369,$B$5:$B$1369,B365,$C$5:$C$1369,C365))</f>
        <v>0.0200316655721274</v>
      </c>
      <c r="H365" s="42" t="n">
        <f aca="false">E365/SUMIFS($E$5:$E$1369,$B$5:$B$1369,B365,$C$5:$C$1369,C365)</f>
        <v>0.0102326354554563</v>
      </c>
      <c r="I365" s="43" t="n">
        <f aca="false">IF(G365="",H365,p_beta_alloc*G365+(1-p_beta_alloc)*H365)*F365^p_phi</f>
        <v>0.00863720973064807</v>
      </c>
      <c r="J365" s="16" t="n">
        <f aca="false">INDEX(Sector_Params!$C$19:$E$19,MATCH(B365,Sector_Params!$C$15:$E$15,0))*I365/SUMIFS($I$5:$I$1369,$B$5:$B$1369,B365,$C$5:$C$1369,C365)</f>
        <v>2.77999475064158</v>
      </c>
      <c r="K365" s="28" t="n">
        <f aca="false">INDEX(Sector_Params!$F$8:$H$8,MATCH(B365,Sector_Params!$C$15:$E$15,0))</f>
        <v>0.24</v>
      </c>
      <c r="L365" s="16" t="n">
        <f aca="false">J365*K365</f>
        <v>0.667198740153979</v>
      </c>
      <c r="M365" s="44" t="n">
        <f aca="false">Country_Data!$DW$56+Sector_Params!$E$8</f>
        <v>0.1322</v>
      </c>
      <c r="N365" s="44" t="n">
        <f aca="false">Country_Data!$DX$56+Sector_Params!$E$8</f>
        <v>0.1772</v>
      </c>
      <c r="O365" s="11" t="n">
        <f aca="false">IF(p_use_ibrd=1,p_r_ibrd,p_r_wb)</f>
        <v>0.06</v>
      </c>
      <c r="P365" s="45" t="n">
        <f aca="false">Sector_Params!$D$8</f>
        <v>25</v>
      </c>
      <c r="Q365" s="46" t="n">
        <f aca="false">M365/(1-(1+M365)^-P365)</f>
        <v>0.138409956656199</v>
      </c>
      <c r="R365" s="46" t="n">
        <f aca="false">N365/(1-(1+N365)^-P365)</f>
        <v>0.180252280429776</v>
      </c>
      <c r="S365" s="46" t="n">
        <f aca="false">O365/(1-(1+O365)^-P365)</f>
        <v>0.078226718212274</v>
      </c>
      <c r="T365" s="37" t="n">
        <f aca="false">Country_Data!$CM$56*Sector_Params!$I$8</f>
        <v>0.121052519648346</v>
      </c>
      <c r="U365" s="37" t="n">
        <f aca="false">Country_Data!$CN$56*Sector_Params!$J$8</f>
        <v>0.0817600802356963</v>
      </c>
      <c r="V365" s="37" t="n">
        <f aca="false">p_a</f>
        <v>0.35</v>
      </c>
      <c r="W365" s="16" t="n">
        <f aca="false">T365*L365</f>
        <v>0.0807660886018409</v>
      </c>
      <c r="X365" s="16" t="n">
        <f aca="false">U365*L365</f>
        <v>0.0545502225281448</v>
      </c>
      <c r="Y365" s="16" t="n">
        <f aca="false">V365*L365</f>
        <v>0.233519559053893</v>
      </c>
      <c r="Z365" s="16" t="n">
        <f aca="false">Q365*L365</f>
        <v>0.0923469487057826</v>
      </c>
      <c r="AA365" s="16" t="n">
        <f aca="false">R365*L365</f>
        <v>0.120264094412628</v>
      </c>
      <c r="AB365" s="16" t="n">
        <f aca="false">S365*L365</f>
        <v>0.0521927678376095</v>
      </c>
      <c r="AC365" s="16" t="n">
        <f aca="false">Z365-W365</f>
        <v>0.0115808601039417</v>
      </c>
      <c r="AD365" s="16" t="n">
        <f aca="false">AA365-W365</f>
        <v>0.0394980058107876</v>
      </c>
      <c r="AE365" s="16" t="n">
        <f aca="false">AB365-W365</f>
        <v>-0.0285733207642314</v>
      </c>
      <c r="AF365" s="16" t="n">
        <f aca="false">AE365-X365</f>
        <v>-0.0831235432923762</v>
      </c>
      <c r="AG365" s="16" t="n">
        <f aca="false">AF365-p_spc_lo*Y365/1000</f>
        <v>-0.0947995212450708</v>
      </c>
      <c r="AH365" s="16" t="n">
        <f aca="false">AF365-p_spc_hi*Y365/1000</f>
        <v>-0.106475499197765</v>
      </c>
      <c r="AI365" s="16" t="n">
        <f aca="false">Q365*J365</f>
        <v>0.384778952940761</v>
      </c>
      <c r="AJ365" s="16" t="n">
        <f aca="false">S365*J365</f>
        <v>0.217469865990039</v>
      </c>
      <c r="AK365" s="16" t="n">
        <f aca="false">T365*J365</f>
        <v>0.336525369174337</v>
      </c>
      <c r="AL365" s="16" t="n">
        <f aca="false">U365*J365</f>
        <v>0.22729259386727</v>
      </c>
      <c r="AM365" s="16" t="n">
        <f aca="false">AI365-AJ365</f>
        <v>0.167309086950721</v>
      </c>
      <c r="AN365" s="16" t="n">
        <f aca="false">J365*Country_Data!$EB$56</f>
        <v>3.19128164525704</v>
      </c>
      <c r="AO365" s="16" t="n">
        <f aca="false">L365*Country_Data!$EB$56</f>
        <v>0.765907594861691</v>
      </c>
    </row>
    <row r="366" customFormat="false" ht="15" hidden="false" customHeight="false" outlineLevel="0" collapsed="false">
      <c r="A366" s="14" t="str">
        <f aca="false">Country_Data!$A$56</f>
        <v>DZA</v>
      </c>
      <c r="B366" s="14" t="str">
        <f aca="false">Country_Data!$E$56</f>
        <v>EMDC</v>
      </c>
      <c r="C366" s="35" t="s">
        <v>481</v>
      </c>
      <c r="D366" s="37" t="n">
        <f aca="false">IF(Country_Data!$CC$56="","",Country_Data!$CC$56)</f>
        <v>0.542944637849137</v>
      </c>
      <c r="E366" s="40" t="n">
        <f aca="false">Country_Data!$BW$56</f>
        <v>826.1</v>
      </c>
      <c r="F366" s="41" t="n">
        <f aca="false">Country_Data!$BX$56</f>
        <v>0.325795908485656</v>
      </c>
      <c r="G366" s="42" t="n">
        <f aca="false">IF(D366="","",D366/SUMIFS($D$5:$D$1369,$B$5:$B$1369,B366,$C$5:$C$1369,C366))</f>
        <v>0.00775554788218519</v>
      </c>
      <c r="H366" s="42" t="n">
        <f aca="false">E366/SUMIFS($E$5:$E$1369,$B$5:$B$1369,B366,$C$5:$C$1369,C366)</f>
        <v>0.0102326354554563</v>
      </c>
      <c r="I366" s="43" t="n">
        <f aca="false">IF(G366="",H366,p_beta_alloc*G366+(1-p_beta_alloc)*H366)*F366^p_phi</f>
        <v>0.00513369570369236</v>
      </c>
      <c r="J366" s="16" t="n">
        <f aca="false">INDEX(Sector_Params!$C$20:$E$20,MATCH(B366,Sector_Params!$C$15:$E$15,0))*I366/SUMIFS($I$5:$I$1369,$B$5:$B$1369,B366,$C$5:$C$1369,C366)</f>
        <v>0.93700284668109</v>
      </c>
      <c r="K366" s="28" t="n">
        <f aca="false">INDEX(Sector_Params!$F$9:$H$9,MATCH(B366,Sector_Params!$C$15:$E$15,0))</f>
        <v>0.24</v>
      </c>
      <c r="L366" s="16" t="n">
        <f aca="false">J366*K366</f>
        <v>0.224880683203462</v>
      </c>
      <c r="M366" s="44" t="n">
        <f aca="false">Country_Data!$DW$56+Sector_Params!$E$9</f>
        <v>0.1322</v>
      </c>
      <c r="N366" s="44" t="n">
        <f aca="false">Country_Data!$DX$56+Sector_Params!$E$9</f>
        <v>0.1772</v>
      </c>
      <c r="O366" s="11" t="n">
        <f aca="false">IF(p_use_ibrd=1,p_r_ibrd,p_r_wb)</f>
        <v>0.06</v>
      </c>
      <c r="P366" s="45" t="n">
        <f aca="false">Sector_Params!$D$9</f>
        <v>25</v>
      </c>
      <c r="Q366" s="46" t="n">
        <f aca="false">M366/(1-(1+M366)^-P366)</f>
        <v>0.138409956656199</v>
      </c>
      <c r="R366" s="46" t="n">
        <f aca="false">N366/(1-(1+N366)^-P366)</f>
        <v>0.180252280429776</v>
      </c>
      <c r="S366" s="46" t="n">
        <f aca="false">O366/(1-(1+O366)^-P366)</f>
        <v>0.078226718212274</v>
      </c>
      <c r="T366" s="37" t="n">
        <f aca="false">Country_Data!$CM$56*Sector_Params!$I$9</f>
        <v>0.121052519648346</v>
      </c>
      <c r="U366" s="37" t="n">
        <f aca="false">Country_Data!$CN$56*Sector_Params!$J$9</f>
        <v>0.0817600802356963</v>
      </c>
      <c r="V366" s="37" t="n">
        <f aca="false">p_a</f>
        <v>0.35</v>
      </c>
      <c r="W366" s="16" t="n">
        <f aca="false">T366*L366</f>
        <v>0.0272223733220204</v>
      </c>
      <c r="X366" s="16" t="n">
        <f aca="false">U366*L366</f>
        <v>0.0183862627021732</v>
      </c>
      <c r="Y366" s="16" t="n">
        <f aca="false">V366*L366</f>
        <v>0.0787082391212116</v>
      </c>
      <c r="Z366" s="16" t="n">
        <f aca="false">Q366*L366</f>
        <v>0.0311257256150075</v>
      </c>
      <c r="AA366" s="16" t="n">
        <f aca="false">R366*L366</f>
        <v>0.0405352559720301</v>
      </c>
      <c r="AB366" s="16" t="n">
        <f aca="false">S366*L366</f>
        <v>0.0175916778363408</v>
      </c>
      <c r="AC366" s="16" t="n">
        <f aca="false">Z366-W366</f>
        <v>0.00390335229298708</v>
      </c>
      <c r="AD366" s="16" t="n">
        <f aca="false">AA366-W366</f>
        <v>0.0133128826500097</v>
      </c>
      <c r="AE366" s="16" t="n">
        <f aca="false">AB366-W366</f>
        <v>-0.00963069548567957</v>
      </c>
      <c r="AF366" s="16" t="n">
        <f aca="false">AE366-X366</f>
        <v>-0.0280169581878528</v>
      </c>
      <c r="AG366" s="16" t="n">
        <f aca="false">AF366-p_spc_lo*Y366/1000</f>
        <v>-0.0319523701439134</v>
      </c>
      <c r="AH366" s="16" t="n">
        <f aca="false">AF366-p_spc_hi*Y366/1000</f>
        <v>-0.035887782099974</v>
      </c>
      <c r="AI366" s="16" t="n">
        <f aca="false">Q366*J366</f>
        <v>0.129690523395865</v>
      </c>
      <c r="AJ366" s="16" t="n">
        <f aca="false">S366*J366</f>
        <v>0.0732986576514202</v>
      </c>
      <c r="AK366" s="16" t="n">
        <f aca="false">T366*J366</f>
        <v>0.113426555508418</v>
      </c>
      <c r="AL366" s="16" t="n">
        <f aca="false">U366*J366</f>
        <v>0.0766094279257218</v>
      </c>
      <c r="AM366" s="16" t="n">
        <f aca="false">AI366-AJ366</f>
        <v>0.0563918657444444</v>
      </c>
      <c r="AN366" s="16" t="n">
        <f aca="false">J366*Country_Data!$EB$56</f>
        <v>1.07562792536816</v>
      </c>
      <c r="AO366" s="16" t="n">
        <f aca="false">L366*Country_Data!$EB$56</f>
        <v>0.258150702088357</v>
      </c>
    </row>
    <row r="367" customFormat="false" ht="15" hidden="false" customHeight="false" outlineLevel="0" collapsed="false">
      <c r="A367" s="14" t="str">
        <f aca="false">Country_Data!$A$56</f>
        <v>DZA</v>
      </c>
      <c r="B367" s="14" t="str">
        <f aca="false">Country_Data!$E$56</f>
        <v>EMDC</v>
      </c>
      <c r="C367" s="35" t="s">
        <v>484</v>
      </c>
      <c r="D367" s="37" t="n">
        <f aca="false">IF(Country_Data!$CD$56="","",Country_Data!$CD$56)</f>
        <v>2.30988543940074</v>
      </c>
      <c r="E367" s="40" t="n">
        <f aca="false">Country_Data!$BW$56</f>
        <v>826.1</v>
      </c>
      <c r="F367" s="41" t="n">
        <f aca="false">Country_Data!$BX$56</f>
        <v>0.325795908485656</v>
      </c>
      <c r="G367" s="42" t="n">
        <f aca="false">IF(D367="","",D367/SUMIFS($D$5:$D$1369,$B$5:$B$1369,B367,$C$5:$C$1369,C367))</f>
        <v>0.0128992441394123</v>
      </c>
      <c r="H367" s="42" t="n">
        <f aca="false">E367/SUMIFS($E$5:$E$1369,$B$5:$B$1369,B367,$C$5:$C$1369,C367)</f>
        <v>0.0102326354554563</v>
      </c>
      <c r="I367" s="43" t="n">
        <f aca="false">IF(G367="",H367,p_beta_alloc*G367+(1-p_beta_alloc)*H367)*F367^p_phi</f>
        <v>0.00660166892150857</v>
      </c>
      <c r="J367" s="16" t="n">
        <f aca="false">INDEX(Sector_Params!$C$21:$E$21,MATCH(B367,Sector_Params!$C$15:$E$15,0))*I367/SUMIFS($I$5:$I$1369,$B$5:$B$1369,B367,$C$5:$C$1369,C367)</f>
        <v>1.46418300311055</v>
      </c>
      <c r="K367" s="28" t="n">
        <f aca="false">INDEX(Sector_Params!$F$10:$H$10,MATCH(B367,Sector_Params!$C$15:$E$15,0))</f>
        <v>0.24</v>
      </c>
      <c r="L367" s="16" t="n">
        <f aca="false">J367*K367</f>
        <v>0.351403920746533</v>
      </c>
      <c r="M367" s="44" t="n">
        <f aca="false">Country_Data!$DW$56+Sector_Params!$E$10</f>
        <v>0.1322</v>
      </c>
      <c r="N367" s="44" t="n">
        <f aca="false">Country_Data!$DX$56+Sector_Params!$E$10</f>
        <v>0.1772</v>
      </c>
      <c r="O367" s="11" t="n">
        <f aca="false">IF(p_use_ibrd=1,p_r_ibrd,p_r_wb)</f>
        <v>0.06</v>
      </c>
      <c r="P367" s="45" t="n">
        <f aca="false">Sector_Params!$D$10</f>
        <v>20</v>
      </c>
      <c r="Q367" s="46" t="n">
        <f aca="false">M367/(1-(1+M367)^-P367)</f>
        <v>0.144239885536805</v>
      </c>
      <c r="R367" s="46" t="n">
        <f aca="false">N367/(1-(1+N367)^-P367)</f>
        <v>0.184253601446446</v>
      </c>
      <c r="S367" s="46" t="n">
        <f aca="false">O367/(1-(1+O367)^-P367)</f>
        <v>0.0871845569768514</v>
      </c>
      <c r="T367" s="37" t="n">
        <f aca="false">0*Sector_Params!$I$10</f>
        <v>0</v>
      </c>
      <c r="U367" s="37" t="n">
        <f aca="false">0*Sector_Params!$J$10</f>
        <v>0</v>
      </c>
      <c r="V367" s="37" t="n">
        <f aca="false">1000*p_r_wb/(1-(1+p_r_wb)^-Sector_Params!$D$10)/p_cpt_fuel</f>
        <v>0.871845569768514</v>
      </c>
      <c r="W367" s="16" t="n">
        <f aca="false">T367*L367</f>
        <v>0</v>
      </c>
      <c r="X367" s="16" t="n">
        <f aca="false">U367*L367</f>
        <v>0</v>
      </c>
      <c r="Y367" s="16" t="n">
        <f aca="false">V367*L367</f>
        <v>0.306369951502151</v>
      </c>
      <c r="Z367" s="16" t="n">
        <f aca="false">Q367*L367</f>
        <v>0.0506864613056644</v>
      </c>
      <c r="AA367" s="16" t="n">
        <f aca="false">R367*L367</f>
        <v>0.0647474379599501</v>
      </c>
      <c r="AB367" s="16" t="n">
        <f aca="false">S367*L367</f>
        <v>0.0306369951502151</v>
      </c>
      <c r="AC367" s="16" t="n">
        <f aca="false">Z367-W367</f>
        <v>0.0506864613056644</v>
      </c>
      <c r="AD367" s="16" t="n">
        <f aca="false">AA367-W367</f>
        <v>0.0647474379599501</v>
      </c>
      <c r="AE367" s="16" t="n">
        <f aca="false">AB367-W367</f>
        <v>0.0306369951502151</v>
      </c>
      <c r="AF367" s="16" t="n">
        <f aca="false">AE367-X367</f>
        <v>0.0306369951502151</v>
      </c>
      <c r="AG367" s="16" t="n">
        <f aca="false">AF367-p_spc_lo*Y367/1000</f>
        <v>0.0153184975751075</v>
      </c>
      <c r="AH367" s="16" t="n">
        <f aca="false">AF367-p_spc_hi*Y367/1000</f>
        <v>0</v>
      </c>
      <c r="AI367" s="16" t="n">
        <f aca="false">Q367*J367</f>
        <v>0.211193588773602</v>
      </c>
      <c r="AJ367" s="16" t="n">
        <f aca="false">S367*J367</f>
        <v>0.12765414645923</v>
      </c>
      <c r="AK367" s="16" t="n">
        <f aca="false">T367*J367</f>
        <v>0</v>
      </c>
      <c r="AL367" s="16" t="n">
        <f aca="false">U367*J367</f>
        <v>0</v>
      </c>
      <c r="AM367" s="16" t="n">
        <f aca="false">AI367-AJ367</f>
        <v>0.0835394423143723</v>
      </c>
      <c r="AN367" s="16" t="n">
        <f aca="false">J367*Country_Data!$EB$56</f>
        <v>1.68080185836527</v>
      </c>
      <c r="AO367" s="16" t="n">
        <f aca="false">L367*Country_Data!$EB$56</f>
        <v>0.403392446007664</v>
      </c>
    </row>
    <row r="368" customFormat="false" ht="15" hidden="false" customHeight="false" outlineLevel="0" collapsed="false">
      <c r="A368" s="14" t="str">
        <f aca="false">Country_Data!$A$56</f>
        <v>DZA</v>
      </c>
      <c r="B368" s="14" t="str">
        <f aca="false">Country_Data!$E$56</f>
        <v>EMDC</v>
      </c>
      <c r="C368" s="35" t="s">
        <v>488</v>
      </c>
      <c r="D368" s="37" t="n">
        <f aca="false">IF(Country_Data!$CE$56="","",Country_Data!$CE$56)</f>
        <v>112.511</v>
      </c>
      <c r="E368" s="40" t="n">
        <f aca="false">Country_Data!$BW$56</f>
        <v>826.1</v>
      </c>
      <c r="F368" s="41" t="n">
        <f aca="false">Country_Data!$BX$56</f>
        <v>0.325795908485656</v>
      </c>
      <c r="G368" s="42" t="n">
        <f aca="false">IF(D368="","",D368/SUMIFS($D$5:$D$1369,$B$5:$B$1369,B368,$C$5:$C$1369,C368))</f>
        <v>0.00921910733351305</v>
      </c>
      <c r="H368" s="42" t="n">
        <f aca="false">E368/SUMIFS($E$5:$E$1369,$B$5:$B$1369,B368,$C$5:$C$1369,C368)</f>
        <v>0.0102326354554563</v>
      </c>
      <c r="I368" s="43" t="n">
        <f aca="false">IF(G368="",H368,p_beta_alloc*G368+(1-p_beta_alloc)*H368)*F368^p_phi</f>
        <v>0.00555138484585592</v>
      </c>
      <c r="J368" s="16" t="n">
        <f aca="false">INDEX(Sector_Params!$C$22:$E$22,MATCH(B368,Sector_Params!$C$15:$E$15,0))*I368/SUMIFS($I$5:$I$1369,$B$5:$B$1369,B368,$C$5:$C$1369,C368)</f>
        <v>3.34642135131322</v>
      </c>
      <c r="K368" s="28" t="n">
        <f aca="false">INDEX(Sector_Params!$F$11:$H$11,MATCH(B368,Sector_Params!$C$15:$E$15,0))</f>
        <v>0.24</v>
      </c>
      <c r="L368" s="16" t="n">
        <f aca="false">J368*K368</f>
        <v>0.803141124315173</v>
      </c>
      <c r="M368" s="44" t="n">
        <f aca="false">Country_Data!$DW$56+Sector_Params!$E$11</f>
        <v>0.1322</v>
      </c>
      <c r="N368" s="44" t="n">
        <f aca="false">Country_Data!$DX$56+Sector_Params!$E$11</f>
        <v>0.1772</v>
      </c>
      <c r="O368" s="11" t="n">
        <f aca="false">IF(p_use_ibrd=1,p_r_ibrd,p_r_wb)</f>
        <v>0.06</v>
      </c>
      <c r="P368" s="45" t="n">
        <f aca="false">Sector_Params!$D$11</f>
        <v>30</v>
      </c>
      <c r="Q368" s="46" t="n">
        <f aca="false">M368/(1-(1+M368)^-P368)</f>
        <v>0.135466921854729</v>
      </c>
      <c r="R368" s="46" t="n">
        <f aca="false">N368/(1-(1+N368)^-P368)</f>
        <v>0.178537276778924</v>
      </c>
      <c r="S368" s="46" t="n">
        <f aca="false">O368/(1-(1+O368)^-P368)</f>
        <v>0.0726489114900472</v>
      </c>
      <c r="T368" s="37" t="n">
        <f aca="false">0*Sector_Params!$I$11</f>
        <v>0</v>
      </c>
      <c r="U368" s="37" t="n">
        <f aca="false">p_c*Sector_Params!$J$11</f>
        <v>0.129</v>
      </c>
      <c r="V368" s="37" t="n">
        <f aca="false">1000*p_r_wb/(1-(1+p_r_wb)^-Sector_Params!$D$11)/p_cpt_afolu</f>
        <v>1.45297822980094</v>
      </c>
      <c r="W368" s="16" t="n">
        <f aca="false">T368*L368</f>
        <v>0</v>
      </c>
      <c r="X368" s="16" t="n">
        <f aca="false">U368*L368</f>
        <v>0.103605205036657</v>
      </c>
      <c r="Y368" s="16" t="n">
        <f aca="false">V368*L368</f>
        <v>1.1669465690878</v>
      </c>
      <c r="Z368" s="16" t="n">
        <f aca="false">Q368*L368</f>
        <v>0.108799055925923</v>
      </c>
      <c r="AA368" s="16" t="n">
        <f aca="false">R368*L368</f>
        <v>0.143390629204394</v>
      </c>
      <c r="AB368" s="16" t="n">
        <f aca="false">S368*L368</f>
        <v>0.05834732845439</v>
      </c>
      <c r="AC368" s="16" t="n">
        <f aca="false">Z368-W368</f>
        <v>0.108799055925923</v>
      </c>
      <c r="AD368" s="16" t="n">
        <f aca="false">AA368-W368</f>
        <v>0.143390629204394</v>
      </c>
      <c r="AE368" s="16" t="n">
        <f aca="false">AB368-W368</f>
        <v>0.05834732845439</v>
      </c>
      <c r="AF368" s="16" t="n">
        <f aca="false">AE368-X368</f>
        <v>-0.0452578765822673</v>
      </c>
      <c r="AG368" s="16" t="n">
        <f aca="false">AF368-p_spc_lo*Y368/1000</f>
        <v>-0.103605205036657</v>
      </c>
      <c r="AH368" s="16" t="n">
        <f aca="false">AF368-p_spc_hi*Y368/1000</f>
        <v>-0.161952533491047</v>
      </c>
      <c r="AI368" s="16" t="n">
        <f aca="false">Q368*J368</f>
        <v>0.453329399691344</v>
      </c>
      <c r="AJ368" s="16" t="n">
        <f aca="false">S368*J368</f>
        <v>0.243113868559958</v>
      </c>
      <c r="AK368" s="16" t="n">
        <f aca="false">T368*J368</f>
        <v>0</v>
      </c>
      <c r="AL368" s="16" t="n">
        <f aca="false">U368*J368</f>
        <v>0.431688354319405</v>
      </c>
      <c r="AM368" s="16" t="n">
        <f aca="false">AI368-AJ368</f>
        <v>0.210215531131386</v>
      </c>
      <c r="AN368" s="16" t="n">
        <f aca="false">J368*Country_Data!$EB$56</f>
        <v>3.84150834575408</v>
      </c>
      <c r="AO368" s="16" t="n">
        <f aca="false">L368*Country_Data!$EB$56</f>
        <v>0.921962002980979</v>
      </c>
    </row>
    <row r="369" customFormat="false" ht="15" hidden="false" customHeight="false" outlineLevel="0" collapsed="false">
      <c r="A369" s="14" t="str">
        <f aca="false">Country_Data!$A$57</f>
        <v>NZL</v>
      </c>
      <c r="B369" s="14" t="str">
        <f aca="false">Country_Data!$E$57</f>
        <v>AE</v>
      </c>
      <c r="C369" s="35" t="s">
        <v>466</v>
      </c>
      <c r="D369" s="37" t="n">
        <f aca="false">IF(Country_Data!$BZ$57="","",Country_Data!$BZ$57)</f>
        <v>40.3741992440406</v>
      </c>
      <c r="E369" s="40" t="n">
        <f aca="false">Country_Data!$BW$57</f>
        <v>288.555</v>
      </c>
      <c r="F369" s="41" t="n">
        <f aca="false">Country_Data!$BX$57</f>
        <v>0.896976313007919</v>
      </c>
      <c r="G369" s="42" t="n">
        <f aca="false">IF(D369="","",D369/SUMIFS($D$5:$D$1369,$B$5:$B$1369,B369,$C$5:$C$1369,C369))</f>
        <v>0.00412596246108423</v>
      </c>
      <c r="H369" s="42" t="n">
        <f aca="false">E369/SUMIFS($E$5:$E$1369,$B$5:$B$1369,B369,$C$5:$C$1369,C369)</f>
        <v>0.0036579266657929</v>
      </c>
      <c r="I369" s="43" t="n">
        <f aca="false">IF(G369="",H369,p_beta_alloc*G369+(1-p_beta_alloc)*H369)*F369^p_phi</f>
        <v>0.00368601529385874</v>
      </c>
      <c r="J369" s="16" t="n">
        <f aca="false">INDEX(Sector_Params!$C$16:$E$16,MATCH(B369,Sector_Params!$C$15:$E$15,0))*I369/SUMIFS($I$5:$I$1369,$B$5:$B$1369,B369,$C$5:$C$1369,C369)</f>
        <v>3.30619102979527</v>
      </c>
      <c r="K369" s="28" t="n">
        <f aca="false">INDEX(Sector_Params!$F$5:$H$5,MATCH(B369,Sector_Params!$C$15:$E$15,0))</f>
        <v>0.38</v>
      </c>
      <c r="L369" s="16" t="n">
        <f aca="false">J369*K369</f>
        <v>1.2563525913222</v>
      </c>
      <c r="M369" s="44" t="n">
        <f aca="false">Country_Data!$DW$57+Sector_Params!$E$5</f>
        <v>0.055</v>
      </c>
      <c r="N369" s="44" t="n">
        <f aca="false">Country_Data!$DX$57+Sector_Params!$E$5</f>
        <v>0.07</v>
      </c>
      <c r="O369" s="11" t="n">
        <f aca="false">IF(p_use_ibrd=1,p_r_ibrd,p_r_wb)</f>
        <v>0.06</v>
      </c>
      <c r="P369" s="45" t="n">
        <f aca="false">Sector_Params!$D$5</f>
        <v>25</v>
      </c>
      <c r="Q369" s="46" t="n">
        <f aca="false">M369/(1-(1+M369)^-P369)</f>
        <v>0.0745493529464385</v>
      </c>
      <c r="R369" s="46" t="n">
        <f aca="false">N369/(1-(1+N369)^-P369)</f>
        <v>0.0858105172206656</v>
      </c>
      <c r="S369" s="46" t="n">
        <f aca="false">O369/(1-(1+O369)^-P369)</f>
        <v>0.078226718212274</v>
      </c>
      <c r="T369" s="37" t="n">
        <f aca="false">IF(AND(p_eng=1,ISNUMBER(Country_Data!$CZ$57)),Country_Data!$CZ$57,Country_Data!$CM$57)*Sector_Params!$I$5</f>
        <v>0.00502397470010856</v>
      </c>
      <c r="U369" s="37" t="n">
        <f aca="false">IF(AND(p_eng=1,ISNUMBER(Country_Data!$DA$57)),Country_Data!$DA$57,Country_Data!$CN$57)*Sector_Params!$J$5</f>
        <v>0.00124949055100222</v>
      </c>
      <c r="V369" s="37" t="n">
        <f aca="false">IF(AND(p_eng=1,ISNUMBER(Country_Data!$DB$57)),Country_Data!$DB$57,p_a)</f>
        <v>0.138021454362878</v>
      </c>
      <c r="W369" s="16" t="n">
        <f aca="false">T369*L369</f>
        <v>0.00631188363321858</v>
      </c>
      <c r="X369" s="16" t="n">
        <f aca="false">U369*L369</f>
        <v>0.00156980069158424</v>
      </c>
      <c r="Y369" s="16" t="n">
        <f aca="false">V369*L369</f>
        <v>0.17340361184686</v>
      </c>
      <c r="Z369" s="16" t="n">
        <f aca="false">Q369*L369</f>
        <v>0.0936602727556515</v>
      </c>
      <c r="AA369" s="16" t="n">
        <f aca="false">R369*L369</f>
        <v>0.107808265672882</v>
      </c>
      <c r="AB369" s="16" t="n">
        <f aca="false">S369*L369</f>
        <v>0.0982803401366221</v>
      </c>
      <c r="AC369" s="16" t="n">
        <f aca="false">Z369-W369</f>
        <v>0.0873483891224329</v>
      </c>
      <c r="AD369" s="16" t="n">
        <f aca="false">AA369-W369</f>
        <v>0.101496382039663</v>
      </c>
      <c r="AE369" s="16" t="n">
        <f aca="false">AB369-W369</f>
        <v>0.0919684565034035</v>
      </c>
      <c r="AF369" s="16" t="n">
        <f aca="false">AE369-X369</f>
        <v>0.0903986558118193</v>
      </c>
      <c r="AG369" s="16" t="n">
        <f aca="false">AF369-p_spc_lo*Y369/1000</f>
        <v>0.0817284752194762</v>
      </c>
      <c r="AH369" s="16" t="n">
        <f aca="false">AF369-p_spc_hi*Y369/1000</f>
        <v>0.0730582946271332</v>
      </c>
      <c r="AI369" s="16" t="n">
        <f aca="false">Q369*J369</f>
        <v>0.246474401988557</v>
      </c>
      <c r="AJ369" s="16" t="n">
        <f aca="false">S369*J369</f>
        <v>0.258632474043742</v>
      </c>
      <c r="AK369" s="16" t="n">
        <f aca="false">T369*J369</f>
        <v>0.0166102200874173</v>
      </c>
      <c r="AL369" s="16" t="n">
        <f aca="false">U369*J369</f>
        <v>0.00413105445153748</v>
      </c>
      <c r="AM369" s="16" t="n">
        <f aca="false">AI369-AJ369</f>
        <v>-0.0121580720551858</v>
      </c>
      <c r="AN369" s="16" t="n">
        <f aca="false">J369*Country_Data!$EB$57</f>
        <v>3.45439959319988</v>
      </c>
      <c r="AO369" s="16" t="n">
        <f aca="false">L369*Country_Data!$EB$57</f>
        <v>1.31267184541596</v>
      </c>
    </row>
    <row r="370" customFormat="false" ht="15" hidden="false" customHeight="false" outlineLevel="0" collapsed="false">
      <c r="A370" s="14" t="str">
        <f aca="false">Country_Data!$A$57</f>
        <v>NZL</v>
      </c>
      <c r="B370" s="14" t="str">
        <f aca="false">Country_Data!$E$57</f>
        <v>AE</v>
      </c>
      <c r="C370" s="35" t="s">
        <v>470</v>
      </c>
      <c r="D370" s="37" t="n">
        <f aca="false">IF(Country_Data!$BZ$57="","",Country_Data!$BZ$57)</f>
        <v>40.3741992440406</v>
      </c>
      <c r="E370" s="40" t="n">
        <f aca="false">Country_Data!$BW$57</f>
        <v>288.555</v>
      </c>
      <c r="F370" s="41" t="n">
        <f aca="false">Country_Data!$BX$57</f>
        <v>0.896976313007919</v>
      </c>
      <c r="G370" s="42" t="n">
        <f aca="false">IF(D370="","",D370/SUMIFS($D$5:$D$1369,$B$5:$B$1369,B370,$C$5:$C$1369,C370))</f>
        <v>0.00412596246108423</v>
      </c>
      <c r="H370" s="42" t="n">
        <f aca="false">E370/SUMIFS($E$5:$E$1369,$B$5:$B$1369,B370,$C$5:$C$1369,C370)</f>
        <v>0.0036579266657929</v>
      </c>
      <c r="I370" s="43" t="n">
        <f aca="false">IF(G370="",H370,p_beta_alloc*G370+(1-p_beta_alloc)*H370)*F370^p_phi</f>
        <v>0.00368601529385874</v>
      </c>
      <c r="J370" s="16" t="n">
        <f aca="false">INDEX(Sector_Params!$C$17:$E$17,MATCH(B370,Sector_Params!$C$15:$E$15,0))*I370/SUMIFS($I$5:$I$1369,$B$5:$B$1369,B370,$C$5:$C$1369,C370)</f>
        <v>2.26710242043104</v>
      </c>
      <c r="K370" s="28" t="n">
        <f aca="false">INDEX(Sector_Params!$F$6:$H$6,MATCH(B370,Sector_Params!$C$15:$E$15,0))</f>
        <v>0.38</v>
      </c>
      <c r="L370" s="16" t="n">
        <f aca="false">J370*K370</f>
        <v>0.861498919763796</v>
      </c>
      <c r="M370" s="44" t="n">
        <f aca="false">Country_Data!$DW$57+Sector_Params!$E$6</f>
        <v>0.055</v>
      </c>
      <c r="N370" s="44" t="n">
        <f aca="false">Country_Data!$DX$57+Sector_Params!$E$6</f>
        <v>0.07</v>
      </c>
      <c r="O370" s="11" t="n">
        <f aca="false">IF(p_use_ibrd=1,p_r_ibrd,p_r_wb)</f>
        <v>0.06</v>
      </c>
      <c r="P370" s="45" t="n">
        <f aca="false">Sector_Params!$D$6</f>
        <v>40</v>
      </c>
      <c r="Q370" s="46" t="n">
        <f aca="false">M370/(1-(1+M370)^-P370)</f>
        <v>0.062320343360638</v>
      </c>
      <c r="R370" s="46" t="n">
        <f aca="false">N370/(1-(1+N370)^-P370)</f>
        <v>0.0750091388736103</v>
      </c>
      <c r="S370" s="46" t="n">
        <f aca="false">O370/(1-(1+O370)^-P370)</f>
        <v>0.0664615359206755</v>
      </c>
      <c r="T370" s="37" t="n">
        <f aca="false">p_grid_credit*IF(AND(p_eng=1,ISNUMBER(Country_Data!$CZ$57)),Country_Data!$CZ$57,Country_Data!$CM$57)*Sector_Params!$I$6</f>
        <v>0</v>
      </c>
      <c r="U370" s="37" t="n">
        <f aca="false">p_grid_credit*IF(AND(p_eng=1,ISNUMBER(Country_Data!$DA$57)),Country_Data!$DA$57,Country_Data!$CN$57)*Sector_Params!$J$6</f>
        <v>0</v>
      </c>
      <c r="V370" s="37" t="n">
        <f aca="false">p_grid_credit*IF(AND(p_eng=1,ISNUMBER(Country_Data!$DB$57)),Country_Data!$DB$57,p_a)</f>
        <v>0</v>
      </c>
      <c r="W370" s="16" t="n">
        <f aca="false">T370*L370</f>
        <v>0</v>
      </c>
      <c r="X370" s="16" t="n">
        <f aca="false">U370*L370</f>
        <v>0</v>
      </c>
      <c r="Y370" s="16" t="n">
        <f aca="false">V370*L370</f>
        <v>0</v>
      </c>
      <c r="Z370" s="16" t="n">
        <f aca="false">Q370*L370</f>
        <v>0.0536889084844984</v>
      </c>
      <c r="AA370" s="16" t="n">
        <f aca="false">R370*L370</f>
        <v>0.0646202921120278</v>
      </c>
      <c r="AB370" s="16" t="n">
        <f aca="false">S370*L370</f>
        <v>0.0572565414015047</v>
      </c>
      <c r="AC370" s="16" t="n">
        <f aca="false">Z370-W370</f>
        <v>0.0536889084844984</v>
      </c>
      <c r="AD370" s="16" t="n">
        <f aca="false">AA370-W370</f>
        <v>0.0646202921120278</v>
      </c>
      <c r="AE370" s="16" t="n">
        <f aca="false">AB370-W370</f>
        <v>0.0572565414015047</v>
      </c>
      <c r="AF370" s="16" t="n">
        <f aca="false">AE370-X370</f>
        <v>0.0572565414015047</v>
      </c>
      <c r="AG370" s="16" t="n">
        <f aca="false">AF370-p_spc_lo*Y370/1000</f>
        <v>0.0572565414015047</v>
      </c>
      <c r="AH370" s="16" t="n">
        <f aca="false">AF370-p_spc_hi*Y370/1000</f>
        <v>0.0572565414015047</v>
      </c>
      <c r="AI370" s="16" t="n">
        <f aca="false">Q370*J370</f>
        <v>0.141286601274996</v>
      </c>
      <c r="AJ370" s="16" t="n">
        <f aca="false">S370*J370</f>
        <v>0.150675108951328</v>
      </c>
      <c r="AK370" s="16" t="n">
        <f aca="false">T370*J370</f>
        <v>0</v>
      </c>
      <c r="AL370" s="16" t="n">
        <f aca="false">U370*J370</f>
        <v>0</v>
      </c>
      <c r="AM370" s="16" t="n">
        <f aca="false">AI370-AJ370</f>
        <v>-0.00938850767633215</v>
      </c>
      <c r="AN370" s="16" t="n">
        <f aca="false">J370*Country_Data!$EB$57</f>
        <v>2.36873114962278</v>
      </c>
      <c r="AO370" s="16" t="n">
        <f aca="false">L370*Country_Data!$EB$57</f>
        <v>0.900117836856656</v>
      </c>
    </row>
    <row r="371" customFormat="false" ht="15" hidden="false" customHeight="false" outlineLevel="0" collapsed="false">
      <c r="A371" s="14" t="str">
        <f aca="false">Country_Data!$A$57</f>
        <v>NZL</v>
      </c>
      <c r="B371" s="14" t="str">
        <f aca="false">Country_Data!$E$57</f>
        <v>AE</v>
      </c>
      <c r="C371" s="35" t="s">
        <v>473</v>
      </c>
      <c r="D371" s="37" t="n">
        <f aca="false">IF(Country_Data!$CA$57="","",Country_Data!$CA$57)</f>
        <v>0.252339987716959</v>
      </c>
      <c r="E371" s="40" t="n">
        <f aca="false">Country_Data!$BW$57</f>
        <v>288.555</v>
      </c>
      <c r="F371" s="41" t="n">
        <f aca="false">Country_Data!$BX$57</f>
        <v>0.896976313007919</v>
      </c>
      <c r="G371" s="42" t="n">
        <f aca="false">IF(D371="","",D371/SUMIFS($D$5:$D$1369,$B$5:$B$1369,B371,$C$5:$C$1369,C371))</f>
        <v>0.00493980001618913</v>
      </c>
      <c r="H371" s="42" t="n">
        <f aca="false">E371/SUMIFS($E$5:$E$1369,$B$5:$B$1369,B371,$C$5:$C$1369,C371)</f>
        <v>0.0036579266657929</v>
      </c>
      <c r="I371" s="43" t="n">
        <f aca="false">IF(G371="",H371,p_beta_alloc*G371+(1-p_beta_alloc)*H371)*F371^p_phi</f>
        <v>0.00407140332109504</v>
      </c>
      <c r="J371" s="16" t="n">
        <f aca="false">INDEX(Sector_Params!$C$18:$E$18,MATCH(B371,Sector_Params!$C$15:$E$15,0))*I371/SUMIFS($I$5:$I$1369,$B$5:$B$1369,B371,$C$5:$C$1369,C371)</f>
        <v>1.53432121040443</v>
      </c>
      <c r="K371" s="28" t="n">
        <f aca="false">INDEX(Sector_Params!$F$7:$H$7,MATCH(B371,Sector_Params!$C$15:$E$15,0))</f>
        <v>0.38</v>
      </c>
      <c r="L371" s="16" t="n">
        <f aca="false">J371*K371</f>
        <v>0.583042059953684</v>
      </c>
      <c r="M371" s="44" t="n">
        <f aca="false">Country_Data!$DW$57+Sector_Params!$E$7</f>
        <v>0.055</v>
      </c>
      <c r="N371" s="44" t="n">
        <f aca="false">Country_Data!$DX$57+Sector_Params!$E$7</f>
        <v>0.07</v>
      </c>
      <c r="O371" s="11" t="n">
        <f aca="false">IF(p_use_ibrd=1,p_r_ibrd,p_r_wb)</f>
        <v>0.06</v>
      </c>
      <c r="P371" s="45" t="n">
        <f aca="false">Sector_Params!$D$7</f>
        <v>12</v>
      </c>
      <c r="Q371" s="46" t="n">
        <f aca="false">M371/(1-(1+M371)^-P371)</f>
        <v>0.116029231191614</v>
      </c>
      <c r="R371" s="46" t="n">
        <f aca="false">N371/(1-(1+N371)^-P371)</f>
        <v>0.12590198865502</v>
      </c>
      <c r="S371" s="46" t="n">
        <f aca="false">O371/(1-(1+O371)^-P371)</f>
        <v>0.119277029380664</v>
      </c>
      <c r="T371" s="37" t="n">
        <f aca="false">IF(AND(p_eng=1,ISNUMBER(Country_Data!$DE$57)),Country_Data!$DE$57,Country_Data!$CM$57)*Sector_Params!$I$7</f>
        <v>0.120801555</v>
      </c>
      <c r="U371" s="37" t="n">
        <f aca="false">IF(AND(p_eng=1,ISNUMBER(Country_Data!$DF$57)),Country_Data!$DF$57,Country_Data!$CN$57)*Sector_Params!$J$7</f>
        <v>0.002575575</v>
      </c>
      <c r="V371" s="37" t="n">
        <f aca="false">IF(AND(p_eng=1,ISNUMBER(Country_Data!$DG$57)),Country_Data!$DG$57,p_a)</f>
        <v>0.50087660752192</v>
      </c>
      <c r="W371" s="16" t="n">
        <f aca="false">T371*L371</f>
        <v>0.0704323874728082</v>
      </c>
      <c r="X371" s="16" t="n">
        <f aca="false">U371*L371</f>
        <v>0.00150166855356521</v>
      </c>
      <c r="Y371" s="16" t="n">
        <f aca="false">V371*L371</f>
        <v>0.292032129032193</v>
      </c>
      <c r="Z371" s="16" t="n">
        <f aca="false">Q371*L371</f>
        <v>0.0676499219688011</v>
      </c>
      <c r="AA371" s="16" t="n">
        <f aca="false">R371*L371</f>
        <v>0.0734061548176884</v>
      </c>
      <c r="AB371" s="16" t="n">
        <f aca="false">S371*L371</f>
        <v>0.0695435249152581</v>
      </c>
      <c r="AC371" s="16" t="n">
        <f aca="false">Z371-W371</f>
        <v>-0.00278246550400713</v>
      </c>
      <c r="AD371" s="16" t="n">
        <f aca="false">AA371-W371</f>
        <v>0.00297376734488021</v>
      </c>
      <c r="AE371" s="16" t="n">
        <f aca="false">AB371-W371</f>
        <v>-0.000888862557550094</v>
      </c>
      <c r="AF371" s="16" t="n">
        <f aca="false">AE371-X371</f>
        <v>-0.0023905311111153</v>
      </c>
      <c r="AG371" s="16" t="n">
        <f aca="false">AF371-p_spc_lo*Y371/1000</f>
        <v>-0.0169921375627249</v>
      </c>
      <c r="AH371" s="16" t="n">
        <f aca="false">AF371-p_spc_hi*Y371/1000</f>
        <v>-0.0315937440143346</v>
      </c>
      <c r="AI371" s="16" t="n">
        <f aca="false">Q371*J371</f>
        <v>0.178026110444213</v>
      </c>
      <c r="AJ371" s="16" t="n">
        <f aca="false">S371*J371</f>
        <v>0.183009276092785</v>
      </c>
      <c r="AK371" s="16" t="n">
        <f aca="false">T371*J371</f>
        <v>0.185348388086337</v>
      </c>
      <c r="AL371" s="16" t="n">
        <f aca="false">U371*J371</f>
        <v>0.00395175935148739</v>
      </c>
      <c r="AM371" s="16" t="n">
        <f aca="false">AI371-AJ371</f>
        <v>-0.00498316564857115</v>
      </c>
      <c r="AN371" s="16" t="n">
        <f aca="false">J371*Country_Data!$EB$57</f>
        <v>1.60310112673291</v>
      </c>
      <c r="AO371" s="16" t="n">
        <f aca="false">L371*Country_Data!$EB$57</f>
        <v>0.609178428158504</v>
      </c>
    </row>
    <row r="372" customFormat="false" ht="15" hidden="false" customHeight="false" outlineLevel="0" collapsed="false">
      <c r="A372" s="14" t="str">
        <f aca="false">Country_Data!$A$57</f>
        <v>NZL</v>
      </c>
      <c r="B372" s="14" t="str">
        <f aca="false">Country_Data!$E$57</f>
        <v>AE</v>
      </c>
      <c r="C372" s="35" t="s">
        <v>477</v>
      </c>
      <c r="D372" s="37" t="n">
        <f aca="false">IF(Country_Data!$CB$57="","",Country_Data!$CB$57)</f>
        <v>0.114674581634472</v>
      </c>
      <c r="E372" s="40" t="n">
        <f aca="false">Country_Data!$BW$57</f>
        <v>288.555</v>
      </c>
      <c r="F372" s="41" t="n">
        <f aca="false">Country_Data!$BX$57</f>
        <v>0.896976313007919</v>
      </c>
      <c r="G372" s="42" t="n">
        <f aca="false">IF(D372="","",D372/SUMIFS($D$5:$D$1369,$B$5:$B$1369,B372,$C$5:$C$1369,C372))</f>
        <v>0.0029488691488307</v>
      </c>
      <c r="H372" s="42" t="n">
        <f aca="false">E372/SUMIFS($E$5:$E$1369,$B$5:$B$1369,B372,$C$5:$C$1369,C372)</f>
        <v>0.0036579266657929</v>
      </c>
      <c r="I372" s="43" t="n">
        <f aca="false">IF(G372="",H372,p_beta_alloc*G372+(1-p_beta_alloc)*H372)*F372^p_phi</f>
        <v>0.00312860962163714</v>
      </c>
      <c r="J372" s="16" t="n">
        <f aca="false">INDEX(Sector_Params!$C$19:$E$19,MATCH(B372,Sector_Params!$C$15:$E$15,0))*I372/SUMIFS($I$5:$I$1369,$B$5:$B$1369,B372,$C$5:$C$1369,C372)</f>
        <v>0.919676440432998</v>
      </c>
      <c r="K372" s="28" t="n">
        <f aca="false">INDEX(Sector_Params!$F$8:$H$8,MATCH(B372,Sector_Params!$C$15:$E$15,0))</f>
        <v>0.38</v>
      </c>
      <c r="L372" s="16" t="n">
        <f aca="false">J372*K372</f>
        <v>0.349477047364539</v>
      </c>
      <c r="M372" s="44" t="n">
        <f aca="false">Country_Data!$DW$57+Sector_Params!$E$8</f>
        <v>0.055</v>
      </c>
      <c r="N372" s="44" t="n">
        <f aca="false">Country_Data!$DX$57+Sector_Params!$E$8</f>
        <v>0.07</v>
      </c>
      <c r="O372" s="11" t="n">
        <f aca="false">IF(p_use_ibrd=1,p_r_ibrd,p_r_wb)</f>
        <v>0.06</v>
      </c>
      <c r="P372" s="45" t="n">
        <f aca="false">Sector_Params!$D$8</f>
        <v>25</v>
      </c>
      <c r="Q372" s="46" t="n">
        <f aca="false">M372/(1-(1+M372)^-P372)</f>
        <v>0.0745493529464385</v>
      </c>
      <c r="R372" s="46" t="n">
        <f aca="false">N372/(1-(1+N372)^-P372)</f>
        <v>0.0858105172206656</v>
      </c>
      <c r="S372" s="46" t="n">
        <f aca="false">O372/(1-(1+O372)^-P372)</f>
        <v>0.078226718212274</v>
      </c>
      <c r="T372" s="37" t="n">
        <f aca="false">Country_Data!$CM$57*Sector_Params!$I$8</f>
        <v>0.198207801884345</v>
      </c>
      <c r="U372" s="37" t="n">
        <f aca="false">Country_Data!$CN$57*Sector_Params!$J$8</f>
        <v>0.03225</v>
      </c>
      <c r="V372" s="37" t="n">
        <f aca="false">p_a</f>
        <v>0.35</v>
      </c>
      <c r="W372" s="16" t="n">
        <f aca="false">T372*L372</f>
        <v>0.0692690773671566</v>
      </c>
      <c r="X372" s="16" t="n">
        <f aca="false">U372*L372</f>
        <v>0.0112706347775064</v>
      </c>
      <c r="Y372" s="16" t="n">
        <f aca="false">V372*L372</f>
        <v>0.122316966577589</v>
      </c>
      <c r="Z372" s="16" t="n">
        <f aca="false">Q372*L372</f>
        <v>0.0260532877506583</v>
      </c>
      <c r="AA372" s="16" t="n">
        <f aca="false">R372*L372</f>
        <v>0.0299888061911022</v>
      </c>
      <c r="AB372" s="16" t="n">
        <f aca="false">S372*L372</f>
        <v>0.0273384425058433</v>
      </c>
      <c r="AC372" s="16" t="n">
        <f aca="false">Z372-W372</f>
        <v>-0.0432157896164983</v>
      </c>
      <c r="AD372" s="16" t="n">
        <f aca="false">AA372-W372</f>
        <v>-0.0392802711760544</v>
      </c>
      <c r="AE372" s="16" t="n">
        <f aca="false">AB372-W372</f>
        <v>-0.0419306348613132</v>
      </c>
      <c r="AF372" s="16" t="n">
        <f aca="false">AE372-X372</f>
        <v>-0.0532012696388196</v>
      </c>
      <c r="AG372" s="16" t="n">
        <f aca="false">AF372-p_spc_lo*Y372/1000</f>
        <v>-0.0593171179676991</v>
      </c>
      <c r="AH372" s="16" t="n">
        <f aca="false">AF372-p_spc_hi*Y372/1000</f>
        <v>-0.0654329662965785</v>
      </c>
      <c r="AI372" s="16" t="n">
        <f aca="false">Q372*J372</f>
        <v>0.0685612835543638</v>
      </c>
      <c r="AJ372" s="16" t="n">
        <f aca="false">S372*J372</f>
        <v>0.0719432697522193</v>
      </c>
      <c r="AK372" s="16" t="n">
        <f aca="false">T372*J372</f>
        <v>0.182287045703044</v>
      </c>
      <c r="AL372" s="16" t="n">
        <f aca="false">U372*J372</f>
        <v>0.0296595652039642</v>
      </c>
      <c r="AM372" s="16" t="n">
        <f aca="false">AI372-AJ372</f>
        <v>-0.00338198619785546</v>
      </c>
      <c r="AN372" s="16" t="n">
        <f aca="false">J372*Country_Data!$EB$57</f>
        <v>0.96090331534896</v>
      </c>
      <c r="AO372" s="16" t="n">
        <f aca="false">L372*Country_Data!$EB$57</f>
        <v>0.365143259832605</v>
      </c>
    </row>
    <row r="373" customFormat="false" ht="15" hidden="false" customHeight="false" outlineLevel="0" collapsed="false">
      <c r="A373" s="14" t="str">
        <f aca="false">Country_Data!$A$57</f>
        <v>NZL</v>
      </c>
      <c r="B373" s="14" t="str">
        <f aca="false">Country_Data!$E$57</f>
        <v>AE</v>
      </c>
      <c r="C373" s="35" t="s">
        <v>481</v>
      </c>
      <c r="D373" s="37" t="n">
        <f aca="false">IF(Country_Data!$CC$57="","",Country_Data!$CC$57)</f>
        <v>0.139849533587786</v>
      </c>
      <c r="E373" s="40" t="n">
        <f aca="false">Country_Data!$BW$57</f>
        <v>288.555</v>
      </c>
      <c r="F373" s="41" t="n">
        <f aca="false">Country_Data!$BX$57</f>
        <v>0.896976313007919</v>
      </c>
      <c r="G373" s="42" t="n">
        <f aca="false">IF(D373="","",D373/SUMIFS($D$5:$D$1369,$B$5:$B$1369,B373,$C$5:$C$1369,C373))</f>
        <v>0.00254636115011265</v>
      </c>
      <c r="H373" s="42" t="n">
        <f aca="false">E373/SUMIFS($E$5:$E$1369,$B$5:$B$1369,B373,$C$5:$C$1369,C373)</f>
        <v>0.0036579266657929</v>
      </c>
      <c r="I373" s="43" t="n">
        <f aca="false">IF(G373="",H373,p_beta_alloc*G373+(1-p_beta_alloc)*H373)*F373^p_phi</f>
        <v>0.00293800430660866</v>
      </c>
      <c r="J373" s="16" t="n">
        <f aca="false">INDEX(Sector_Params!$C$20:$E$20,MATCH(B373,Sector_Params!$C$15:$E$15,0))*I373/SUMIFS($I$5:$I$1369,$B$5:$B$1369,B373,$C$5:$C$1369,C373)</f>
        <v>0.498924110799559</v>
      </c>
      <c r="K373" s="28" t="n">
        <f aca="false">INDEX(Sector_Params!$F$9:$H$9,MATCH(B373,Sector_Params!$C$15:$E$15,0))</f>
        <v>0.38</v>
      </c>
      <c r="L373" s="16" t="n">
        <f aca="false">J373*K373</f>
        <v>0.189591162103832</v>
      </c>
      <c r="M373" s="44" t="n">
        <f aca="false">Country_Data!$DW$57+Sector_Params!$E$9</f>
        <v>0.055</v>
      </c>
      <c r="N373" s="44" t="n">
        <f aca="false">Country_Data!$DX$57+Sector_Params!$E$9</f>
        <v>0.07</v>
      </c>
      <c r="O373" s="11" t="n">
        <f aca="false">IF(p_use_ibrd=1,p_r_ibrd,p_r_wb)</f>
        <v>0.06</v>
      </c>
      <c r="P373" s="45" t="n">
        <f aca="false">Sector_Params!$D$9</f>
        <v>25</v>
      </c>
      <c r="Q373" s="46" t="n">
        <f aca="false">M373/(1-(1+M373)^-P373)</f>
        <v>0.0745493529464385</v>
      </c>
      <c r="R373" s="46" t="n">
        <f aca="false">N373/(1-(1+N373)^-P373)</f>
        <v>0.0858105172206656</v>
      </c>
      <c r="S373" s="46" t="n">
        <f aca="false">O373/(1-(1+O373)^-P373)</f>
        <v>0.078226718212274</v>
      </c>
      <c r="T373" s="37" t="n">
        <f aca="false">Country_Data!$CM$57*Sector_Params!$I$9</f>
        <v>0.198207801884345</v>
      </c>
      <c r="U373" s="37" t="n">
        <f aca="false">Country_Data!$CN$57*Sector_Params!$J$9</f>
        <v>0.03225</v>
      </c>
      <c r="V373" s="37" t="n">
        <f aca="false">p_a</f>
        <v>0.35</v>
      </c>
      <c r="W373" s="16" t="n">
        <f aca="false">T373*L373</f>
        <v>0.0375784474972992</v>
      </c>
      <c r="X373" s="16" t="n">
        <f aca="false">U373*L373</f>
        <v>0.0061143149778486</v>
      </c>
      <c r="Y373" s="16" t="n">
        <f aca="false">V373*L373</f>
        <v>0.0663569067363414</v>
      </c>
      <c r="Z373" s="16" t="n">
        <f aca="false">Q373*L373</f>
        <v>0.014133898459204</v>
      </c>
      <c r="AA373" s="16" t="n">
        <f aca="false">R373*L373</f>
        <v>0.0162689156805969</v>
      </c>
      <c r="AB373" s="16" t="n">
        <f aca="false">S373*L373</f>
        <v>0.0148310944134341</v>
      </c>
      <c r="AC373" s="16" t="n">
        <f aca="false">Z373-W373</f>
        <v>-0.0234445490380952</v>
      </c>
      <c r="AD373" s="16" t="n">
        <f aca="false">AA373-W373</f>
        <v>-0.0213095318167023</v>
      </c>
      <c r="AE373" s="16" t="n">
        <f aca="false">AB373-W373</f>
        <v>-0.0227473530838652</v>
      </c>
      <c r="AF373" s="16" t="n">
        <f aca="false">AE373-X373</f>
        <v>-0.0288616680617138</v>
      </c>
      <c r="AG373" s="16" t="n">
        <f aca="false">AF373-p_spc_lo*Y373/1000</f>
        <v>-0.0321795133985308</v>
      </c>
      <c r="AH373" s="16" t="n">
        <f aca="false">AF373-p_spc_hi*Y373/1000</f>
        <v>-0.0354973587353479</v>
      </c>
      <c r="AI373" s="16" t="n">
        <f aca="false">Q373*J373</f>
        <v>0.0371944696294843</v>
      </c>
      <c r="AJ373" s="16" t="n">
        <f aca="false">S373*J373</f>
        <v>0.0390291958248265</v>
      </c>
      <c r="AK373" s="16" t="n">
        <f aca="false">T373*J373</f>
        <v>0.0988906513086822</v>
      </c>
      <c r="AL373" s="16" t="n">
        <f aca="false">U373*J373</f>
        <v>0.0160903025732858</v>
      </c>
      <c r="AM373" s="16" t="n">
        <f aca="false">AI373-AJ373</f>
        <v>-0.00183472619534213</v>
      </c>
      <c r="AN373" s="16" t="n">
        <f aca="false">J373*Country_Data!$EB$57</f>
        <v>0.521289674387126</v>
      </c>
      <c r="AO373" s="16" t="n">
        <f aca="false">L373*Country_Data!$EB$57</f>
        <v>0.198090076267108</v>
      </c>
    </row>
    <row r="374" customFormat="false" ht="15" hidden="false" customHeight="false" outlineLevel="0" collapsed="false">
      <c r="A374" s="14" t="str">
        <f aca="false">Country_Data!$A$57</f>
        <v>NZL</v>
      </c>
      <c r="B374" s="14" t="str">
        <f aca="false">Country_Data!$E$57</f>
        <v>AE</v>
      </c>
      <c r="C374" s="35" t="s">
        <v>484</v>
      </c>
      <c r="D374" s="37" t="n">
        <f aca="false">IF(Country_Data!$CD$57="","",Country_Data!$CD$57)</f>
        <v>0.419308505012373</v>
      </c>
      <c r="E374" s="40" t="n">
        <f aca="false">Country_Data!$BW$57</f>
        <v>288.555</v>
      </c>
      <c r="F374" s="41" t="n">
        <f aca="false">Country_Data!$BX$57</f>
        <v>0.896976313007919</v>
      </c>
      <c r="G374" s="42" t="n">
        <f aca="false">IF(D374="","",D374/SUMIFS($D$5:$D$1369,$B$5:$B$1369,B374,$C$5:$C$1369,C374))</f>
        <v>0.00283699631618294</v>
      </c>
      <c r="H374" s="42" t="n">
        <f aca="false">E374/SUMIFS($E$5:$E$1369,$B$5:$B$1369,B374,$C$5:$C$1369,C374)</f>
        <v>0.0036579266657929</v>
      </c>
      <c r="I374" s="43" t="n">
        <f aca="false">IF(G374="",H374,p_beta_alloc*G374+(1-p_beta_alloc)*H374)*F374^p_phi</f>
        <v>0.00307563289427304</v>
      </c>
      <c r="J374" s="16" t="n">
        <f aca="false">INDEX(Sector_Params!$C$21:$E$21,MATCH(B374,Sector_Params!$C$15:$E$15,0))*I374/SUMIFS($I$5:$I$1369,$B$5:$B$1369,B374,$C$5:$C$1369,C374)</f>
        <v>0.626659389424845</v>
      </c>
      <c r="K374" s="28" t="n">
        <f aca="false">INDEX(Sector_Params!$F$10:$H$10,MATCH(B374,Sector_Params!$C$15:$E$15,0))</f>
        <v>0.38</v>
      </c>
      <c r="L374" s="16" t="n">
        <f aca="false">J374*K374</f>
        <v>0.238130567981441</v>
      </c>
      <c r="M374" s="44" t="n">
        <f aca="false">Country_Data!$DW$57+Sector_Params!$E$10</f>
        <v>0.055</v>
      </c>
      <c r="N374" s="44" t="n">
        <f aca="false">Country_Data!$DX$57+Sector_Params!$E$10</f>
        <v>0.07</v>
      </c>
      <c r="O374" s="11" t="n">
        <f aca="false">IF(p_use_ibrd=1,p_r_ibrd,p_r_wb)</f>
        <v>0.06</v>
      </c>
      <c r="P374" s="45" t="n">
        <f aca="false">Sector_Params!$D$10</f>
        <v>20</v>
      </c>
      <c r="Q374" s="46" t="n">
        <f aca="false">M374/(1-(1+M374)^-P374)</f>
        <v>0.0836793300349332</v>
      </c>
      <c r="R374" s="46" t="n">
        <f aca="false">N374/(1-(1+N374)^-P374)</f>
        <v>0.0943929257432557</v>
      </c>
      <c r="S374" s="46" t="n">
        <f aca="false">O374/(1-(1+O374)^-P374)</f>
        <v>0.0871845569768514</v>
      </c>
      <c r="T374" s="37" t="n">
        <f aca="false">0*Sector_Params!$I$10</f>
        <v>0</v>
      </c>
      <c r="U374" s="37" t="n">
        <f aca="false">0*Sector_Params!$J$10</f>
        <v>0</v>
      </c>
      <c r="V374" s="37" t="n">
        <f aca="false">1000*p_r_wb/(1-(1+p_r_wb)^-Sector_Params!$D$10)/p_cpt_fuel</f>
        <v>0.871845569768514</v>
      </c>
      <c r="W374" s="16" t="n">
        <f aca="false">T374*L374</f>
        <v>0</v>
      </c>
      <c r="X374" s="16" t="n">
        <f aca="false">U374*L374</f>
        <v>0</v>
      </c>
      <c r="Y374" s="16" t="n">
        <f aca="false">V374*L374</f>
        <v>0.207613080721079</v>
      </c>
      <c r="Z374" s="16" t="n">
        <f aca="false">Q374*L374</f>
        <v>0.0199266063895251</v>
      </c>
      <c r="AA374" s="16" t="n">
        <f aca="false">R374*L374</f>
        <v>0.0224778410206715</v>
      </c>
      <c r="AB374" s="16" t="n">
        <f aca="false">S374*L374</f>
        <v>0.0207613080721079</v>
      </c>
      <c r="AC374" s="16" t="n">
        <f aca="false">Z374-W374</f>
        <v>0.0199266063895251</v>
      </c>
      <c r="AD374" s="16" t="n">
        <f aca="false">AA374-W374</f>
        <v>0.0224778410206715</v>
      </c>
      <c r="AE374" s="16" t="n">
        <f aca="false">AB374-W374</f>
        <v>0.0207613080721079</v>
      </c>
      <c r="AF374" s="16" t="n">
        <f aca="false">AE374-X374</f>
        <v>0.0207613080721079</v>
      </c>
      <c r="AG374" s="16" t="n">
        <f aca="false">AF374-p_spc_lo*Y374/1000</f>
        <v>0.010380654036054</v>
      </c>
      <c r="AH374" s="16" t="n">
        <f aca="false">AF374-p_spc_hi*Y374/1000</f>
        <v>0</v>
      </c>
      <c r="AI374" s="16" t="n">
        <f aca="false">Q374*J374</f>
        <v>0.0524384378671714</v>
      </c>
      <c r="AJ374" s="16" t="n">
        <f aca="false">S374*J374</f>
        <v>0.0546350212423893</v>
      </c>
      <c r="AK374" s="16" t="n">
        <f aca="false">T374*J374</f>
        <v>0</v>
      </c>
      <c r="AL374" s="16" t="n">
        <f aca="false">U374*J374</f>
        <v>0</v>
      </c>
      <c r="AM374" s="16" t="n">
        <f aca="false">AI374-AJ374</f>
        <v>-0.00219658337521796</v>
      </c>
      <c r="AN374" s="16" t="n">
        <f aca="false">J374*Country_Data!$EB$57</f>
        <v>0.654751017226649</v>
      </c>
      <c r="AO374" s="16" t="n">
        <f aca="false">L374*Country_Data!$EB$57</f>
        <v>0.248805386546127</v>
      </c>
    </row>
    <row r="375" customFormat="false" ht="15" hidden="false" customHeight="false" outlineLevel="0" collapsed="false">
      <c r="A375" s="14" t="str">
        <f aca="false">Country_Data!$A$57</f>
        <v>NZL</v>
      </c>
      <c r="B375" s="14" t="str">
        <f aca="false">Country_Data!$E$57</f>
        <v>AE</v>
      </c>
      <c r="C375" s="35" t="s">
        <v>488</v>
      </c>
      <c r="D375" s="37" t="n">
        <f aca="false">IF(Country_Data!$CE$57="","",Country_Data!$CE$57)</f>
        <v>43.349</v>
      </c>
      <c r="E375" s="40" t="n">
        <f aca="false">Country_Data!$BW$57</f>
        <v>288.555</v>
      </c>
      <c r="F375" s="41" t="n">
        <f aca="false">Country_Data!$BX$57</f>
        <v>0.896976313007919</v>
      </c>
      <c r="G375" s="42" t="n">
        <f aca="false">IF(D375="","",D375/SUMIFS($D$5:$D$1369,$B$5:$B$1369,B375,$C$5:$C$1369,C375))</f>
        <v>0.0165436897057331</v>
      </c>
      <c r="H375" s="42" t="n">
        <f aca="false">E375/SUMIFS($E$5:$E$1369,$B$5:$B$1369,B375,$C$5:$C$1369,C375)</f>
        <v>0.0036579266657929</v>
      </c>
      <c r="I375" s="43" t="n">
        <f aca="false">IF(G375="",H375,p_beta_alloc*G375+(1-p_beta_alloc)*H375)*F375^p_phi</f>
        <v>0.00956635759995548</v>
      </c>
      <c r="J375" s="16" t="n">
        <f aca="false">INDEX(Sector_Params!$C$22:$E$22,MATCH(B375,Sector_Params!$C$15:$E$15,0))*I375/SUMIFS($I$5:$I$1369,$B$5:$B$1369,B375,$C$5:$C$1369,C375)</f>
        <v>0.370673614670661</v>
      </c>
      <c r="K375" s="28" t="n">
        <f aca="false">INDEX(Sector_Params!$F$11:$H$11,MATCH(B375,Sector_Params!$C$15:$E$15,0))</f>
        <v>0.38</v>
      </c>
      <c r="L375" s="16" t="n">
        <f aca="false">J375*K375</f>
        <v>0.140855973574851</v>
      </c>
      <c r="M375" s="44" t="n">
        <f aca="false">Country_Data!$DW$57+Sector_Params!$E$11</f>
        <v>0.055</v>
      </c>
      <c r="N375" s="44" t="n">
        <f aca="false">Country_Data!$DX$57+Sector_Params!$E$11</f>
        <v>0.07</v>
      </c>
      <c r="O375" s="11" t="n">
        <f aca="false">IF(p_use_ibrd=1,p_r_ibrd,p_r_wb)</f>
        <v>0.06</v>
      </c>
      <c r="P375" s="45" t="n">
        <f aca="false">Sector_Params!$D$11</f>
        <v>30</v>
      </c>
      <c r="Q375" s="46" t="n">
        <f aca="false">M375/(1-(1+M375)^-P375)</f>
        <v>0.0688053896793896</v>
      </c>
      <c r="R375" s="46" t="n">
        <f aca="false">N375/(1-(1+N375)^-P375)</f>
        <v>0.0805864035111112</v>
      </c>
      <c r="S375" s="46" t="n">
        <f aca="false">O375/(1-(1+O375)^-P375)</f>
        <v>0.0726489114900472</v>
      </c>
      <c r="T375" s="37" t="n">
        <f aca="false">0*Sector_Params!$I$11</f>
        <v>0</v>
      </c>
      <c r="U375" s="37" t="n">
        <f aca="false">p_c*Sector_Params!$J$11</f>
        <v>0.129</v>
      </c>
      <c r="V375" s="37" t="n">
        <f aca="false">1000*p_r_wb/(1-(1+p_r_wb)^-Sector_Params!$D$11)/p_cpt_afolu</f>
        <v>1.45297822980094</v>
      </c>
      <c r="W375" s="16" t="n">
        <f aca="false">T375*L375</f>
        <v>0</v>
      </c>
      <c r="X375" s="16" t="n">
        <f aca="false">U375*L375</f>
        <v>0.0181704205911558</v>
      </c>
      <c r="Y375" s="16" t="n">
        <f aca="false">V375*L375</f>
        <v>0.204660663141676</v>
      </c>
      <c r="Z375" s="16" t="n">
        <f aca="false">Q375*L375</f>
        <v>0.00969165015048743</v>
      </c>
      <c r="AA375" s="16" t="n">
        <f aca="false">R375*L375</f>
        <v>0.0113510763234534</v>
      </c>
      <c r="AB375" s="16" t="n">
        <f aca="false">S375*L375</f>
        <v>0.0102330331570838</v>
      </c>
      <c r="AC375" s="16" t="n">
        <f aca="false">Z375-W375</f>
        <v>0.00969165015048743</v>
      </c>
      <c r="AD375" s="16" t="n">
        <f aca="false">AA375-W375</f>
        <v>0.0113510763234534</v>
      </c>
      <c r="AE375" s="16" t="n">
        <f aca="false">AB375-W375</f>
        <v>0.0102330331570838</v>
      </c>
      <c r="AF375" s="16" t="n">
        <f aca="false">AE375-X375</f>
        <v>-0.00793738743407201</v>
      </c>
      <c r="AG375" s="16" t="n">
        <f aca="false">AF375-p_spc_lo*Y375/1000</f>
        <v>-0.0181704205911558</v>
      </c>
      <c r="AH375" s="16" t="n">
        <f aca="false">AF375-p_spc_hi*Y375/1000</f>
        <v>-0.0284034537482396</v>
      </c>
      <c r="AI375" s="16" t="n">
        <f aca="false">Q375*J375</f>
        <v>0.0255043425012827</v>
      </c>
      <c r="AJ375" s="16" t="n">
        <f aca="false">S375*J375</f>
        <v>0.0269290346239047</v>
      </c>
      <c r="AK375" s="16" t="n">
        <f aca="false">T375*J375</f>
        <v>0</v>
      </c>
      <c r="AL375" s="16" t="n">
        <f aca="false">U375*J375</f>
        <v>0.0478168962925152</v>
      </c>
      <c r="AM375" s="16" t="n">
        <f aca="false">AI375-AJ375</f>
        <v>-0.00142469212262198</v>
      </c>
      <c r="AN375" s="16" t="n">
        <f aca="false">J375*Country_Data!$EB$57</f>
        <v>0.387290018086932</v>
      </c>
      <c r="AO375" s="16" t="n">
        <f aca="false">L375*Country_Data!$EB$57</f>
        <v>0.147170206873034</v>
      </c>
    </row>
    <row r="376" customFormat="false" ht="15" hidden="false" customHeight="false" outlineLevel="0" collapsed="false">
      <c r="A376" s="14" t="str">
        <f aca="false">Country_Data!$A$58</f>
        <v>GRC</v>
      </c>
      <c r="B376" s="14" t="str">
        <f aca="false">Country_Data!$E$58</f>
        <v>AE</v>
      </c>
      <c r="C376" s="35" t="s">
        <v>466</v>
      </c>
      <c r="D376" s="37" t="n">
        <f aca="false">IF(Country_Data!$BZ$58="","",Country_Data!$BZ$58)</f>
        <v>60.4963106724119</v>
      </c>
      <c r="E376" s="40" t="n">
        <f aca="false">Country_Data!$BW$58</f>
        <v>444.477</v>
      </c>
      <c r="F376" s="41" t="n">
        <f aca="false">Country_Data!$BX$58</f>
        <v>0.576320034557469</v>
      </c>
      <c r="G376" s="42" t="n">
        <f aca="false">IF(D376="","",D376/SUMIFS($D$5:$D$1369,$B$5:$B$1369,B376,$C$5:$C$1369,C376))</f>
        <v>0.0061823023500659</v>
      </c>
      <c r="H376" s="42" t="n">
        <f aca="false">E376/SUMIFS($E$5:$E$1369,$B$5:$B$1369,B376,$C$5:$C$1369,C376)</f>
        <v>0.0056345038922619</v>
      </c>
      <c r="I376" s="43" t="n">
        <f aca="false">IF(G376="",H376,p_beta_alloc*G376+(1-p_beta_alloc)*H376)*F376^p_phi</f>
        <v>0.00448540824963027</v>
      </c>
      <c r="J376" s="16" t="n">
        <f aca="false">INDEX(Sector_Params!$C$16:$E$16,MATCH(B376,Sector_Params!$C$15:$E$15,0))*I376/SUMIFS($I$5:$I$1369,$B$5:$B$1369,B376,$C$5:$C$1369,C376)</f>
        <v>4.02321079475847</v>
      </c>
      <c r="K376" s="28" t="n">
        <f aca="false">INDEX(Sector_Params!$F$5:$H$5,MATCH(B376,Sector_Params!$C$15:$E$15,0))</f>
        <v>0.38</v>
      </c>
      <c r="L376" s="16" t="n">
        <f aca="false">J376*K376</f>
        <v>1.52882010200822</v>
      </c>
      <c r="M376" s="44" t="n">
        <f aca="false">Country_Data!$DW$58+Sector_Params!$E$5</f>
        <v>0.04315</v>
      </c>
      <c r="N376" s="44" t="n">
        <f aca="false">Country_Data!$DX$58+Sector_Params!$E$5</f>
        <v>0.05815</v>
      </c>
      <c r="O376" s="11" t="n">
        <f aca="false">IF(p_use_ibrd=1,p_r_ibrd,p_r_wb)</f>
        <v>0.06</v>
      </c>
      <c r="P376" s="45" t="n">
        <f aca="false">Sector_Params!$D$5</f>
        <v>25</v>
      </c>
      <c r="Q376" s="46" t="n">
        <f aca="false">M376/(1-(1+M376)^-P376)</f>
        <v>0.0661607975924289</v>
      </c>
      <c r="R376" s="46" t="n">
        <f aca="false">N376/(1-(1+N376)^-P376)</f>
        <v>0.0768569075011018</v>
      </c>
      <c r="S376" s="46" t="n">
        <f aca="false">O376/(1-(1+O376)^-P376)</f>
        <v>0.078226718212274</v>
      </c>
      <c r="T376" s="37" t="n">
        <f aca="false">IF(AND(p_eng=1,ISNUMBER(Country_Data!$CZ$58)),Country_Data!$CZ$58,Country_Data!$CM$58)*Sector_Params!$I$5</f>
        <v>0.0974147183982724</v>
      </c>
      <c r="U376" s="37" t="n">
        <f aca="false">IF(AND(p_eng=1,ISNUMBER(Country_Data!$DA$58)),Country_Data!$DA$58,Country_Data!$CN$58)*Sector_Params!$J$5</f>
        <v>0.0155043275610503</v>
      </c>
      <c r="V376" s="37" t="n">
        <f aca="false">IF(AND(p_eng=1,ISNUMBER(Country_Data!$DB$58)),Country_Data!$DB$58,p_a)</f>
        <v>0.627976176233913</v>
      </c>
      <c r="W376" s="16" t="n">
        <f aca="false">T376*L376</f>
        <v>0.148929579718749</v>
      </c>
      <c r="X376" s="16" t="n">
        <f aca="false">U376*L376</f>
        <v>0.0237033276434538</v>
      </c>
      <c r="Y376" s="16" t="n">
        <f aca="false">V376*L376</f>
        <v>0.960062601808661</v>
      </c>
      <c r="Z376" s="16" t="n">
        <f aca="false">Q376*L376</f>
        <v>0.101147957324202</v>
      </c>
      <c r="AA376" s="16" t="n">
        <f aca="false">R376*L376</f>
        <v>0.117500385165871</v>
      </c>
      <c r="AB376" s="16" t="n">
        <f aca="false">S376*L376</f>
        <v>0.119594579317057</v>
      </c>
      <c r="AC376" s="16" t="n">
        <f aca="false">Z376-W376</f>
        <v>-0.0477816223945464</v>
      </c>
      <c r="AD376" s="16" t="n">
        <f aca="false">AA376-W376</f>
        <v>-0.0314291945528781</v>
      </c>
      <c r="AE376" s="16" t="n">
        <f aca="false">AB376-W376</f>
        <v>-0.0293350004016919</v>
      </c>
      <c r="AF376" s="16" t="n">
        <f aca="false">AE376-X376</f>
        <v>-0.0530383280451457</v>
      </c>
      <c r="AG376" s="16" t="n">
        <f aca="false">AF376-p_spc_lo*Y376/1000</f>
        <v>-0.101041458135579</v>
      </c>
      <c r="AH376" s="16" t="n">
        <f aca="false">AF376-p_spc_hi*Y376/1000</f>
        <v>-0.149044588226012</v>
      </c>
      <c r="AI376" s="16" t="n">
        <f aca="false">Q376*J376</f>
        <v>0.26617883506369</v>
      </c>
      <c r="AJ376" s="16" t="n">
        <f aca="false">S376*J376</f>
        <v>0.314722577150149</v>
      </c>
      <c r="AK376" s="16" t="n">
        <f aca="false">T376*J376</f>
        <v>0.391919946628286</v>
      </c>
      <c r="AL376" s="16" t="n">
        <f aca="false">U376*J376</f>
        <v>0.062377178009089</v>
      </c>
      <c r="AM376" s="16" t="n">
        <f aca="false">AI376-AJ376</f>
        <v>-0.0485437420864593</v>
      </c>
      <c r="AN376" s="16" t="n">
        <f aca="false">J376*Country_Data!$EB$58</f>
        <v>4.20356162348902</v>
      </c>
      <c r="AO376" s="16" t="n">
        <f aca="false">L376*Country_Data!$EB$58</f>
        <v>1.59735341692583</v>
      </c>
    </row>
    <row r="377" customFormat="false" ht="15" hidden="false" customHeight="false" outlineLevel="0" collapsed="false">
      <c r="A377" s="14" t="str">
        <f aca="false">Country_Data!$A$58</f>
        <v>GRC</v>
      </c>
      <c r="B377" s="14" t="str">
        <f aca="false">Country_Data!$E$58</f>
        <v>AE</v>
      </c>
      <c r="C377" s="35" t="s">
        <v>470</v>
      </c>
      <c r="D377" s="37" t="n">
        <f aca="false">IF(Country_Data!$BZ$58="","",Country_Data!$BZ$58)</f>
        <v>60.4963106724119</v>
      </c>
      <c r="E377" s="40" t="n">
        <f aca="false">Country_Data!$BW$58</f>
        <v>444.477</v>
      </c>
      <c r="F377" s="41" t="n">
        <f aca="false">Country_Data!$BX$58</f>
        <v>0.576320034557469</v>
      </c>
      <c r="G377" s="42" t="n">
        <f aca="false">IF(D377="","",D377/SUMIFS($D$5:$D$1369,$B$5:$B$1369,B377,$C$5:$C$1369,C377))</f>
        <v>0.0061823023500659</v>
      </c>
      <c r="H377" s="42" t="n">
        <f aca="false">E377/SUMIFS($E$5:$E$1369,$B$5:$B$1369,B377,$C$5:$C$1369,C377)</f>
        <v>0.0056345038922619</v>
      </c>
      <c r="I377" s="43" t="n">
        <f aca="false">IF(G377="",H377,p_beta_alloc*G377+(1-p_beta_alloc)*H377)*F377^p_phi</f>
        <v>0.00448540824963027</v>
      </c>
      <c r="J377" s="16" t="n">
        <f aca="false">INDEX(Sector_Params!$C$17:$E$17,MATCH(B377,Sector_Params!$C$15:$E$15,0))*I377/SUMIFS($I$5:$I$1369,$B$5:$B$1369,B377,$C$5:$C$1369,C377)</f>
        <v>2.75877311640581</v>
      </c>
      <c r="K377" s="28" t="n">
        <f aca="false">INDEX(Sector_Params!$F$6:$H$6,MATCH(B377,Sector_Params!$C$15:$E$15,0))</f>
        <v>0.38</v>
      </c>
      <c r="L377" s="16" t="n">
        <f aca="false">J377*K377</f>
        <v>1.04833378423421</v>
      </c>
      <c r="M377" s="44" t="n">
        <f aca="false">Country_Data!$DW$58+Sector_Params!$E$6</f>
        <v>0.04315</v>
      </c>
      <c r="N377" s="44" t="n">
        <f aca="false">Country_Data!$DX$58+Sector_Params!$E$6</f>
        <v>0.05815</v>
      </c>
      <c r="O377" s="11" t="n">
        <f aca="false">IF(p_use_ibrd=1,p_r_ibrd,p_r_wb)</f>
        <v>0.06</v>
      </c>
      <c r="P377" s="45" t="n">
        <f aca="false">Sector_Params!$D$6</f>
        <v>40</v>
      </c>
      <c r="Q377" s="46" t="n">
        <f aca="false">M377/(1-(1+M377)^-P377)</f>
        <v>0.0529159942658757</v>
      </c>
      <c r="R377" s="46" t="n">
        <f aca="false">N377/(1-(1+N377)^-P377)</f>
        <v>0.0649182667207556</v>
      </c>
      <c r="S377" s="46" t="n">
        <f aca="false">O377/(1-(1+O377)^-P377)</f>
        <v>0.0664615359206755</v>
      </c>
      <c r="T377" s="37" t="n">
        <f aca="false">p_grid_credit*IF(AND(p_eng=1,ISNUMBER(Country_Data!$CZ$58)),Country_Data!$CZ$58,Country_Data!$CM$58)*Sector_Params!$I$6</f>
        <v>0</v>
      </c>
      <c r="U377" s="37" t="n">
        <f aca="false">p_grid_credit*IF(AND(p_eng=1,ISNUMBER(Country_Data!$DA$58)),Country_Data!$DA$58,Country_Data!$CN$58)*Sector_Params!$J$6</f>
        <v>0</v>
      </c>
      <c r="V377" s="37" t="n">
        <f aca="false">p_grid_credit*IF(AND(p_eng=1,ISNUMBER(Country_Data!$DB$58)),Country_Data!$DB$58,p_a)</f>
        <v>0</v>
      </c>
      <c r="W377" s="16" t="n">
        <f aca="false">T377*L377</f>
        <v>0</v>
      </c>
      <c r="X377" s="16" t="n">
        <f aca="false">U377*L377</f>
        <v>0</v>
      </c>
      <c r="Y377" s="16" t="n">
        <f aca="false">V377*L377</f>
        <v>0</v>
      </c>
      <c r="Z377" s="16" t="n">
        <f aca="false">Q377*L377</f>
        <v>0.0554736245152611</v>
      </c>
      <c r="AA377" s="16" t="n">
        <f aca="false">R377*L377</f>
        <v>0.0680560122172952</v>
      </c>
      <c r="AB377" s="16" t="n">
        <f aca="false">S377*L377</f>
        <v>0.0696738734577394</v>
      </c>
      <c r="AC377" s="16" t="n">
        <f aca="false">Z377-W377</f>
        <v>0.0554736245152611</v>
      </c>
      <c r="AD377" s="16" t="n">
        <f aca="false">AA377-W377</f>
        <v>0.0680560122172952</v>
      </c>
      <c r="AE377" s="16" t="n">
        <f aca="false">AB377-W377</f>
        <v>0.0696738734577394</v>
      </c>
      <c r="AF377" s="16" t="n">
        <f aca="false">AE377-X377</f>
        <v>0.0696738734577394</v>
      </c>
      <c r="AG377" s="16" t="n">
        <f aca="false">AF377-p_spc_lo*Y377/1000</f>
        <v>0.0696738734577394</v>
      </c>
      <c r="AH377" s="16" t="n">
        <f aca="false">AF377-p_spc_hi*Y377/1000</f>
        <v>0.0696738734577394</v>
      </c>
      <c r="AI377" s="16" t="n">
        <f aca="false">Q377*J377</f>
        <v>0.145983222408582</v>
      </c>
      <c r="AJ377" s="16" t="n">
        <f aca="false">S377*J377</f>
        <v>0.183352298572998</v>
      </c>
      <c r="AK377" s="16" t="n">
        <f aca="false">T377*J377</f>
        <v>0</v>
      </c>
      <c r="AL377" s="16" t="n">
        <f aca="false">U377*J377</f>
        <v>0</v>
      </c>
      <c r="AM377" s="16" t="n">
        <f aca="false">AI377-AJ377</f>
        <v>-0.0373690761644166</v>
      </c>
      <c r="AN377" s="16" t="n">
        <f aca="false">J377*Country_Data!$EB$58</f>
        <v>2.88244225610676</v>
      </c>
      <c r="AO377" s="16" t="n">
        <f aca="false">L377*Country_Data!$EB$58</f>
        <v>1.09532805732057</v>
      </c>
    </row>
    <row r="378" customFormat="false" ht="15" hidden="false" customHeight="false" outlineLevel="0" collapsed="false">
      <c r="A378" s="14" t="str">
        <f aca="false">Country_Data!$A$58</f>
        <v>GRC</v>
      </c>
      <c r="B378" s="14" t="str">
        <f aca="false">Country_Data!$E$58</f>
        <v>AE</v>
      </c>
      <c r="C378" s="35" t="s">
        <v>473</v>
      </c>
      <c r="D378" s="37" t="n">
        <f aca="false">IF(Country_Data!$CA$58="","",Country_Data!$CA$58)</f>
        <v>0.323106164461341</v>
      </c>
      <c r="E378" s="40" t="n">
        <f aca="false">Country_Data!$BW$58</f>
        <v>444.477</v>
      </c>
      <c r="F378" s="41" t="n">
        <f aca="false">Country_Data!$BX$58</f>
        <v>0.576320034557469</v>
      </c>
      <c r="G378" s="42" t="n">
        <f aca="false">IF(D378="","",D378/SUMIFS($D$5:$D$1369,$B$5:$B$1369,B378,$C$5:$C$1369,C378))</f>
        <v>0.00632511656546172</v>
      </c>
      <c r="H378" s="42" t="n">
        <f aca="false">E378/SUMIFS($E$5:$E$1369,$B$5:$B$1369,B378,$C$5:$C$1369,C378)</f>
        <v>0.0056345038922619</v>
      </c>
      <c r="I378" s="43" t="n">
        <f aca="false">IF(G378="",H378,p_beta_alloc*G378+(1-p_beta_alloc)*H378)*F378^p_phi</f>
        <v>0.00453961748745346</v>
      </c>
      <c r="J378" s="16" t="n">
        <f aca="false">INDEX(Sector_Params!$C$18:$E$18,MATCH(B378,Sector_Params!$C$15:$E$15,0))*I378/SUMIFS($I$5:$I$1369,$B$5:$B$1369,B378,$C$5:$C$1369,C378)</f>
        <v>1.71076919892312</v>
      </c>
      <c r="K378" s="28" t="n">
        <f aca="false">INDEX(Sector_Params!$F$7:$H$7,MATCH(B378,Sector_Params!$C$15:$E$15,0))</f>
        <v>0.38</v>
      </c>
      <c r="L378" s="16" t="n">
        <f aca="false">J378*K378</f>
        <v>0.650092295590787</v>
      </c>
      <c r="M378" s="44" t="n">
        <f aca="false">Country_Data!$DW$58+Sector_Params!$E$7</f>
        <v>0.04315</v>
      </c>
      <c r="N378" s="44" t="n">
        <f aca="false">Country_Data!$DX$58+Sector_Params!$E$7</f>
        <v>0.05815</v>
      </c>
      <c r="O378" s="11" t="n">
        <f aca="false">IF(p_use_ibrd=1,p_r_ibrd,p_r_wb)</f>
        <v>0.06</v>
      </c>
      <c r="P378" s="45" t="n">
        <f aca="false">Sector_Params!$D$7</f>
        <v>12</v>
      </c>
      <c r="Q378" s="46" t="n">
        <f aca="false">M378/(1-(1+M378)^-P378)</f>
        <v>0.108508702376548</v>
      </c>
      <c r="R378" s="46" t="n">
        <f aca="false">N378/(1-(1+N378)^-P378)</f>
        <v>0.118070258636117</v>
      </c>
      <c r="S378" s="46" t="n">
        <f aca="false">O378/(1-(1+O378)^-P378)</f>
        <v>0.119277029380664</v>
      </c>
      <c r="T378" s="37" t="n">
        <f aca="false">IF(AND(p_eng=1,ISNUMBER(Country_Data!$DE$58)),Country_Data!$DE$58,Country_Data!$CM$58)*Sector_Params!$I$7</f>
        <v>0.129751605</v>
      </c>
      <c r="U378" s="37" t="n">
        <f aca="false">IF(AND(p_eng=1,ISNUMBER(Country_Data!$DF$58)),Country_Data!$DF$58,Country_Data!$CN$58)*Sector_Params!$J$7</f>
        <v>0.0113616</v>
      </c>
      <c r="V378" s="37" t="n">
        <f aca="false">IF(AND(p_eng=1,ISNUMBER(Country_Data!$DG$58)),Country_Data!$DG$58,p_a)</f>
        <v>0.385908170407459</v>
      </c>
      <c r="W378" s="16" t="n">
        <f aca="false">T378*L378</f>
        <v>0.084350518751039</v>
      </c>
      <c r="X378" s="16" t="n">
        <f aca="false">U378*L378</f>
        <v>0.00738608862558429</v>
      </c>
      <c r="Y378" s="16" t="n">
        <f aca="false">V378*L378</f>
        <v>0.250875928387425</v>
      </c>
      <c r="Z378" s="16" t="n">
        <f aca="false">Q378*L378</f>
        <v>0.0705406714195478</v>
      </c>
      <c r="AA378" s="16" t="n">
        <f aca="false">R378*L378</f>
        <v>0.0767565654777515</v>
      </c>
      <c r="AB378" s="16" t="n">
        <f aca="false">S378*L378</f>
        <v>0.0775410778413253</v>
      </c>
      <c r="AC378" s="16" t="n">
        <f aca="false">Z378-W378</f>
        <v>-0.0138098473314912</v>
      </c>
      <c r="AD378" s="16" t="n">
        <f aca="false">AA378-W378</f>
        <v>-0.00759395327328752</v>
      </c>
      <c r="AE378" s="16" t="n">
        <f aca="false">AB378-W378</f>
        <v>-0.00680944090971371</v>
      </c>
      <c r="AF378" s="16" t="n">
        <f aca="false">AE378-X378</f>
        <v>-0.014195529535298</v>
      </c>
      <c r="AG378" s="16" t="n">
        <f aca="false">AF378-p_spc_lo*Y378/1000</f>
        <v>-0.0267393259546693</v>
      </c>
      <c r="AH378" s="16" t="n">
        <f aca="false">AF378-p_spc_hi*Y378/1000</f>
        <v>-0.0392831223740405</v>
      </c>
      <c r="AI378" s="16" t="n">
        <f aca="false">Q378*J378</f>
        <v>0.185633345840915</v>
      </c>
      <c r="AJ378" s="16" t="n">
        <f aca="false">S378*J378</f>
        <v>0.204055468003488</v>
      </c>
      <c r="AK378" s="16" t="n">
        <f aca="false">T378*J378</f>
        <v>0.22197504934484</v>
      </c>
      <c r="AL378" s="16" t="n">
        <f aca="false">U378*J378</f>
        <v>0.019437075330485</v>
      </c>
      <c r="AM378" s="16" t="n">
        <f aca="false">AI378-AJ378</f>
        <v>-0.0184221221625723</v>
      </c>
      <c r="AN378" s="16" t="n">
        <f aca="false">J378*Country_Data!$EB$58</f>
        <v>1.78745885266795</v>
      </c>
      <c r="AO378" s="16" t="n">
        <f aca="false">L378*Country_Data!$EB$58</f>
        <v>0.679234364013822</v>
      </c>
    </row>
    <row r="379" customFormat="false" ht="15" hidden="false" customHeight="false" outlineLevel="0" collapsed="false">
      <c r="A379" s="14" t="str">
        <f aca="false">Country_Data!$A$58</f>
        <v>GRC</v>
      </c>
      <c r="B379" s="14" t="str">
        <f aca="false">Country_Data!$E$58</f>
        <v>AE</v>
      </c>
      <c r="C379" s="35" t="s">
        <v>477</v>
      </c>
      <c r="D379" s="37" t="n">
        <f aca="false">IF(Country_Data!$CB$58="","",Country_Data!$CB$58)</f>
        <v>0.167060931602896</v>
      </c>
      <c r="E379" s="40" t="n">
        <f aca="false">Country_Data!$BW$58</f>
        <v>444.477</v>
      </c>
      <c r="F379" s="41" t="n">
        <f aca="false">Country_Data!$BX$58</f>
        <v>0.576320034557469</v>
      </c>
      <c r="G379" s="42" t="n">
        <f aca="false">IF(D379="","",D379/SUMIFS($D$5:$D$1369,$B$5:$B$1369,B379,$C$5:$C$1369,C379))</f>
        <v>0.00429598974905356</v>
      </c>
      <c r="H379" s="42" t="n">
        <f aca="false">E379/SUMIFS($E$5:$E$1369,$B$5:$B$1369,B379,$C$5:$C$1369,C379)</f>
        <v>0.0056345038922619</v>
      </c>
      <c r="I379" s="43" t="n">
        <f aca="false">IF(G379="",H379,p_beta_alloc*G379+(1-p_beta_alloc)*H379)*F379^p_phi</f>
        <v>0.00376940411717227</v>
      </c>
      <c r="J379" s="16" t="n">
        <f aca="false">INDEX(Sector_Params!$C$19:$E$19,MATCH(B379,Sector_Params!$C$15:$E$15,0))*I379/SUMIFS($I$5:$I$1369,$B$5:$B$1369,B379,$C$5:$C$1369,C379)</f>
        <v>1.10804241509059</v>
      </c>
      <c r="K379" s="28" t="n">
        <f aca="false">INDEX(Sector_Params!$F$8:$H$8,MATCH(B379,Sector_Params!$C$15:$E$15,0))</f>
        <v>0.38</v>
      </c>
      <c r="L379" s="16" t="n">
        <f aca="false">J379*K379</f>
        <v>0.421056117734424</v>
      </c>
      <c r="M379" s="44" t="n">
        <f aca="false">Country_Data!$DW$58+Sector_Params!$E$8</f>
        <v>0.04315</v>
      </c>
      <c r="N379" s="44" t="n">
        <f aca="false">Country_Data!$DX$58+Sector_Params!$E$8</f>
        <v>0.05815</v>
      </c>
      <c r="O379" s="11" t="n">
        <f aca="false">IF(p_use_ibrd=1,p_r_ibrd,p_r_wb)</f>
        <v>0.06</v>
      </c>
      <c r="P379" s="45" t="n">
        <f aca="false">Sector_Params!$D$8</f>
        <v>25</v>
      </c>
      <c r="Q379" s="46" t="n">
        <f aca="false">M379/(1-(1+M379)^-P379)</f>
        <v>0.0661607975924289</v>
      </c>
      <c r="R379" s="46" t="n">
        <f aca="false">N379/(1-(1+N379)^-P379)</f>
        <v>0.0768569075011018</v>
      </c>
      <c r="S379" s="46" t="n">
        <f aca="false">O379/(1-(1+O379)^-P379)</f>
        <v>0.078226718212274</v>
      </c>
      <c r="T379" s="37" t="n">
        <f aca="false">Country_Data!$CM$58*Sector_Params!$I$8</f>
        <v>0.153455384413277</v>
      </c>
      <c r="U379" s="37" t="n">
        <f aca="false">Country_Data!$CN$58*Sector_Params!$J$8</f>
        <v>0.117537249208123</v>
      </c>
      <c r="V379" s="37" t="n">
        <f aca="false">p_a</f>
        <v>0.35</v>
      </c>
      <c r="W379" s="16" t="n">
        <f aca="false">T379*L379</f>
        <v>0.0646133284064981</v>
      </c>
      <c r="X379" s="16" t="n">
        <f aca="false">U379*L379</f>
        <v>0.049489777840756</v>
      </c>
      <c r="Y379" s="16" t="n">
        <f aca="false">V379*L379</f>
        <v>0.147369641207048</v>
      </c>
      <c r="Z379" s="16" t="n">
        <f aca="false">Q379*L379</f>
        <v>0.0278574085804812</v>
      </c>
      <c r="AA379" s="16" t="n">
        <f aca="false">R379*L379</f>
        <v>0.0323610710934877</v>
      </c>
      <c r="AB379" s="16" t="n">
        <f aca="false">S379*L379</f>
        <v>0.0329378382735649</v>
      </c>
      <c r="AC379" s="16" t="n">
        <f aca="false">Z379-W379</f>
        <v>-0.0367559198260169</v>
      </c>
      <c r="AD379" s="16" t="n">
        <f aca="false">AA379-W379</f>
        <v>-0.0322522573130104</v>
      </c>
      <c r="AE379" s="16" t="n">
        <f aca="false">AB379-W379</f>
        <v>-0.0316754901329333</v>
      </c>
      <c r="AF379" s="16" t="n">
        <f aca="false">AE379-X379</f>
        <v>-0.0811652679736893</v>
      </c>
      <c r="AG379" s="16" t="n">
        <f aca="false">AF379-p_spc_lo*Y379/1000</f>
        <v>-0.0885337500340417</v>
      </c>
      <c r="AH379" s="16" t="n">
        <f aca="false">AF379-p_spc_hi*Y379/1000</f>
        <v>-0.0959022320943941</v>
      </c>
      <c r="AI379" s="16" t="n">
        <f aca="false">Q379*J379</f>
        <v>0.0733089699486347</v>
      </c>
      <c r="AJ379" s="16" t="n">
        <f aca="false">S379*J379</f>
        <v>0.0866785217725391</v>
      </c>
      <c r="AK379" s="16" t="n">
        <f aca="false">T379*J379</f>
        <v>0.170035074753942</v>
      </c>
      <c r="AL379" s="16" t="n">
        <f aca="false">U379*J379</f>
        <v>0.130236257475674</v>
      </c>
      <c r="AM379" s="16" t="n">
        <f aca="false">AI379-AJ379</f>
        <v>-0.0133695518239044</v>
      </c>
      <c r="AN379" s="16" t="n">
        <f aca="false">J379*Country_Data!$EB$58</f>
        <v>1.15771328197396</v>
      </c>
      <c r="AO379" s="16" t="n">
        <f aca="false">L379*Country_Data!$EB$58</f>
        <v>0.439931047150105</v>
      </c>
    </row>
    <row r="380" customFormat="false" ht="15" hidden="false" customHeight="false" outlineLevel="0" collapsed="false">
      <c r="A380" s="14" t="str">
        <f aca="false">Country_Data!$A$58</f>
        <v>GRC</v>
      </c>
      <c r="B380" s="14" t="str">
        <f aca="false">Country_Data!$E$58</f>
        <v>AE</v>
      </c>
      <c r="C380" s="35" t="s">
        <v>481</v>
      </c>
      <c r="D380" s="37" t="n">
        <f aca="false">IF(Country_Data!$CC$58="","",Country_Data!$CC$58)</f>
        <v>0.31170754049877</v>
      </c>
      <c r="E380" s="40" t="n">
        <f aca="false">Country_Data!$BW$58</f>
        <v>444.477</v>
      </c>
      <c r="F380" s="41" t="n">
        <f aca="false">Country_Data!$BX$58</f>
        <v>0.576320034557469</v>
      </c>
      <c r="G380" s="42" t="n">
        <f aca="false">IF(D380="","",D380/SUMIFS($D$5:$D$1369,$B$5:$B$1369,B380,$C$5:$C$1369,C380))</f>
        <v>0.00567552819777554</v>
      </c>
      <c r="H380" s="42" t="n">
        <f aca="false">E380/SUMIFS($E$5:$E$1369,$B$5:$B$1369,B380,$C$5:$C$1369,C380)</f>
        <v>0.0056345038922619</v>
      </c>
      <c r="I380" s="43" t="n">
        <f aca="false">IF(G380="",H380,p_beta_alloc*G380+(1-p_beta_alloc)*H380)*F380^p_phi</f>
        <v>0.00429304756292964</v>
      </c>
      <c r="J380" s="16" t="n">
        <f aca="false">INDEX(Sector_Params!$C$20:$E$20,MATCH(B380,Sector_Params!$C$15:$E$15,0))*I380/SUMIFS($I$5:$I$1369,$B$5:$B$1369,B380,$C$5:$C$1369,C380)</f>
        <v>0.729033968104453</v>
      </c>
      <c r="K380" s="28" t="n">
        <f aca="false">INDEX(Sector_Params!$F$9:$H$9,MATCH(B380,Sector_Params!$C$15:$E$15,0))</f>
        <v>0.38</v>
      </c>
      <c r="L380" s="16" t="n">
        <f aca="false">J380*K380</f>
        <v>0.277032907879692</v>
      </c>
      <c r="M380" s="44" t="n">
        <f aca="false">Country_Data!$DW$58+Sector_Params!$E$9</f>
        <v>0.04315</v>
      </c>
      <c r="N380" s="44" t="n">
        <f aca="false">Country_Data!$DX$58+Sector_Params!$E$9</f>
        <v>0.05815</v>
      </c>
      <c r="O380" s="11" t="n">
        <f aca="false">IF(p_use_ibrd=1,p_r_ibrd,p_r_wb)</f>
        <v>0.06</v>
      </c>
      <c r="P380" s="45" t="n">
        <f aca="false">Sector_Params!$D$9</f>
        <v>25</v>
      </c>
      <c r="Q380" s="46" t="n">
        <f aca="false">M380/(1-(1+M380)^-P380)</f>
        <v>0.0661607975924289</v>
      </c>
      <c r="R380" s="46" t="n">
        <f aca="false">N380/(1-(1+N380)^-P380)</f>
        <v>0.0768569075011018</v>
      </c>
      <c r="S380" s="46" t="n">
        <f aca="false">O380/(1-(1+O380)^-P380)</f>
        <v>0.078226718212274</v>
      </c>
      <c r="T380" s="37" t="n">
        <f aca="false">Country_Data!$CM$58*Sector_Params!$I$9</f>
        <v>0.153455384413277</v>
      </c>
      <c r="U380" s="37" t="n">
        <f aca="false">Country_Data!$CN$58*Sector_Params!$J$9</f>
        <v>0.117537249208123</v>
      </c>
      <c r="V380" s="37" t="n">
        <f aca="false">p_a</f>
        <v>0.35</v>
      </c>
      <c r="W380" s="16" t="n">
        <f aca="false">T380*L380</f>
        <v>0.0425121913738061</v>
      </c>
      <c r="X380" s="16" t="n">
        <f aca="false">U380*L380</f>
        <v>0.0325616859323065</v>
      </c>
      <c r="Y380" s="16" t="n">
        <f aca="false">V380*L380</f>
        <v>0.0969615177578922</v>
      </c>
      <c r="Z380" s="16" t="n">
        <f aca="false">Q380*L380</f>
        <v>0.0183287181446703</v>
      </c>
      <c r="AA380" s="16" t="n">
        <f aca="false">R380*L380</f>
        <v>0.0212918925756707</v>
      </c>
      <c r="AB380" s="16" t="n">
        <f aca="false">S380*L380</f>
        <v>0.0216713752202315</v>
      </c>
      <c r="AC380" s="16" t="n">
        <f aca="false">Z380-W380</f>
        <v>-0.0241834732291358</v>
      </c>
      <c r="AD380" s="16" t="n">
        <f aca="false">AA380-W380</f>
        <v>-0.0212202987981354</v>
      </c>
      <c r="AE380" s="16" t="n">
        <f aca="false">AB380-W380</f>
        <v>-0.0208408161535746</v>
      </c>
      <c r="AF380" s="16" t="n">
        <f aca="false">AE380-X380</f>
        <v>-0.0534025020858811</v>
      </c>
      <c r="AG380" s="16" t="n">
        <f aca="false">AF380-p_spc_lo*Y380/1000</f>
        <v>-0.0582505779737757</v>
      </c>
      <c r="AH380" s="16" t="n">
        <f aca="false">AF380-p_spc_hi*Y380/1000</f>
        <v>-0.0630986538616703</v>
      </c>
      <c r="AI380" s="16" t="n">
        <f aca="false">Q380*J380</f>
        <v>0.048233468801764</v>
      </c>
      <c r="AJ380" s="16" t="n">
        <f aca="false">S380*J380</f>
        <v>0.0570299347900829</v>
      </c>
      <c r="AK380" s="16" t="n">
        <f aca="false">T380*J380</f>
        <v>0.111874187825806</v>
      </c>
      <c r="AL380" s="16" t="n">
        <f aca="false">U380*J380</f>
        <v>0.0856886471902802</v>
      </c>
      <c r="AM380" s="16" t="n">
        <f aca="false">AI380-AJ380</f>
        <v>-0.00879646598831895</v>
      </c>
      <c r="AN380" s="16" t="n">
        <f aca="false">J380*Country_Data!$EB$58</f>
        <v>0.761714801157411</v>
      </c>
      <c r="AO380" s="16" t="n">
        <f aca="false">L380*Country_Data!$EB$58</f>
        <v>0.289451624439816</v>
      </c>
    </row>
    <row r="381" customFormat="false" ht="15" hidden="false" customHeight="false" outlineLevel="0" collapsed="false">
      <c r="A381" s="14" t="str">
        <f aca="false">Country_Data!$A$58</f>
        <v>GRC</v>
      </c>
      <c r="B381" s="14" t="str">
        <f aca="false">Country_Data!$E$58</f>
        <v>AE</v>
      </c>
      <c r="C381" s="35" t="s">
        <v>484</v>
      </c>
      <c r="D381" s="37" t="n">
        <f aca="false">IF(Country_Data!$CD$58="","",Country_Data!$CD$58)</f>
        <v>0.832297725208802</v>
      </c>
      <c r="E381" s="40" t="n">
        <f aca="false">Country_Data!$BW$58</f>
        <v>444.477</v>
      </c>
      <c r="F381" s="41" t="n">
        <f aca="false">Country_Data!$BX$58</f>
        <v>0.576320034557469</v>
      </c>
      <c r="G381" s="42" t="n">
        <f aca="false">IF(D381="","",D381/SUMIFS($D$5:$D$1369,$B$5:$B$1369,B381,$C$5:$C$1369,C381))</f>
        <v>0.00563123702991699</v>
      </c>
      <c r="H381" s="42" t="n">
        <f aca="false">E381/SUMIFS($E$5:$E$1369,$B$5:$B$1369,B381,$C$5:$C$1369,C381)</f>
        <v>0.0056345038922619</v>
      </c>
      <c r="I381" s="43" t="n">
        <f aca="false">IF(G381="",H381,p_beta_alloc*G381+(1-p_beta_alloc)*H381)*F381^p_phi</f>
        <v>0.0042762355778954</v>
      </c>
      <c r="J381" s="16" t="n">
        <f aca="false">INDEX(Sector_Params!$C$21:$E$21,MATCH(B381,Sector_Params!$C$15:$E$15,0))*I381/SUMIFS($I$5:$I$1369,$B$5:$B$1369,B381,$C$5:$C$1369,C381)</f>
        <v>0.871281868935179</v>
      </c>
      <c r="K381" s="28" t="n">
        <f aca="false">INDEX(Sector_Params!$F$10:$H$10,MATCH(B381,Sector_Params!$C$15:$E$15,0))</f>
        <v>0.38</v>
      </c>
      <c r="L381" s="16" t="n">
        <f aca="false">J381*K381</f>
        <v>0.331087110195368</v>
      </c>
      <c r="M381" s="44" t="n">
        <f aca="false">Country_Data!$DW$58+Sector_Params!$E$10</f>
        <v>0.04315</v>
      </c>
      <c r="N381" s="44" t="n">
        <f aca="false">Country_Data!$DX$58+Sector_Params!$E$10</f>
        <v>0.05815</v>
      </c>
      <c r="O381" s="11" t="n">
        <f aca="false">IF(p_use_ibrd=1,p_r_ibrd,p_r_wb)</f>
        <v>0.06</v>
      </c>
      <c r="P381" s="45" t="n">
        <f aca="false">Sector_Params!$D$10</f>
        <v>20</v>
      </c>
      <c r="Q381" s="46" t="n">
        <f aca="false">M381/(1-(1+M381)^-P381)</f>
        <v>0.0756487304974352</v>
      </c>
      <c r="R381" s="46" t="n">
        <f aca="false">N381/(1-(1+N381)^-P381)</f>
        <v>0.0858797586575243</v>
      </c>
      <c r="S381" s="46" t="n">
        <f aca="false">O381/(1-(1+O381)^-P381)</f>
        <v>0.0871845569768514</v>
      </c>
      <c r="T381" s="37" t="n">
        <f aca="false">0*Sector_Params!$I$10</f>
        <v>0</v>
      </c>
      <c r="U381" s="37" t="n">
        <f aca="false">0*Sector_Params!$J$10</f>
        <v>0</v>
      </c>
      <c r="V381" s="37" t="n">
        <f aca="false">1000*p_r_wb/(1-(1+p_r_wb)^-Sector_Params!$D$10)/p_cpt_fuel</f>
        <v>0.871845569768514</v>
      </c>
      <c r="W381" s="16" t="n">
        <f aca="false">T381*L381</f>
        <v>0</v>
      </c>
      <c r="X381" s="16" t="n">
        <f aca="false">U381*L381</f>
        <v>0</v>
      </c>
      <c r="Y381" s="16" t="n">
        <f aca="false">V381*L381</f>
        <v>0.288656830231291</v>
      </c>
      <c r="Z381" s="16" t="n">
        <f aca="false">Q381*L381</f>
        <v>0.025046319570344</v>
      </c>
      <c r="AA381" s="16" t="n">
        <f aca="false">R381*L381</f>
        <v>0.0284336811181954</v>
      </c>
      <c r="AB381" s="16" t="n">
        <f aca="false">S381*L381</f>
        <v>0.0288656830231291</v>
      </c>
      <c r="AC381" s="16" t="n">
        <f aca="false">Z381-W381</f>
        <v>0.025046319570344</v>
      </c>
      <c r="AD381" s="16" t="n">
        <f aca="false">AA381-W381</f>
        <v>0.0284336811181954</v>
      </c>
      <c r="AE381" s="16" t="n">
        <f aca="false">AB381-W381</f>
        <v>0.0288656830231291</v>
      </c>
      <c r="AF381" s="16" t="n">
        <f aca="false">AE381-X381</f>
        <v>0.0288656830231291</v>
      </c>
      <c r="AG381" s="16" t="n">
        <f aca="false">AF381-p_spc_lo*Y381/1000</f>
        <v>0.0144328415115646</v>
      </c>
      <c r="AH381" s="16" t="n">
        <f aca="false">AF381-p_spc_hi*Y381/1000</f>
        <v>0</v>
      </c>
      <c r="AI381" s="16" t="n">
        <f aca="false">Q381*J381</f>
        <v>0.065911367290379</v>
      </c>
      <c r="AJ381" s="16" t="n">
        <f aca="false">S381*J381</f>
        <v>0.0759623237450767</v>
      </c>
      <c r="AK381" s="16" t="n">
        <f aca="false">T381*J381</f>
        <v>0</v>
      </c>
      <c r="AL381" s="16" t="n">
        <f aca="false">U381*J381</f>
        <v>0</v>
      </c>
      <c r="AM381" s="16" t="n">
        <f aca="false">AI381-AJ381</f>
        <v>-0.0100509564546977</v>
      </c>
      <c r="AN381" s="16" t="n">
        <f aca="false">J381*Country_Data!$EB$58</f>
        <v>0.910339332025376</v>
      </c>
      <c r="AO381" s="16" t="n">
        <f aca="false">L381*Country_Data!$EB$58</f>
        <v>0.345928946169643</v>
      </c>
    </row>
    <row r="382" customFormat="false" ht="15" hidden="false" customHeight="false" outlineLevel="0" collapsed="false">
      <c r="A382" s="14" t="str">
        <f aca="false">Country_Data!$A$58</f>
        <v>GRC</v>
      </c>
      <c r="B382" s="14" t="str">
        <f aca="false">Country_Data!$E$58</f>
        <v>AE</v>
      </c>
      <c r="C382" s="35" t="s">
        <v>488</v>
      </c>
      <c r="D382" s="37" t="n">
        <f aca="false">IF(Country_Data!$CE$58="","",Country_Data!$CE$58)</f>
        <v>19.752</v>
      </c>
      <c r="E382" s="40" t="n">
        <f aca="false">Country_Data!$BW$58</f>
        <v>444.477</v>
      </c>
      <c r="F382" s="41" t="n">
        <f aca="false">Country_Data!$BX$58</f>
        <v>0.576320034557469</v>
      </c>
      <c r="G382" s="42" t="n">
        <f aca="false">IF(D382="","",D382/SUMIFS($D$5:$D$1369,$B$5:$B$1369,B382,$C$5:$C$1369,C382))</f>
        <v>0.00753814295756856</v>
      </c>
      <c r="H382" s="42" t="n">
        <f aca="false">E382/SUMIFS($E$5:$E$1369,$B$5:$B$1369,B382,$C$5:$C$1369,C382)</f>
        <v>0.0056345038922619</v>
      </c>
      <c r="I382" s="43" t="n">
        <f aca="false">IF(G382="",H382,p_beta_alloc*G382+(1-p_beta_alloc)*H382)*F382^p_phi</f>
        <v>0.00500005649902716</v>
      </c>
      <c r="J382" s="16" t="n">
        <f aca="false">INDEX(Sector_Params!$C$22:$E$22,MATCH(B382,Sector_Params!$C$15:$E$15,0))*I382/SUMIFS($I$5:$I$1369,$B$5:$B$1369,B382,$C$5:$C$1369,C382)</f>
        <v>0.193740302585025</v>
      </c>
      <c r="K382" s="28" t="n">
        <f aca="false">INDEX(Sector_Params!$F$11:$H$11,MATCH(B382,Sector_Params!$C$15:$E$15,0))</f>
        <v>0.38</v>
      </c>
      <c r="L382" s="16" t="n">
        <f aca="false">J382*K382</f>
        <v>0.0736213149823094</v>
      </c>
      <c r="M382" s="44" t="n">
        <f aca="false">Country_Data!$DW$58+Sector_Params!$E$11</f>
        <v>0.04315</v>
      </c>
      <c r="N382" s="44" t="n">
        <f aca="false">Country_Data!$DX$58+Sector_Params!$E$11</f>
        <v>0.05815</v>
      </c>
      <c r="O382" s="11" t="n">
        <f aca="false">IF(p_use_ibrd=1,p_r_ibrd,p_r_wb)</f>
        <v>0.06</v>
      </c>
      <c r="P382" s="45" t="n">
        <f aca="false">Sector_Params!$D$11</f>
        <v>30</v>
      </c>
      <c r="Q382" s="46" t="n">
        <f aca="false">M382/(1-(1+M382)^-P382)</f>
        <v>0.0600621055813537</v>
      </c>
      <c r="R382" s="46" t="n">
        <f aca="false">N382/(1-(1+N382)^-P382)</f>
        <v>0.0712166571540114</v>
      </c>
      <c r="S382" s="46" t="n">
        <f aca="false">O382/(1-(1+O382)^-P382)</f>
        <v>0.0726489114900472</v>
      </c>
      <c r="T382" s="37" t="n">
        <f aca="false">0*Sector_Params!$I$11</f>
        <v>0</v>
      </c>
      <c r="U382" s="37" t="n">
        <f aca="false">p_c*Sector_Params!$J$11</f>
        <v>0.129</v>
      </c>
      <c r="V382" s="37" t="n">
        <f aca="false">1000*p_r_wb/(1-(1+p_r_wb)^-Sector_Params!$D$11)/p_cpt_afolu</f>
        <v>1.45297822980094</v>
      </c>
      <c r="W382" s="16" t="n">
        <f aca="false">T382*L382</f>
        <v>0</v>
      </c>
      <c r="X382" s="16" t="n">
        <f aca="false">U382*L382</f>
        <v>0.00949714963271791</v>
      </c>
      <c r="Y382" s="16" t="n">
        <f aca="false">V382*L382</f>
        <v>0.106970167918614</v>
      </c>
      <c r="Z382" s="16" t="n">
        <f aca="false">Q382*L382</f>
        <v>0.00442185119350556</v>
      </c>
      <c r="AA382" s="16" t="n">
        <f aca="false">R382*L382</f>
        <v>0.00524306394832261</v>
      </c>
      <c r="AB382" s="16" t="n">
        <f aca="false">S382*L382</f>
        <v>0.00534850839593068</v>
      </c>
      <c r="AC382" s="16" t="n">
        <f aca="false">Z382-W382</f>
        <v>0.00442185119350556</v>
      </c>
      <c r="AD382" s="16" t="n">
        <f aca="false">AA382-W382</f>
        <v>0.00524306394832261</v>
      </c>
      <c r="AE382" s="16" t="n">
        <f aca="false">AB382-W382</f>
        <v>0.00534850839593068</v>
      </c>
      <c r="AF382" s="16" t="n">
        <f aca="false">AE382-X382</f>
        <v>-0.00414864123678723</v>
      </c>
      <c r="AG382" s="16" t="n">
        <f aca="false">AF382-p_spc_lo*Y382/1000</f>
        <v>-0.00949714963271791</v>
      </c>
      <c r="AH382" s="16" t="n">
        <f aca="false">AF382-p_spc_hi*Y382/1000</f>
        <v>-0.0148456580286486</v>
      </c>
      <c r="AI382" s="16" t="n">
        <f aca="false">Q382*J382</f>
        <v>0.0116364505092252</v>
      </c>
      <c r="AJ382" s="16" t="n">
        <f aca="false">S382*J382</f>
        <v>0.0140750220945544</v>
      </c>
      <c r="AK382" s="16" t="n">
        <f aca="false">T382*J382</f>
        <v>0</v>
      </c>
      <c r="AL382" s="16" t="n">
        <f aca="false">U382*J382</f>
        <v>0.0249924990334682</v>
      </c>
      <c r="AM382" s="16" t="n">
        <f aca="false">AI382-AJ382</f>
        <v>-0.00243857158532926</v>
      </c>
      <c r="AN382" s="16" t="n">
        <f aca="false">J382*Country_Data!$EB$58</f>
        <v>0.202425212700905</v>
      </c>
      <c r="AO382" s="16" t="n">
        <f aca="false">L382*Country_Data!$EB$58</f>
        <v>0.076921580826344</v>
      </c>
    </row>
    <row r="383" customFormat="false" ht="15" hidden="false" customHeight="false" outlineLevel="0" collapsed="false">
      <c r="A383" s="14" t="str">
        <f aca="false">Country_Data!$A$59</f>
        <v>NGA</v>
      </c>
      <c r="B383" s="14" t="str">
        <f aca="false">Country_Data!$E$59</f>
        <v>EMDC</v>
      </c>
      <c r="C383" s="35" t="s">
        <v>466</v>
      </c>
      <c r="D383" s="37" t="n">
        <f aca="false">IF(Country_Data!$BZ$59="","",Country_Data!$BZ$59)</f>
        <v>40.1966715127095</v>
      </c>
      <c r="E383" s="40" t="n">
        <f aca="false">Country_Data!$BW$59</f>
        <v>2117.351</v>
      </c>
      <c r="F383" s="41" t="n">
        <f aca="false">Country_Data!$BX$59</f>
        <v>0.119068118606693</v>
      </c>
      <c r="G383" s="42" t="n">
        <f aca="false">IF(D383="","",D383/SUMIFS($D$5:$D$1369,$B$5:$B$1369,B383,$C$5:$C$1369,C383))</f>
        <v>0.00458893785703462</v>
      </c>
      <c r="H383" s="42" t="n">
        <f aca="false">E383/SUMIFS($E$5:$E$1369,$B$5:$B$1369,B383,$C$5:$C$1369,C383)</f>
        <v>0.0262269469970293</v>
      </c>
      <c r="I383" s="43" t="n">
        <f aca="false">IF(G383="",H383,p_beta_alloc*G383+(1-p_beta_alloc)*H383)*F383^p_phi</f>
        <v>0.00531670290377664</v>
      </c>
      <c r="J383" s="16" t="n">
        <f aca="false">INDEX(Sector_Params!$C$16:$E$16,MATCH(B383,Sector_Params!$C$15:$E$15,0))*I383/SUMIFS($I$5:$I$1369,$B$5:$B$1369,B383,$C$5:$C$1369,C383)</f>
        <v>5.14244983857256</v>
      </c>
      <c r="K383" s="28" t="n">
        <f aca="false">INDEX(Sector_Params!$F$5:$H$5,MATCH(B383,Sector_Params!$C$15:$E$15,0))</f>
        <v>0.24</v>
      </c>
      <c r="L383" s="16" t="n">
        <f aca="false">J383*K383</f>
        <v>1.23418796125741</v>
      </c>
      <c r="M383" s="44" t="n">
        <f aca="false">Country_Data!$DW$59+Sector_Params!$E$5</f>
        <v>0.105</v>
      </c>
      <c r="N383" s="44" t="n">
        <f aca="false">Country_Data!$DX$59+Sector_Params!$E$5</f>
        <v>0.15</v>
      </c>
      <c r="O383" s="11" t="n">
        <f aca="false">IF(p_use_ibrd=1,p_r_ibrd,p_r_wb)</f>
        <v>0.06</v>
      </c>
      <c r="P383" s="45" t="n">
        <f aca="false">Sector_Params!$D$5</f>
        <v>25</v>
      </c>
      <c r="Q383" s="46" t="n">
        <f aca="false">M383/(1-(1+M383)^-P383)</f>
        <v>0.114429319813103</v>
      </c>
      <c r="R383" s="46" t="n">
        <f aca="false">N383/(1-(1+N383)^-P383)</f>
        <v>0.154699402320206</v>
      </c>
      <c r="S383" s="46" t="n">
        <f aca="false">O383/(1-(1+O383)^-P383)</f>
        <v>0.078226718212274</v>
      </c>
      <c r="T383" s="37" t="n">
        <f aca="false">IF(AND(p_eng=1,ISNUMBER(Country_Data!$CZ$59)),Country_Data!$CZ$59,Country_Data!$CM$59)*Sector_Params!$I$5</f>
        <v>0.0397658204343746</v>
      </c>
      <c r="U383" s="37" t="n">
        <f aca="false">IF(AND(p_eng=1,ISNUMBER(Country_Data!$DA$59)),Country_Data!$DA$59,Country_Data!$CN$59)*Sector_Params!$J$5</f>
        <v>0.000364856534015068</v>
      </c>
      <c r="V383" s="37" t="n">
        <f aca="false">IF(AND(p_eng=1,ISNUMBER(Country_Data!$DB$59)),Country_Data!$DB$59,p_a)</f>
        <v>0.665013533845977</v>
      </c>
      <c r="W383" s="16" t="n">
        <f aca="false">T383*L383</f>
        <v>0.0490784968496292</v>
      </c>
      <c r="X383" s="16" t="n">
        <f aca="false">U383*L383</f>
        <v>0.000450301541867503</v>
      </c>
      <c r="Y383" s="16" t="n">
        <f aca="false">V383*L383</f>
        <v>0.820751697545955</v>
      </c>
      <c r="Z383" s="16" t="n">
        <f aca="false">Q383*L383</f>
        <v>0.141227288928207</v>
      </c>
      <c r="AA383" s="16" t="n">
        <f aca="false">R383*L383</f>
        <v>0.190928139957316</v>
      </c>
      <c r="AB383" s="16" t="n">
        <f aca="false">S383*L383</f>
        <v>0.0965464738662646</v>
      </c>
      <c r="AC383" s="16" t="n">
        <f aca="false">Z383-W383</f>
        <v>0.0921487920785775</v>
      </c>
      <c r="AD383" s="16" t="n">
        <f aca="false">AA383-W383</f>
        <v>0.141849643107687</v>
      </c>
      <c r="AE383" s="16" t="n">
        <f aca="false">AB383-W383</f>
        <v>0.0474679770166354</v>
      </c>
      <c r="AF383" s="16" t="n">
        <f aca="false">AE383-X383</f>
        <v>0.0470176754747679</v>
      </c>
      <c r="AG383" s="16" t="n">
        <f aca="false">AF383-p_spc_lo*Y383/1000</f>
        <v>0.00598009059747021</v>
      </c>
      <c r="AH383" s="16" t="n">
        <f aca="false">AF383-p_spc_hi*Y383/1000</f>
        <v>-0.0350574942798275</v>
      </c>
      <c r="AI383" s="16" t="n">
        <f aca="false">Q383*J383</f>
        <v>0.588447037200861</v>
      </c>
      <c r="AJ383" s="16" t="n">
        <f aca="false">S383*J383</f>
        <v>0.402276974442769</v>
      </c>
      <c r="AK383" s="16" t="n">
        <f aca="false">T383*J383</f>
        <v>0.204493736873455</v>
      </c>
      <c r="AL383" s="16" t="n">
        <f aca="false">U383*J383</f>
        <v>0.00187625642444793</v>
      </c>
      <c r="AM383" s="16" t="n">
        <f aca="false">AI383-AJ383</f>
        <v>0.186170062758092</v>
      </c>
      <c r="AN383" s="16" t="n">
        <f aca="false">J383*Country_Data!$EB$59</f>
        <v>6.51376979552524</v>
      </c>
      <c r="AO383" s="16" t="n">
        <f aca="false">L383*Country_Data!$EB$59</f>
        <v>1.56330475092606</v>
      </c>
    </row>
    <row r="384" customFormat="false" ht="15" hidden="false" customHeight="false" outlineLevel="0" collapsed="false">
      <c r="A384" s="14" t="str">
        <f aca="false">Country_Data!$A$59</f>
        <v>NGA</v>
      </c>
      <c r="B384" s="14" t="str">
        <f aca="false">Country_Data!$E$59</f>
        <v>EMDC</v>
      </c>
      <c r="C384" s="35" t="s">
        <v>470</v>
      </c>
      <c r="D384" s="37" t="n">
        <f aca="false">IF(Country_Data!$BZ$59="","",Country_Data!$BZ$59)</f>
        <v>40.1966715127095</v>
      </c>
      <c r="E384" s="40" t="n">
        <f aca="false">Country_Data!$BW$59</f>
        <v>2117.351</v>
      </c>
      <c r="F384" s="41" t="n">
        <f aca="false">Country_Data!$BX$59</f>
        <v>0.119068118606693</v>
      </c>
      <c r="G384" s="42" t="n">
        <f aca="false">IF(D384="","",D384/SUMIFS($D$5:$D$1369,$B$5:$B$1369,B384,$C$5:$C$1369,C384))</f>
        <v>0.00458893785703462</v>
      </c>
      <c r="H384" s="42" t="n">
        <f aca="false">E384/SUMIFS($E$5:$E$1369,$B$5:$B$1369,B384,$C$5:$C$1369,C384)</f>
        <v>0.0262269469970293</v>
      </c>
      <c r="I384" s="43" t="n">
        <f aca="false">IF(G384="",H384,p_beta_alloc*G384+(1-p_beta_alloc)*H384)*F384^p_phi</f>
        <v>0.00531670290377664</v>
      </c>
      <c r="J384" s="16" t="n">
        <f aca="false">INDEX(Sector_Params!$C$17:$E$17,MATCH(B384,Sector_Params!$C$15:$E$15,0))*I384/SUMIFS($I$5:$I$1369,$B$5:$B$1369,B384,$C$5:$C$1369,C384)</f>
        <v>3.52625131787833</v>
      </c>
      <c r="K384" s="28" t="n">
        <f aca="false">INDEX(Sector_Params!$F$6:$H$6,MATCH(B384,Sector_Params!$C$15:$E$15,0))</f>
        <v>0.24</v>
      </c>
      <c r="L384" s="16" t="n">
        <f aca="false">J384*K384</f>
        <v>0.846300316290798</v>
      </c>
      <c r="M384" s="44" t="n">
        <f aca="false">Country_Data!$DW$59+Sector_Params!$E$6</f>
        <v>0.105</v>
      </c>
      <c r="N384" s="44" t="n">
        <f aca="false">Country_Data!$DX$59+Sector_Params!$E$6</f>
        <v>0.15</v>
      </c>
      <c r="O384" s="11" t="n">
        <f aca="false">IF(p_use_ibrd=1,p_r_ibrd,p_r_wb)</f>
        <v>0.06</v>
      </c>
      <c r="P384" s="45" t="n">
        <f aca="false">Sector_Params!$D$6</f>
        <v>40</v>
      </c>
      <c r="Q384" s="46" t="n">
        <f aca="false">M384/(1-(1+M384)^-P384)</f>
        <v>0.10697140835497</v>
      </c>
      <c r="R384" s="46" t="n">
        <f aca="false">N384/(1-(1+N384)^-P384)</f>
        <v>0.150562085013545</v>
      </c>
      <c r="S384" s="46" t="n">
        <f aca="false">O384/(1-(1+O384)^-P384)</f>
        <v>0.0664615359206755</v>
      </c>
      <c r="T384" s="37" t="n">
        <f aca="false">p_grid_credit*IF(AND(p_eng=1,ISNUMBER(Country_Data!$CZ$59)),Country_Data!$CZ$59,Country_Data!$CM$59)*Sector_Params!$I$6</f>
        <v>0</v>
      </c>
      <c r="U384" s="37" t="n">
        <f aca="false">p_grid_credit*IF(AND(p_eng=1,ISNUMBER(Country_Data!$DA$59)),Country_Data!$DA$59,Country_Data!$CN$59)*Sector_Params!$J$6</f>
        <v>0</v>
      </c>
      <c r="V384" s="37" t="n">
        <f aca="false">p_grid_credit*IF(AND(p_eng=1,ISNUMBER(Country_Data!$DB$59)),Country_Data!$DB$59,p_a)</f>
        <v>0</v>
      </c>
      <c r="W384" s="16" t="n">
        <f aca="false">T384*L384</f>
        <v>0</v>
      </c>
      <c r="X384" s="16" t="n">
        <f aca="false">U384*L384</f>
        <v>0</v>
      </c>
      <c r="Y384" s="16" t="n">
        <f aca="false">V384*L384</f>
        <v>0</v>
      </c>
      <c r="Z384" s="16" t="n">
        <f aca="false">Q384*L384</f>
        <v>0.0905299367248836</v>
      </c>
      <c r="AA384" s="16" t="n">
        <f aca="false">R384*L384</f>
        <v>0.127420740168365</v>
      </c>
      <c r="AB384" s="16" t="n">
        <f aca="false">S384*L384</f>
        <v>0.0562464188708399</v>
      </c>
      <c r="AC384" s="16" t="n">
        <f aca="false">Z384-W384</f>
        <v>0.0905299367248836</v>
      </c>
      <c r="AD384" s="16" t="n">
        <f aca="false">AA384-W384</f>
        <v>0.127420740168365</v>
      </c>
      <c r="AE384" s="16" t="n">
        <f aca="false">AB384-W384</f>
        <v>0.0562464188708399</v>
      </c>
      <c r="AF384" s="16" t="n">
        <f aca="false">AE384-X384</f>
        <v>0.0562464188708399</v>
      </c>
      <c r="AG384" s="16" t="n">
        <f aca="false">AF384-p_spc_lo*Y384/1000</f>
        <v>0.0562464188708399</v>
      </c>
      <c r="AH384" s="16" t="n">
        <f aca="false">AF384-p_spc_hi*Y384/1000</f>
        <v>0.0562464188708399</v>
      </c>
      <c r="AI384" s="16" t="n">
        <f aca="false">Q384*J384</f>
        <v>0.377208069687015</v>
      </c>
      <c r="AJ384" s="16" t="n">
        <f aca="false">S384*J384</f>
        <v>0.2343600786285</v>
      </c>
      <c r="AK384" s="16" t="n">
        <f aca="false">T384*J384</f>
        <v>0</v>
      </c>
      <c r="AL384" s="16" t="n">
        <f aca="false">U384*J384</f>
        <v>0</v>
      </c>
      <c r="AM384" s="16" t="n">
        <f aca="false">AI384-AJ384</f>
        <v>0.142847991058515</v>
      </c>
      <c r="AN384" s="16" t="n">
        <f aca="false">J384*Country_Data!$EB$59</f>
        <v>4.46658500264588</v>
      </c>
      <c r="AO384" s="16" t="n">
        <f aca="false">L384*Country_Data!$EB$59</f>
        <v>1.07198040063501</v>
      </c>
    </row>
    <row r="385" customFormat="false" ht="15" hidden="false" customHeight="false" outlineLevel="0" collapsed="false">
      <c r="A385" s="14" t="str">
        <f aca="false">Country_Data!$A$59</f>
        <v>NGA</v>
      </c>
      <c r="B385" s="14" t="str">
        <f aca="false">Country_Data!$E$59</f>
        <v>EMDC</v>
      </c>
      <c r="C385" s="35" t="s">
        <v>473</v>
      </c>
      <c r="D385" s="37" t="n">
        <f aca="false">IF(Country_Data!$CA$59="","",Country_Data!$CA$59)</f>
        <v>0.827650358735942</v>
      </c>
      <c r="E385" s="40" t="n">
        <f aca="false">Country_Data!$BW$59</f>
        <v>2117.351</v>
      </c>
      <c r="F385" s="41" t="n">
        <f aca="false">Country_Data!$BX$59</f>
        <v>0.119068118606693</v>
      </c>
      <c r="G385" s="42" t="n">
        <f aca="false">IF(D385="","",D385/SUMIFS($D$5:$D$1369,$B$5:$B$1369,B385,$C$5:$C$1369,C385))</f>
        <v>0.0191206489928167</v>
      </c>
      <c r="H385" s="42" t="n">
        <f aca="false">E385/SUMIFS($E$5:$E$1369,$B$5:$B$1369,B385,$C$5:$C$1369,C385)</f>
        <v>0.0262269469970293</v>
      </c>
      <c r="I385" s="43" t="n">
        <f aca="false">IF(G385="",H385,p_beta_alloc*G385+(1-p_beta_alloc)*H385)*F385^p_phi</f>
        <v>0.00782387708223502</v>
      </c>
      <c r="J385" s="16" t="n">
        <f aca="false">INDEX(Sector_Params!$C$18:$E$18,MATCH(B385,Sector_Params!$C$15:$E$15,0))*I385/SUMIFS($I$5:$I$1369,$B$5:$B$1369,B385,$C$5:$C$1369,C385)</f>
        <v>3.20369254274275</v>
      </c>
      <c r="K385" s="28" t="n">
        <f aca="false">INDEX(Sector_Params!$F$7:$H$7,MATCH(B385,Sector_Params!$C$15:$E$15,0))</f>
        <v>0.24</v>
      </c>
      <c r="L385" s="16" t="n">
        <f aca="false">J385*K385</f>
        <v>0.76888621025826</v>
      </c>
      <c r="M385" s="44" t="n">
        <f aca="false">Country_Data!$DW$59+Sector_Params!$E$7</f>
        <v>0.105</v>
      </c>
      <c r="N385" s="44" t="n">
        <f aca="false">Country_Data!$DX$59+Sector_Params!$E$7</f>
        <v>0.15</v>
      </c>
      <c r="O385" s="11" t="n">
        <f aca="false">IF(p_use_ibrd=1,p_r_ibrd,p_r_wb)</f>
        <v>0.06</v>
      </c>
      <c r="P385" s="45" t="n">
        <f aca="false">Sector_Params!$D$7</f>
        <v>12</v>
      </c>
      <c r="Q385" s="46" t="n">
        <f aca="false">M385/(1-(1+M385)^-P385)</f>
        <v>0.150376745634766</v>
      </c>
      <c r="R385" s="46" t="n">
        <f aca="false">N385/(1-(1+N385)^-P385)</f>
        <v>0.18448077613084</v>
      </c>
      <c r="S385" s="46" t="n">
        <f aca="false">O385/(1-(1+O385)^-P385)</f>
        <v>0.119277029380664</v>
      </c>
      <c r="T385" s="37" t="n">
        <f aca="false">IF(AND(p_eng=1,ISNUMBER(Country_Data!$DE$59)),Country_Data!$DE$59,Country_Data!$CM$59)*Sector_Params!$I$7</f>
        <v>0.19554075</v>
      </c>
      <c r="U385" s="37" t="n">
        <f aca="false">IF(AND(p_eng=1,ISNUMBER(Country_Data!$DF$59)),Country_Data!$DF$59,Country_Data!$CN$59)*Sector_Params!$J$7</f>
        <v>0.001688175</v>
      </c>
      <c r="V385" s="37" t="n">
        <f aca="false">IF(AND(p_eng=1,ISNUMBER(Country_Data!$DG$59)),Country_Data!$DG$59,p_a)</f>
        <v>0.377217311988445</v>
      </c>
      <c r="W385" s="16" t="n">
        <f aca="false">T385*L385</f>
        <v>0.150348586218558</v>
      </c>
      <c r="X385" s="16" t="n">
        <f aca="false">U385*L385</f>
        <v>0.00129801447800274</v>
      </c>
      <c r="Y385" s="16" t="n">
        <f aca="false">V385*L385</f>
        <v>0.290037189458603</v>
      </c>
      <c r="Z385" s="16" t="n">
        <f aca="false">Q385*L385</f>
        <v>0.115622606062085</v>
      </c>
      <c r="AA385" s="16" t="n">
        <f aca="false">R385*L385</f>
        <v>0.141844724824744</v>
      </c>
      <c r="AB385" s="16" t="n">
        <f aca="false">S385*L385</f>
        <v>0.0917104630913615</v>
      </c>
      <c r="AC385" s="16" t="n">
        <f aca="false">Z385-W385</f>
        <v>-0.0347259801564725</v>
      </c>
      <c r="AD385" s="16" t="n">
        <f aca="false">AA385-W385</f>
        <v>-0.00850386139381418</v>
      </c>
      <c r="AE385" s="16" t="n">
        <f aca="false">AB385-W385</f>
        <v>-0.0586381231271963</v>
      </c>
      <c r="AF385" s="16" t="n">
        <f aca="false">AE385-X385</f>
        <v>-0.0599361376051991</v>
      </c>
      <c r="AG385" s="16" t="n">
        <f aca="false">AF385-p_spc_lo*Y385/1000</f>
        <v>-0.0744379970781292</v>
      </c>
      <c r="AH385" s="16" t="n">
        <f aca="false">AF385-p_spc_hi*Y385/1000</f>
        <v>-0.0889398565510594</v>
      </c>
      <c r="AI385" s="16" t="n">
        <f aca="false">Q385*J385</f>
        <v>0.481760858592022</v>
      </c>
      <c r="AJ385" s="16" t="n">
        <f aca="false">S385*J385</f>
        <v>0.38212692954734</v>
      </c>
      <c r="AK385" s="16" t="n">
        <f aca="false">T385*J385</f>
        <v>0.626452442577325</v>
      </c>
      <c r="AL385" s="16" t="n">
        <f aca="false">U385*J385</f>
        <v>0.00540839365834474</v>
      </c>
      <c r="AM385" s="16" t="n">
        <f aca="false">AI385-AJ385</f>
        <v>0.0996339290446826</v>
      </c>
      <c r="AN385" s="16" t="n">
        <f aca="false">J385*Country_Data!$EB$59</f>
        <v>4.05801055414082</v>
      </c>
      <c r="AO385" s="16" t="n">
        <f aca="false">L385*Country_Data!$EB$59</f>
        <v>0.973922532993796</v>
      </c>
    </row>
    <row r="386" customFormat="false" ht="15" hidden="false" customHeight="false" outlineLevel="0" collapsed="false">
      <c r="A386" s="14" t="str">
        <f aca="false">Country_Data!$A$59</f>
        <v>NGA</v>
      </c>
      <c r="B386" s="14" t="str">
        <f aca="false">Country_Data!$E$59</f>
        <v>EMDC</v>
      </c>
      <c r="C386" s="35" t="s">
        <v>477</v>
      </c>
      <c r="D386" s="37" t="n">
        <f aca="false">IF(Country_Data!$CB$59="","",Country_Data!$CB$59)</f>
        <v>0.143550238724736</v>
      </c>
      <c r="E386" s="40" t="n">
        <f aca="false">Country_Data!$BW$59</f>
        <v>2117.351</v>
      </c>
      <c r="F386" s="41" t="n">
        <f aca="false">Country_Data!$BX$59</f>
        <v>0.119068118606693</v>
      </c>
      <c r="G386" s="42" t="n">
        <f aca="false">IF(D386="","",D386/SUMIFS($D$5:$D$1369,$B$5:$B$1369,B386,$C$5:$C$1369,C386))</f>
        <v>0.00452657613751327</v>
      </c>
      <c r="H386" s="42" t="n">
        <f aca="false">E386/SUMIFS($E$5:$E$1369,$B$5:$B$1369,B386,$C$5:$C$1369,C386)</f>
        <v>0.0262269469970293</v>
      </c>
      <c r="I386" s="43" t="n">
        <f aca="false">IF(G386="",H386,p_beta_alloc*G386+(1-p_beta_alloc)*H386)*F386^p_phi</f>
        <v>0.00530594355882082</v>
      </c>
      <c r="J386" s="16" t="n">
        <f aca="false">INDEX(Sector_Params!$C$19:$E$19,MATCH(B386,Sector_Params!$C$15:$E$15,0))*I386/SUMIFS($I$5:$I$1369,$B$5:$B$1369,B386,$C$5:$C$1369,C386)</f>
        <v>1.70778477085975</v>
      </c>
      <c r="K386" s="28" t="n">
        <f aca="false">INDEX(Sector_Params!$F$8:$H$8,MATCH(B386,Sector_Params!$C$15:$E$15,0))</f>
        <v>0.24</v>
      </c>
      <c r="L386" s="16" t="n">
        <f aca="false">J386*K386</f>
        <v>0.409868345006339</v>
      </c>
      <c r="M386" s="44" t="n">
        <f aca="false">Country_Data!$DW$59+Sector_Params!$E$8</f>
        <v>0.105</v>
      </c>
      <c r="N386" s="44" t="n">
        <f aca="false">Country_Data!$DX$59+Sector_Params!$E$8</f>
        <v>0.15</v>
      </c>
      <c r="O386" s="11" t="n">
        <f aca="false">IF(p_use_ibrd=1,p_r_ibrd,p_r_wb)</f>
        <v>0.06</v>
      </c>
      <c r="P386" s="45" t="n">
        <f aca="false">Sector_Params!$D$8</f>
        <v>25</v>
      </c>
      <c r="Q386" s="46" t="n">
        <f aca="false">M386/(1-(1+M386)^-P386)</f>
        <v>0.114429319813103</v>
      </c>
      <c r="R386" s="46" t="n">
        <f aca="false">N386/(1-(1+N386)^-P386)</f>
        <v>0.154699402320206</v>
      </c>
      <c r="S386" s="46" t="n">
        <f aca="false">O386/(1-(1+O386)^-P386)</f>
        <v>0.078226718212274</v>
      </c>
      <c r="T386" s="37" t="n">
        <f aca="false">Country_Data!$CM$59*Sector_Params!$I$8</f>
        <v>0.174285723054444</v>
      </c>
      <c r="U386" s="37" t="n">
        <f aca="false">Country_Data!$CN$59*Sector_Params!$J$8</f>
        <v>0.03225</v>
      </c>
      <c r="V386" s="37" t="n">
        <f aca="false">p_a</f>
        <v>0.35</v>
      </c>
      <c r="W386" s="16" t="n">
        <f aca="false">T386*L386</f>
        <v>0.071434200866558</v>
      </c>
      <c r="X386" s="16" t="n">
        <f aca="false">U386*L386</f>
        <v>0.0132182541264544</v>
      </c>
      <c r="Y386" s="16" t="n">
        <f aca="false">V386*L386</f>
        <v>0.143453920752219</v>
      </c>
      <c r="Z386" s="16" t="n">
        <f aca="false">Q386*L386</f>
        <v>0.0469009559319978</v>
      </c>
      <c r="AA386" s="16" t="n">
        <f aca="false">R386*L386</f>
        <v>0.0634063880024528</v>
      </c>
      <c r="AB386" s="16" t="n">
        <f aca="false">S386*L386</f>
        <v>0.032062655528942</v>
      </c>
      <c r="AC386" s="16" t="n">
        <f aca="false">Z386-W386</f>
        <v>-0.0245332449345602</v>
      </c>
      <c r="AD386" s="16" t="n">
        <f aca="false">AA386-W386</f>
        <v>-0.00802781286410514</v>
      </c>
      <c r="AE386" s="16" t="n">
        <f aca="false">AB386-W386</f>
        <v>-0.039371545337616</v>
      </c>
      <c r="AF386" s="16" t="n">
        <f aca="false">AE386-X386</f>
        <v>-0.0525897994640705</v>
      </c>
      <c r="AG386" s="16" t="n">
        <f aca="false">AF386-p_spc_lo*Y386/1000</f>
        <v>-0.0597624955016814</v>
      </c>
      <c r="AH386" s="16" t="n">
        <f aca="false">AF386-p_spc_hi*Y386/1000</f>
        <v>-0.0669351915392923</v>
      </c>
      <c r="AI386" s="16" t="n">
        <f aca="false">Q386*J386</f>
        <v>0.195420649716657</v>
      </c>
      <c r="AJ386" s="16" t="n">
        <f aca="false">S386*J386</f>
        <v>0.133594398037258</v>
      </c>
      <c r="AK386" s="16" t="n">
        <f aca="false">T386*J386</f>
        <v>0.297642503610658</v>
      </c>
      <c r="AL386" s="16" t="n">
        <f aca="false">U386*J386</f>
        <v>0.0550760588602268</v>
      </c>
      <c r="AM386" s="16" t="n">
        <f aca="false">AI386-AJ386</f>
        <v>0.0618262516793991</v>
      </c>
      <c r="AN386" s="16" t="n">
        <f aca="false">J386*Country_Data!$EB$59</f>
        <v>2.16319404308901</v>
      </c>
      <c r="AO386" s="16" t="n">
        <f aca="false">L386*Country_Data!$EB$59</f>
        <v>0.519166570341363</v>
      </c>
    </row>
    <row r="387" customFormat="false" ht="15" hidden="false" customHeight="false" outlineLevel="0" collapsed="false">
      <c r="A387" s="14" t="str">
        <f aca="false">Country_Data!$A$59</f>
        <v>NGA</v>
      </c>
      <c r="B387" s="14" t="str">
        <f aca="false">Country_Data!$E$59</f>
        <v>EMDC</v>
      </c>
      <c r="C387" s="35" t="s">
        <v>481</v>
      </c>
      <c r="D387" s="37" t="n">
        <f aca="false">IF(Country_Data!$CC$59="","",Country_Data!$CC$59)</f>
        <v>0.409297464519261</v>
      </c>
      <c r="E387" s="40" t="n">
        <f aca="false">Country_Data!$BW$59</f>
        <v>2117.351</v>
      </c>
      <c r="F387" s="41" t="n">
        <f aca="false">Country_Data!$BX$59</f>
        <v>0.119068118606693</v>
      </c>
      <c r="G387" s="42" t="n">
        <f aca="false">IF(D387="","",D387/SUMIFS($D$5:$D$1369,$B$5:$B$1369,B387,$C$5:$C$1369,C387))</f>
        <v>0.00584650047693838</v>
      </c>
      <c r="H387" s="42" t="n">
        <f aca="false">E387/SUMIFS($E$5:$E$1369,$B$5:$B$1369,B387,$C$5:$C$1369,C387)</f>
        <v>0.0262269469970293</v>
      </c>
      <c r="I387" s="43" t="n">
        <f aca="false">IF(G387="",H387,p_beta_alloc*G387+(1-p_beta_alloc)*H387)*F387^p_phi</f>
        <v>0.00553367174515786</v>
      </c>
      <c r="J387" s="16" t="n">
        <f aca="false">INDEX(Sector_Params!$C$20:$E$20,MATCH(B387,Sector_Params!$C$15:$E$15,0))*I387/SUMIFS($I$5:$I$1369,$B$5:$B$1369,B387,$C$5:$C$1369,C387)</f>
        <v>1.01000652884087</v>
      </c>
      <c r="K387" s="28" t="n">
        <f aca="false">INDEX(Sector_Params!$F$9:$H$9,MATCH(B387,Sector_Params!$C$15:$E$15,0))</f>
        <v>0.24</v>
      </c>
      <c r="L387" s="16" t="n">
        <f aca="false">J387*K387</f>
        <v>0.24240156692181</v>
      </c>
      <c r="M387" s="44" t="n">
        <f aca="false">Country_Data!$DW$59+Sector_Params!$E$9</f>
        <v>0.105</v>
      </c>
      <c r="N387" s="44" t="n">
        <f aca="false">Country_Data!$DX$59+Sector_Params!$E$9</f>
        <v>0.15</v>
      </c>
      <c r="O387" s="11" t="n">
        <f aca="false">IF(p_use_ibrd=1,p_r_ibrd,p_r_wb)</f>
        <v>0.06</v>
      </c>
      <c r="P387" s="45" t="n">
        <f aca="false">Sector_Params!$D$9</f>
        <v>25</v>
      </c>
      <c r="Q387" s="46" t="n">
        <f aca="false">M387/(1-(1+M387)^-P387)</f>
        <v>0.114429319813103</v>
      </c>
      <c r="R387" s="46" t="n">
        <f aca="false">N387/(1-(1+N387)^-P387)</f>
        <v>0.154699402320206</v>
      </c>
      <c r="S387" s="46" t="n">
        <f aca="false">O387/(1-(1+O387)^-P387)</f>
        <v>0.078226718212274</v>
      </c>
      <c r="T387" s="37" t="n">
        <f aca="false">Country_Data!$CM$59*Sector_Params!$I$9</f>
        <v>0.174285723054444</v>
      </c>
      <c r="U387" s="37" t="n">
        <f aca="false">Country_Data!$CN$59*Sector_Params!$J$9</f>
        <v>0.03225</v>
      </c>
      <c r="V387" s="37" t="n">
        <f aca="false">p_a</f>
        <v>0.35</v>
      </c>
      <c r="W387" s="16" t="n">
        <f aca="false">T387*L387</f>
        <v>0.0422471323604977</v>
      </c>
      <c r="X387" s="16" t="n">
        <f aca="false">U387*L387</f>
        <v>0.00781745053322837</v>
      </c>
      <c r="Y387" s="16" t="n">
        <f aca="false">V387*L387</f>
        <v>0.0848405484226334</v>
      </c>
      <c r="Z387" s="16" t="n">
        <f aca="false">Q387*L387</f>
        <v>0.0277378464244931</v>
      </c>
      <c r="AA387" s="16" t="n">
        <f aca="false">R387*L387</f>
        <v>0.0374993775242855</v>
      </c>
      <c r="AB387" s="16" t="n">
        <f aca="false">S387*L387</f>
        <v>0.0189622790698061</v>
      </c>
      <c r="AC387" s="16" t="n">
        <f aca="false">Z387-W387</f>
        <v>-0.0145092859360046</v>
      </c>
      <c r="AD387" s="16" t="n">
        <f aca="false">AA387-W387</f>
        <v>-0.00474775483621222</v>
      </c>
      <c r="AE387" s="16" t="n">
        <f aca="false">AB387-W387</f>
        <v>-0.0232848532906917</v>
      </c>
      <c r="AF387" s="16" t="n">
        <f aca="false">AE387-X387</f>
        <v>-0.03110230382392</v>
      </c>
      <c r="AG387" s="16" t="n">
        <f aca="false">AF387-p_spc_lo*Y387/1000</f>
        <v>-0.0353443312450517</v>
      </c>
      <c r="AH387" s="16" t="n">
        <f aca="false">AF387-p_spc_hi*Y387/1000</f>
        <v>-0.0395863586661834</v>
      </c>
      <c r="AI387" s="16" t="n">
        <f aca="false">Q387*J387</f>
        <v>0.115574360102055</v>
      </c>
      <c r="AJ387" s="16" t="n">
        <f aca="false">S387*J387</f>
        <v>0.079009496124192</v>
      </c>
      <c r="AK387" s="16" t="n">
        <f aca="false">T387*J387</f>
        <v>0.176029718168741</v>
      </c>
      <c r="AL387" s="16" t="n">
        <f aca="false">U387*J387</f>
        <v>0.0325727105551182</v>
      </c>
      <c r="AM387" s="16" t="n">
        <f aca="false">AI387-AJ387</f>
        <v>0.0365648639778628</v>
      </c>
      <c r="AN387" s="16" t="n">
        <f aca="false">J387*Country_Data!$EB$59</f>
        <v>1.27934160319844</v>
      </c>
      <c r="AO387" s="16" t="n">
        <f aca="false">L387*Country_Data!$EB$59</f>
        <v>0.307041984767626</v>
      </c>
    </row>
    <row r="388" customFormat="false" ht="15" hidden="false" customHeight="false" outlineLevel="0" collapsed="false">
      <c r="A388" s="14" t="str">
        <f aca="false">Country_Data!$A$59</f>
        <v>NGA</v>
      </c>
      <c r="B388" s="14" t="str">
        <f aca="false">Country_Data!$E$59</f>
        <v>EMDC</v>
      </c>
      <c r="C388" s="35" t="s">
        <v>484</v>
      </c>
      <c r="D388" s="37" t="n">
        <f aca="false">IF(Country_Data!$CD$59="","",Country_Data!$CD$59)</f>
        <v>1.57162298245246</v>
      </c>
      <c r="E388" s="40" t="n">
        <f aca="false">Country_Data!$BW$59</f>
        <v>2117.351</v>
      </c>
      <c r="F388" s="41" t="n">
        <f aca="false">Country_Data!$BX$59</f>
        <v>0.119068118606693</v>
      </c>
      <c r="G388" s="42" t="n">
        <f aca="false">IF(D388="","",D388/SUMIFS($D$5:$D$1369,$B$5:$B$1369,B388,$C$5:$C$1369,C388))</f>
        <v>0.0087765168782678</v>
      </c>
      <c r="H388" s="42" t="n">
        <f aca="false">E388/SUMIFS($E$5:$E$1369,$B$5:$B$1369,B388,$C$5:$C$1369,C388)</f>
        <v>0.0262269469970293</v>
      </c>
      <c r="I388" s="43" t="n">
        <f aca="false">IF(G388="",H388,p_beta_alloc*G388+(1-p_beta_alloc)*H388)*F388^p_phi</f>
        <v>0.00603919111553566</v>
      </c>
      <c r="J388" s="16" t="n">
        <f aca="false">INDEX(Sector_Params!$C$21:$E$21,MATCH(B388,Sector_Params!$C$15:$E$15,0))*I388/SUMIFS($I$5:$I$1369,$B$5:$B$1369,B388,$C$5:$C$1369,C388)</f>
        <v>1.33943114825016</v>
      </c>
      <c r="K388" s="28" t="n">
        <f aca="false">INDEX(Sector_Params!$F$10:$H$10,MATCH(B388,Sector_Params!$C$15:$E$15,0))</f>
        <v>0.24</v>
      </c>
      <c r="L388" s="16" t="n">
        <f aca="false">J388*K388</f>
        <v>0.321463475580037</v>
      </c>
      <c r="M388" s="44" t="n">
        <f aca="false">Country_Data!$DW$59+Sector_Params!$E$10</f>
        <v>0.105</v>
      </c>
      <c r="N388" s="44" t="n">
        <f aca="false">Country_Data!$DX$59+Sector_Params!$E$10</f>
        <v>0.15</v>
      </c>
      <c r="O388" s="11" t="n">
        <f aca="false">IF(p_use_ibrd=1,p_r_ibrd,p_r_wb)</f>
        <v>0.06</v>
      </c>
      <c r="P388" s="45" t="n">
        <f aca="false">Sector_Params!$D$10</f>
        <v>20</v>
      </c>
      <c r="Q388" s="46" t="n">
        <f aca="false">M388/(1-(1+M388)^-P388)</f>
        <v>0.121493265267016</v>
      </c>
      <c r="R388" s="46" t="n">
        <f aca="false">N388/(1-(1+N388)^-P388)</f>
        <v>0.159761470405744</v>
      </c>
      <c r="S388" s="46" t="n">
        <f aca="false">O388/(1-(1+O388)^-P388)</f>
        <v>0.0871845569768514</v>
      </c>
      <c r="T388" s="37" t="n">
        <f aca="false">0*Sector_Params!$I$10</f>
        <v>0</v>
      </c>
      <c r="U388" s="37" t="n">
        <f aca="false">0*Sector_Params!$J$10</f>
        <v>0</v>
      </c>
      <c r="V388" s="37" t="n">
        <f aca="false">1000*p_r_wb/(1-(1+p_r_wb)^-Sector_Params!$D$10)/p_cpt_fuel</f>
        <v>0.871845569768514</v>
      </c>
      <c r="W388" s="16" t="n">
        <f aca="false">T388*L388</f>
        <v>0</v>
      </c>
      <c r="X388" s="16" t="n">
        <f aca="false">U388*L388</f>
        <v>0</v>
      </c>
      <c r="Y388" s="16" t="n">
        <f aca="false">V388*L388</f>
        <v>0.280266507026845</v>
      </c>
      <c r="Z388" s="16" t="n">
        <f aca="false">Q388*L388</f>
        <v>0.0390556473123025</v>
      </c>
      <c r="AA388" s="16" t="n">
        <f aca="false">R388*L388</f>
        <v>0.0513574775404077</v>
      </c>
      <c r="AB388" s="16" t="n">
        <f aca="false">S388*L388</f>
        <v>0.0280266507026845</v>
      </c>
      <c r="AC388" s="16" t="n">
        <f aca="false">Z388-W388</f>
        <v>0.0390556473123025</v>
      </c>
      <c r="AD388" s="16" t="n">
        <f aca="false">AA388-W388</f>
        <v>0.0513574775404077</v>
      </c>
      <c r="AE388" s="16" t="n">
        <f aca="false">AB388-W388</f>
        <v>0.0280266507026845</v>
      </c>
      <c r="AF388" s="16" t="n">
        <f aca="false">AE388-X388</f>
        <v>0.0280266507026845</v>
      </c>
      <c r="AG388" s="16" t="n">
        <f aca="false">AF388-p_spc_lo*Y388/1000</f>
        <v>0.0140133253513422</v>
      </c>
      <c r="AH388" s="16" t="n">
        <f aca="false">AF388-p_spc_hi*Y388/1000</f>
        <v>0</v>
      </c>
      <c r="AI388" s="16" t="n">
        <f aca="false">Q388*J388</f>
        <v>0.16273186380126</v>
      </c>
      <c r="AJ388" s="16" t="n">
        <f aca="false">S388*J388</f>
        <v>0.116777711261185</v>
      </c>
      <c r="AK388" s="16" t="n">
        <f aca="false">T388*J388</f>
        <v>0</v>
      </c>
      <c r="AL388" s="16" t="n">
        <f aca="false">U388*J388</f>
        <v>0</v>
      </c>
      <c r="AM388" s="16" t="n">
        <f aca="false">AI388-AJ388</f>
        <v>0.045954152540075</v>
      </c>
      <c r="AN388" s="16" t="n">
        <f aca="false">J388*Country_Data!$EB$59</f>
        <v>1.69661278778353</v>
      </c>
      <c r="AO388" s="16" t="n">
        <f aca="false">L388*Country_Data!$EB$59</f>
        <v>0.407187069068047</v>
      </c>
    </row>
    <row r="389" customFormat="false" ht="15" hidden="false" customHeight="false" outlineLevel="0" collapsed="false">
      <c r="A389" s="14" t="str">
        <f aca="false">Country_Data!$A$59</f>
        <v>NGA</v>
      </c>
      <c r="B389" s="14" t="str">
        <f aca="false">Country_Data!$E$59</f>
        <v>EMDC</v>
      </c>
      <c r="C389" s="35" t="s">
        <v>488</v>
      </c>
      <c r="D389" s="37" t="n">
        <f aca="false">IF(Country_Data!$CE$59="","",Country_Data!$CE$59)</f>
        <v>342.433</v>
      </c>
      <c r="E389" s="40" t="n">
        <f aca="false">Country_Data!$BW$59</f>
        <v>2117.351</v>
      </c>
      <c r="F389" s="41" t="n">
        <f aca="false">Country_Data!$BX$59</f>
        <v>0.119068118606693</v>
      </c>
      <c r="G389" s="42" t="n">
        <f aca="false">IF(D389="","",D389/SUMIFS($D$5:$D$1369,$B$5:$B$1369,B389,$C$5:$C$1369,C389))</f>
        <v>0.0280588260839996</v>
      </c>
      <c r="H389" s="42" t="n">
        <f aca="false">E389/SUMIFS($E$5:$E$1369,$B$5:$B$1369,B389,$C$5:$C$1369,C389)</f>
        <v>0.0262269469970293</v>
      </c>
      <c r="I389" s="43" t="n">
        <f aca="false">IF(G389="",H389,p_beta_alloc*G389+(1-p_beta_alloc)*H389)*F389^p_phi</f>
        <v>0.00936599188180064</v>
      </c>
      <c r="J389" s="16" t="n">
        <f aca="false">INDEX(Sector_Params!$C$22:$E$22,MATCH(B389,Sector_Params!$C$15:$E$15,0))*I389/SUMIFS($I$5:$I$1369,$B$5:$B$1369,B389,$C$5:$C$1369,C389)</f>
        <v>5.64589847033953</v>
      </c>
      <c r="K389" s="28" t="n">
        <f aca="false">INDEX(Sector_Params!$F$11:$H$11,MATCH(B389,Sector_Params!$C$15:$E$15,0))</f>
        <v>0.24</v>
      </c>
      <c r="L389" s="16" t="n">
        <f aca="false">J389*K389</f>
        <v>1.35501563288149</v>
      </c>
      <c r="M389" s="44" t="n">
        <f aca="false">Country_Data!$DW$59+Sector_Params!$E$11</f>
        <v>0.105</v>
      </c>
      <c r="N389" s="44" t="n">
        <f aca="false">Country_Data!$DX$59+Sector_Params!$E$11</f>
        <v>0.15</v>
      </c>
      <c r="O389" s="11" t="n">
        <f aca="false">IF(p_use_ibrd=1,p_r_ibrd,p_r_wb)</f>
        <v>0.06</v>
      </c>
      <c r="P389" s="45" t="n">
        <f aca="false">Sector_Params!$D$11</f>
        <v>30</v>
      </c>
      <c r="Q389" s="46" t="n">
        <f aca="false">M389/(1-(1+M389)^-P389)</f>
        <v>0.110528481529605</v>
      </c>
      <c r="R389" s="46" t="n">
        <f aca="false">N389/(1-(1+N389)^-P389)</f>
        <v>0.152300198192734</v>
      </c>
      <c r="S389" s="46" t="n">
        <f aca="false">O389/(1-(1+O389)^-P389)</f>
        <v>0.0726489114900472</v>
      </c>
      <c r="T389" s="37" t="n">
        <f aca="false">0*Sector_Params!$I$11</f>
        <v>0</v>
      </c>
      <c r="U389" s="37" t="n">
        <f aca="false">p_c*Sector_Params!$J$11</f>
        <v>0.129</v>
      </c>
      <c r="V389" s="37" t="n">
        <f aca="false">1000*p_r_wb/(1-(1+p_r_wb)^-Sector_Params!$D$11)/p_cpt_afolu</f>
        <v>1.45297822980094</v>
      </c>
      <c r="W389" s="16" t="n">
        <f aca="false">T389*L389</f>
        <v>0</v>
      </c>
      <c r="X389" s="16" t="n">
        <f aca="false">U389*L389</f>
        <v>0.174797016641712</v>
      </c>
      <c r="Y389" s="16" t="n">
        <f aca="false">V389*L389</f>
        <v>1.96880821561675</v>
      </c>
      <c r="Z389" s="16" t="n">
        <f aca="false">Q389*L389</f>
        <v>0.149767820351268</v>
      </c>
      <c r="AA389" s="16" t="n">
        <f aca="false">R389*L389</f>
        <v>0.206369149442104</v>
      </c>
      <c r="AB389" s="16" t="n">
        <f aca="false">S389*L389</f>
        <v>0.0984404107808374</v>
      </c>
      <c r="AC389" s="16" t="n">
        <f aca="false">Z389-W389</f>
        <v>0.149767820351268</v>
      </c>
      <c r="AD389" s="16" t="n">
        <f aca="false">AA389-W389</f>
        <v>0.206369149442104</v>
      </c>
      <c r="AE389" s="16" t="n">
        <f aca="false">AB389-W389</f>
        <v>0.0984404107808374</v>
      </c>
      <c r="AF389" s="16" t="n">
        <f aca="false">AE389-X389</f>
        <v>-0.0763566058608743</v>
      </c>
      <c r="AG389" s="16" t="n">
        <f aca="false">AF389-p_spc_lo*Y389/1000</f>
        <v>-0.174797016641712</v>
      </c>
      <c r="AH389" s="16" t="n">
        <f aca="false">AF389-p_spc_hi*Y389/1000</f>
        <v>-0.273237427422549</v>
      </c>
      <c r="AI389" s="16" t="n">
        <f aca="false">Q389*J389</f>
        <v>0.624032584796948</v>
      </c>
      <c r="AJ389" s="16" t="n">
        <f aca="false">S389*J389</f>
        <v>0.410168378253489</v>
      </c>
      <c r="AK389" s="16" t="n">
        <f aca="false">T389*J389</f>
        <v>0</v>
      </c>
      <c r="AL389" s="16" t="n">
        <f aca="false">U389*J389</f>
        <v>0.728320902673799</v>
      </c>
      <c r="AM389" s="16" t="n">
        <f aca="false">AI389-AJ389</f>
        <v>0.213864206543459</v>
      </c>
      <c r="AN389" s="16" t="n">
        <f aca="false">J389*Country_Data!$EB$59</f>
        <v>7.1514713957634</v>
      </c>
      <c r="AO389" s="16" t="n">
        <f aca="false">L389*Country_Data!$EB$59</f>
        <v>1.71635313498322</v>
      </c>
    </row>
    <row r="390" customFormat="false" ht="15" hidden="false" customHeight="false" outlineLevel="0" collapsed="false">
      <c r="A390" s="14" t="str">
        <f aca="false">Country_Data!$A$60</f>
        <v>HUN</v>
      </c>
      <c r="B390" s="14" t="str">
        <f aca="false">Country_Data!$E$60</f>
        <v>EMDC</v>
      </c>
      <c r="C390" s="35" t="s">
        <v>466</v>
      </c>
      <c r="D390" s="37" t="n">
        <f aca="false">IF(Country_Data!$BZ$60="","",Country_Data!$BZ$60)</f>
        <v>41.957485166096</v>
      </c>
      <c r="E390" s="40" t="n">
        <f aca="false">Country_Data!$BW$60</f>
        <v>446.611</v>
      </c>
      <c r="F390" s="41" t="n">
        <f aca="false">Country_Data!$BX$60</f>
        <v>0.499042791153823</v>
      </c>
      <c r="G390" s="42" t="n">
        <f aca="false">IF(D390="","",D390/SUMIFS($D$5:$D$1369,$B$5:$B$1369,B390,$C$5:$C$1369,C390))</f>
        <v>0.004789956103798</v>
      </c>
      <c r="H390" s="42" t="n">
        <f aca="false">E390/SUMIFS($E$5:$E$1369,$B$5:$B$1369,B390,$C$5:$C$1369,C390)</f>
        <v>0.00553202705894783</v>
      </c>
      <c r="I390" s="43" t="n">
        <f aca="false">IF(G390="",H390,p_beta_alloc*G390+(1-p_beta_alloc)*H390)*F390^p_phi</f>
        <v>0.00364587726006682</v>
      </c>
      <c r="J390" s="16" t="n">
        <f aca="false">INDEX(Sector_Params!$C$16:$E$16,MATCH(B390,Sector_Params!$C$15:$E$15,0))*I390/SUMIFS($I$5:$I$1369,$B$5:$B$1369,B390,$C$5:$C$1369,C390)</f>
        <v>3.52638491689429</v>
      </c>
      <c r="K390" s="28" t="n">
        <f aca="false">INDEX(Sector_Params!$F$5:$H$5,MATCH(B390,Sector_Params!$C$15:$E$15,0))</f>
        <v>0.24</v>
      </c>
      <c r="L390" s="16" t="n">
        <f aca="false">J390*K390</f>
        <v>0.846332380054629</v>
      </c>
      <c r="M390" s="44" t="n">
        <f aca="false">Country_Data!$DW$60+Sector_Params!$E$5</f>
        <v>0.1843</v>
      </c>
      <c r="N390" s="44" t="n">
        <f aca="false">Country_Data!$DX$60+Sector_Params!$E$5</f>
        <v>0.2293</v>
      </c>
      <c r="O390" s="11" t="n">
        <f aca="false">IF(p_use_ibrd=1,p_r_ibrd,p_r_wb)</f>
        <v>0.06</v>
      </c>
      <c r="P390" s="45" t="n">
        <f aca="false">Sector_Params!$D$5</f>
        <v>25</v>
      </c>
      <c r="Q390" s="46" t="n">
        <f aca="false">M390/(1-(1+M390)^-P390)</f>
        <v>0.18702493584881</v>
      </c>
      <c r="R390" s="46" t="n">
        <f aca="false">N390/(1-(1+N390)^-P390)</f>
        <v>0.230622680574023</v>
      </c>
      <c r="S390" s="46" t="n">
        <f aca="false">O390/(1-(1+O390)^-P390)</f>
        <v>0.078226718212274</v>
      </c>
      <c r="T390" s="37" t="n">
        <f aca="false">IF(AND(p_eng=1,ISNUMBER(Country_Data!$CZ$60)),Country_Data!$CZ$60,Country_Data!$CM$60)*Sector_Params!$I$5</f>
        <v>0.0507352366899604</v>
      </c>
      <c r="U390" s="37" t="n">
        <f aca="false">IF(AND(p_eng=1,ISNUMBER(Country_Data!$DA$60)),Country_Data!$DA$60,Country_Data!$CN$60)*Sector_Params!$J$5</f>
        <v>0.00159797618622163</v>
      </c>
      <c r="V390" s="37" t="n">
        <f aca="false">IF(AND(p_eng=1,ISNUMBER(Country_Data!$DB$60)),Country_Data!$DB$60,p_a)</f>
        <v>0.289358013747145</v>
      </c>
      <c r="W390" s="16" t="n">
        <f aca="false">T390*L390</f>
        <v>0.0429388736204491</v>
      </c>
      <c r="X390" s="16" t="n">
        <f aca="false">U390*L390</f>
        <v>0.00135241898895557</v>
      </c>
      <c r="Y390" s="16" t="n">
        <f aca="false">V390*L390</f>
        <v>0.244893056462501</v>
      </c>
      <c r="Z390" s="16" t="n">
        <f aca="false">Q390*L390</f>
        <v>0.158285259086488</v>
      </c>
      <c r="AA390" s="16" t="n">
        <f aca="false">R390*L390</f>
        <v>0.195183442144791</v>
      </c>
      <c r="AB390" s="16" t="n">
        <f aca="false">S390*L390</f>
        <v>0.0662058046084566</v>
      </c>
      <c r="AC390" s="16" t="n">
        <f aca="false">Z390-W390</f>
        <v>0.115346385466038</v>
      </c>
      <c r="AD390" s="16" t="n">
        <f aca="false">AA390-W390</f>
        <v>0.152244568524342</v>
      </c>
      <c r="AE390" s="16" t="n">
        <f aca="false">AB390-W390</f>
        <v>0.0232669309880075</v>
      </c>
      <c r="AF390" s="16" t="n">
        <f aca="false">AE390-X390</f>
        <v>0.0219145119990519</v>
      </c>
      <c r="AG390" s="16" t="n">
        <f aca="false">AF390-p_spc_lo*Y390/1000</f>
        <v>0.00966985917592684</v>
      </c>
      <c r="AH390" s="16" t="n">
        <f aca="false">AF390-p_spc_hi*Y390/1000</f>
        <v>-0.00257479364719822</v>
      </c>
      <c r="AI390" s="16" t="n">
        <f aca="false">Q390*J390</f>
        <v>0.659521912860365</v>
      </c>
      <c r="AJ390" s="16" t="n">
        <f aca="false">S390*J390</f>
        <v>0.275857519201902</v>
      </c>
      <c r="AK390" s="16" t="n">
        <f aca="false">T390*J390</f>
        <v>0.178911973418538</v>
      </c>
      <c r="AL390" s="16" t="n">
        <f aca="false">U390*J390</f>
        <v>0.00563507912064822</v>
      </c>
      <c r="AM390" s="16" t="n">
        <f aca="false">AI390-AJ390</f>
        <v>0.383664393658462</v>
      </c>
      <c r="AN390" s="16" t="n">
        <f aca="false">J390*Country_Data!$EB$60</f>
        <v>4.04809665802385</v>
      </c>
      <c r="AO390" s="16" t="n">
        <f aca="false">L390*Country_Data!$EB$60</f>
        <v>0.971543197925725</v>
      </c>
    </row>
    <row r="391" customFormat="false" ht="15" hidden="false" customHeight="false" outlineLevel="0" collapsed="false">
      <c r="A391" s="14" t="str">
        <f aca="false">Country_Data!$A$60</f>
        <v>HUN</v>
      </c>
      <c r="B391" s="14" t="str">
        <f aca="false">Country_Data!$E$60</f>
        <v>EMDC</v>
      </c>
      <c r="C391" s="35" t="s">
        <v>470</v>
      </c>
      <c r="D391" s="37" t="n">
        <f aca="false">IF(Country_Data!$BZ$60="","",Country_Data!$BZ$60)</f>
        <v>41.957485166096</v>
      </c>
      <c r="E391" s="40" t="n">
        <f aca="false">Country_Data!$BW$60</f>
        <v>446.611</v>
      </c>
      <c r="F391" s="41" t="n">
        <f aca="false">Country_Data!$BX$60</f>
        <v>0.499042791153823</v>
      </c>
      <c r="G391" s="42" t="n">
        <f aca="false">IF(D391="","",D391/SUMIFS($D$5:$D$1369,$B$5:$B$1369,B391,$C$5:$C$1369,C391))</f>
        <v>0.004789956103798</v>
      </c>
      <c r="H391" s="42" t="n">
        <f aca="false">E391/SUMIFS($E$5:$E$1369,$B$5:$B$1369,B391,$C$5:$C$1369,C391)</f>
        <v>0.00553202705894783</v>
      </c>
      <c r="I391" s="43" t="n">
        <f aca="false">IF(G391="",H391,p_beta_alloc*G391+(1-p_beta_alloc)*H391)*F391^p_phi</f>
        <v>0.00364587726006682</v>
      </c>
      <c r="J391" s="16" t="n">
        <f aca="false">INDEX(Sector_Params!$C$17:$E$17,MATCH(B391,Sector_Params!$C$15:$E$15,0))*I391/SUMIFS($I$5:$I$1369,$B$5:$B$1369,B391,$C$5:$C$1369,C391)</f>
        <v>2.4180925144418</v>
      </c>
      <c r="K391" s="28" t="n">
        <f aca="false">INDEX(Sector_Params!$F$6:$H$6,MATCH(B391,Sector_Params!$C$15:$E$15,0))</f>
        <v>0.24</v>
      </c>
      <c r="L391" s="16" t="n">
        <f aca="false">J391*K391</f>
        <v>0.580342203466031</v>
      </c>
      <c r="M391" s="44" t="n">
        <f aca="false">Country_Data!$DW$60+Sector_Params!$E$6</f>
        <v>0.1843</v>
      </c>
      <c r="N391" s="44" t="n">
        <f aca="false">Country_Data!$DX$60+Sector_Params!$E$6</f>
        <v>0.2293</v>
      </c>
      <c r="O391" s="11" t="n">
        <f aca="false">IF(p_use_ibrd=1,p_r_ibrd,p_r_wb)</f>
        <v>0.06</v>
      </c>
      <c r="P391" s="45" t="n">
        <f aca="false">Sector_Params!$D$6</f>
        <v>40</v>
      </c>
      <c r="Q391" s="46" t="n">
        <f aca="false">M391/(1-(1+M391)^-P391)</f>
        <v>0.184512596862066</v>
      </c>
      <c r="R391" s="46" t="n">
        <f aca="false">N391/(1-(1+N391)^-P391)</f>
        <v>0.229359456780145</v>
      </c>
      <c r="S391" s="46" t="n">
        <f aca="false">O391/(1-(1+O391)^-P391)</f>
        <v>0.0664615359206755</v>
      </c>
      <c r="T391" s="37" t="n">
        <f aca="false">p_grid_credit*IF(AND(p_eng=1,ISNUMBER(Country_Data!$CZ$60)),Country_Data!$CZ$60,Country_Data!$CM$60)*Sector_Params!$I$6</f>
        <v>0</v>
      </c>
      <c r="U391" s="37" t="n">
        <f aca="false">p_grid_credit*IF(AND(p_eng=1,ISNUMBER(Country_Data!$DA$60)),Country_Data!$DA$60,Country_Data!$CN$60)*Sector_Params!$J$6</f>
        <v>0</v>
      </c>
      <c r="V391" s="37" t="n">
        <f aca="false">p_grid_credit*IF(AND(p_eng=1,ISNUMBER(Country_Data!$DB$60)),Country_Data!$DB$60,p_a)</f>
        <v>0</v>
      </c>
      <c r="W391" s="16" t="n">
        <f aca="false">T391*L391</f>
        <v>0</v>
      </c>
      <c r="X391" s="16" t="n">
        <f aca="false">U391*L391</f>
        <v>0</v>
      </c>
      <c r="Y391" s="16" t="n">
        <f aca="false">V391*L391</f>
        <v>0</v>
      </c>
      <c r="Z391" s="16" t="n">
        <f aca="false">Q391*L391</f>
        <v>0.107080447030171</v>
      </c>
      <c r="AA391" s="16" t="n">
        <f aca="false">R391*L391</f>
        <v>0.133106972533561</v>
      </c>
      <c r="AB391" s="16" t="n">
        <f aca="false">S391*L391</f>
        <v>0.0385704342019416</v>
      </c>
      <c r="AC391" s="16" t="n">
        <f aca="false">Z391-W391</f>
        <v>0.107080447030171</v>
      </c>
      <c r="AD391" s="16" t="n">
        <f aca="false">AA391-W391</f>
        <v>0.133106972533561</v>
      </c>
      <c r="AE391" s="16" t="n">
        <f aca="false">AB391-W391</f>
        <v>0.0385704342019416</v>
      </c>
      <c r="AF391" s="16" t="n">
        <f aca="false">AE391-X391</f>
        <v>0.0385704342019416</v>
      </c>
      <c r="AG391" s="16" t="n">
        <f aca="false">AF391-p_spc_lo*Y391/1000</f>
        <v>0.0385704342019416</v>
      </c>
      <c r="AH391" s="16" t="n">
        <f aca="false">AF391-p_spc_hi*Y391/1000</f>
        <v>0.0385704342019416</v>
      </c>
      <c r="AI391" s="16" t="n">
        <f aca="false">Q391*J391</f>
        <v>0.446168529292378</v>
      </c>
      <c r="AJ391" s="16" t="n">
        <f aca="false">S391*J391</f>
        <v>0.16071014250809</v>
      </c>
      <c r="AK391" s="16" t="n">
        <f aca="false">T391*J391</f>
        <v>0</v>
      </c>
      <c r="AL391" s="16" t="n">
        <f aca="false">U391*J391</f>
        <v>0</v>
      </c>
      <c r="AM391" s="16" t="n">
        <f aca="false">AI391-AJ391</f>
        <v>0.285458386784288</v>
      </c>
      <c r="AN391" s="16" t="n">
        <f aca="false">J391*Country_Data!$EB$60</f>
        <v>2.77583770835921</v>
      </c>
      <c r="AO391" s="16" t="n">
        <f aca="false">L391*Country_Data!$EB$60</f>
        <v>0.666201050006211</v>
      </c>
    </row>
    <row r="392" customFormat="false" ht="15" hidden="false" customHeight="false" outlineLevel="0" collapsed="false">
      <c r="A392" s="14" t="str">
        <f aca="false">Country_Data!$A$60</f>
        <v>HUN</v>
      </c>
      <c r="B392" s="14" t="str">
        <f aca="false">Country_Data!$E$60</f>
        <v>EMDC</v>
      </c>
      <c r="C392" s="35" t="s">
        <v>473</v>
      </c>
      <c r="D392" s="37" t="n">
        <f aca="false">IF(Country_Data!$CA$60="","",Country_Data!$CA$60)</f>
        <v>0.223338521468769</v>
      </c>
      <c r="E392" s="40" t="n">
        <f aca="false">Country_Data!$BW$60</f>
        <v>446.611</v>
      </c>
      <c r="F392" s="41" t="n">
        <f aca="false">Country_Data!$BX$60</f>
        <v>0.499042791153823</v>
      </c>
      <c r="G392" s="42" t="n">
        <f aca="false">IF(D392="","",D392/SUMIFS($D$5:$D$1369,$B$5:$B$1369,B392,$C$5:$C$1369,C392))</f>
        <v>0.00515963949088484</v>
      </c>
      <c r="H392" s="42" t="n">
        <f aca="false">E392/SUMIFS($E$5:$E$1369,$B$5:$B$1369,B392,$C$5:$C$1369,C392)</f>
        <v>0.00553202705894783</v>
      </c>
      <c r="I392" s="43" t="n">
        <f aca="false">IF(G392="",H392,p_beta_alloc*G392+(1-p_beta_alloc)*H392)*F392^p_phi</f>
        <v>0.00377645490519116</v>
      </c>
      <c r="J392" s="16" t="n">
        <f aca="false">INDEX(Sector_Params!$C$18:$E$18,MATCH(B392,Sector_Params!$C$15:$E$15,0))*I392/SUMIFS($I$5:$I$1369,$B$5:$B$1369,B392,$C$5:$C$1369,C392)</f>
        <v>1.54636892816688</v>
      </c>
      <c r="K392" s="28" t="n">
        <f aca="false">INDEX(Sector_Params!$F$7:$H$7,MATCH(B392,Sector_Params!$C$15:$E$15,0))</f>
        <v>0.24</v>
      </c>
      <c r="L392" s="16" t="n">
        <f aca="false">J392*K392</f>
        <v>0.371128542760052</v>
      </c>
      <c r="M392" s="44" t="n">
        <f aca="false">Country_Data!$DW$60+Sector_Params!$E$7</f>
        <v>0.1843</v>
      </c>
      <c r="N392" s="44" t="n">
        <f aca="false">Country_Data!$DX$60+Sector_Params!$E$7</f>
        <v>0.2293</v>
      </c>
      <c r="O392" s="11" t="n">
        <f aca="false">IF(p_use_ibrd=1,p_r_ibrd,p_r_wb)</f>
        <v>0.06</v>
      </c>
      <c r="P392" s="45" t="n">
        <f aca="false">Sector_Params!$D$7</f>
        <v>12</v>
      </c>
      <c r="Q392" s="46" t="n">
        <f aca="false">M392/(1-(1+M392)^-P392)</f>
        <v>0.21217046220397</v>
      </c>
      <c r="R392" s="46" t="n">
        <f aca="false">N392/(1-(1+N392)^-P392)</f>
        <v>0.250318322965909</v>
      </c>
      <c r="S392" s="46" t="n">
        <f aca="false">O392/(1-(1+O392)^-P392)</f>
        <v>0.119277029380664</v>
      </c>
      <c r="T392" s="37" t="n">
        <f aca="false">IF(AND(p_eng=1,ISNUMBER(Country_Data!$DE$60)),Country_Data!$DE$60,Country_Data!$CM$60)*Sector_Params!$I$7</f>
        <v>0.18530982</v>
      </c>
      <c r="U392" s="37" t="n">
        <f aca="false">IF(AND(p_eng=1,ISNUMBER(Country_Data!$DF$60)),Country_Data!$DF$60,Country_Data!$CN$60)*Sector_Params!$J$7</f>
        <v>0.023073075</v>
      </c>
      <c r="V392" s="37" t="n">
        <f aca="false">IF(AND(p_eng=1,ISNUMBER(Country_Data!$DG$60)),Country_Data!$DG$60,p_a)</f>
        <v>0.465365310387674</v>
      </c>
      <c r="W392" s="16" t="n">
        <f aca="false">T392*L392</f>
        <v>0.0687737634557275</v>
      </c>
      <c r="X392" s="16" t="n">
        <f aca="false">U392*L392</f>
        <v>0.00856307670174338</v>
      </c>
      <c r="Y392" s="16" t="n">
        <f aca="false">V392*L392</f>
        <v>0.172710349495257</v>
      </c>
      <c r="Z392" s="16" t="n">
        <f aca="false">Q392*L392</f>
        <v>0.0787425144544859</v>
      </c>
      <c r="AA392" s="16" t="n">
        <f aca="false">R392*L392</f>
        <v>0.0929002744284778</v>
      </c>
      <c r="AB392" s="16" t="n">
        <f aca="false">S392*L392</f>
        <v>0.0442671100987935</v>
      </c>
      <c r="AC392" s="16" t="n">
        <f aca="false">Z392-W392</f>
        <v>0.00996875099875845</v>
      </c>
      <c r="AD392" s="16" t="n">
        <f aca="false">AA392-W392</f>
        <v>0.0241265109727503</v>
      </c>
      <c r="AE392" s="16" t="n">
        <f aca="false">AB392-W392</f>
        <v>-0.0245066533569339</v>
      </c>
      <c r="AF392" s="16" t="n">
        <f aca="false">AE392-X392</f>
        <v>-0.0330697300586773</v>
      </c>
      <c r="AG392" s="16" t="n">
        <f aca="false">AF392-p_spc_lo*Y392/1000</f>
        <v>-0.0417052475334401</v>
      </c>
      <c r="AH392" s="16" t="n">
        <f aca="false">AF392-p_spc_hi*Y392/1000</f>
        <v>-0.050340765008203</v>
      </c>
      <c r="AI392" s="16" t="n">
        <f aca="false">Q392*J392</f>
        <v>0.328093810227025</v>
      </c>
      <c r="AJ392" s="16" t="n">
        <f aca="false">S392*J392</f>
        <v>0.184446292078306</v>
      </c>
      <c r="AK392" s="16" t="n">
        <f aca="false">T392*J392</f>
        <v>0.286557347732198</v>
      </c>
      <c r="AL392" s="16" t="n">
        <f aca="false">U392*J392</f>
        <v>0.0356794862572641</v>
      </c>
      <c r="AM392" s="16" t="n">
        <f aca="false">AI392-AJ392</f>
        <v>0.143647518148718</v>
      </c>
      <c r="AN392" s="16" t="n">
        <f aca="false">J392*Country_Data!$EB$60</f>
        <v>1.77514679699157</v>
      </c>
      <c r="AO392" s="16" t="n">
        <f aca="false">L392*Country_Data!$EB$60</f>
        <v>0.426035231277977</v>
      </c>
    </row>
    <row r="393" customFormat="false" ht="15" hidden="false" customHeight="false" outlineLevel="0" collapsed="false">
      <c r="A393" s="14" t="str">
        <f aca="false">Country_Data!$A$60</f>
        <v>HUN</v>
      </c>
      <c r="B393" s="14" t="str">
        <f aca="false">Country_Data!$E$60</f>
        <v>EMDC</v>
      </c>
      <c r="C393" s="35" t="s">
        <v>477</v>
      </c>
      <c r="D393" s="37" t="n">
        <f aca="false">IF(Country_Data!$CB$60="","",Country_Data!$CB$60)</f>
        <v>0.300569352057032</v>
      </c>
      <c r="E393" s="40" t="n">
        <f aca="false">Country_Data!$BW$60</f>
        <v>446.611</v>
      </c>
      <c r="F393" s="41" t="n">
        <f aca="false">Country_Data!$BX$60</f>
        <v>0.499042791153823</v>
      </c>
      <c r="G393" s="42" t="n">
        <f aca="false">IF(D393="","",D393/SUMIFS($D$5:$D$1369,$B$5:$B$1369,B393,$C$5:$C$1369,C393))</f>
        <v>0.00947786690413036</v>
      </c>
      <c r="H393" s="42" t="n">
        <f aca="false">E393/SUMIFS($E$5:$E$1369,$B$5:$B$1369,B393,$C$5:$C$1369,C393)</f>
        <v>0.00553202705894783</v>
      </c>
      <c r="I393" s="43" t="n">
        <f aca="false">IF(G393="",H393,p_beta_alloc*G393+(1-p_beta_alloc)*H393)*F393^p_phi</f>
        <v>0.00530171675473296</v>
      </c>
      <c r="J393" s="16" t="n">
        <f aca="false">INDEX(Sector_Params!$C$19:$E$19,MATCH(B393,Sector_Params!$C$15:$E$15,0))*I393/SUMIFS($I$5:$I$1369,$B$5:$B$1369,B393,$C$5:$C$1369,C393)</f>
        <v>1.70642432072102</v>
      </c>
      <c r="K393" s="28" t="n">
        <f aca="false">INDEX(Sector_Params!$F$8:$H$8,MATCH(B393,Sector_Params!$C$15:$E$15,0))</f>
        <v>0.24</v>
      </c>
      <c r="L393" s="16" t="n">
        <f aca="false">J393*K393</f>
        <v>0.409541836973045</v>
      </c>
      <c r="M393" s="44" t="n">
        <f aca="false">Country_Data!$DW$60+Sector_Params!$E$8</f>
        <v>0.1843</v>
      </c>
      <c r="N393" s="44" t="n">
        <f aca="false">Country_Data!$DX$60+Sector_Params!$E$8</f>
        <v>0.2293</v>
      </c>
      <c r="O393" s="11" t="n">
        <f aca="false">IF(p_use_ibrd=1,p_r_ibrd,p_r_wb)</f>
        <v>0.06</v>
      </c>
      <c r="P393" s="45" t="n">
        <f aca="false">Sector_Params!$D$8</f>
        <v>25</v>
      </c>
      <c r="Q393" s="46" t="n">
        <f aca="false">M393/(1-(1+M393)^-P393)</f>
        <v>0.18702493584881</v>
      </c>
      <c r="R393" s="46" t="n">
        <f aca="false">N393/(1-(1+N393)^-P393)</f>
        <v>0.230622680574023</v>
      </c>
      <c r="S393" s="46" t="n">
        <f aca="false">O393/(1-(1+O393)^-P393)</f>
        <v>0.078226718212274</v>
      </c>
      <c r="T393" s="37" t="n">
        <f aca="false">Country_Data!$CM$60*Sector_Params!$I$8</f>
        <v>0.238949890337877</v>
      </c>
      <c r="U393" s="37" t="n">
        <f aca="false">Country_Data!$CN$60*Sector_Params!$J$8</f>
        <v>0.06391096893433</v>
      </c>
      <c r="V393" s="37" t="n">
        <f aca="false">p_a</f>
        <v>0.35</v>
      </c>
      <c r="W393" s="16" t="n">
        <f aca="false">T393*L393</f>
        <v>0.0978599770334819</v>
      </c>
      <c r="X393" s="16" t="n">
        <f aca="false">U393*L393</f>
        <v>0.0261742156200927</v>
      </c>
      <c r="Y393" s="16" t="n">
        <f aca="false">V393*L393</f>
        <v>0.143339642940566</v>
      </c>
      <c r="Z393" s="16" t="n">
        <f aca="false">Q393*L393</f>
        <v>0.0765945357872875</v>
      </c>
      <c r="AA393" s="16" t="n">
        <f aca="false">R393*L393</f>
        <v>0.0944496362499332</v>
      </c>
      <c r="AB393" s="16" t="n">
        <f aca="false">S393*L393</f>
        <v>0.0320371138770274</v>
      </c>
      <c r="AC393" s="16" t="n">
        <f aca="false">Z393-W393</f>
        <v>-0.0212654412461944</v>
      </c>
      <c r="AD393" s="16" t="n">
        <f aca="false">AA393-W393</f>
        <v>-0.00341034078354874</v>
      </c>
      <c r="AE393" s="16" t="n">
        <f aca="false">AB393-W393</f>
        <v>-0.0658228631564545</v>
      </c>
      <c r="AF393" s="16" t="n">
        <f aca="false">AE393-X393</f>
        <v>-0.0919970787765472</v>
      </c>
      <c r="AG393" s="16" t="n">
        <f aca="false">AF393-p_spc_lo*Y393/1000</f>
        <v>-0.0991640609235755</v>
      </c>
      <c r="AH393" s="16" t="n">
        <f aca="false">AF393-p_spc_hi*Y393/1000</f>
        <v>-0.106331043070604</v>
      </c>
      <c r="AI393" s="16" t="n">
        <f aca="false">Q393*J393</f>
        <v>0.319143899113698</v>
      </c>
      <c r="AJ393" s="16" t="n">
        <f aca="false">S393*J393</f>
        <v>0.133487974487614</v>
      </c>
      <c r="AK393" s="16" t="n">
        <f aca="false">T393*J393</f>
        <v>0.407749904306175</v>
      </c>
      <c r="AL393" s="16" t="n">
        <f aca="false">U393*J393</f>
        <v>0.109059231750386</v>
      </c>
      <c r="AM393" s="16" t="n">
        <f aca="false">AI393-AJ393</f>
        <v>0.185655924626084</v>
      </c>
      <c r="AN393" s="16" t="n">
        <f aca="false">J393*Country_Data!$EB$60</f>
        <v>1.95888161748523</v>
      </c>
      <c r="AO393" s="16" t="n">
        <f aca="false">L393*Country_Data!$EB$60</f>
        <v>0.470131588196454</v>
      </c>
    </row>
    <row r="394" customFormat="false" ht="15" hidden="false" customHeight="false" outlineLevel="0" collapsed="false">
      <c r="A394" s="14" t="str">
        <f aca="false">Country_Data!$A$60</f>
        <v>HUN</v>
      </c>
      <c r="B394" s="14" t="str">
        <f aca="false">Country_Data!$E$60</f>
        <v>EMDC</v>
      </c>
      <c r="C394" s="35" t="s">
        <v>481</v>
      </c>
      <c r="D394" s="37" t="n">
        <f aca="false">IF(Country_Data!$CC$60="","",Country_Data!$CC$60)</f>
        <v>0.243854086742918</v>
      </c>
      <c r="E394" s="40" t="n">
        <f aca="false">Country_Data!$BW$60</f>
        <v>446.611</v>
      </c>
      <c r="F394" s="41" t="n">
        <f aca="false">Country_Data!$BX$60</f>
        <v>0.499042791153823</v>
      </c>
      <c r="G394" s="42" t="n">
        <f aca="false">IF(D394="","",D394/SUMIFS($D$5:$D$1369,$B$5:$B$1369,B394,$C$5:$C$1369,C394))</f>
        <v>0.00348326866896278</v>
      </c>
      <c r="H394" s="42" t="n">
        <f aca="false">E394/SUMIFS($E$5:$E$1369,$B$5:$B$1369,B394,$C$5:$C$1369,C394)</f>
        <v>0.00553202705894783</v>
      </c>
      <c r="I394" s="43" t="n">
        <f aca="false">IF(G394="",H394,p_beta_alloc*G394+(1-p_beta_alloc)*H394)*F394^p_phi</f>
        <v>0.0031843359138384</v>
      </c>
      <c r="J394" s="16" t="n">
        <f aca="false">INDEX(Sector_Params!$C$20:$E$20,MATCH(B394,Sector_Params!$C$15:$E$15,0))*I394/SUMIFS($I$5:$I$1369,$B$5:$B$1369,B394,$C$5:$C$1369,C394)</f>
        <v>0.581205429435444</v>
      </c>
      <c r="K394" s="28" t="n">
        <f aca="false">INDEX(Sector_Params!$F$9:$H$9,MATCH(B394,Sector_Params!$C$15:$E$15,0))</f>
        <v>0.24</v>
      </c>
      <c r="L394" s="16" t="n">
        <f aca="false">J394*K394</f>
        <v>0.139489303064507</v>
      </c>
      <c r="M394" s="44" t="n">
        <f aca="false">Country_Data!$DW$60+Sector_Params!$E$9</f>
        <v>0.1843</v>
      </c>
      <c r="N394" s="44" t="n">
        <f aca="false">Country_Data!$DX$60+Sector_Params!$E$9</f>
        <v>0.2293</v>
      </c>
      <c r="O394" s="11" t="n">
        <f aca="false">IF(p_use_ibrd=1,p_r_ibrd,p_r_wb)</f>
        <v>0.06</v>
      </c>
      <c r="P394" s="45" t="n">
        <f aca="false">Sector_Params!$D$9</f>
        <v>25</v>
      </c>
      <c r="Q394" s="46" t="n">
        <f aca="false">M394/(1-(1+M394)^-P394)</f>
        <v>0.18702493584881</v>
      </c>
      <c r="R394" s="46" t="n">
        <f aca="false">N394/(1-(1+N394)^-P394)</f>
        <v>0.230622680574023</v>
      </c>
      <c r="S394" s="46" t="n">
        <f aca="false">O394/(1-(1+O394)^-P394)</f>
        <v>0.078226718212274</v>
      </c>
      <c r="T394" s="37" t="n">
        <f aca="false">Country_Data!$CM$60*Sector_Params!$I$9</f>
        <v>0.238949890337877</v>
      </c>
      <c r="U394" s="37" t="n">
        <f aca="false">Country_Data!$CN$60*Sector_Params!$J$9</f>
        <v>0.06391096893433</v>
      </c>
      <c r="V394" s="37" t="n">
        <f aca="false">p_a</f>
        <v>0.35</v>
      </c>
      <c r="W394" s="16" t="n">
        <f aca="false">T394*L394</f>
        <v>0.0333309536705708</v>
      </c>
      <c r="X394" s="16" t="n">
        <f aca="false">U394*L394</f>
        <v>0.00891489651482702</v>
      </c>
      <c r="Y394" s="16" t="n">
        <f aca="false">V394*L394</f>
        <v>0.0488212560725773</v>
      </c>
      <c r="Z394" s="16" t="n">
        <f aca="false">Q394*L394</f>
        <v>0.0260879779572346</v>
      </c>
      <c r="AA394" s="16" t="n">
        <f aca="false">R394*L394</f>
        <v>0.0321693969841388</v>
      </c>
      <c r="AB394" s="16" t="n">
        <f aca="false">S394*L394</f>
        <v>0.0109117904044536</v>
      </c>
      <c r="AC394" s="16" t="n">
        <f aca="false">Z394-W394</f>
        <v>-0.00724297571333624</v>
      </c>
      <c r="AD394" s="16" t="n">
        <f aca="false">AA394-W394</f>
        <v>-0.00116155668643198</v>
      </c>
      <c r="AE394" s="16" t="n">
        <f aca="false">AB394-W394</f>
        <v>-0.0224191632661172</v>
      </c>
      <c r="AF394" s="16" t="n">
        <f aca="false">AE394-X394</f>
        <v>-0.0313340597809442</v>
      </c>
      <c r="AG394" s="16" t="n">
        <f aca="false">AF394-p_spc_lo*Y394/1000</f>
        <v>-0.0337751225845731</v>
      </c>
      <c r="AH394" s="16" t="n">
        <f aca="false">AF394-p_spc_hi*Y394/1000</f>
        <v>-0.0362161853882019</v>
      </c>
      <c r="AI394" s="16" t="n">
        <f aca="false">Q394*J394</f>
        <v>0.108699908155144</v>
      </c>
      <c r="AJ394" s="16" t="n">
        <f aca="false">S394*J394</f>
        <v>0.0454657933518902</v>
      </c>
      <c r="AK394" s="16" t="n">
        <f aca="false">T394*J394</f>
        <v>0.138878973627378</v>
      </c>
      <c r="AL394" s="16" t="n">
        <f aca="false">U394*J394</f>
        <v>0.0371454021451126</v>
      </c>
      <c r="AM394" s="16" t="n">
        <f aca="false">AI394-AJ394</f>
        <v>0.0632341148032538</v>
      </c>
      <c r="AN394" s="16" t="n">
        <f aca="false">J394*Country_Data!$EB$60</f>
        <v>0.667191986119044</v>
      </c>
      <c r="AO394" s="16" t="n">
        <f aca="false">L394*Country_Data!$EB$60</f>
        <v>0.160126076668571</v>
      </c>
    </row>
    <row r="395" customFormat="false" ht="15" hidden="false" customHeight="false" outlineLevel="0" collapsed="false">
      <c r="A395" s="14" t="str">
        <f aca="false">Country_Data!$A$60</f>
        <v>HUN</v>
      </c>
      <c r="B395" s="14" t="str">
        <f aca="false">Country_Data!$E$60</f>
        <v>EMDC</v>
      </c>
      <c r="C395" s="35" t="s">
        <v>484</v>
      </c>
      <c r="D395" s="37" t="n">
        <f aca="false">IF(Country_Data!$CD$60="","",Country_Data!$CD$60)</f>
        <v>0.697110514079112</v>
      </c>
      <c r="E395" s="40" t="n">
        <f aca="false">Country_Data!$BW$60</f>
        <v>446.611</v>
      </c>
      <c r="F395" s="41" t="n">
        <f aca="false">Country_Data!$BX$60</f>
        <v>0.499042791153823</v>
      </c>
      <c r="G395" s="42" t="n">
        <f aca="false">IF(D395="","",D395/SUMIFS($D$5:$D$1369,$B$5:$B$1369,B395,$C$5:$C$1369,C395))</f>
        <v>0.00389291977856294</v>
      </c>
      <c r="H395" s="42" t="n">
        <f aca="false">E395/SUMIFS($E$5:$E$1369,$B$5:$B$1369,B395,$C$5:$C$1369,C395)</f>
        <v>0.00553202705894783</v>
      </c>
      <c r="I395" s="43" t="n">
        <f aca="false">IF(G395="",H395,p_beta_alloc*G395+(1-p_beta_alloc)*H395)*F395^p_phi</f>
        <v>0.00332903075023795</v>
      </c>
      <c r="J395" s="16" t="n">
        <f aca="false">INDEX(Sector_Params!$C$21:$E$21,MATCH(B395,Sector_Params!$C$15:$E$15,0))*I395/SUMIFS($I$5:$I$1369,$B$5:$B$1369,B395,$C$5:$C$1369,C395)</f>
        <v>0.738345151700964</v>
      </c>
      <c r="K395" s="28" t="n">
        <f aca="false">INDEX(Sector_Params!$F$10:$H$10,MATCH(B395,Sector_Params!$C$15:$E$15,0))</f>
        <v>0.24</v>
      </c>
      <c r="L395" s="16" t="n">
        <f aca="false">J395*K395</f>
        <v>0.177202836408231</v>
      </c>
      <c r="M395" s="44" t="n">
        <f aca="false">Country_Data!$DW$60+Sector_Params!$E$10</f>
        <v>0.1843</v>
      </c>
      <c r="N395" s="44" t="n">
        <f aca="false">Country_Data!$DX$60+Sector_Params!$E$10</f>
        <v>0.2293</v>
      </c>
      <c r="O395" s="11" t="n">
        <f aca="false">IF(p_use_ibrd=1,p_r_ibrd,p_r_wb)</f>
        <v>0.06</v>
      </c>
      <c r="P395" s="45" t="n">
        <f aca="false">Sector_Params!$D$10</f>
        <v>20</v>
      </c>
      <c r="Q395" s="46" t="n">
        <f aca="false">M395/(1-(1+M395)^-P395)</f>
        <v>0.190775726998384</v>
      </c>
      <c r="R395" s="46" t="n">
        <f aca="false">N395/(1-(1+N395)^-P395)</f>
        <v>0.233052284260003</v>
      </c>
      <c r="S395" s="46" t="n">
        <f aca="false">O395/(1-(1+O395)^-P395)</f>
        <v>0.0871845569768514</v>
      </c>
      <c r="T395" s="37" t="n">
        <f aca="false">0*Sector_Params!$I$10</f>
        <v>0</v>
      </c>
      <c r="U395" s="37" t="n">
        <f aca="false">0*Sector_Params!$J$10</f>
        <v>0</v>
      </c>
      <c r="V395" s="37" t="n">
        <f aca="false">1000*p_r_wb/(1-(1+p_r_wb)^-Sector_Params!$D$10)/p_cpt_fuel</f>
        <v>0.871845569768514</v>
      </c>
      <c r="W395" s="16" t="n">
        <f aca="false">T395*L395</f>
        <v>0</v>
      </c>
      <c r="X395" s="16" t="n">
        <f aca="false">U395*L395</f>
        <v>0</v>
      </c>
      <c r="Y395" s="16" t="n">
        <f aca="false">V395*L395</f>
        <v>0.154493507872931</v>
      </c>
      <c r="Z395" s="16" t="n">
        <f aca="false">Q395*L395</f>
        <v>0.033805999941956</v>
      </c>
      <c r="AA395" s="16" t="n">
        <f aca="false">R395*L395</f>
        <v>0.04129752580229</v>
      </c>
      <c r="AB395" s="16" t="n">
        <f aca="false">S395*L395</f>
        <v>0.0154493507872931</v>
      </c>
      <c r="AC395" s="16" t="n">
        <f aca="false">Z395-W395</f>
        <v>0.033805999941956</v>
      </c>
      <c r="AD395" s="16" t="n">
        <f aca="false">AA395-W395</f>
        <v>0.04129752580229</v>
      </c>
      <c r="AE395" s="16" t="n">
        <f aca="false">AB395-W395</f>
        <v>0.0154493507872931</v>
      </c>
      <c r="AF395" s="16" t="n">
        <f aca="false">AE395-X395</f>
        <v>0.0154493507872931</v>
      </c>
      <c r="AG395" s="16" t="n">
        <f aca="false">AF395-p_spc_lo*Y395/1000</f>
        <v>0.00772467539364656</v>
      </c>
      <c r="AH395" s="16" t="n">
        <f aca="false">AF395-p_spc_hi*Y395/1000</f>
        <v>0</v>
      </c>
      <c r="AI395" s="16" t="n">
        <f aca="false">Q395*J395</f>
        <v>0.140858333091483</v>
      </c>
      <c r="AJ395" s="16" t="n">
        <f aca="false">S395*J395</f>
        <v>0.0643722949470547</v>
      </c>
      <c r="AK395" s="16" t="n">
        <f aca="false">T395*J395</f>
        <v>0</v>
      </c>
      <c r="AL395" s="16" t="n">
        <f aca="false">U395*J395</f>
        <v>0</v>
      </c>
      <c r="AM395" s="16" t="n">
        <f aca="false">AI395-AJ395</f>
        <v>0.0764860381444285</v>
      </c>
      <c r="AN395" s="16" t="n">
        <f aca="false">J395*Country_Data!$EB$60</f>
        <v>0.847579776884121</v>
      </c>
      <c r="AO395" s="16" t="n">
        <f aca="false">L395*Country_Data!$EB$60</f>
        <v>0.203419146452189</v>
      </c>
    </row>
    <row r="396" customFormat="false" ht="15" hidden="false" customHeight="false" outlineLevel="0" collapsed="false">
      <c r="A396" s="14" t="str">
        <f aca="false">Country_Data!$A$60</f>
        <v>HUN</v>
      </c>
      <c r="B396" s="14" t="str">
        <f aca="false">Country_Data!$E$60</f>
        <v>EMDC</v>
      </c>
      <c r="C396" s="35" t="s">
        <v>488</v>
      </c>
      <c r="D396" s="37" t="n">
        <f aca="false">IF(Country_Data!$CE$60="","",Country_Data!$CE$60)</f>
        <v>16.365</v>
      </c>
      <c r="E396" s="40" t="n">
        <f aca="false">Country_Data!$BW$60</f>
        <v>446.611</v>
      </c>
      <c r="F396" s="41" t="n">
        <f aca="false">Country_Data!$BX$60</f>
        <v>0.499042791153823</v>
      </c>
      <c r="G396" s="42" t="n">
        <f aca="false">IF(D396="","",D396/SUMIFS($D$5:$D$1369,$B$5:$B$1369,B396,$C$5:$C$1369,C396))</f>
        <v>0.00134094169914889</v>
      </c>
      <c r="H396" s="42" t="n">
        <f aca="false">E396/SUMIFS($E$5:$E$1369,$B$5:$B$1369,B396,$C$5:$C$1369,C396)</f>
        <v>0.00553202705894783</v>
      </c>
      <c r="I396" s="43" t="n">
        <f aca="false">IF(G396="",H396,p_beta_alloc*G396+(1-p_beta_alloc)*H396)*F396^p_phi</f>
        <v>0.00242763431301981</v>
      </c>
      <c r="J396" s="16" t="n">
        <f aca="false">INDEX(Sector_Params!$C$22:$E$22,MATCH(B396,Sector_Params!$C$15:$E$15,0))*I396/SUMIFS($I$5:$I$1369,$B$5:$B$1369,B396,$C$5:$C$1369,C396)</f>
        <v>1.46339832741637</v>
      </c>
      <c r="K396" s="28" t="n">
        <f aca="false">INDEX(Sector_Params!$F$11:$H$11,MATCH(B396,Sector_Params!$C$15:$E$15,0))</f>
        <v>0.24</v>
      </c>
      <c r="L396" s="16" t="n">
        <f aca="false">J396*K396</f>
        <v>0.351215598579928</v>
      </c>
      <c r="M396" s="44" t="n">
        <f aca="false">Country_Data!$DW$60+Sector_Params!$E$11</f>
        <v>0.1843</v>
      </c>
      <c r="N396" s="44" t="n">
        <f aca="false">Country_Data!$DX$60+Sector_Params!$E$11</f>
        <v>0.2293</v>
      </c>
      <c r="O396" s="11" t="n">
        <f aca="false">IF(p_use_ibrd=1,p_r_ibrd,p_r_wb)</f>
        <v>0.06</v>
      </c>
      <c r="P396" s="45" t="n">
        <f aca="false">Sector_Params!$D$11</f>
        <v>30</v>
      </c>
      <c r="Q396" s="46" t="n">
        <f aca="false">M396/(1-(1+M396)^-P396)</f>
        <v>0.185459839784922</v>
      </c>
      <c r="R396" s="46" t="n">
        <f aca="false">N396/(1-(1+N396)^-P396)</f>
        <v>0.22976941370751</v>
      </c>
      <c r="S396" s="46" t="n">
        <f aca="false">O396/(1-(1+O396)^-P396)</f>
        <v>0.0726489114900472</v>
      </c>
      <c r="T396" s="37" t="n">
        <f aca="false">0*Sector_Params!$I$11</f>
        <v>0</v>
      </c>
      <c r="U396" s="37" t="n">
        <f aca="false">p_c*Sector_Params!$J$11</f>
        <v>0.129</v>
      </c>
      <c r="V396" s="37" t="n">
        <f aca="false">1000*p_r_wb/(1-(1+p_r_wb)^-Sector_Params!$D$11)/p_cpt_afolu</f>
        <v>1.45297822980094</v>
      </c>
      <c r="W396" s="16" t="n">
        <f aca="false">T396*L396</f>
        <v>0</v>
      </c>
      <c r="X396" s="16" t="n">
        <f aca="false">U396*L396</f>
        <v>0.0453068122168107</v>
      </c>
      <c r="Y396" s="16" t="n">
        <f aca="false">V396*L396</f>
        <v>0.510308618703142</v>
      </c>
      <c r="Z396" s="16" t="n">
        <f aca="false">Q396*L396</f>
        <v>0.0651363886425989</v>
      </c>
      <c r="AA396" s="16" t="n">
        <f aca="false">R396*L396</f>
        <v>0.0806986021706421</v>
      </c>
      <c r="AB396" s="16" t="n">
        <f aca="false">S396*L396</f>
        <v>0.0255154309351571</v>
      </c>
      <c r="AC396" s="16" t="n">
        <f aca="false">Z396-W396</f>
        <v>0.0651363886425989</v>
      </c>
      <c r="AD396" s="16" t="n">
        <f aca="false">AA396-W396</f>
        <v>0.0806986021706421</v>
      </c>
      <c r="AE396" s="16" t="n">
        <f aca="false">AB396-W396</f>
        <v>0.0255154309351571</v>
      </c>
      <c r="AF396" s="16" t="n">
        <f aca="false">AE396-X396</f>
        <v>-0.0197913812816536</v>
      </c>
      <c r="AG396" s="16" t="n">
        <f aca="false">AF396-p_spc_lo*Y396/1000</f>
        <v>-0.0453068122168107</v>
      </c>
      <c r="AH396" s="16" t="n">
        <f aca="false">AF396-p_spc_hi*Y396/1000</f>
        <v>-0.0708222431519678</v>
      </c>
      <c r="AI396" s="16" t="n">
        <f aca="false">Q396*J396</f>
        <v>0.271401619344162</v>
      </c>
      <c r="AJ396" s="16" t="n">
        <f aca="false">S396*J396</f>
        <v>0.106314295563155</v>
      </c>
      <c r="AK396" s="16" t="n">
        <f aca="false">T396*J396</f>
        <v>0</v>
      </c>
      <c r="AL396" s="16" t="n">
        <f aca="false">U396*J396</f>
        <v>0.188778384236711</v>
      </c>
      <c r="AM396" s="16" t="n">
        <f aca="false">AI396-AJ396</f>
        <v>0.165087323781008</v>
      </c>
      <c r="AN396" s="16" t="n">
        <f aca="false">J396*Country_Data!$EB$60</f>
        <v>1.67990109366427</v>
      </c>
      <c r="AO396" s="16" t="n">
        <f aca="false">L396*Country_Data!$EB$60</f>
        <v>0.403176262479424</v>
      </c>
    </row>
    <row r="397" customFormat="false" ht="15" hidden="false" customHeight="false" outlineLevel="0" collapsed="false">
      <c r="A397" s="14" t="str">
        <f aca="false">Country_Data!$A$61</f>
        <v>QAT</v>
      </c>
      <c r="B397" s="14" t="str">
        <f aca="false">Country_Data!$E$61</f>
        <v>EMDC</v>
      </c>
      <c r="C397" s="35" t="s">
        <v>466</v>
      </c>
      <c r="D397" s="37" t="n">
        <f aca="false">IF(Country_Data!$BZ$61="","",Country_Data!$BZ$61)</f>
        <v>49.1399691107097</v>
      </c>
      <c r="E397" s="40" t="n">
        <f aca="false">Country_Data!$BW$61</f>
        <v>360.741</v>
      </c>
      <c r="F397" s="41" t="n">
        <f aca="false">Country_Data!$BX$61</f>
        <v>0.607535600333758</v>
      </c>
      <c r="G397" s="42" t="n">
        <f aca="false">IF(D397="","",D397/SUMIFS($D$5:$D$1369,$B$5:$B$1369,B397,$C$5:$C$1369,C397))</f>
        <v>0.00560992380860062</v>
      </c>
      <c r="H397" s="42" t="n">
        <f aca="false">E397/SUMIFS($E$5:$E$1369,$B$5:$B$1369,B397,$C$5:$C$1369,C397)</f>
        <v>0.0044683829401244</v>
      </c>
      <c r="I397" s="43" t="n">
        <f aca="false">IF(G397="",H397,p_beta_alloc*G397+(1-p_beta_alloc)*H397)*F397^p_phi</f>
        <v>0.0039277464327955</v>
      </c>
      <c r="J397" s="16" t="n">
        <f aca="false">INDEX(Sector_Params!$C$16:$E$16,MATCH(B397,Sector_Params!$C$15:$E$15,0))*I397/SUMIFS($I$5:$I$1369,$B$5:$B$1369,B397,$C$5:$C$1369,C397)</f>
        <v>3.7990159267571</v>
      </c>
      <c r="K397" s="28" t="n">
        <f aca="false">INDEX(Sector_Params!$F$5:$H$5,MATCH(B397,Sector_Params!$C$15:$E$15,0))</f>
        <v>0.24</v>
      </c>
      <c r="L397" s="16" t="n">
        <f aca="false">J397*K397</f>
        <v>0.911763822421704</v>
      </c>
      <c r="M397" s="44" t="n">
        <f aca="false">Country_Data!$DW$61+Sector_Params!$E$5</f>
        <v>0.105</v>
      </c>
      <c r="N397" s="44" t="n">
        <f aca="false">Country_Data!$DX$61+Sector_Params!$E$5</f>
        <v>0.15</v>
      </c>
      <c r="O397" s="11" t="n">
        <f aca="false">IF(p_use_ibrd=1,p_r_ibrd,p_r_wb)</f>
        <v>0.06</v>
      </c>
      <c r="P397" s="45" t="n">
        <f aca="false">Sector_Params!$D$5</f>
        <v>25</v>
      </c>
      <c r="Q397" s="46" t="n">
        <f aca="false">M397/(1-(1+M397)^-P397)</f>
        <v>0.114429319813103</v>
      </c>
      <c r="R397" s="46" t="n">
        <f aca="false">N397/(1-(1+N397)^-P397)</f>
        <v>0.154699402320206</v>
      </c>
      <c r="S397" s="46" t="n">
        <f aca="false">O397/(1-(1+O397)^-P397)</f>
        <v>0.078226718212274</v>
      </c>
      <c r="T397" s="37" t="n">
        <f aca="false">IF(AND(p_eng=1,ISNUMBER(Country_Data!$CZ$61)),Country_Data!$CZ$61,Country_Data!$CM$61)*Sector_Params!$I$5</f>
        <v>0.0195679714237782</v>
      </c>
      <c r="U397" s="37" t="n">
        <f aca="false">IF(AND(p_eng=1,ISNUMBER(Country_Data!$DA$61)),Country_Data!$DA$61,Country_Data!$CN$61)*Sector_Params!$J$5</f>
        <v>-4.59691048559736E-005</v>
      </c>
      <c r="V397" s="37" t="n">
        <f aca="false">IF(AND(p_eng=1,ISNUMBER(Country_Data!$DB$61)),Country_Data!$DB$61,p_a)</f>
        <v>0.929656374340344</v>
      </c>
      <c r="W397" s="16" t="n">
        <f aca="false">T397*L397</f>
        <v>0.0178413684223827</v>
      </c>
      <c r="X397" s="16" t="n">
        <f aca="false">U397*L397</f>
        <v>-4.19129667567866E-005</v>
      </c>
      <c r="Y397" s="16" t="n">
        <f aca="false">V397*L397</f>
        <v>0.847627049407255</v>
      </c>
      <c r="Z397" s="16" t="n">
        <f aca="false">Q397*L397</f>
        <v>0.104332514029911</v>
      </c>
      <c r="AA397" s="16" t="n">
        <f aca="false">R397*L397</f>
        <v>0.141049318385825</v>
      </c>
      <c r="AB397" s="16" t="n">
        <f aca="false">S397*L397</f>
        <v>0.0713242916127285</v>
      </c>
      <c r="AC397" s="16" t="n">
        <f aca="false">Z397-W397</f>
        <v>0.086491145607528</v>
      </c>
      <c r="AD397" s="16" t="n">
        <f aca="false">AA397-W397</f>
        <v>0.123207949963442</v>
      </c>
      <c r="AE397" s="16" t="n">
        <f aca="false">AB397-W397</f>
        <v>0.0534829231903457</v>
      </c>
      <c r="AF397" s="16" t="n">
        <f aca="false">AE397-X397</f>
        <v>0.0535248361571025</v>
      </c>
      <c r="AG397" s="16" t="n">
        <f aca="false">AF397-p_spc_lo*Y397/1000</f>
        <v>0.0111434836867398</v>
      </c>
      <c r="AH397" s="16" t="n">
        <f aca="false">AF397-p_spc_hi*Y397/1000</f>
        <v>-0.031237868783623</v>
      </c>
      <c r="AI397" s="16" t="n">
        <f aca="false">Q397*J397</f>
        <v>0.434718808457961</v>
      </c>
      <c r="AJ397" s="16" t="n">
        <f aca="false">S397*J397</f>
        <v>0.297184548386369</v>
      </c>
      <c r="AK397" s="16" t="n">
        <f aca="false">T397*J397</f>
        <v>0.0743390350932613</v>
      </c>
      <c r="AL397" s="16" t="n">
        <f aca="false">U397*J397</f>
        <v>-0.000174637361486611</v>
      </c>
      <c r="AM397" s="16" t="n">
        <f aca="false">AI397-AJ397</f>
        <v>0.137534260071593</v>
      </c>
      <c r="AN397" s="16" t="n">
        <f aca="false">J397*Country_Data!$EB$61</f>
        <v>4.36106211866089</v>
      </c>
      <c r="AO397" s="16" t="n">
        <f aca="false">L397*Country_Data!$EB$61</f>
        <v>1.04665490847861</v>
      </c>
    </row>
    <row r="398" customFormat="false" ht="15" hidden="false" customHeight="false" outlineLevel="0" collapsed="false">
      <c r="A398" s="14" t="str">
        <f aca="false">Country_Data!$A$61</f>
        <v>QAT</v>
      </c>
      <c r="B398" s="14" t="str">
        <f aca="false">Country_Data!$E$61</f>
        <v>EMDC</v>
      </c>
      <c r="C398" s="35" t="s">
        <v>470</v>
      </c>
      <c r="D398" s="37" t="n">
        <f aca="false">IF(Country_Data!$BZ$61="","",Country_Data!$BZ$61)</f>
        <v>49.1399691107097</v>
      </c>
      <c r="E398" s="40" t="n">
        <f aca="false">Country_Data!$BW$61</f>
        <v>360.741</v>
      </c>
      <c r="F398" s="41" t="n">
        <f aca="false">Country_Data!$BX$61</f>
        <v>0.607535600333758</v>
      </c>
      <c r="G398" s="42" t="n">
        <f aca="false">IF(D398="","",D398/SUMIFS($D$5:$D$1369,$B$5:$B$1369,B398,$C$5:$C$1369,C398))</f>
        <v>0.00560992380860062</v>
      </c>
      <c r="H398" s="42" t="n">
        <f aca="false">E398/SUMIFS($E$5:$E$1369,$B$5:$B$1369,B398,$C$5:$C$1369,C398)</f>
        <v>0.0044683829401244</v>
      </c>
      <c r="I398" s="43" t="n">
        <f aca="false">IF(G398="",H398,p_beta_alloc*G398+(1-p_beta_alloc)*H398)*F398^p_phi</f>
        <v>0.0039277464327955</v>
      </c>
      <c r="J398" s="16" t="n">
        <f aca="false">INDEX(Sector_Params!$C$17:$E$17,MATCH(B398,Sector_Params!$C$15:$E$15,0))*I398/SUMIFS($I$5:$I$1369,$B$5:$B$1369,B398,$C$5:$C$1369,C398)</f>
        <v>2.60503949263344</v>
      </c>
      <c r="K398" s="28" t="n">
        <f aca="false">INDEX(Sector_Params!$F$6:$H$6,MATCH(B398,Sector_Params!$C$15:$E$15,0))</f>
        <v>0.24</v>
      </c>
      <c r="L398" s="16" t="n">
        <f aca="false">J398*K398</f>
        <v>0.625209478232026</v>
      </c>
      <c r="M398" s="44" t="n">
        <f aca="false">Country_Data!$DW$61+Sector_Params!$E$6</f>
        <v>0.105</v>
      </c>
      <c r="N398" s="44" t="n">
        <f aca="false">Country_Data!$DX$61+Sector_Params!$E$6</f>
        <v>0.15</v>
      </c>
      <c r="O398" s="11" t="n">
        <f aca="false">IF(p_use_ibrd=1,p_r_ibrd,p_r_wb)</f>
        <v>0.06</v>
      </c>
      <c r="P398" s="45" t="n">
        <f aca="false">Sector_Params!$D$6</f>
        <v>40</v>
      </c>
      <c r="Q398" s="46" t="n">
        <f aca="false">M398/(1-(1+M398)^-P398)</f>
        <v>0.10697140835497</v>
      </c>
      <c r="R398" s="46" t="n">
        <f aca="false">N398/(1-(1+N398)^-P398)</f>
        <v>0.150562085013545</v>
      </c>
      <c r="S398" s="46" t="n">
        <f aca="false">O398/(1-(1+O398)^-P398)</f>
        <v>0.0664615359206755</v>
      </c>
      <c r="T398" s="37" t="n">
        <f aca="false">p_grid_credit*IF(AND(p_eng=1,ISNUMBER(Country_Data!$CZ$61)),Country_Data!$CZ$61,Country_Data!$CM$61)*Sector_Params!$I$6</f>
        <v>0</v>
      </c>
      <c r="U398" s="37" t="n">
        <f aca="false">p_grid_credit*IF(AND(p_eng=1,ISNUMBER(Country_Data!$DA$61)),Country_Data!$DA$61,Country_Data!$CN$61)*Sector_Params!$J$6</f>
        <v>-0</v>
      </c>
      <c r="V398" s="37" t="n">
        <f aca="false">p_grid_credit*IF(AND(p_eng=1,ISNUMBER(Country_Data!$DB$61)),Country_Data!$DB$61,p_a)</f>
        <v>0</v>
      </c>
      <c r="W398" s="16" t="n">
        <f aca="false">T398*L398</f>
        <v>0</v>
      </c>
      <c r="X398" s="16" t="n">
        <f aca="false">U398*L398</f>
        <v>-0</v>
      </c>
      <c r="Y398" s="16" t="n">
        <f aca="false">V398*L398</f>
        <v>0</v>
      </c>
      <c r="Z398" s="16" t="n">
        <f aca="false">Q398*L398</f>
        <v>0.066879538403356</v>
      </c>
      <c r="AA398" s="16" t="n">
        <f aca="false">R398*L398</f>
        <v>0.0941328426128444</v>
      </c>
      <c r="AB398" s="16" t="n">
        <f aca="false">S398*L398</f>
        <v>0.0415523821954646</v>
      </c>
      <c r="AC398" s="16" t="n">
        <f aca="false">Z398-W398</f>
        <v>0.066879538403356</v>
      </c>
      <c r="AD398" s="16" t="n">
        <f aca="false">AA398-W398</f>
        <v>0.0941328426128444</v>
      </c>
      <c r="AE398" s="16" t="n">
        <f aca="false">AB398-W398</f>
        <v>0.0415523821954646</v>
      </c>
      <c r="AF398" s="16" t="n">
        <f aca="false">AE398-X398</f>
        <v>0.0415523821954646</v>
      </c>
      <c r="AG398" s="16" t="n">
        <f aca="false">AF398-p_spc_lo*Y398/1000</f>
        <v>0.0415523821954646</v>
      </c>
      <c r="AH398" s="16" t="n">
        <f aca="false">AF398-p_spc_hi*Y398/1000</f>
        <v>0.0415523821954646</v>
      </c>
      <c r="AI398" s="16" t="n">
        <f aca="false">Q398*J398</f>
        <v>0.278664743347317</v>
      </c>
      <c r="AJ398" s="16" t="n">
        <f aca="false">S398*J398</f>
        <v>0.173134925814436</v>
      </c>
      <c r="AK398" s="16" t="n">
        <f aca="false">T398*J398</f>
        <v>0</v>
      </c>
      <c r="AL398" s="16" t="n">
        <f aca="false">U398*J398</f>
        <v>-0</v>
      </c>
      <c r="AM398" s="16" t="n">
        <f aca="false">AI398-AJ398</f>
        <v>0.105529817532881</v>
      </c>
      <c r="AN398" s="16" t="n">
        <f aca="false">J398*Country_Data!$EB$61</f>
        <v>2.99044259565318</v>
      </c>
      <c r="AO398" s="16" t="n">
        <f aca="false">L398*Country_Data!$EB$61</f>
        <v>0.717706222956764</v>
      </c>
    </row>
    <row r="399" customFormat="false" ht="15" hidden="false" customHeight="false" outlineLevel="0" collapsed="false">
      <c r="A399" s="14" t="str">
        <f aca="false">Country_Data!$A$61</f>
        <v>QAT</v>
      </c>
      <c r="B399" s="14" t="str">
        <f aca="false">Country_Data!$E$61</f>
        <v>EMDC</v>
      </c>
      <c r="C399" s="35" t="s">
        <v>473</v>
      </c>
      <c r="D399" s="37" t="n">
        <f aca="false">IF(Country_Data!$CA$61="","",Country_Data!$CA$61)</f>
        <v>0.172360881563064</v>
      </c>
      <c r="E399" s="40" t="n">
        <f aca="false">Country_Data!$BW$61</f>
        <v>360.741</v>
      </c>
      <c r="F399" s="41" t="n">
        <f aca="false">Country_Data!$BX$61</f>
        <v>0.607535600333758</v>
      </c>
      <c r="G399" s="42" t="n">
        <f aca="false">IF(D399="","",D399/SUMIFS($D$5:$D$1369,$B$5:$B$1369,B399,$C$5:$C$1369,C399))</f>
        <v>0.00398193739865369</v>
      </c>
      <c r="H399" s="42" t="n">
        <f aca="false">E399/SUMIFS($E$5:$E$1369,$B$5:$B$1369,B399,$C$5:$C$1369,C399)</f>
        <v>0.0044683829401244</v>
      </c>
      <c r="I399" s="43" t="n">
        <f aca="false">IF(G399="",H399,p_beta_alloc*G399+(1-p_beta_alloc)*H399)*F399^p_phi</f>
        <v>0.00329328292878303</v>
      </c>
      <c r="J399" s="16" t="n">
        <f aca="false">INDEX(Sector_Params!$C$18:$E$18,MATCH(B399,Sector_Params!$C$15:$E$15,0))*I399/SUMIFS($I$5:$I$1369,$B$5:$B$1369,B399,$C$5:$C$1369,C399)</f>
        <v>1.34852143626344</v>
      </c>
      <c r="K399" s="28" t="n">
        <f aca="false">INDEX(Sector_Params!$F$7:$H$7,MATCH(B399,Sector_Params!$C$15:$E$15,0))</f>
        <v>0.24</v>
      </c>
      <c r="L399" s="16" t="n">
        <f aca="false">J399*K399</f>
        <v>0.323645144703226</v>
      </c>
      <c r="M399" s="44" t="n">
        <f aca="false">Country_Data!$DW$61+Sector_Params!$E$7</f>
        <v>0.105</v>
      </c>
      <c r="N399" s="44" t="n">
        <f aca="false">Country_Data!$DX$61+Sector_Params!$E$7</f>
        <v>0.15</v>
      </c>
      <c r="O399" s="11" t="n">
        <f aca="false">IF(p_use_ibrd=1,p_r_ibrd,p_r_wb)</f>
        <v>0.06</v>
      </c>
      <c r="P399" s="45" t="n">
        <f aca="false">Sector_Params!$D$7</f>
        <v>12</v>
      </c>
      <c r="Q399" s="46" t="n">
        <f aca="false">M399/(1-(1+M399)^-P399)</f>
        <v>0.150376745634766</v>
      </c>
      <c r="R399" s="46" t="n">
        <f aca="false">N399/(1-(1+N399)^-P399)</f>
        <v>0.18448077613084</v>
      </c>
      <c r="S399" s="46" t="n">
        <f aca="false">O399/(1-(1+O399)^-P399)</f>
        <v>0.119277029380664</v>
      </c>
      <c r="T399" s="37" t="n">
        <f aca="false">IF(AND(p_eng=1,ISNUMBER(Country_Data!$DE$61)),Country_Data!$DE$61,Country_Data!$CM$61)*Sector_Params!$I$7</f>
        <v>0.15642</v>
      </c>
      <c r="U399" s="37" t="n">
        <f aca="false">IF(AND(p_eng=1,ISNUMBER(Country_Data!$DF$61)),Country_Data!$DF$61,Country_Data!$CN$61)*Sector_Params!$J$7</f>
        <v>0.0036486</v>
      </c>
      <c r="V399" s="37" t="n">
        <f aca="false">IF(AND(p_eng=1,ISNUMBER(Country_Data!$DG$61)),Country_Data!$DG$61,p_a)</f>
        <v>0.315118566110499</v>
      </c>
      <c r="W399" s="16" t="n">
        <f aca="false">T399*L399</f>
        <v>0.0506245735344787</v>
      </c>
      <c r="X399" s="16" t="n">
        <f aca="false">U399*L399</f>
        <v>0.00118085167496419</v>
      </c>
      <c r="Y399" s="16" t="n">
        <f aca="false">V399*L399</f>
        <v>0.101986593927506</v>
      </c>
      <c r="Z399" s="16" t="n">
        <f aca="false">Q399*L399</f>
        <v>0.048668703600964</v>
      </c>
      <c r="AA399" s="16" t="n">
        <f aca="false">R399*L399</f>
        <v>0.0597063074858291</v>
      </c>
      <c r="AB399" s="16" t="n">
        <f aca="false">S399*L399</f>
        <v>0.0386034314336758</v>
      </c>
      <c r="AC399" s="16" t="n">
        <f aca="false">Z399-W399</f>
        <v>-0.00195586993351465</v>
      </c>
      <c r="AD399" s="16" t="n">
        <f aca="false">AA399-W399</f>
        <v>0.00908173395135041</v>
      </c>
      <c r="AE399" s="16" t="n">
        <f aca="false">AB399-W399</f>
        <v>-0.0120211421008028</v>
      </c>
      <c r="AF399" s="16" t="n">
        <f aca="false">AE399-X399</f>
        <v>-0.013201993775767</v>
      </c>
      <c r="AG399" s="16" t="n">
        <f aca="false">AF399-p_spc_lo*Y399/1000</f>
        <v>-0.0183013234721423</v>
      </c>
      <c r="AH399" s="16" t="n">
        <f aca="false">AF399-p_spc_hi*Y399/1000</f>
        <v>-0.0234006531685176</v>
      </c>
      <c r="AI399" s="16" t="n">
        <f aca="false">Q399*J399</f>
        <v>0.202786265004017</v>
      </c>
      <c r="AJ399" s="16" t="n">
        <f aca="false">S399*J399</f>
        <v>0.160847630973649</v>
      </c>
      <c r="AK399" s="16" t="n">
        <f aca="false">T399*J399</f>
        <v>0.210935723060328</v>
      </c>
      <c r="AL399" s="16" t="n">
        <f aca="false">U399*J399</f>
        <v>0.0049202153123508</v>
      </c>
      <c r="AM399" s="16" t="n">
        <f aca="false">AI399-AJ399</f>
        <v>0.0419386340303674</v>
      </c>
      <c r="AN399" s="16" t="n">
        <f aca="false">J399*Country_Data!$EB$61</f>
        <v>1.54802871724488</v>
      </c>
      <c r="AO399" s="16" t="n">
        <f aca="false">L399*Country_Data!$EB$61</f>
        <v>0.371526892138772</v>
      </c>
    </row>
    <row r="400" customFormat="false" ht="15" hidden="false" customHeight="false" outlineLevel="0" collapsed="false">
      <c r="A400" s="14" t="str">
        <f aca="false">Country_Data!$A$61</f>
        <v>QAT</v>
      </c>
      <c r="B400" s="14" t="str">
        <f aca="false">Country_Data!$E$61</f>
        <v>EMDC</v>
      </c>
      <c r="C400" s="35" t="s">
        <v>477</v>
      </c>
      <c r="D400" s="37" t="n">
        <f aca="false">IF(Country_Data!$CB$61="","",Country_Data!$CB$61)</f>
        <v>0.0933157586109942</v>
      </c>
      <c r="E400" s="40" t="n">
        <f aca="false">Country_Data!$BW$61</f>
        <v>360.741</v>
      </c>
      <c r="F400" s="41" t="n">
        <f aca="false">Country_Data!$BX$61</f>
        <v>0.607535600333758</v>
      </c>
      <c r="G400" s="42" t="n">
        <f aca="false">IF(D400="","",D400/SUMIFS($D$5:$D$1369,$B$5:$B$1369,B400,$C$5:$C$1369,C400))</f>
        <v>0.00294253001551915</v>
      </c>
      <c r="H400" s="42" t="n">
        <f aca="false">E400/SUMIFS($E$5:$E$1369,$B$5:$B$1369,B400,$C$5:$C$1369,C400)</f>
        <v>0.0044683829401244</v>
      </c>
      <c r="I400" s="43" t="n">
        <f aca="false">IF(G400="",H400,p_beta_alloc*G400+(1-p_beta_alloc)*H400)*F400^p_phi</f>
        <v>0.00288820212075499</v>
      </c>
      <c r="J400" s="16" t="n">
        <f aca="false">INDEX(Sector_Params!$C$19:$E$19,MATCH(B400,Sector_Params!$C$15:$E$15,0))*I400/SUMIFS($I$5:$I$1369,$B$5:$B$1369,B400,$C$5:$C$1369,C400)</f>
        <v>0.929604233876616</v>
      </c>
      <c r="K400" s="28" t="n">
        <f aca="false">INDEX(Sector_Params!$F$8:$H$8,MATCH(B400,Sector_Params!$C$15:$E$15,0))</f>
        <v>0.24</v>
      </c>
      <c r="L400" s="16" t="n">
        <f aca="false">J400*K400</f>
        <v>0.223105016130388</v>
      </c>
      <c r="M400" s="44" t="n">
        <f aca="false">Country_Data!$DW$61+Sector_Params!$E$8</f>
        <v>0.105</v>
      </c>
      <c r="N400" s="44" t="n">
        <f aca="false">Country_Data!$DX$61+Sector_Params!$E$8</f>
        <v>0.15</v>
      </c>
      <c r="O400" s="11" t="n">
        <f aca="false">IF(p_use_ibrd=1,p_r_ibrd,p_r_wb)</f>
        <v>0.06</v>
      </c>
      <c r="P400" s="45" t="n">
        <f aca="false">Sector_Params!$D$8</f>
        <v>25</v>
      </c>
      <c r="Q400" s="46" t="n">
        <f aca="false">M400/(1-(1+M400)^-P400)</f>
        <v>0.114429319813103</v>
      </c>
      <c r="R400" s="46" t="n">
        <f aca="false">N400/(1-(1+N400)^-P400)</f>
        <v>0.154699402320206</v>
      </c>
      <c r="S400" s="46" t="n">
        <f aca="false">O400/(1-(1+O400)^-P400)</f>
        <v>0.078226718212274</v>
      </c>
      <c r="T400" s="37" t="n">
        <f aca="false">Country_Data!$CM$61*Sector_Params!$I$8</f>
        <v>0.0525855720517166</v>
      </c>
      <c r="U400" s="37" t="n">
        <f aca="false">Country_Data!$CN$61*Sector_Params!$J$8</f>
        <v>0.03225</v>
      </c>
      <c r="V400" s="37" t="n">
        <f aca="false">p_a</f>
        <v>0.35</v>
      </c>
      <c r="W400" s="16" t="n">
        <f aca="false">T400*L400</f>
        <v>0.0117321049008239</v>
      </c>
      <c r="X400" s="16" t="n">
        <f aca="false">U400*L400</f>
        <v>0.00719513677020501</v>
      </c>
      <c r="Y400" s="16" t="n">
        <f aca="false">V400*L400</f>
        <v>0.0780867556456357</v>
      </c>
      <c r="Z400" s="16" t="n">
        <f aca="false">Q400*L400</f>
        <v>0.0255297552426917</v>
      </c>
      <c r="AA400" s="16" t="n">
        <f aca="false">R400*L400</f>
        <v>0.034514212650011</v>
      </c>
      <c r="AB400" s="16" t="n">
        <f aca="false">S400*L400</f>
        <v>0.0174527732285767</v>
      </c>
      <c r="AC400" s="16" t="n">
        <f aca="false">Z400-W400</f>
        <v>0.0137976503418678</v>
      </c>
      <c r="AD400" s="16" t="n">
        <f aca="false">AA400-W400</f>
        <v>0.0227821077491871</v>
      </c>
      <c r="AE400" s="16" t="n">
        <f aca="false">AB400-W400</f>
        <v>0.00572066832775278</v>
      </c>
      <c r="AF400" s="16" t="n">
        <f aca="false">AE400-X400</f>
        <v>-0.00147446844245222</v>
      </c>
      <c r="AG400" s="16" t="n">
        <f aca="false">AF400-p_spc_lo*Y400/1000</f>
        <v>-0.00537880622473401</v>
      </c>
      <c r="AH400" s="16" t="n">
        <f aca="false">AF400-p_spc_hi*Y400/1000</f>
        <v>-0.00928314400701579</v>
      </c>
      <c r="AI400" s="16" t="n">
        <f aca="false">Q400*J400</f>
        <v>0.106373980177882</v>
      </c>
      <c r="AJ400" s="16" t="n">
        <f aca="false">S400*J400</f>
        <v>0.0727198884524028</v>
      </c>
      <c r="AK400" s="16" t="n">
        <f aca="false">T400*J400</f>
        <v>0.0488837704200996</v>
      </c>
      <c r="AL400" s="16" t="n">
        <f aca="false">U400*J400</f>
        <v>0.0299797365425209</v>
      </c>
      <c r="AM400" s="16" t="n">
        <f aca="false">AI400-AJ400</f>
        <v>0.0336540917254793</v>
      </c>
      <c r="AN400" s="16" t="n">
        <f aca="false">J400*Country_Data!$EB$61</f>
        <v>1.06713472327206</v>
      </c>
      <c r="AO400" s="16" t="n">
        <f aca="false">L400*Country_Data!$EB$61</f>
        <v>0.256112333585294</v>
      </c>
    </row>
    <row r="401" customFormat="false" ht="15" hidden="false" customHeight="false" outlineLevel="0" collapsed="false">
      <c r="A401" s="14" t="str">
        <f aca="false">Country_Data!$A$61</f>
        <v>QAT</v>
      </c>
      <c r="B401" s="14" t="str">
        <f aca="false">Country_Data!$E$61</f>
        <v>EMDC</v>
      </c>
      <c r="C401" s="35" t="s">
        <v>481</v>
      </c>
      <c r="D401" s="37" t="n">
        <f aca="false">IF(Country_Data!$CC$61="","",Country_Data!$CC$61)</f>
        <v>0.921211773862063</v>
      </c>
      <c r="E401" s="40" t="n">
        <f aca="false">Country_Data!$BW$61</f>
        <v>360.741</v>
      </c>
      <c r="F401" s="41" t="n">
        <f aca="false">Country_Data!$BX$61</f>
        <v>0.607535600333758</v>
      </c>
      <c r="G401" s="42" t="n">
        <f aca="false">IF(D401="","",D401/SUMIFS($D$5:$D$1369,$B$5:$B$1369,B401,$C$5:$C$1369,C401))</f>
        <v>0.0131588039070112</v>
      </c>
      <c r="H401" s="42" t="n">
        <f aca="false">E401/SUMIFS($E$5:$E$1369,$B$5:$B$1369,B401,$C$5:$C$1369,C401)</f>
        <v>0.0044683829401244</v>
      </c>
      <c r="I401" s="43" t="n">
        <f aca="false">IF(G401="",H401,p_beta_alloc*G401+(1-p_beta_alloc)*H401)*F401^p_phi</f>
        <v>0.00686971750168403</v>
      </c>
      <c r="J401" s="16" t="n">
        <f aca="false">INDEX(Sector_Params!$C$20:$E$20,MATCH(B401,Sector_Params!$C$15:$E$15,0))*I401/SUMIFS($I$5:$I$1369,$B$5:$B$1369,B401,$C$5:$C$1369,C401)</f>
        <v>1.25386178427816</v>
      </c>
      <c r="K401" s="28" t="n">
        <f aca="false">INDEX(Sector_Params!$F$9:$H$9,MATCH(B401,Sector_Params!$C$15:$E$15,0))</f>
        <v>0.24</v>
      </c>
      <c r="L401" s="16" t="n">
        <f aca="false">J401*K401</f>
        <v>0.300926828226759</v>
      </c>
      <c r="M401" s="44" t="n">
        <f aca="false">Country_Data!$DW$61+Sector_Params!$E$9</f>
        <v>0.105</v>
      </c>
      <c r="N401" s="44" t="n">
        <f aca="false">Country_Data!$DX$61+Sector_Params!$E$9</f>
        <v>0.15</v>
      </c>
      <c r="O401" s="11" t="n">
        <f aca="false">IF(p_use_ibrd=1,p_r_ibrd,p_r_wb)</f>
        <v>0.06</v>
      </c>
      <c r="P401" s="45" t="n">
        <f aca="false">Sector_Params!$D$9</f>
        <v>25</v>
      </c>
      <c r="Q401" s="46" t="n">
        <f aca="false">M401/(1-(1+M401)^-P401)</f>
        <v>0.114429319813103</v>
      </c>
      <c r="R401" s="46" t="n">
        <f aca="false">N401/(1-(1+N401)^-P401)</f>
        <v>0.154699402320206</v>
      </c>
      <c r="S401" s="46" t="n">
        <f aca="false">O401/(1-(1+O401)^-P401)</f>
        <v>0.078226718212274</v>
      </c>
      <c r="T401" s="37" t="n">
        <f aca="false">Country_Data!$CM$61*Sector_Params!$I$9</f>
        <v>0.0525855720517166</v>
      </c>
      <c r="U401" s="37" t="n">
        <f aca="false">Country_Data!$CN$61*Sector_Params!$J$9</f>
        <v>0.03225</v>
      </c>
      <c r="V401" s="37" t="n">
        <f aca="false">p_a</f>
        <v>0.35</v>
      </c>
      <c r="W401" s="16" t="n">
        <f aca="false">T401*L401</f>
        <v>0.0158244094080128</v>
      </c>
      <c r="X401" s="16" t="n">
        <f aca="false">U401*L401</f>
        <v>0.00970489021031297</v>
      </c>
      <c r="Y401" s="16" t="n">
        <f aca="false">V401*L401</f>
        <v>0.105324389879366</v>
      </c>
      <c r="Z401" s="16" t="n">
        <f aca="false">Q401*L401</f>
        <v>0.0344348522675026</v>
      </c>
      <c r="AA401" s="16" t="n">
        <f aca="false">R401*L401</f>
        <v>0.046553200468795</v>
      </c>
      <c r="AB401" s="16" t="n">
        <f aca="false">S401*L401</f>
        <v>0.023540518194208</v>
      </c>
      <c r="AC401" s="16" t="n">
        <f aca="false">Z401-W401</f>
        <v>0.0186104428594898</v>
      </c>
      <c r="AD401" s="16" t="n">
        <f aca="false">AA401-W401</f>
        <v>0.0307287910607823</v>
      </c>
      <c r="AE401" s="16" t="n">
        <f aca="false">AB401-W401</f>
        <v>0.00771610878619526</v>
      </c>
      <c r="AF401" s="16" t="n">
        <f aca="false">AE401-X401</f>
        <v>-0.00198878142411771</v>
      </c>
      <c r="AG401" s="16" t="n">
        <f aca="false">AF401-p_spc_lo*Y401/1000</f>
        <v>-0.00725500091808599</v>
      </c>
      <c r="AH401" s="16" t="n">
        <f aca="false">AF401-p_spc_hi*Y401/1000</f>
        <v>-0.0125212204120543</v>
      </c>
      <c r="AI401" s="16" t="n">
        <f aca="false">Q401*J401</f>
        <v>0.143478551114594</v>
      </c>
      <c r="AJ401" s="16" t="n">
        <f aca="false">S401*J401</f>
        <v>0.0980854924758668</v>
      </c>
      <c r="AK401" s="16" t="n">
        <f aca="false">T401*J401</f>
        <v>0.0659350392000532</v>
      </c>
      <c r="AL401" s="16" t="n">
        <f aca="false">U401*J401</f>
        <v>0.0404370425429707</v>
      </c>
      <c r="AM401" s="16" t="n">
        <f aca="false">AI401-AJ401</f>
        <v>0.0453930586387273</v>
      </c>
      <c r="AN401" s="16" t="n">
        <f aca="false">J401*Country_Data!$EB$61</f>
        <v>1.43936462359603</v>
      </c>
      <c r="AO401" s="16" t="n">
        <f aca="false">L401*Country_Data!$EB$61</f>
        <v>0.345447509663046</v>
      </c>
    </row>
    <row r="402" customFormat="false" ht="15" hidden="false" customHeight="false" outlineLevel="0" collapsed="false">
      <c r="A402" s="14" t="str">
        <f aca="false">Country_Data!$A$61</f>
        <v>QAT</v>
      </c>
      <c r="B402" s="14" t="str">
        <f aca="false">Country_Data!$E$61</f>
        <v>EMDC</v>
      </c>
      <c r="C402" s="35" t="s">
        <v>484</v>
      </c>
      <c r="D402" s="37" t="n">
        <f aca="false">IF(Country_Data!$CD$61="","",Country_Data!$CD$61)</f>
        <v>1.46517755016722</v>
      </c>
      <c r="E402" s="40" t="n">
        <f aca="false">Country_Data!$BW$61</f>
        <v>360.741</v>
      </c>
      <c r="F402" s="41" t="n">
        <f aca="false">Country_Data!$BX$61</f>
        <v>0.607535600333758</v>
      </c>
      <c r="G402" s="42" t="n">
        <f aca="false">IF(D402="","",D402/SUMIFS($D$5:$D$1369,$B$5:$B$1369,B402,$C$5:$C$1369,C402))</f>
        <v>0.00818208669781314</v>
      </c>
      <c r="H402" s="42" t="n">
        <f aca="false">E402/SUMIFS($E$5:$E$1369,$B$5:$B$1369,B402,$C$5:$C$1369,C402)</f>
        <v>0.0044683829401244</v>
      </c>
      <c r="I402" s="43" t="n">
        <f aca="false">IF(G402="",H402,p_beta_alloc*G402+(1-p_beta_alloc)*H402)*F402^p_phi</f>
        <v>0.00493017708553898</v>
      </c>
      <c r="J402" s="16" t="n">
        <f aca="false">INDEX(Sector_Params!$C$21:$E$21,MATCH(B402,Sector_Params!$C$15:$E$15,0))*I402/SUMIFS($I$5:$I$1369,$B$5:$B$1369,B402,$C$5:$C$1369,C402)</f>
        <v>1.09346311922012</v>
      </c>
      <c r="K402" s="28" t="n">
        <f aca="false">INDEX(Sector_Params!$F$10:$H$10,MATCH(B402,Sector_Params!$C$15:$E$15,0))</f>
        <v>0.24</v>
      </c>
      <c r="L402" s="16" t="n">
        <f aca="false">J402*K402</f>
        <v>0.26243114861283</v>
      </c>
      <c r="M402" s="44" t="n">
        <f aca="false">Country_Data!$DW$61+Sector_Params!$E$10</f>
        <v>0.105</v>
      </c>
      <c r="N402" s="44" t="n">
        <f aca="false">Country_Data!$DX$61+Sector_Params!$E$10</f>
        <v>0.15</v>
      </c>
      <c r="O402" s="11" t="n">
        <f aca="false">IF(p_use_ibrd=1,p_r_ibrd,p_r_wb)</f>
        <v>0.06</v>
      </c>
      <c r="P402" s="45" t="n">
        <f aca="false">Sector_Params!$D$10</f>
        <v>20</v>
      </c>
      <c r="Q402" s="46" t="n">
        <f aca="false">M402/(1-(1+M402)^-P402)</f>
        <v>0.121493265267016</v>
      </c>
      <c r="R402" s="46" t="n">
        <f aca="false">N402/(1-(1+N402)^-P402)</f>
        <v>0.159761470405744</v>
      </c>
      <c r="S402" s="46" t="n">
        <f aca="false">O402/(1-(1+O402)^-P402)</f>
        <v>0.0871845569768514</v>
      </c>
      <c r="T402" s="37" t="n">
        <f aca="false">0*Sector_Params!$I$10</f>
        <v>0</v>
      </c>
      <c r="U402" s="37" t="n">
        <f aca="false">0*Sector_Params!$J$10</f>
        <v>0</v>
      </c>
      <c r="V402" s="37" t="n">
        <f aca="false">1000*p_r_wb/(1-(1+p_r_wb)^-Sector_Params!$D$10)/p_cpt_fuel</f>
        <v>0.871845569768514</v>
      </c>
      <c r="W402" s="16" t="n">
        <f aca="false">T402*L402</f>
        <v>0</v>
      </c>
      <c r="X402" s="16" t="n">
        <f aca="false">U402*L402</f>
        <v>0</v>
      </c>
      <c r="Y402" s="16" t="n">
        <f aca="false">V402*L402</f>
        <v>0.228799434287358</v>
      </c>
      <c r="Z402" s="16" t="n">
        <f aca="false">Q402*L402</f>
        <v>0.0318836171527463</v>
      </c>
      <c r="AA402" s="16" t="n">
        <f aca="false">R402*L402</f>
        <v>0.041926386182654</v>
      </c>
      <c r="AB402" s="16" t="n">
        <f aca="false">S402*L402</f>
        <v>0.0228799434287358</v>
      </c>
      <c r="AC402" s="16" t="n">
        <f aca="false">Z402-W402</f>
        <v>0.0318836171527463</v>
      </c>
      <c r="AD402" s="16" t="n">
        <f aca="false">AA402-W402</f>
        <v>0.041926386182654</v>
      </c>
      <c r="AE402" s="16" t="n">
        <f aca="false">AB402-W402</f>
        <v>0.0228799434287358</v>
      </c>
      <c r="AF402" s="16" t="n">
        <f aca="false">AE402-X402</f>
        <v>0.0228799434287358</v>
      </c>
      <c r="AG402" s="16" t="n">
        <f aca="false">AF402-p_spc_lo*Y402/1000</f>
        <v>0.0114399717143679</v>
      </c>
      <c r="AH402" s="16" t="n">
        <f aca="false">AF402-p_spc_hi*Y402/1000</f>
        <v>0</v>
      </c>
      <c r="AI402" s="16" t="n">
        <f aca="false">Q402*J402</f>
        <v>0.132848404803109</v>
      </c>
      <c r="AJ402" s="16" t="n">
        <f aca="false">S402*J402</f>
        <v>0.0953330976197326</v>
      </c>
      <c r="AK402" s="16" t="n">
        <f aca="false">T402*J402</f>
        <v>0</v>
      </c>
      <c r="AL402" s="16" t="n">
        <f aca="false">U402*J402</f>
        <v>0</v>
      </c>
      <c r="AM402" s="16" t="n">
        <f aca="false">AI402-AJ402</f>
        <v>0.0375153071833769</v>
      </c>
      <c r="AN402" s="16" t="n">
        <f aca="false">J402*Country_Data!$EB$61</f>
        <v>1.25523574507735</v>
      </c>
      <c r="AO402" s="16" t="n">
        <f aca="false">L402*Country_Data!$EB$61</f>
        <v>0.301256578818563</v>
      </c>
    </row>
    <row r="403" customFormat="false" ht="15" hidden="false" customHeight="false" outlineLevel="0" collapsed="false">
      <c r="A403" s="14" t="str">
        <f aca="false">Country_Data!$A$61</f>
        <v>QAT</v>
      </c>
      <c r="B403" s="14" t="str">
        <f aca="false">Country_Data!$E$61</f>
        <v>EMDC</v>
      </c>
      <c r="C403" s="35" t="s">
        <v>488</v>
      </c>
      <c r="D403" s="37" t="n">
        <f aca="false">IF(Country_Data!$CE$61="","",Country_Data!$CE$61)</f>
        <v>101.347</v>
      </c>
      <c r="E403" s="40" t="n">
        <f aca="false">Country_Data!$BW$61</f>
        <v>360.741</v>
      </c>
      <c r="F403" s="41" t="n">
        <f aca="false">Country_Data!$BX$61</f>
        <v>0.607535600333758</v>
      </c>
      <c r="G403" s="42" t="n">
        <f aca="false">IF(D403="","",D403/SUMIFS($D$5:$D$1369,$B$5:$B$1369,B403,$C$5:$C$1369,C403))</f>
        <v>0.00830433354009428</v>
      </c>
      <c r="H403" s="42" t="n">
        <f aca="false">E403/SUMIFS($E$5:$E$1369,$B$5:$B$1369,B403,$C$5:$C$1369,C403)</f>
        <v>0.0044683829401244</v>
      </c>
      <c r="I403" s="43" t="n">
        <f aca="false">IF(G403="",H403,p_beta_alloc*G403+(1-p_beta_alloc)*H403)*F403^p_phi</f>
        <v>0.00497781947335884</v>
      </c>
      <c r="J403" s="16" t="n">
        <f aca="false">INDEX(Sector_Params!$C$22:$E$22,MATCH(B403,Sector_Params!$C$15:$E$15,0))*I403/SUMIFS($I$5:$I$1369,$B$5:$B$1369,B403,$C$5:$C$1369,C403)</f>
        <v>3.00067133358009</v>
      </c>
      <c r="K403" s="28" t="n">
        <f aca="false">INDEX(Sector_Params!$F$11:$H$11,MATCH(B403,Sector_Params!$C$15:$E$15,0))</f>
        <v>0.24</v>
      </c>
      <c r="L403" s="16" t="n">
        <f aca="false">J403*K403</f>
        <v>0.720161120059221</v>
      </c>
      <c r="M403" s="44" t="n">
        <f aca="false">Country_Data!$DW$61+Sector_Params!$E$11</f>
        <v>0.105</v>
      </c>
      <c r="N403" s="44" t="n">
        <f aca="false">Country_Data!$DX$61+Sector_Params!$E$11</f>
        <v>0.15</v>
      </c>
      <c r="O403" s="11" t="n">
        <f aca="false">IF(p_use_ibrd=1,p_r_ibrd,p_r_wb)</f>
        <v>0.06</v>
      </c>
      <c r="P403" s="45" t="n">
        <f aca="false">Sector_Params!$D$11</f>
        <v>30</v>
      </c>
      <c r="Q403" s="46" t="n">
        <f aca="false">M403/(1-(1+M403)^-P403)</f>
        <v>0.110528481529605</v>
      </c>
      <c r="R403" s="46" t="n">
        <f aca="false">N403/(1-(1+N403)^-P403)</f>
        <v>0.152300198192734</v>
      </c>
      <c r="S403" s="46" t="n">
        <f aca="false">O403/(1-(1+O403)^-P403)</f>
        <v>0.0726489114900472</v>
      </c>
      <c r="T403" s="37" t="n">
        <f aca="false">0*Sector_Params!$I$11</f>
        <v>0</v>
      </c>
      <c r="U403" s="37" t="n">
        <f aca="false">p_c*Sector_Params!$J$11</f>
        <v>0.129</v>
      </c>
      <c r="V403" s="37" t="n">
        <f aca="false">1000*p_r_wb/(1-(1+p_r_wb)^-Sector_Params!$D$11)/p_cpt_afolu</f>
        <v>1.45297822980094</v>
      </c>
      <c r="W403" s="16" t="n">
        <f aca="false">T403*L403</f>
        <v>0</v>
      </c>
      <c r="X403" s="16" t="n">
        <f aca="false">U403*L403</f>
        <v>0.0929007844876395</v>
      </c>
      <c r="Y403" s="16" t="n">
        <f aca="false">V403*L403</f>
        <v>1.04637842939511</v>
      </c>
      <c r="Z403" s="16" t="n">
        <f aca="false">Q403*L403</f>
        <v>0.0795983150568054</v>
      </c>
      <c r="AA403" s="16" t="n">
        <f aca="false">R403*L403</f>
        <v>0.109680681315721</v>
      </c>
      <c r="AB403" s="16" t="n">
        <f aca="false">S403*L403</f>
        <v>0.0523189214697556</v>
      </c>
      <c r="AC403" s="16" t="n">
        <f aca="false">Z403-W403</f>
        <v>0.0795983150568054</v>
      </c>
      <c r="AD403" s="16" t="n">
        <f aca="false">AA403-W403</f>
        <v>0.109680681315721</v>
      </c>
      <c r="AE403" s="16" t="n">
        <f aca="false">AB403-W403</f>
        <v>0.0523189214697556</v>
      </c>
      <c r="AF403" s="16" t="n">
        <f aca="false">AE403-X403</f>
        <v>-0.0405818630178839</v>
      </c>
      <c r="AG403" s="16" t="n">
        <f aca="false">AF403-p_spc_lo*Y403/1000</f>
        <v>-0.0929007844876395</v>
      </c>
      <c r="AH403" s="16" t="n">
        <f aca="false">AF403-p_spc_hi*Y403/1000</f>
        <v>-0.145219705957395</v>
      </c>
      <c r="AI403" s="16" t="n">
        <f aca="false">Q403*J403</f>
        <v>0.331659646070022</v>
      </c>
      <c r="AJ403" s="16" t="n">
        <f aca="false">S403*J403</f>
        <v>0.217995506123982</v>
      </c>
      <c r="AK403" s="16" t="n">
        <f aca="false">T403*J403</f>
        <v>0</v>
      </c>
      <c r="AL403" s="16" t="n">
        <f aca="false">U403*J403</f>
        <v>0.387086602031831</v>
      </c>
      <c r="AM403" s="16" t="n">
        <f aca="false">AI403-AJ403</f>
        <v>0.113664139946041</v>
      </c>
      <c r="AN403" s="16" t="n">
        <f aca="false">J403*Country_Data!$EB$61</f>
        <v>3.44460627060289</v>
      </c>
      <c r="AO403" s="16" t="n">
        <f aca="false">L403*Country_Data!$EB$61</f>
        <v>0.826705504944695</v>
      </c>
    </row>
    <row r="404" customFormat="false" ht="15" hidden="false" customHeight="false" outlineLevel="0" collapsed="false">
      <c r="A404" s="14" t="str">
        <f aca="false">Country_Data!$A$62</f>
        <v>UKR</v>
      </c>
      <c r="B404" s="14" t="str">
        <f aca="false">Country_Data!$E$62</f>
        <v>EMDC</v>
      </c>
      <c r="C404" s="35" t="s">
        <v>466</v>
      </c>
      <c r="D404" s="37" t="n">
        <f aca="false">IF(Country_Data!$BZ$62="","",Country_Data!$BZ$62)</f>
        <v>82.4813686793727</v>
      </c>
      <c r="E404" s="40" t="n">
        <f aca="false">Country_Data!$BW$62</f>
        <v>659.616</v>
      </c>
      <c r="F404" s="41" t="n">
        <f aca="false">Country_Data!$BX$62</f>
        <v>0.289310750497259</v>
      </c>
      <c r="G404" s="42" t="n">
        <f aca="false">IF(D404="","",D404/SUMIFS($D$5:$D$1369,$B$5:$B$1369,B404,$C$5:$C$1369,C404))</f>
        <v>0.00941624918155541</v>
      </c>
      <c r="H404" s="42" t="n">
        <f aca="false">E404/SUMIFS($E$5:$E$1369,$B$5:$B$1369,B404,$C$5:$C$1369,C404)</f>
        <v>0.00817045160221072</v>
      </c>
      <c r="I404" s="43" t="n">
        <f aca="false">IF(G404="",H404,p_beta_alloc*G404+(1-p_beta_alloc)*H404)*F404^p_phi</f>
        <v>0.0047297334360642</v>
      </c>
      <c r="J404" s="16" t="n">
        <f aca="false">INDEX(Sector_Params!$C$16:$E$16,MATCH(B404,Sector_Params!$C$15:$E$15,0))*I404/SUMIFS($I$5:$I$1369,$B$5:$B$1369,B404,$C$5:$C$1369,C404)</f>
        <v>4.57471808844209</v>
      </c>
      <c r="K404" s="28" t="n">
        <f aca="false">INDEX(Sector_Params!$F$5:$H$5,MATCH(B404,Sector_Params!$C$15:$E$15,0))</f>
        <v>0.24</v>
      </c>
      <c r="L404" s="16" t="n">
        <f aca="false">J404*K404</f>
        <v>1.0979323412261</v>
      </c>
      <c r="M404" s="44" t="n">
        <f aca="false">Country_Data!$DW$62+Sector_Params!$E$5</f>
        <v>0.1385</v>
      </c>
      <c r="N404" s="44" t="n">
        <f aca="false">Country_Data!$DX$62+Sector_Params!$E$5</f>
        <v>0.1835</v>
      </c>
      <c r="O404" s="11" t="n">
        <f aca="false">IF(p_use_ibrd=1,p_r_ibrd,p_r_wb)</f>
        <v>0.06</v>
      </c>
      <c r="P404" s="45" t="n">
        <f aca="false">Sector_Params!$D$5</f>
        <v>25</v>
      </c>
      <c r="Q404" s="46" t="n">
        <f aca="false">M404/(1-(1+M404)^-P404)</f>
        <v>0.144128922457449</v>
      </c>
      <c r="R404" s="46" t="n">
        <f aca="false">N404/(1-(1+N404)^-P404)</f>
        <v>0.186260025544501</v>
      </c>
      <c r="S404" s="46" t="n">
        <f aca="false">O404/(1-(1+O404)^-P404)</f>
        <v>0.078226718212274</v>
      </c>
      <c r="T404" s="37" t="n">
        <f aca="false">IF(AND(p_eng=1,ISNUMBER(Country_Data!$CZ$62)),Country_Data!$CZ$62,Country_Data!$CM$62)*Sector_Params!$I$5</f>
        <v>0.00626962968037676</v>
      </c>
      <c r="U404" s="37" t="n">
        <f aca="false">IF(AND(p_eng=1,ISNUMBER(Country_Data!$DA$62)),Country_Data!$DA$62,Country_Data!$CN$62)*Sector_Params!$J$5</f>
        <v>0.0323617957806574</v>
      </c>
      <c r="V404" s="37" t="n">
        <f aca="false">IF(AND(p_eng=1,ISNUMBER(Country_Data!$DB$62)),Country_Data!$DB$62,p_a)</f>
        <v>0.526513113297563</v>
      </c>
      <c r="W404" s="16" t="n">
        <f aca="false">T404*L404</f>
        <v>0.00688362919359672</v>
      </c>
      <c r="X404" s="16" t="n">
        <f aca="false">U404*L404</f>
        <v>0.0355310622077381</v>
      </c>
      <c r="Y404" s="16" t="n">
        <f aca="false">V404*L404</f>
        <v>0.578075775169037</v>
      </c>
      <c r="Z404" s="16" t="n">
        <f aca="false">Q404*L404</f>
        <v>0.158243805272102</v>
      </c>
      <c r="AA404" s="16" t="n">
        <f aca="false">R404*L404</f>
        <v>0.204500905922908</v>
      </c>
      <c r="AB404" s="16" t="n">
        <f aca="false">S404*L404</f>
        <v>0.0858876438732365</v>
      </c>
      <c r="AC404" s="16" t="n">
        <f aca="false">Z404-W404</f>
        <v>0.151360176078506</v>
      </c>
      <c r="AD404" s="16" t="n">
        <f aca="false">AA404-W404</f>
        <v>0.197617276729311</v>
      </c>
      <c r="AE404" s="16" t="n">
        <f aca="false">AB404-W404</f>
        <v>0.0790040146796398</v>
      </c>
      <c r="AF404" s="16" t="n">
        <f aca="false">AE404-X404</f>
        <v>0.0434729524719016</v>
      </c>
      <c r="AG404" s="16" t="n">
        <f aca="false">AF404-p_spc_lo*Y404/1000</f>
        <v>0.0145691637134498</v>
      </c>
      <c r="AH404" s="16" t="n">
        <f aca="false">AF404-p_spc_hi*Y404/1000</f>
        <v>-0.0143346250450021</v>
      </c>
      <c r="AI404" s="16" t="n">
        <f aca="false">Q404*J404</f>
        <v>0.65934918863376</v>
      </c>
      <c r="AJ404" s="16" t="n">
        <f aca="false">S404*J404</f>
        <v>0.357865182805152</v>
      </c>
      <c r="AK404" s="16" t="n">
        <f aca="false">T404*J404</f>
        <v>0.028681788306653</v>
      </c>
      <c r="AL404" s="16" t="n">
        <f aca="false">U404*J404</f>
        <v>0.148046092532242</v>
      </c>
      <c r="AM404" s="16" t="n">
        <f aca="false">AI404-AJ404</f>
        <v>0.301484005828608</v>
      </c>
      <c r="AN404" s="16" t="n">
        <f aca="false">J404*Country_Data!$EB$62</f>
        <v>5.2344733501766</v>
      </c>
      <c r="AO404" s="16" t="n">
        <f aca="false">L404*Country_Data!$EB$62</f>
        <v>1.25627360404238</v>
      </c>
    </row>
    <row r="405" customFormat="false" ht="15" hidden="false" customHeight="false" outlineLevel="0" collapsed="false">
      <c r="A405" s="14" t="str">
        <f aca="false">Country_Data!$A$62</f>
        <v>UKR</v>
      </c>
      <c r="B405" s="14" t="str">
        <f aca="false">Country_Data!$E$62</f>
        <v>EMDC</v>
      </c>
      <c r="C405" s="35" t="s">
        <v>470</v>
      </c>
      <c r="D405" s="37" t="n">
        <f aca="false">IF(Country_Data!$BZ$62="","",Country_Data!$BZ$62)</f>
        <v>82.4813686793727</v>
      </c>
      <c r="E405" s="40" t="n">
        <f aca="false">Country_Data!$BW$62</f>
        <v>659.616</v>
      </c>
      <c r="F405" s="41" t="n">
        <f aca="false">Country_Data!$BX$62</f>
        <v>0.289310750497259</v>
      </c>
      <c r="G405" s="42" t="n">
        <f aca="false">IF(D405="","",D405/SUMIFS($D$5:$D$1369,$B$5:$B$1369,B405,$C$5:$C$1369,C405))</f>
        <v>0.00941624918155541</v>
      </c>
      <c r="H405" s="42" t="n">
        <f aca="false">E405/SUMIFS($E$5:$E$1369,$B$5:$B$1369,B405,$C$5:$C$1369,C405)</f>
        <v>0.00817045160221072</v>
      </c>
      <c r="I405" s="43" t="n">
        <f aca="false">IF(G405="",H405,p_beta_alloc*G405+(1-p_beta_alloc)*H405)*F405^p_phi</f>
        <v>0.0047297334360642</v>
      </c>
      <c r="J405" s="16" t="n">
        <f aca="false">INDEX(Sector_Params!$C$17:$E$17,MATCH(B405,Sector_Params!$C$15:$E$15,0))*I405/SUMIFS($I$5:$I$1369,$B$5:$B$1369,B405,$C$5:$C$1369,C405)</f>
        <v>3.13694954636029</v>
      </c>
      <c r="K405" s="28" t="n">
        <f aca="false">INDEX(Sector_Params!$F$6:$H$6,MATCH(B405,Sector_Params!$C$15:$E$15,0))</f>
        <v>0.24</v>
      </c>
      <c r="L405" s="16" t="n">
        <f aca="false">J405*K405</f>
        <v>0.75286789112647</v>
      </c>
      <c r="M405" s="44" t="n">
        <f aca="false">Country_Data!$DW$62+Sector_Params!$E$6</f>
        <v>0.1385</v>
      </c>
      <c r="N405" s="44" t="n">
        <f aca="false">Country_Data!$DX$62+Sector_Params!$E$6</f>
        <v>0.1835</v>
      </c>
      <c r="O405" s="11" t="n">
        <f aca="false">IF(p_use_ibrd=1,p_r_ibrd,p_r_wb)</f>
        <v>0.06</v>
      </c>
      <c r="P405" s="45" t="n">
        <f aca="false">Sector_Params!$D$6</f>
        <v>40</v>
      </c>
      <c r="Q405" s="46" t="n">
        <f aca="false">M405/(1-(1+M405)^-P405)</f>
        <v>0.13927724649842</v>
      </c>
      <c r="R405" s="46" t="n">
        <f aca="false">N405/(1-(1+N405)^-P405)</f>
        <v>0.183717480333284</v>
      </c>
      <c r="S405" s="46" t="n">
        <f aca="false">O405/(1-(1+O405)^-P405)</f>
        <v>0.0664615359206755</v>
      </c>
      <c r="T405" s="37" t="n">
        <f aca="false">p_grid_credit*IF(AND(p_eng=1,ISNUMBER(Country_Data!$CZ$62)),Country_Data!$CZ$62,Country_Data!$CM$62)*Sector_Params!$I$6</f>
        <v>0</v>
      </c>
      <c r="U405" s="37" t="n">
        <f aca="false">p_grid_credit*IF(AND(p_eng=1,ISNUMBER(Country_Data!$DA$62)),Country_Data!$DA$62,Country_Data!$CN$62)*Sector_Params!$J$6</f>
        <v>0</v>
      </c>
      <c r="V405" s="37" t="n">
        <f aca="false">p_grid_credit*IF(AND(p_eng=1,ISNUMBER(Country_Data!$DB$62)),Country_Data!$DB$62,p_a)</f>
        <v>0</v>
      </c>
      <c r="W405" s="16" t="n">
        <f aca="false">T405*L405</f>
        <v>0</v>
      </c>
      <c r="X405" s="16" t="n">
        <f aca="false">U405*L405</f>
        <v>0</v>
      </c>
      <c r="Y405" s="16" t="n">
        <f aca="false">V405*L405</f>
        <v>0</v>
      </c>
      <c r="Z405" s="16" t="n">
        <f aca="false">Q405*L405</f>
        <v>0.104857366853167</v>
      </c>
      <c r="AA405" s="16" t="n">
        <f aca="false">R405*L405</f>
        <v>0.138314991981588</v>
      </c>
      <c r="AB405" s="16" t="n">
        <f aca="false">S405*L405</f>
        <v>0.0500367563896251</v>
      </c>
      <c r="AC405" s="16" t="n">
        <f aca="false">Z405-W405</f>
        <v>0.104857366853167</v>
      </c>
      <c r="AD405" s="16" t="n">
        <f aca="false">AA405-W405</f>
        <v>0.138314991981588</v>
      </c>
      <c r="AE405" s="16" t="n">
        <f aca="false">AB405-W405</f>
        <v>0.0500367563896251</v>
      </c>
      <c r="AF405" s="16" t="n">
        <f aca="false">AE405-X405</f>
        <v>0.0500367563896251</v>
      </c>
      <c r="AG405" s="16" t="n">
        <f aca="false">AF405-p_spc_lo*Y405/1000</f>
        <v>0.0500367563896251</v>
      </c>
      <c r="AH405" s="16" t="n">
        <f aca="false">AF405-p_spc_hi*Y405/1000</f>
        <v>0.0500367563896251</v>
      </c>
      <c r="AI405" s="16" t="n">
        <f aca="false">Q405*J405</f>
        <v>0.436905695221528</v>
      </c>
      <c r="AJ405" s="16" t="n">
        <f aca="false">S405*J405</f>
        <v>0.208486484956771</v>
      </c>
      <c r="AK405" s="16" t="n">
        <f aca="false">T405*J405</f>
        <v>0</v>
      </c>
      <c r="AL405" s="16" t="n">
        <f aca="false">U405*J405</f>
        <v>0</v>
      </c>
      <c r="AM405" s="16" t="n">
        <f aca="false">AI405-AJ405</f>
        <v>0.228419210264757</v>
      </c>
      <c r="AN405" s="16" t="n">
        <f aca="false">J405*Country_Data!$EB$62</f>
        <v>3.58935315440681</v>
      </c>
      <c r="AO405" s="16" t="n">
        <f aca="false">L405*Country_Data!$EB$62</f>
        <v>0.861444757057634</v>
      </c>
    </row>
    <row r="406" customFormat="false" ht="15" hidden="false" customHeight="false" outlineLevel="0" collapsed="false">
      <c r="A406" s="14" t="str">
        <f aca="false">Country_Data!$A$62</f>
        <v>UKR</v>
      </c>
      <c r="B406" s="14" t="str">
        <f aca="false">Country_Data!$E$62</f>
        <v>EMDC</v>
      </c>
      <c r="C406" s="35" t="s">
        <v>473</v>
      </c>
      <c r="D406" s="37" t="n">
        <f aca="false">IF(Country_Data!$CA$62="","",Country_Data!$CA$62)</f>
        <v>0.328937930444726</v>
      </c>
      <c r="E406" s="40" t="n">
        <f aca="false">Country_Data!$BW$62</f>
        <v>659.616</v>
      </c>
      <c r="F406" s="41" t="n">
        <f aca="false">Country_Data!$BX$62</f>
        <v>0.289310750497259</v>
      </c>
      <c r="G406" s="42" t="n">
        <f aca="false">IF(D406="","",D406/SUMIFS($D$5:$D$1369,$B$5:$B$1369,B406,$C$5:$C$1369,C406))</f>
        <v>0.00759923153789604</v>
      </c>
      <c r="H406" s="42" t="n">
        <f aca="false">E406/SUMIFS($E$5:$E$1369,$B$5:$B$1369,B406,$C$5:$C$1369,C406)</f>
        <v>0.00817045160221072</v>
      </c>
      <c r="I406" s="43" t="n">
        <f aca="false">IF(G406="",H406,p_beta_alloc*G406+(1-p_beta_alloc)*H406)*F406^p_phi</f>
        <v>0.00424106821063049</v>
      </c>
      <c r="J406" s="16" t="n">
        <f aca="false">INDEX(Sector_Params!$C$18:$E$18,MATCH(B406,Sector_Params!$C$15:$E$15,0))*I406/SUMIFS($I$5:$I$1369,$B$5:$B$1369,B406,$C$5:$C$1369,C406)</f>
        <v>1.73661708342929</v>
      </c>
      <c r="K406" s="28" t="n">
        <f aca="false">INDEX(Sector_Params!$F$7:$H$7,MATCH(B406,Sector_Params!$C$15:$E$15,0))</f>
        <v>0.24</v>
      </c>
      <c r="L406" s="16" t="n">
        <f aca="false">J406*K406</f>
        <v>0.416788100023029</v>
      </c>
      <c r="M406" s="44" t="n">
        <f aca="false">Country_Data!$DW$62+Sector_Params!$E$7</f>
        <v>0.1385</v>
      </c>
      <c r="N406" s="44" t="n">
        <f aca="false">Country_Data!$DX$62+Sector_Params!$E$7</f>
        <v>0.1835</v>
      </c>
      <c r="O406" s="11" t="n">
        <f aca="false">IF(p_use_ibrd=1,p_r_ibrd,p_r_wb)</f>
        <v>0.06</v>
      </c>
      <c r="P406" s="45" t="n">
        <f aca="false">Sector_Params!$D$7</f>
        <v>12</v>
      </c>
      <c r="Q406" s="46" t="n">
        <f aca="false">M406/(1-(1+M406)^-P406)</f>
        <v>0.175508527225499</v>
      </c>
      <c r="R406" s="46" t="n">
        <f aca="false">N406/(1-(1+N406)^-P406)</f>
        <v>0.211509899584375</v>
      </c>
      <c r="S406" s="46" t="n">
        <f aca="false">O406/(1-(1+O406)^-P406)</f>
        <v>0.119277029380664</v>
      </c>
      <c r="T406" s="37" t="n">
        <f aca="false">IF(AND(p_eng=1,ISNUMBER(Country_Data!$DE$62)),Country_Data!$DE$62,Country_Data!$CM$62)*Sector_Params!$I$7</f>
        <v>0.14076</v>
      </c>
      <c r="U406" s="37" t="n">
        <f aca="false">IF(AND(p_eng=1,ISNUMBER(Country_Data!$DF$62)),Country_Data!$DF$62,Country_Data!$CN$62)*Sector_Params!$J$7</f>
        <v>0.054316125</v>
      </c>
      <c r="V406" s="37" t="n">
        <f aca="false">IF(AND(p_eng=1,ISNUMBER(Country_Data!$DG$62)),Country_Data!$DG$62,p_a)</f>
        <v>0.409716594430993</v>
      </c>
      <c r="W406" s="16" t="n">
        <f aca="false">T406*L406</f>
        <v>0.0586670929592416</v>
      </c>
      <c r="X406" s="16" t="n">
        <f aca="false">U406*L406</f>
        <v>0.0226383145393634</v>
      </c>
      <c r="Y406" s="16" t="n">
        <f aca="false">V406*L406</f>
        <v>0.170765000940799</v>
      </c>
      <c r="Z406" s="16" t="n">
        <f aca="false">Q406*L406</f>
        <v>0.0731498656001559</v>
      </c>
      <c r="AA406" s="16" t="n">
        <f aca="false">R406*L406</f>
        <v>0.0881548091838334</v>
      </c>
      <c r="AB406" s="16" t="n">
        <f aca="false">S406*L406</f>
        <v>0.0497132464519578</v>
      </c>
      <c r="AC406" s="16" t="n">
        <f aca="false">Z406-W406</f>
        <v>0.0144827726409143</v>
      </c>
      <c r="AD406" s="16" t="n">
        <f aca="false">AA406-W406</f>
        <v>0.0294877162245918</v>
      </c>
      <c r="AE406" s="16" t="n">
        <f aca="false">AB406-W406</f>
        <v>-0.00895384650728379</v>
      </c>
      <c r="AF406" s="16" t="n">
        <f aca="false">AE406-X406</f>
        <v>-0.0315921610466472</v>
      </c>
      <c r="AG406" s="16" t="n">
        <f aca="false">AF406-p_spc_lo*Y406/1000</f>
        <v>-0.0401304110936871</v>
      </c>
      <c r="AH406" s="16" t="n">
        <f aca="false">AF406-p_spc_hi*Y406/1000</f>
        <v>-0.0486686611407271</v>
      </c>
      <c r="AI406" s="16" t="n">
        <f aca="false">Q406*J406</f>
        <v>0.304791106667316</v>
      </c>
      <c r="AJ406" s="16" t="n">
        <f aca="false">S406*J406</f>
        <v>0.207138526883157</v>
      </c>
      <c r="AK406" s="16" t="n">
        <f aca="false">T406*J406</f>
        <v>0.244446220663507</v>
      </c>
      <c r="AL406" s="16" t="n">
        <f aca="false">U406*J406</f>
        <v>0.0943263105806807</v>
      </c>
      <c r="AM406" s="16" t="n">
        <f aca="false">AI406-AJ406</f>
        <v>0.0976525797841586</v>
      </c>
      <c r="AN406" s="16" t="n">
        <f aca="false">J406*Country_Data!$EB$62</f>
        <v>1.9870679825361</v>
      </c>
      <c r="AO406" s="16" t="n">
        <f aca="false">L406*Country_Data!$EB$62</f>
        <v>0.476896315808663</v>
      </c>
    </row>
    <row r="407" customFormat="false" ht="15" hidden="false" customHeight="false" outlineLevel="0" collapsed="false">
      <c r="A407" s="14" t="str">
        <f aca="false">Country_Data!$A$62</f>
        <v>UKR</v>
      </c>
      <c r="B407" s="14" t="str">
        <f aca="false">Country_Data!$E$62</f>
        <v>EMDC</v>
      </c>
      <c r="C407" s="35" t="s">
        <v>477</v>
      </c>
      <c r="D407" s="37" t="n">
        <f aca="false">IF(Country_Data!$CB$62="","",Country_Data!$CB$62)</f>
        <v>0.481301639873635</v>
      </c>
      <c r="E407" s="40" t="n">
        <f aca="false">Country_Data!$BW$62</f>
        <v>659.616</v>
      </c>
      <c r="F407" s="41" t="n">
        <f aca="false">Country_Data!$BX$62</f>
        <v>0.289310750497259</v>
      </c>
      <c r="G407" s="42" t="n">
        <f aca="false">IF(D407="","",D407/SUMIFS($D$5:$D$1369,$B$5:$B$1369,B407,$C$5:$C$1369,C407))</f>
        <v>0.0151769062688614</v>
      </c>
      <c r="H407" s="42" t="n">
        <f aca="false">E407/SUMIFS($E$5:$E$1369,$B$5:$B$1369,B407,$C$5:$C$1369,C407)</f>
        <v>0.00817045160221072</v>
      </c>
      <c r="I407" s="43" t="n">
        <f aca="false">IF(G407="",H407,p_beta_alloc*G407+(1-p_beta_alloc)*H407)*F407^p_phi</f>
        <v>0.0062789934578576</v>
      </c>
      <c r="J407" s="16" t="n">
        <f aca="false">INDEX(Sector_Params!$C$19:$E$19,MATCH(B407,Sector_Params!$C$15:$E$15,0))*I407/SUMIFS($I$5:$I$1369,$B$5:$B$1369,B407,$C$5:$C$1369,C407)</f>
        <v>2.02097313791259</v>
      </c>
      <c r="K407" s="28" t="n">
        <f aca="false">INDEX(Sector_Params!$F$8:$H$8,MATCH(B407,Sector_Params!$C$15:$E$15,0))</f>
        <v>0.24</v>
      </c>
      <c r="L407" s="16" t="n">
        <f aca="false">J407*K407</f>
        <v>0.485033553099021</v>
      </c>
      <c r="M407" s="44" t="n">
        <f aca="false">Country_Data!$DW$62+Sector_Params!$E$8</f>
        <v>0.1385</v>
      </c>
      <c r="N407" s="44" t="n">
        <f aca="false">Country_Data!$DX$62+Sector_Params!$E$8</f>
        <v>0.1835</v>
      </c>
      <c r="O407" s="11" t="n">
        <f aca="false">IF(p_use_ibrd=1,p_r_ibrd,p_r_wb)</f>
        <v>0.06</v>
      </c>
      <c r="P407" s="45" t="n">
        <f aca="false">Sector_Params!$D$8</f>
        <v>25</v>
      </c>
      <c r="Q407" s="46" t="n">
        <f aca="false">M407/(1-(1+M407)^-P407)</f>
        <v>0.144128922457449</v>
      </c>
      <c r="R407" s="46" t="n">
        <f aca="false">N407/(1-(1+N407)^-P407)</f>
        <v>0.186260025544501</v>
      </c>
      <c r="S407" s="46" t="n">
        <f aca="false">O407/(1-(1+O407)^-P407)</f>
        <v>0.078226718212274</v>
      </c>
      <c r="T407" s="37" t="n">
        <f aca="false">Country_Data!$CM$62*Sector_Params!$I$8</f>
        <v>0.0997044599183842</v>
      </c>
      <c r="U407" s="37" t="n">
        <f aca="false">Country_Data!$CN$62*Sector_Params!$J$8</f>
        <v>0.132655518379789</v>
      </c>
      <c r="V407" s="37" t="n">
        <f aca="false">p_a</f>
        <v>0.35</v>
      </c>
      <c r="W407" s="16" t="n">
        <f aca="false">T407*L407</f>
        <v>0.0483600084540328</v>
      </c>
      <c r="X407" s="16" t="n">
        <f aca="false">U407*L407</f>
        <v>0.0643423774179415</v>
      </c>
      <c r="Y407" s="16" t="n">
        <f aca="false">V407*L407</f>
        <v>0.169761743584657</v>
      </c>
      <c r="Z407" s="16" t="n">
        <f aca="false">Q407*L407</f>
        <v>0.0699073633638698</v>
      </c>
      <c r="AA407" s="16" t="n">
        <f aca="false">R407*L407</f>
        <v>0.0903423619901638</v>
      </c>
      <c r="AB407" s="16" t="n">
        <f aca="false">S407*L407</f>
        <v>0.0379425830817751</v>
      </c>
      <c r="AC407" s="16" t="n">
        <f aca="false">Z407-W407</f>
        <v>0.021547354909837</v>
      </c>
      <c r="AD407" s="16" t="n">
        <f aca="false">AA407-W407</f>
        <v>0.041982353536131</v>
      </c>
      <c r="AE407" s="16" t="n">
        <f aca="false">AB407-W407</f>
        <v>-0.0104174253722577</v>
      </c>
      <c r="AF407" s="16" t="n">
        <f aca="false">AE407-X407</f>
        <v>-0.0747598027901992</v>
      </c>
      <c r="AG407" s="16" t="n">
        <f aca="false">AF407-p_spc_lo*Y407/1000</f>
        <v>-0.0832478899694321</v>
      </c>
      <c r="AH407" s="16" t="n">
        <f aca="false">AF407-p_spc_hi*Y407/1000</f>
        <v>-0.0917359771486649</v>
      </c>
      <c r="AI407" s="16" t="n">
        <f aca="false">Q407*J407</f>
        <v>0.291280680682791</v>
      </c>
      <c r="AJ407" s="16" t="n">
        <f aca="false">S407*J407</f>
        <v>0.158094096174063</v>
      </c>
      <c r="AK407" s="16" t="n">
        <f aca="false">T407*J407</f>
        <v>0.201500035225137</v>
      </c>
      <c r="AL407" s="16" t="n">
        <f aca="false">U407*J407</f>
        <v>0.268093239241423</v>
      </c>
      <c r="AM407" s="16" t="n">
        <f aca="false">AI407-AJ407</f>
        <v>0.133186584508728</v>
      </c>
      <c r="AN407" s="16" t="n">
        <f aca="false">J407*Country_Data!$EB$62</f>
        <v>2.3124332095027</v>
      </c>
      <c r="AO407" s="16" t="n">
        <f aca="false">L407*Country_Data!$EB$62</f>
        <v>0.554983970280648</v>
      </c>
    </row>
    <row r="408" customFormat="false" ht="15" hidden="false" customHeight="false" outlineLevel="0" collapsed="false">
      <c r="A408" s="14" t="str">
        <f aca="false">Country_Data!$A$62</f>
        <v>UKR</v>
      </c>
      <c r="B408" s="14" t="str">
        <f aca="false">Country_Data!$E$62</f>
        <v>EMDC</v>
      </c>
      <c r="C408" s="35" t="s">
        <v>481</v>
      </c>
      <c r="D408" s="37" t="n">
        <f aca="false">IF(Country_Data!$CC$62="","",Country_Data!$CC$62)</f>
        <v>0.859519508062599</v>
      </c>
      <c r="E408" s="40" t="n">
        <f aca="false">Country_Data!$BW$62</f>
        <v>659.616</v>
      </c>
      <c r="F408" s="41" t="n">
        <f aca="false">Country_Data!$BX$62</f>
        <v>0.289310750497259</v>
      </c>
      <c r="G408" s="42" t="n">
        <f aca="false">IF(D408="","",D408/SUMIFS($D$5:$D$1369,$B$5:$B$1369,B408,$C$5:$C$1369,C408))</f>
        <v>0.0122775771888256</v>
      </c>
      <c r="H408" s="42" t="n">
        <f aca="false">E408/SUMIFS($E$5:$E$1369,$B$5:$B$1369,B408,$C$5:$C$1369,C408)</f>
        <v>0.00817045160221072</v>
      </c>
      <c r="I408" s="43" t="n">
        <f aca="false">IF(G408="",H408,p_beta_alloc*G408+(1-p_beta_alloc)*H408)*F408^p_phi</f>
        <v>0.00549925347930193</v>
      </c>
      <c r="J408" s="16" t="n">
        <f aca="false">INDEX(Sector_Params!$C$20:$E$20,MATCH(B408,Sector_Params!$C$15:$E$15,0))*I408/SUMIFS($I$5:$I$1369,$B$5:$B$1369,B408,$C$5:$C$1369,C408)</f>
        <v>1.0037245022179</v>
      </c>
      <c r="K408" s="28" t="n">
        <f aca="false">INDEX(Sector_Params!$F$9:$H$9,MATCH(B408,Sector_Params!$C$15:$E$15,0))</f>
        <v>0.24</v>
      </c>
      <c r="L408" s="16" t="n">
        <f aca="false">J408*K408</f>
        <v>0.240893880532297</v>
      </c>
      <c r="M408" s="44" t="n">
        <f aca="false">Country_Data!$DW$62+Sector_Params!$E$9</f>
        <v>0.1385</v>
      </c>
      <c r="N408" s="44" t="n">
        <f aca="false">Country_Data!$DX$62+Sector_Params!$E$9</f>
        <v>0.1835</v>
      </c>
      <c r="O408" s="11" t="n">
        <f aca="false">IF(p_use_ibrd=1,p_r_ibrd,p_r_wb)</f>
        <v>0.06</v>
      </c>
      <c r="P408" s="45" t="n">
        <f aca="false">Sector_Params!$D$9</f>
        <v>25</v>
      </c>
      <c r="Q408" s="46" t="n">
        <f aca="false">M408/(1-(1+M408)^-P408)</f>
        <v>0.144128922457449</v>
      </c>
      <c r="R408" s="46" t="n">
        <f aca="false">N408/(1-(1+N408)^-P408)</f>
        <v>0.186260025544501</v>
      </c>
      <c r="S408" s="46" t="n">
        <f aca="false">O408/(1-(1+O408)^-P408)</f>
        <v>0.078226718212274</v>
      </c>
      <c r="T408" s="37" t="n">
        <f aca="false">Country_Data!$CM$62*Sector_Params!$I$9</f>
        <v>0.0997044599183842</v>
      </c>
      <c r="U408" s="37" t="n">
        <f aca="false">Country_Data!$CN$62*Sector_Params!$J$9</f>
        <v>0.132655518379789</v>
      </c>
      <c r="V408" s="37" t="n">
        <f aca="false">p_a</f>
        <v>0.35</v>
      </c>
      <c r="W408" s="16" t="n">
        <f aca="false">T408*L408</f>
        <v>0.0240181942561164</v>
      </c>
      <c r="X408" s="16" t="n">
        <f aca="false">U408*L408</f>
        <v>0.0319559025965308</v>
      </c>
      <c r="Y408" s="16" t="n">
        <f aca="false">V408*L408</f>
        <v>0.0843128581863038</v>
      </c>
      <c r="Z408" s="16" t="n">
        <f aca="false">Q408*L408</f>
        <v>0.0347197754277134</v>
      </c>
      <c r="AA408" s="16" t="n">
        <f aca="false">R408*L408</f>
        <v>0.0448689003414596</v>
      </c>
      <c r="AB408" s="16" t="n">
        <f aca="false">S408*L408</f>
        <v>0.0188443377114611</v>
      </c>
      <c r="AC408" s="16" t="n">
        <f aca="false">Z408-W408</f>
        <v>0.010701581171597</v>
      </c>
      <c r="AD408" s="16" t="n">
        <f aca="false">AA408-W408</f>
        <v>0.0208507060853432</v>
      </c>
      <c r="AE408" s="16" t="n">
        <f aca="false">AB408-W408</f>
        <v>-0.00517385654465525</v>
      </c>
      <c r="AF408" s="16" t="n">
        <f aca="false">AE408-X408</f>
        <v>-0.037129759141186</v>
      </c>
      <c r="AG408" s="16" t="n">
        <f aca="false">AF408-p_spc_lo*Y408/1000</f>
        <v>-0.0413454020505012</v>
      </c>
      <c r="AH408" s="16" t="n">
        <f aca="false">AF408-p_spc_hi*Y408/1000</f>
        <v>-0.0455610449598164</v>
      </c>
      <c r="AI408" s="16" t="n">
        <f aca="false">Q408*J408</f>
        <v>0.144665730948806</v>
      </c>
      <c r="AJ408" s="16" t="n">
        <f aca="false">S408*J408</f>
        <v>0.0785180737977548</v>
      </c>
      <c r="AK408" s="16" t="n">
        <f aca="false">T408*J408</f>
        <v>0.100075809400485</v>
      </c>
      <c r="AL408" s="16" t="n">
        <f aca="false">U408*J408</f>
        <v>0.133149594152212</v>
      </c>
      <c r="AM408" s="16" t="n">
        <f aca="false">AI408-AJ408</f>
        <v>0.066147657151051</v>
      </c>
      <c r="AN408" s="16" t="n">
        <f aca="false">J408*Country_Data!$EB$62</f>
        <v>1.1484793283881</v>
      </c>
      <c r="AO408" s="16" t="n">
        <f aca="false">L408*Country_Data!$EB$62</f>
        <v>0.275635038813145</v>
      </c>
    </row>
    <row r="409" customFormat="false" ht="15" hidden="false" customHeight="false" outlineLevel="0" collapsed="false">
      <c r="A409" s="14" t="str">
        <f aca="false">Country_Data!$A$62</f>
        <v>UKR</v>
      </c>
      <c r="B409" s="14" t="str">
        <f aca="false">Country_Data!$E$62</f>
        <v>EMDC</v>
      </c>
      <c r="C409" s="35" t="s">
        <v>484</v>
      </c>
      <c r="D409" s="37" t="n">
        <f aca="false">IF(Country_Data!$CD$62="","",Country_Data!$CD$62)</f>
        <v>1.51180392581466</v>
      </c>
      <c r="E409" s="40" t="n">
        <f aca="false">Country_Data!$BW$62</f>
        <v>659.616</v>
      </c>
      <c r="F409" s="41" t="n">
        <f aca="false">Country_Data!$BX$62</f>
        <v>0.289310750497259</v>
      </c>
      <c r="G409" s="42" t="n">
        <f aca="false">IF(D409="","",D409/SUMIFS($D$5:$D$1369,$B$5:$B$1369,B409,$C$5:$C$1369,C409))</f>
        <v>0.00844246541294468</v>
      </c>
      <c r="H409" s="42" t="n">
        <f aca="false">E409/SUMIFS($E$5:$E$1369,$B$5:$B$1369,B409,$C$5:$C$1369,C409)</f>
        <v>0.00817045160221072</v>
      </c>
      <c r="I409" s="43" t="n">
        <f aca="false">IF(G409="",H409,p_beta_alloc*G409+(1-p_beta_alloc)*H409)*F409^p_phi</f>
        <v>0.00446784590488233</v>
      </c>
      <c r="J409" s="16" t="n">
        <f aca="false">INDEX(Sector_Params!$C$21:$E$21,MATCH(B409,Sector_Params!$C$15:$E$15,0))*I409/SUMIFS($I$5:$I$1369,$B$5:$B$1369,B409,$C$5:$C$1369,C409)</f>
        <v>0.990922766988886</v>
      </c>
      <c r="K409" s="28" t="n">
        <f aca="false">INDEX(Sector_Params!$F$10:$H$10,MATCH(B409,Sector_Params!$C$15:$E$15,0))</f>
        <v>0.24</v>
      </c>
      <c r="L409" s="16" t="n">
        <f aca="false">J409*K409</f>
        <v>0.237821464077333</v>
      </c>
      <c r="M409" s="44" t="n">
        <f aca="false">Country_Data!$DW$62+Sector_Params!$E$10</f>
        <v>0.1385</v>
      </c>
      <c r="N409" s="44" t="n">
        <f aca="false">Country_Data!$DX$62+Sector_Params!$E$10</f>
        <v>0.1835</v>
      </c>
      <c r="O409" s="11" t="n">
        <f aca="false">IF(p_use_ibrd=1,p_r_ibrd,p_r_wb)</f>
        <v>0.06</v>
      </c>
      <c r="P409" s="45" t="n">
        <f aca="false">Sector_Params!$D$10</f>
        <v>20</v>
      </c>
      <c r="Q409" s="46" t="n">
        <f aca="false">M409/(1-(1+M409)^-P409)</f>
        <v>0.149681704780832</v>
      </c>
      <c r="R409" s="46" t="n">
        <f aca="false">N409/(1-(1+N409)^-P409)</f>
        <v>0.190038472253309</v>
      </c>
      <c r="S409" s="46" t="n">
        <f aca="false">O409/(1-(1+O409)^-P409)</f>
        <v>0.0871845569768514</v>
      </c>
      <c r="T409" s="37" t="n">
        <f aca="false">0*Sector_Params!$I$10</f>
        <v>0</v>
      </c>
      <c r="U409" s="37" t="n">
        <f aca="false">0*Sector_Params!$J$10</f>
        <v>0</v>
      </c>
      <c r="V409" s="37" t="n">
        <f aca="false">1000*p_r_wb/(1-(1+p_r_wb)^-Sector_Params!$D$10)/p_cpt_fuel</f>
        <v>0.871845569768514</v>
      </c>
      <c r="W409" s="16" t="n">
        <f aca="false">T409*L409</f>
        <v>0</v>
      </c>
      <c r="X409" s="16" t="n">
        <f aca="false">U409*L409</f>
        <v>0</v>
      </c>
      <c r="Y409" s="16" t="n">
        <f aca="false">V409*L409</f>
        <v>0.207343589851684</v>
      </c>
      <c r="Z409" s="16" t="n">
        <f aca="false">Q409*L409</f>
        <v>0.0355975221765685</v>
      </c>
      <c r="AA409" s="16" t="n">
        <f aca="false">R409*L409</f>
        <v>0.0451952277023014</v>
      </c>
      <c r="AB409" s="16" t="n">
        <f aca="false">S409*L409</f>
        <v>0.0207343589851684</v>
      </c>
      <c r="AC409" s="16" t="n">
        <f aca="false">Z409-W409</f>
        <v>0.0355975221765685</v>
      </c>
      <c r="AD409" s="16" t="n">
        <f aca="false">AA409-W409</f>
        <v>0.0451952277023014</v>
      </c>
      <c r="AE409" s="16" t="n">
        <f aca="false">AB409-W409</f>
        <v>0.0207343589851684</v>
      </c>
      <c r="AF409" s="16" t="n">
        <f aca="false">AE409-X409</f>
        <v>0.0207343589851684</v>
      </c>
      <c r="AG409" s="16" t="n">
        <f aca="false">AF409-p_spc_lo*Y409/1000</f>
        <v>0.0103671794925842</v>
      </c>
      <c r="AH409" s="16" t="n">
        <f aca="false">AF409-p_spc_hi*Y409/1000</f>
        <v>0</v>
      </c>
      <c r="AI409" s="16" t="n">
        <f aca="false">Q409*J409</f>
        <v>0.148323009069035</v>
      </c>
      <c r="AJ409" s="16" t="n">
        <f aca="false">S409*J409</f>
        <v>0.0863931624382018</v>
      </c>
      <c r="AK409" s="16" t="n">
        <f aca="false">T409*J409</f>
        <v>0</v>
      </c>
      <c r="AL409" s="16" t="n">
        <f aca="false">U409*J409</f>
        <v>0</v>
      </c>
      <c r="AM409" s="16" t="n">
        <f aca="false">AI409-AJ409</f>
        <v>0.0619298466308335</v>
      </c>
      <c r="AN409" s="16" t="n">
        <f aca="false">J409*Country_Data!$EB$62</f>
        <v>1.13383135651381</v>
      </c>
      <c r="AO409" s="16" t="n">
        <f aca="false">L409*Country_Data!$EB$62</f>
        <v>0.272119525563315</v>
      </c>
    </row>
    <row r="410" customFormat="false" ht="15" hidden="false" customHeight="false" outlineLevel="0" collapsed="false">
      <c r="A410" s="14" t="str">
        <f aca="false">Country_Data!$A$62</f>
        <v>UKR</v>
      </c>
      <c r="B410" s="14" t="str">
        <f aca="false">Country_Data!$E$62</f>
        <v>EMDC</v>
      </c>
      <c r="C410" s="35" t="s">
        <v>488</v>
      </c>
      <c r="D410" s="37" t="n">
        <f aca="false">IF(Country_Data!$CE$62="","",Country_Data!$CE$62)</f>
        <v>121.82</v>
      </c>
      <c r="E410" s="40" t="n">
        <f aca="false">Country_Data!$BW$62</f>
        <v>659.616</v>
      </c>
      <c r="F410" s="41" t="n">
        <f aca="false">Country_Data!$BX$62</f>
        <v>0.289310750497259</v>
      </c>
      <c r="G410" s="42" t="n">
        <f aca="false">IF(D410="","",D410/SUMIFS($D$5:$D$1369,$B$5:$B$1369,B410,$C$5:$C$1369,C410))</f>
        <v>0.00998188315247896</v>
      </c>
      <c r="H410" s="42" t="n">
        <f aca="false">E410/SUMIFS($E$5:$E$1369,$B$5:$B$1369,B410,$C$5:$C$1369,C410)</f>
        <v>0.00817045160221072</v>
      </c>
      <c r="I410" s="43" t="n">
        <f aca="false">IF(G410="",H410,p_beta_alloc*G410+(1-p_beta_alloc)*H410)*F410^p_phi</f>
        <v>0.00488185394676968</v>
      </c>
      <c r="J410" s="16" t="n">
        <f aca="false">INDEX(Sector_Params!$C$22:$E$22,MATCH(B410,Sector_Params!$C$15:$E$15,0))*I410/SUMIFS($I$5:$I$1369,$B$5:$B$1369,B410,$C$5:$C$1369,C410)</f>
        <v>2.94282250917229</v>
      </c>
      <c r="K410" s="28" t="n">
        <f aca="false">INDEX(Sector_Params!$F$11:$H$11,MATCH(B410,Sector_Params!$C$15:$E$15,0))</f>
        <v>0.24</v>
      </c>
      <c r="L410" s="16" t="n">
        <f aca="false">J410*K410</f>
        <v>0.70627740220135</v>
      </c>
      <c r="M410" s="44" t="n">
        <f aca="false">Country_Data!$DW$62+Sector_Params!$E$11</f>
        <v>0.1385</v>
      </c>
      <c r="N410" s="44" t="n">
        <f aca="false">Country_Data!$DX$62+Sector_Params!$E$11</f>
        <v>0.1835</v>
      </c>
      <c r="O410" s="11" t="n">
        <f aca="false">IF(p_use_ibrd=1,p_r_ibrd,p_r_wb)</f>
        <v>0.06</v>
      </c>
      <c r="P410" s="45" t="n">
        <f aca="false">Sector_Params!$D$11</f>
        <v>30</v>
      </c>
      <c r="Q410" s="46" t="n">
        <f aca="false">M410/(1-(1+M410)^-P410)</f>
        <v>0.141386807600385</v>
      </c>
      <c r="R410" s="46" t="n">
        <f aca="false">N410/(1-(1+N410)^-P410)</f>
        <v>0.184678606196985</v>
      </c>
      <c r="S410" s="46" t="n">
        <f aca="false">O410/(1-(1+O410)^-P410)</f>
        <v>0.0726489114900472</v>
      </c>
      <c r="T410" s="37" t="n">
        <f aca="false">0*Sector_Params!$I$11</f>
        <v>0</v>
      </c>
      <c r="U410" s="37" t="n">
        <f aca="false">p_c*Sector_Params!$J$11</f>
        <v>0.129</v>
      </c>
      <c r="V410" s="37" t="n">
        <f aca="false">1000*p_r_wb/(1-(1+p_r_wb)^-Sector_Params!$D$11)/p_cpt_afolu</f>
        <v>1.45297822980094</v>
      </c>
      <c r="W410" s="16" t="n">
        <f aca="false">T410*L410</f>
        <v>0</v>
      </c>
      <c r="X410" s="16" t="n">
        <f aca="false">U410*L410</f>
        <v>0.0911097848839742</v>
      </c>
      <c r="Y410" s="16" t="n">
        <f aca="false">V410*L410</f>
        <v>1.02620568959893</v>
      </c>
      <c r="Z410" s="16" t="n">
        <f aca="false">Q410*L410</f>
        <v>0.0998583071775421</v>
      </c>
      <c r="AA410" s="16" t="n">
        <f aca="false">R410*L410</f>
        <v>0.130434326226973</v>
      </c>
      <c r="AB410" s="16" t="n">
        <f aca="false">S410*L410</f>
        <v>0.0513102844799464</v>
      </c>
      <c r="AC410" s="16" t="n">
        <f aca="false">Z410-W410</f>
        <v>0.0998583071775421</v>
      </c>
      <c r="AD410" s="16" t="n">
        <f aca="false">AA410-W410</f>
        <v>0.130434326226973</v>
      </c>
      <c r="AE410" s="16" t="n">
        <f aca="false">AB410-W410</f>
        <v>0.0513102844799464</v>
      </c>
      <c r="AF410" s="16" t="n">
        <f aca="false">AE410-X410</f>
        <v>-0.0397995004040278</v>
      </c>
      <c r="AG410" s="16" t="n">
        <f aca="false">AF410-p_spc_lo*Y410/1000</f>
        <v>-0.0911097848839742</v>
      </c>
      <c r="AH410" s="16" t="n">
        <f aca="false">AF410-p_spc_hi*Y410/1000</f>
        <v>-0.142420069363921</v>
      </c>
      <c r="AI410" s="16" t="n">
        <f aca="false">Q410*J410</f>
        <v>0.416076279906426</v>
      </c>
      <c r="AJ410" s="16" t="n">
        <f aca="false">S410*J410</f>
        <v>0.213792851999777</v>
      </c>
      <c r="AK410" s="16" t="n">
        <f aca="false">T410*J410</f>
        <v>0</v>
      </c>
      <c r="AL410" s="16" t="n">
        <f aca="false">U410*J410</f>
        <v>0.379624103683226</v>
      </c>
      <c r="AM410" s="16" t="n">
        <f aca="false">AI410-AJ410</f>
        <v>0.202283427906649</v>
      </c>
      <c r="AN410" s="16" t="n">
        <f aca="false">J410*Country_Data!$EB$62</f>
        <v>3.36722956491687</v>
      </c>
      <c r="AO410" s="16" t="n">
        <f aca="false">L410*Country_Data!$EB$62</f>
        <v>0.808135095580049</v>
      </c>
    </row>
    <row r="411" customFormat="false" ht="15" hidden="false" customHeight="false" outlineLevel="0" collapsed="false">
      <c r="A411" s="14" t="str">
        <f aca="false">Country_Data!$A$63</f>
        <v>KWT</v>
      </c>
      <c r="B411" s="14" t="str">
        <f aca="false">Country_Data!$E$63</f>
        <v>EMDC</v>
      </c>
      <c r="C411" s="35" t="s">
        <v>466</v>
      </c>
      <c r="D411" s="37" t="n">
        <f aca="false">IF(Country_Data!$BZ$63="","",Country_Data!$BZ$63)</f>
        <v>74.6997507427203</v>
      </c>
      <c r="E411" s="40" t="n">
        <f aca="false">Country_Data!$BW$63</f>
        <v>260.144</v>
      </c>
      <c r="F411" s="41" t="n">
        <f aca="false">Country_Data!$BX$63</f>
        <v>0.618511286056953</v>
      </c>
      <c r="G411" s="42" t="n">
        <f aca="false">IF(D411="","",D411/SUMIFS($D$5:$D$1369,$B$5:$B$1369,B411,$C$5:$C$1369,C411))</f>
        <v>0.00852788306081348</v>
      </c>
      <c r="H411" s="42" t="n">
        <f aca="false">E411/SUMIFS($E$5:$E$1369,$B$5:$B$1369,B411,$C$5:$C$1369,C411)</f>
        <v>0.00322232020085248</v>
      </c>
      <c r="I411" s="43" t="n">
        <f aca="false">IF(G411="",H411,p_beta_alloc*G411+(1-p_beta_alloc)*H411)*F411^p_phi</f>
        <v>0.00462050237712851</v>
      </c>
      <c r="J411" s="16" t="n">
        <f aca="false">INDEX(Sector_Params!$C$16:$E$16,MATCH(B411,Sector_Params!$C$15:$E$15,0))*I411/SUMIFS($I$5:$I$1369,$B$5:$B$1369,B411,$C$5:$C$1369,C411)</f>
        <v>4.46906703899339</v>
      </c>
      <c r="K411" s="28" t="n">
        <f aca="false">INDEX(Sector_Params!$F$5:$H$5,MATCH(B411,Sector_Params!$C$15:$E$15,0))</f>
        <v>0.24</v>
      </c>
      <c r="L411" s="16" t="n">
        <f aca="false">J411*K411</f>
        <v>1.07257608935841</v>
      </c>
      <c r="M411" s="44" t="n">
        <f aca="false">Country_Data!$DW$63+Sector_Params!$E$5</f>
        <v>0.105</v>
      </c>
      <c r="N411" s="44" t="n">
        <f aca="false">Country_Data!$DX$63+Sector_Params!$E$5</f>
        <v>0.15</v>
      </c>
      <c r="O411" s="11" t="n">
        <f aca="false">IF(p_use_ibrd=1,p_r_ibrd,p_r_wb)</f>
        <v>0.06</v>
      </c>
      <c r="P411" s="45" t="n">
        <f aca="false">Sector_Params!$D$5</f>
        <v>25</v>
      </c>
      <c r="Q411" s="46" t="n">
        <f aca="false">M411/(1-(1+M411)^-P411)</f>
        <v>0.114429319813103</v>
      </c>
      <c r="R411" s="46" t="n">
        <f aca="false">N411/(1-(1+N411)^-P411)</f>
        <v>0.154699402320206</v>
      </c>
      <c r="S411" s="46" t="n">
        <f aca="false">O411/(1-(1+O411)^-P411)</f>
        <v>0.078226718212274</v>
      </c>
      <c r="T411" s="37" t="n">
        <f aca="false">IF(AND(p_eng=1,ISNUMBER(Country_Data!$CZ$63)),Country_Data!$CZ$63,Country_Data!$CM$63)*Sector_Params!$I$5</f>
        <v>0.178570334050909</v>
      </c>
      <c r="U411" s="37" t="n">
        <f aca="false">IF(AND(p_eng=1,ISNUMBER(Country_Data!$DA$63)),Country_Data!$DA$63,Country_Data!$CN$63)*Sector_Params!$J$5</f>
        <v>0.0257539062521142</v>
      </c>
      <c r="V411" s="37" t="n">
        <f aca="false">IF(AND(p_eng=1,ISNUMBER(Country_Data!$DB$63)),Country_Data!$DB$63,p_a)</f>
        <v>1.2655124054834</v>
      </c>
      <c r="W411" s="16" t="n">
        <f aca="false">T411*L411</f>
        <v>0.19153027057175</v>
      </c>
      <c r="X411" s="16" t="n">
        <f aca="false">U411*L411</f>
        <v>0.0276230240535959</v>
      </c>
      <c r="Y411" s="16" t="n">
        <f aca="false">V411*L411</f>
        <v>1.35735834690794</v>
      </c>
      <c r="Z411" s="16" t="n">
        <f aca="false">Q411*L411</f>
        <v>0.122734152353082</v>
      </c>
      <c r="AA411" s="16" t="n">
        <f aca="false">R411*L411</f>
        <v>0.165926879966691</v>
      </c>
      <c r="AB411" s="16" t="n">
        <f aca="false">S411*L411</f>
        <v>0.0839041075034634</v>
      </c>
      <c r="AC411" s="16" t="n">
        <f aca="false">Z411-W411</f>
        <v>-0.0687961182186684</v>
      </c>
      <c r="AD411" s="16" t="n">
        <f aca="false">AA411-W411</f>
        <v>-0.025603390605059</v>
      </c>
      <c r="AE411" s="16" t="n">
        <f aca="false">AB411-W411</f>
        <v>-0.107626163068287</v>
      </c>
      <c r="AF411" s="16" t="n">
        <f aca="false">AE411-X411</f>
        <v>-0.135249187121882</v>
      </c>
      <c r="AG411" s="16" t="n">
        <f aca="false">AF411-p_spc_lo*Y411/1000</f>
        <v>-0.203117104467279</v>
      </c>
      <c r="AH411" s="16" t="n">
        <f aca="false">AF411-p_spc_hi*Y411/1000</f>
        <v>-0.270985021812677</v>
      </c>
      <c r="AI411" s="16" t="n">
        <f aca="false">Q411*J411</f>
        <v>0.511392301471173</v>
      </c>
      <c r="AJ411" s="16" t="n">
        <f aca="false">S411*J411</f>
        <v>0.349600447931097</v>
      </c>
      <c r="AK411" s="16" t="n">
        <f aca="false">T411*J411</f>
        <v>0.798042794048958</v>
      </c>
      <c r="AL411" s="16" t="n">
        <f aca="false">U411*J411</f>
        <v>0.115095933556649</v>
      </c>
      <c r="AM411" s="16" t="n">
        <f aca="false">AI411-AJ411</f>
        <v>0.161791853540076</v>
      </c>
      <c r="AN411" s="16" t="n">
        <f aca="false">J411*Country_Data!$EB$63</f>
        <v>5.13024408037872</v>
      </c>
      <c r="AO411" s="16" t="n">
        <f aca="false">L411*Country_Data!$EB$63</f>
        <v>1.23125857929089</v>
      </c>
    </row>
    <row r="412" customFormat="false" ht="15" hidden="false" customHeight="false" outlineLevel="0" collapsed="false">
      <c r="A412" s="14" t="str">
        <f aca="false">Country_Data!$A$63</f>
        <v>KWT</v>
      </c>
      <c r="B412" s="14" t="str">
        <f aca="false">Country_Data!$E$63</f>
        <v>EMDC</v>
      </c>
      <c r="C412" s="35" t="s">
        <v>470</v>
      </c>
      <c r="D412" s="37" t="n">
        <f aca="false">IF(Country_Data!$BZ$63="","",Country_Data!$BZ$63)</f>
        <v>74.6997507427203</v>
      </c>
      <c r="E412" s="40" t="n">
        <f aca="false">Country_Data!$BW$63</f>
        <v>260.144</v>
      </c>
      <c r="F412" s="41" t="n">
        <f aca="false">Country_Data!$BX$63</f>
        <v>0.618511286056953</v>
      </c>
      <c r="G412" s="42" t="n">
        <f aca="false">IF(D412="","",D412/SUMIFS($D$5:$D$1369,$B$5:$B$1369,B412,$C$5:$C$1369,C412))</f>
        <v>0.00852788306081348</v>
      </c>
      <c r="H412" s="42" t="n">
        <f aca="false">E412/SUMIFS($E$5:$E$1369,$B$5:$B$1369,B412,$C$5:$C$1369,C412)</f>
        <v>0.00322232020085248</v>
      </c>
      <c r="I412" s="43" t="n">
        <f aca="false">IF(G412="",H412,p_beta_alloc*G412+(1-p_beta_alloc)*H412)*F412^p_phi</f>
        <v>0.00462050237712851</v>
      </c>
      <c r="J412" s="16" t="n">
        <f aca="false">INDEX(Sector_Params!$C$17:$E$17,MATCH(B412,Sector_Params!$C$15:$E$15,0))*I412/SUMIFS($I$5:$I$1369,$B$5:$B$1369,B412,$C$5:$C$1369,C412)</f>
        <v>3.06450311245261</v>
      </c>
      <c r="K412" s="28" t="n">
        <f aca="false">INDEX(Sector_Params!$F$6:$H$6,MATCH(B412,Sector_Params!$C$15:$E$15,0))</f>
        <v>0.24</v>
      </c>
      <c r="L412" s="16" t="n">
        <f aca="false">J412*K412</f>
        <v>0.735480746988627</v>
      </c>
      <c r="M412" s="44" t="n">
        <f aca="false">Country_Data!$DW$63+Sector_Params!$E$6</f>
        <v>0.105</v>
      </c>
      <c r="N412" s="44" t="n">
        <f aca="false">Country_Data!$DX$63+Sector_Params!$E$6</f>
        <v>0.15</v>
      </c>
      <c r="O412" s="11" t="n">
        <f aca="false">IF(p_use_ibrd=1,p_r_ibrd,p_r_wb)</f>
        <v>0.06</v>
      </c>
      <c r="P412" s="45" t="n">
        <f aca="false">Sector_Params!$D$6</f>
        <v>40</v>
      </c>
      <c r="Q412" s="46" t="n">
        <f aca="false">M412/(1-(1+M412)^-P412)</f>
        <v>0.10697140835497</v>
      </c>
      <c r="R412" s="46" t="n">
        <f aca="false">N412/(1-(1+N412)^-P412)</f>
        <v>0.150562085013545</v>
      </c>
      <c r="S412" s="46" t="n">
        <f aca="false">O412/(1-(1+O412)^-P412)</f>
        <v>0.0664615359206755</v>
      </c>
      <c r="T412" s="37" t="n">
        <f aca="false">p_grid_credit*IF(AND(p_eng=1,ISNUMBER(Country_Data!$CZ$63)),Country_Data!$CZ$63,Country_Data!$CM$63)*Sector_Params!$I$6</f>
        <v>0</v>
      </c>
      <c r="U412" s="37" t="n">
        <f aca="false">p_grid_credit*IF(AND(p_eng=1,ISNUMBER(Country_Data!$DA$63)),Country_Data!$DA$63,Country_Data!$CN$63)*Sector_Params!$J$6</f>
        <v>0</v>
      </c>
      <c r="V412" s="37" t="n">
        <f aca="false">p_grid_credit*IF(AND(p_eng=1,ISNUMBER(Country_Data!$DB$63)),Country_Data!$DB$63,p_a)</f>
        <v>0</v>
      </c>
      <c r="W412" s="16" t="n">
        <f aca="false">T412*L412</f>
        <v>0</v>
      </c>
      <c r="X412" s="16" t="n">
        <f aca="false">U412*L412</f>
        <v>0</v>
      </c>
      <c r="Y412" s="16" t="n">
        <f aca="false">V412*L412</f>
        <v>0</v>
      </c>
      <c r="Z412" s="16" t="n">
        <f aca="false">Q412*L412</f>
        <v>0.078675411323339</v>
      </c>
      <c r="AA412" s="16" t="n">
        <f aca="false">R412*L412</f>
        <v>0.110735514753927</v>
      </c>
      <c r="AB412" s="16" t="n">
        <f aca="false">S412*L412</f>
        <v>0.0488811800849499</v>
      </c>
      <c r="AC412" s="16" t="n">
        <f aca="false">Z412-W412</f>
        <v>0.078675411323339</v>
      </c>
      <c r="AD412" s="16" t="n">
        <f aca="false">AA412-W412</f>
        <v>0.110735514753927</v>
      </c>
      <c r="AE412" s="16" t="n">
        <f aca="false">AB412-W412</f>
        <v>0.0488811800849499</v>
      </c>
      <c r="AF412" s="16" t="n">
        <f aca="false">AE412-X412</f>
        <v>0.0488811800849499</v>
      </c>
      <c r="AG412" s="16" t="n">
        <f aca="false">AF412-p_spc_lo*Y412/1000</f>
        <v>0.0488811800849499</v>
      </c>
      <c r="AH412" s="16" t="n">
        <f aca="false">AF412-p_spc_hi*Y412/1000</f>
        <v>0.0488811800849499</v>
      </c>
      <c r="AI412" s="16" t="n">
        <f aca="false">Q412*J412</f>
        <v>0.327814213847246</v>
      </c>
      <c r="AJ412" s="16" t="n">
        <f aca="false">S412*J412</f>
        <v>0.203671583687291</v>
      </c>
      <c r="AK412" s="16" t="n">
        <f aca="false">T412*J412</f>
        <v>0</v>
      </c>
      <c r="AL412" s="16" t="n">
        <f aca="false">U412*J412</f>
        <v>0</v>
      </c>
      <c r="AM412" s="16" t="n">
        <f aca="false">AI412-AJ412</f>
        <v>0.124142630159955</v>
      </c>
      <c r="AN412" s="16" t="n">
        <f aca="false">J412*Country_Data!$EB$63</f>
        <v>3.51788165511683</v>
      </c>
      <c r="AO412" s="16" t="n">
        <f aca="false">L412*Country_Data!$EB$63</f>
        <v>0.84429159722804</v>
      </c>
    </row>
    <row r="413" customFormat="false" ht="15" hidden="false" customHeight="false" outlineLevel="0" collapsed="false">
      <c r="A413" s="14" t="str">
        <f aca="false">Country_Data!$A$63</f>
        <v>KWT</v>
      </c>
      <c r="B413" s="14" t="str">
        <f aca="false">Country_Data!$E$63</f>
        <v>EMDC</v>
      </c>
      <c r="C413" s="35" t="s">
        <v>473</v>
      </c>
      <c r="D413" s="37" t="n">
        <f aca="false">IF(Country_Data!$CA$63="","",Country_Data!$CA$63)</f>
        <v>0.264559854932602</v>
      </c>
      <c r="E413" s="40" t="n">
        <f aca="false">Country_Data!$BW$63</f>
        <v>260.144</v>
      </c>
      <c r="F413" s="41" t="n">
        <f aca="false">Country_Data!$BX$63</f>
        <v>0.618511286056953</v>
      </c>
      <c r="G413" s="42" t="n">
        <f aca="false">IF(D413="","",D413/SUMIFS($D$5:$D$1369,$B$5:$B$1369,B413,$C$5:$C$1369,C413))</f>
        <v>0.00611194820416998</v>
      </c>
      <c r="H413" s="42" t="n">
        <f aca="false">E413/SUMIFS($E$5:$E$1369,$B$5:$B$1369,B413,$C$5:$C$1369,C413)</f>
        <v>0.00322232020085248</v>
      </c>
      <c r="I413" s="43" t="n">
        <f aca="false">IF(G413="",H413,p_beta_alloc*G413+(1-p_beta_alloc)*H413)*F413^p_phi</f>
        <v>0.00367049049226804</v>
      </c>
      <c r="J413" s="16" t="n">
        <f aca="false">INDEX(Sector_Params!$C$18:$E$18,MATCH(B413,Sector_Params!$C$15:$E$15,0))*I413/SUMIFS($I$5:$I$1369,$B$5:$B$1369,B413,$C$5:$C$1369,C413)</f>
        <v>1.50297900832155</v>
      </c>
      <c r="K413" s="28" t="n">
        <f aca="false">INDEX(Sector_Params!$F$7:$H$7,MATCH(B413,Sector_Params!$C$15:$E$15,0))</f>
        <v>0.24</v>
      </c>
      <c r="L413" s="16" t="n">
        <f aca="false">J413*K413</f>
        <v>0.360714961997172</v>
      </c>
      <c r="M413" s="44" t="n">
        <f aca="false">Country_Data!$DW$63+Sector_Params!$E$7</f>
        <v>0.105</v>
      </c>
      <c r="N413" s="44" t="n">
        <f aca="false">Country_Data!$DX$63+Sector_Params!$E$7</f>
        <v>0.15</v>
      </c>
      <c r="O413" s="11" t="n">
        <f aca="false">IF(p_use_ibrd=1,p_r_ibrd,p_r_wb)</f>
        <v>0.06</v>
      </c>
      <c r="P413" s="45" t="n">
        <f aca="false">Sector_Params!$D$7</f>
        <v>12</v>
      </c>
      <c r="Q413" s="46" t="n">
        <f aca="false">M413/(1-(1+M413)^-P413)</f>
        <v>0.150376745634766</v>
      </c>
      <c r="R413" s="46" t="n">
        <f aca="false">N413/(1-(1+N413)^-P413)</f>
        <v>0.18448077613084</v>
      </c>
      <c r="S413" s="46" t="n">
        <f aca="false">O413/(1-(1+O413)^-P413)</f>
        <v>0.119277029380664</v>
      </c>
      <c r="T413" s="37" t="n">
        <f aca="false">IF(AND(p_eng=1,ISNUMBER(Country_Data!$DE$63)),Country_Data!$DE$63,Country_Data!$CM$63)*Sector_Params!$I$7</f>
        <v>0.14184</v>
      </c>
      <c r="U413" s="37" t="n">
        <f aca="false">IF(AND(p_eng=1,ISNUMBER(Country_Data!$DF$63)),Country_Data!$DF$63,Country_Data!$CN$63)*Sector_Params!$J$7</f>
        <v>0.012366</v>
      </c>
      <c r="V413" s="37" t="n">
        <f aca="false">IF(AND(p_eng=1,ISNUMBER(Country_Data!$DG$63)),Country_Data!$DG$63,p_a)</f>
        <v>0.236309563416274</v>
      </c>
      <c r="W413" s="16" t="n">
        <f aca="false">T413*L413</f>
        <v>0.0511638102096789</v>
      </c>
      <c r="X413" s="16" t="n">
        <f aca="false">U413*L413</f>
        <v>0.00446060122005703</v>
      </c>
      <c r="Y413" s="16" t="n">
        <f aca="false">V413*L413</f>
        <v>0.0852403951872697</v>
      </c>
      <c r="Z413" s="16" t="n">
        <f aca="false">Q413*L413</f>
        <v>0.0542431420869029</v>
      </c>
      <c r="AA413" s="16" t="n">
        <f aca="false">R413*L413</f>
        <v>0.0665449761512446</v>
      </c>
      <c r="AB413" s="16" t="n">
        <f aca="false">S413*L413</f>
        <v>0.0430250091201816</v>
      </c>
      <c r="AC413" s="16" t="n">
        <f aca="false">Z413-W413</f>
        <v>0.00307933187722403</v>
      </c>
      <c r="AD413" s="16" t="n">
        <f aca="false">AA413-W413</f>
        <v>0.0153811659415657</v>
      </c>
      <c r="AE413" s="16" t="n">
        <f aca="false">AB413-W413</f>
        <v>-0.00813880108949726</v>
      </c>
      <c r="AF413" s="16" t="n">
        <f aca="false">AE413-X413</f>
        <v>-0.0125994023095543</v>
      </c>
      <c r="AG413" s="16" t="n">
        <f aca="false">AF413-p_spc_lo*Y413/1000</f>
        <v>-0.0168614220689178</v>
      </c>
      <c r="AH413" s="16" t="n">
        <f aca="false">AF413-p_spc_hi*Y413/1000</f>
        <v>-0.0211234418282813</v>
      </c>
      <c r="AI413" s="16" t="n">
        <f aca="false">Q413*J413</f>
        <v>0.226013092028762</v>
      </c>
      <c r="AJ413" s="16" t="n">
        <f aca="false">S413*J413</f>
        <v>0.17927087133409</v>
      </c>
      <c r="AK413" s="16" t="n">
        <f aca="false">T413*J413</f>
        <v>0.213182542540329</v>
      </c>
      <c r="AL413" s="16" t="n">
        <f aca="false">U413*J413</f>
        <v>0.0185858384169043</v>
      </c>
      <c r="AM413" s="16" t="n">
        <f aca="false">AI413-AJ413</f>
        <v>0.046742220694672</v>
      </c>
      <c r="AN413" s="16" t="n">
        <f aca="false">J413*Country_Data!$EB$63</f>
        <v>1.72533754653898</v>
      </c>
      <c r="AO413" s="16" t="n">
        <f aca="false">L413*Country_Data!$EB$63</f>
        <v>0.414081011169356</v>
      </c>
    </row>
    <row r="414" customFormat="false" ht="15" hidden="false" customHeight="false" outlineLevel="0" collapsed="false">
      <c r="A414" s="14" t="str">
        <f aca="false">Country_Data!$A$63</f>
        <v>KWT</v>
      </c>
      <c r="B414" s="14" t="str">
        <f aca="false">Country_Data!$E$63</f>
        <v>EMDC</v>
      </c>
      <c r="C414" s="35" t="s">
        <v>477</v>
      </c>
      <c r="D414" s="37" t="n">
        <f aca="false">IF(Country_Data!$CB$63="","",Country_Data!$CB$63)</f>
        <v>0.14586570748565</v>
      </c>
      <c r="E414" s="40" t="n">
        <f aca="false">Country_Data!$BW$63</f>
        <v>260.144</v>
      </c>
      <c r="F414" s="41" t="n">
        <f aca="false">Country_Data!$BX$63</f>
        <v>0.618511286056953</v>
      </c>
      <c r="G414" s="42" t="n">
        <f aca="false">IF(D414="","",D414/SUMIFS($D$5:$D$1369,$B$5:$B$1369,B414,$C$5:$C$1369,C414))</f>
        <v>0.00459958991814799</v>
      </c>
      <c r="H414" s="42" t="n">
        <f aca="false">E414/SUMIFS($E$5:$E$1369,$B$5:$B$1369,B414,$C$5:$C$1369,C414)</f>
        <v>0.00322232020085248</v>
      </c>
      <c r="I414" s="43" t="n">
        <f aca="false">IF(G414="",H414,p_beta_alloc*G414+(1-p_beta_alloc)*H414)*F414^p_phi</f>
        <v>0.00307578971135203</v>
      </c>
      <c r="J414" s="16" t="n">
        <f aca="false">INDEX(Sector_Params!$C$19:$E$19,MATCH(B414,Sector_Params!$C$15:$E$15,0))*I414/SUMIFS($I$5:$I$1369,$B$5:$B$1369,B414,$C$5:$C$1369,C414)</f>
        <v>0.989981662862138</v>
      </c>
      <c r="K414" s="28" t="n">
        <f aca="false">INDEX(Sector_Params!$F$8:$H$8,MATCH(B414,Sector_Params!$C$15:$E$15,0))</f>
        <v>0.24</v>
      </c>
      <c r="L414" s="16" t="n">
        <f aca="false">J414*K414</f>
        <v>0.237595599086913</v>
      </c>
      <c r="M414" s="44" t="n">
        <f aca="false">Country_Data!$DW$63+Sector_Params!$E$8</f>
        <v>0.105</v>
      </c>
      <c r="N414" s="44" t="n">
        <f aca="false">Country_Data!$DX$63+Sector_Params!$E$8</f>
        <v>0.15</v>
      </c>
      <c r="O414" s="11" t="n">
        <f aca="false">IF(p_use_ibrd=1,p_r_ibrd,p_r_wb)</f>
        <v>0.06</v>
      </c>
      <c r="P414" s="45" t="n">
        <f aca="false">Sector_Params!$D$8</f>
        <v>25</v>
      </c>
      <c r="Q414" s="46" t="n">
        <f aca="false">M414/(1-(1+M414)^-P414)</f>
        <v>0.114429319813103</v>
      </c>
      <c r="R414" s="46" t="n">
        <f aca="false">N414/(1-(1+N414)^-P414)</f>
        <v>0.154699402320206</v>
      </c>
      <c r="S414" s="46" t="n">
        <f aca="false">O414/(1-(1+O414)^-P414)</f>
        <v>0.078226718212274</v>
      </c>
      <c r="T414" s="37" t="n">
        <f aca="false">Country_Data!$CM$63*Sector_Params!$I$8</f>
        <v>0.12275054169433</v>
      </c>
      <c r="U414" s="37" t="n">
        <f aca="false">Country_Data!$CN$63*Sector_Params!$J$8</f>
        <v>0.032563190278315</v>
      </c>
      <c r="V414" s="37" t="n">
        <f aca="false">p_a</f>
        <v>0.35</v>
      </c>
      <c r="W414" s="16" t="n">
        <f aca="false">T414*L414</f>
        <v>0.0291649884921075</v>
      </c>
      <c r="X414" s="16" t="n">
        <f aca="false">U414*L414</f>
        <v>0.00773687070235741</v>
      </c>
      <c r="Y414" s="16" t="n">
        <f aca="false">V414*L414</f>
        <v>0.0831584596804196</v>
      </c>
      <c r="Z414" s="16" t="n">
        <f aca="false">Q414*L414</f>
        <v>0.0271879027941023</v>
      </c>
      <c r="AA414" s="16" t="n">
        <f aca="false">R414*L414</f>
        <v>0.0367558971726569</v>
      </c>
      <c r="AB414" s="16" t="n">
        <f aca="false">S414*L414</f>
        <v>0.0185863239782484</v>
      </c>
      <c r="AC414" s="16" t="n">
        <f aca="false">Z414-W414</f>
        <v>-0.00197708569800519</v>
      </c>
      <c r="AD414" s="16" t="n">
        <f aca="false">AA414-W414</f>
        <v>0.0075909086805494</v>
      </c>
      <c r="AE414" s="16" t="n">
        <f aca="false">AB414-W414</f>
        <v>-0.0105786645138591</v>
      </c>
      <c r="AF414" s="16" t="n">
        <f aca="false">AE414-X414</f>
        <v>-0.0183155352162165</v>
      </c>
      <c r="AG414" s="16" t="n">
        <f aca="false">AF414-p_spc_lo*Y414/1000</f>
        <v>-0.0224734582002375</v>
      </c>
      <c r="AH414" s="16" t="n">
        <f aca="false">AF414-p_spc_hi*Y414/1000</f>
        <v>-0.0266313811842585</v>
      </c>
      <c r="AI414" s="16" t="n">
        <f aca="false">Q414*J414</f>
        <v>0.113282928308759</v>
      </c>
      <c r="AJ414" s="16" t="n">
        <f aca="false">S414*J414</f>
        <v>0.0774430165760349</v>
      </c>
      <c r="AK414" s="16" t="n">
        <f aca="false">T414*J414</f>
        <v>0.121520785383781</v>
      </c>
      <c r="AL414" s="16" t="n">
        <f aca="false">U414*J414</f>
        <v>0.0322369612598225</v>
      </c>
      <c r="AM414" s="16" t="n">
        <f aca="false">AI414-AJ414</f>
        <v>0.0358399117327246</v>
      </c>
      <c r="AN414" s="16" t="n">
        <f aca="false">J414*Country_Data!$EB$63</f>
        <v>1.13644470339517</v>
      </c>
      <c r="AO414" s="16" t="n">
        <f aca="false">L414*Country_Data!$EB$63</f>
        <v>0.27274672881484</v>
      </c>
    </row>
    <row r="415" customFormat="false" ht="15" hidden="false" customHeight="false" outlineLevel="0" collapsed="false">
      <c r="A415" s="14" t="str">
        <f aca="false">Country_Data!$A$63</f>
        <v>KWT</v>
      </c>
      <c r="B415" s="14" t="str">
        <f aca="false">Country_Data!$E$63</f>
        <v>EMDC</v>
      </c>
      <c r="C415" s="35" t="s">
        <v>481</v>
      </c>
      <c r="D415" s="37" t="n">
        <f aca="false">IF(Country_Data!$CC$63="","",Country_Data!$CC$63)</f>
        <v>0.8014232270654</v>
      </c>
      <c r="E415" s="40" t="n">
        <f aca="false">Country_Data!$BW$63</f>
        <v>260.144</v>
      </c>
      <c r="F415" s="41" t="n">
        <f aca="false">Country_Data!$BX$63</f>
        <v>0.618511286056953</v>
      </c>
      <c r="G415" s="42" t="n">
        <f aca="false">IF(D415="","",D415/SUMIFS($D$5:$D$1369,$B$5:$B$1369,B415,$C$5:$C$1369,C415))</f>
        <v>0.0114477163565397</v>
      </c>
      <c r="H415" s="42" t="n">
        <f aca="false">E415/SUMIFS($E$5:$E$1369,$B$5:$B$1369,B415,$C$5:$C$1369,C415)</f>
        <v>0.00322232020085248</v>
      </c>
      <c r="I415" s="43" t="n">
        <f aca="false">IF(G415="",H415,p_beta_alloc*G415+(1-p_beta_alloc)*H415)*F415^p_phi</f>
        <v>0.00576866095645585</v>
      </c>
      <c r="J415" s="16" t="n">
        <f aca="false">INDEX(Sector_Params!$C$20:$E$20,MATCH(B415,Sector_Params!$C$15:$E$15,0))*I415/SUMIFS($I$5:$I$1369,$B$5:$B$1369,B415,$C$5:$C$1369,C415)</f>
        <v>1.05289679204194</v>
      </c>
      <c r="K415" s="28" t="n">
        <f aca="false">INDEX(Sector_Params!$F$9:$H$9,MATCH(B415,Sector_Params!$C$15:$E$15,0))</f>
        <v>0.24</v>
      </c>
      <c r="L415" s="16" t="n">
        <f aca="false">J415*K415</f>
        <v>0.252695230090066</v>
      </c>
      <c r="M415" s="44" t="n">
        <f aca="false">Country_Data!$DW$63+Sector_Params!$E$9</f>
        <v>0.105</v>
      </c>
      <c r="N415" s="44" t="n">
        <f aca="false">Country_Data!$DX$63+Sector_Params!$E$9</f>
        <v>0.15</v>
      </c>
      <c r="O415" s="11" t="n">
        <f aca="false">IF(p_use_ibrd=1,p_r_ibrd,p_r_wb)</f>
        <v>0.06</v>
      </c>
      <c r="P415" s="45" t="n">
        <f aca="false">Sector_Params!$D$9</f>
        <v>25</v>
      </c>
      <c r="Q415" s="46" t="n">
        <f aca="false">M415/(1-(1+M415)^-P415)</f>
        <v>0.114429319813103</v>
      </c>
      <c r="R415" s="46" t="n">
        <f aca="false">N415/(1-(1+N415)^-P415)</f>
        <v>0.154699402320206</v>
      </c>
      <c r="S415" s="46" t="n">
        <f aca="false">O415/(1-(1+O415)^-P415)</f>
        <v>0.078226718212274</v>
      </c>
      <c r="T415" s="37" t="n">
        <f aca="false">Country_Data!$CM$63*Sector_Params!$I$9</f>
        <v>0.12275054169433</v>
      </c>
      <c r="U415" s="37" t="n">
        <f aca="false">Country_Data!$CN$63*Sector_Params!$J$9</f>
        <v>0.032563190278315</v>
      </c>
      <c r="V415" s="37" t="n">
        <f aca="false">p_a</f>
        <v>0.35</v>
      </c>
      <c r="W415" s="16" t="n">
        <f aca="false">T415*L415</f>
        <v>0.031018476377129</v>
      </c>
      <c r="X415" s="16" t="n">
        <f aca="false">U415*L415</f>
        <v>0.00822856285984543</v>
      </c>
      <c r="Y415" s="16" t="n">
        <f aca="false">V415*L415</f>
        <v>0.0884433305315232</v>
      </c>
      <c r="Z415" s="16" t="n">
        <f aca="false">Q415*L415</f>
        <v>0.0289157432992219</v>
      </c>
      <c r="AA415" s="16" t="n">
        <f aca="false">R415*L415</f>
        <v>0.0390918010641003</v>
      </c>
      <c r="AB415" s="16" t="n">
        <f aca="false">S415*L415</f>
        <v>0.0197675185578413</v>
      </c>
      <c r="AC415" s="16" t="n">
        <f aca="false">Z415-W415</f>
        <v>-0.00210273307790708</v>
      </c>
      <c r="AD415" s="16" t="n">
        <f aca="false">AA415-W415</f>
        <v>0.0080733246869713</v>
      </c>
      <c r="AE415" s="16" t="n">
        <f aca="false">AB415-W415</f>
        <v>-0.0112509578192877</v>
      </c>
      <c r="AF415" s="16" t="n">
        <f aca="false">AE415-X415</f>
        <v>-0.0194795206791331</v>
      </c>
      <c r="AG415" s="16" t="n">
        <f aca="false">AF415-p_spc_lo*Y415/1000</f>
        <v>-0.0239016872057092</v>
      </c>
      <c r="AH415" s="16" t="n">
        <f aca="false">AF415-p_spc_hi*Y415/1000</f>
        <v>-0.0283238537322854</v>
      </c>
      <c r="AI415" s="16" t="n">
        <f aca="false">Q415*J415</f>
        <v>0.120482263746758</v>
      </c>
      <c r="AJ415" s="16" t="n">
        <f aca="false">S415*J415</f>
        <v>0.0823646606576722</v>
      </c>
      <c r="AK415" s="16" t="n">
        <f aca="false">T415*J415</f>
        <v>0.129243651571371</v>
      </c>
      <c r="AL415" s="16" t="n">
        <f aca="false">U415*J415</f>
        <v>0.0342856785826893</v>
      </c>
      <c r="AM415" s="16" t="n">
        <f aca="false">AI415-AJ415</f>
        <v>0.0381176030890857</v>
      </c>
      <c r="AN415" s="16" t="n">
        <f aca="false">J415*Country_Data!$EB$63</f>
        <v>1.20866782428924</v>
      </c>
      <c r="AO415" s="16" t="n">
        <f aca="false">L415*Country_Data!$EB$63</f>
        <v>0.290080277829419</v>
      </c>
    </row>
    <row r="416" customFormat="false" ht="15" hidden="false" customHeight="false" outlineLevel="0" collapsed="false">
      <c r="A416" s="14" t="str">
        <f aca="false">Country_Data!$A$63</f>
        <v>KWT</v>
      </c>
      <c r="B416" s="14" t="str">
        <f aca="false">Country_Data!$E$63</f>
        <v>EMDC</v>
      </c>
      <c r="C416" s="35" t="s">
        <v>484</v>
      </c>
      <c r="D416" s="37" t="n">
        <f aca="false">IF(Country_Data!$CD$63="","",Country_Data!$CD$63)</f>
        <v>1.60709380357672</v>
      </c>
      <c r="E416" s="40" t="n">
        <f aca="false">Country_Data!$BW$63</f>
        <v>260.144</v>
      </c>
      <c r="F416" s="41" t="n">
        <f aca="false">Country_Data!$BX$63</f>
        <v>0.618511286056953</v>
      </c>
      <c r="G416" s="42" t="n">
        <f aca="false">IF(D416="","",D416/SUMIFS($D$5:$D$1369,$B$5:$B$1369,B416,$C$5:$C$1369,C416))</f>
        <v>0.0089745989016022</v>
      </c>
      <c r="H416" s="42" t="n">
        <f aca="false">E416/SUMIFS($E$5:$E$1369,$B$5:$B$1369,B416,$C$5:$C$1369,C416)</f>
        <v>0.00322232020085248</v>
      </c>
      <c r="I416" s="43" t="n">
        <f aca="false">IF(G416="",H416,p_beta_alloc*G416+(1-p_beta_alloc)*H416)*F416^p_phi</f>
        <v>0.00479616330471425</v>
      </c>
      <c r="J416" s="16" t="n">
        <f aca="false">INDEX(Sector_Params!$C$21:$E$21,MATCH(B416,Sector_Params!$C$15:$E$15,0))*I416/SUMIFS($I$5:$I$1369,$B$5:$B$1369,B416,$C$5:$C$1369,C416)</f>
        <v>1.0637402260549</v>
      </c>
      <c r="K416" s="28" t="n">
        <f aca="false">INDEX(Sector_Params!$F$10:$H$10,MATCH(B416,Sector_Params!$C$15:$E$15,0))</f>
        <v>0.24</v>
      </c>
      <c r="L416" s="16" t="n">
        <f aca="false">J416*K416</f>
        <v>0.255297654253177</v>
      </c>
      <c r="M416" s="44" t="n">
        <f aca="false">Country_Data!$DW$63+Sector_Params!$E$10</f>
        <v>0.105</v>
      </c>
      <c r="N416" s="44" t="n">
        <f aca="false">Country_Data!$DX$63+Sector_Params!$E$10</f>
        <v>0.15</v>
      </c>
      <c r="O416" s="11" t="n">
        <f aca="false">IF(p_use_ibrd=1,p_r_ibrd,p_r_wb)</f>
        <v>0.06</v>
      </c>
      <c r="P416" s="45" t="n">
        <f aca="false">Sector_Params!$D$10</f>
        <v>20</v>
      </c>
      <c r="Q416" s="46" t="n">
        <f aca="false">M416/(1-(1+M416)^-P416)</f>
        <v>0.121493265267016</v>
      </c>
      <c r="R416" s="46" t="n">
        <f aca="false">N416/(1-(1+N416)^-P416)</f>
        <v>0.159761470405744</v>
      </c>
      <c r="S416" s="46" t="n">
        <f aca="false">O416/(1-(1+O416)^-P416)</f>
        <v>0.0871845569768514</v>
      </c>
      <c r="T416" s="37" t="n">
        <f aca="false">0*Sector_Params!$I$10</f>
        <v>0</v>
      </c>
      <c r="U416" s="37" t="n">
        <f aca="false">0*Sector_Params!$J$10</f>
        <v>0</v>
      </c>
      <c r="V416" s="37" t="n">
        <f aca="false">1000*p_r_wb/(1-(1+p_r_wb)^-Sector_Params!$D$10)/p_cpt_fuel</f>
        <v>0.871845569768514</v>
      </c>
      <c r="W416" s="16" t="n">
        <f aca="false">T416*L416</f>
        <v>0</v>
      </c>
      <c r="X416" s="16" t="n">
        <f aca="false">U416*L416</f>
        <v>0</v>
      </c>
      <c r="Y416" s="16" t="n">
        <f aca="false">V416*L416</f>
        <v>0.222580128832926</v>
      </c>
      <c r="Z416" s="16" t="n">
        <f aca="false">Q416*L416</f>
        <v>0.0310169456302282</v>
      </c>
      <c r="AA416" s="16" t="n">
        <f aca="false">R416*L416</f>
        <v>0.0407867286346247</v>
      </c>
      <c r="AB416" s="16" t="n">
        <f aca="false">S416*L416</f>
        <v>0.0222580128832926</v>
      </c>
      <c r="AC416" s="16" t="n">
        <f aca="false">Z416-W416</f>
        <v>0.0310169456302282</v>
      </c>
      <c r="AD416" s="16" t="n">
        <f aca="false">AA416-W416</f>
        <v>0.0407867286346247</v>
      </c>
      <c r="AE416" s="16" t="n">
        <f aca="false">AB416-W416</f>
        <v>0.0222580128832926</v>
      </c>
      <c r="AF416" s="16" t="n">
        <f aca="false">AE416-X416</f>
        <v>0.0222580128832926</v>
      </c>
      <c r="AG416" s="16" t="n">
        <f aca="false">AF416-p_spc_lo*Y416/1000</f>
        <v>0.0111290064416463</v>
      </c>
      <c r="AH416" s="16" t="n">
        <f aca="false">AF416-p_spc_hi*Y416/1000</f>
        <v>0</v>
      </c>
      <c r="AI416" s="16" t="n">
        <f aca="false">Q416*J416</f>
        <v>0.129237273459284</v>
      </c>
      <c r="AJ416" s="16" t="n">
        <f aca="false">S416*J416</f>
        <v>0.0927417203470525</v>
      </c>
      <c r="AK416" s="16" t="n">
        <f aca="false">T416*J416</f>
        <v>0</v>
      </c>
      <c r="AL416" s="16" t="n">
        <f aca="false">U416*J416</f>
        <v>0</v>
      </c>
      <c r="AM416" s="16" t="n">
        <f aca="false">AI416-AJ416</f>
        <v>0.0364955531122316</v>
      </c>
      <c r="AN416" s="16" t="n">
        <f aca="false">J416*Country_Data!$EB$63</f>
        <v>1.22111549237535</v>
      </c>
      <c r="AO416" s="16" t="n">
        <f aca="false">L416*Country_Data!$EB$63</f>
        <v>0.293067718170085</v>
      </c>
    </row>
    <row r="417" customFormat="false" ht="15" hidden="false" customHeight="false" outlineLevel="0" collapsed="false">
      <c r="A417" s="14" t="str">
        <f aca="false">Country_Data!$A$63</f>
        <v>KWT</v>
      </c>
      <c r="B417" s="14" t="str">
        <f aca="false">Country_Data!$E$63</f>
        <v>EMDC</v>
      </c>
      <c r="C417" s="35" t="s">
        <v>488</v>
      </c>
      <c r="D417" s="37" t="n">
        <f aca="false">IF(Country_Data!$CE$63="","",Country_Data!$CE$63)</f>
        <v>61.201</v>
      </c>
      <c r="E417" s="40" t="n">
        <f aca="false">Country_Data!$BW$63</f>
        <v>260.144</v>
      </c>
      <c r="F417" s="41" t="n">
        <f aca="false">Country_Data!$BX$63</f>
        <v>0.618511286056953</v>
      </c>
      <c r="G417" s="42" t="n">
        <f aca="false">IF(D417="","",D417/SUMIFS($D$5:$D$1369,$B$5:$B$1369,B417,$C$5:$C$1369,C417))</f>
        <v>0.0050147860024205</v>
      </c>
      <c r="H417" s="42" t="n">
        <f aca="false">E417/SUMIFS($E$5:$E$1369,$B$5:$B$1369,B417,$C$5:$C$1369,C417)</f>
        <v>0.00322232020085248</v>
      </c>
      <c r="I417" s="43" t="n">
        <f aca="false">IF(G417="",H417,p_beta_alloc*G417+(1-p_beta_alloc)*H417)*F417^p_phi</f>
        <v>0.00323905620569551</v>
      </c>
      <c r="J417" s="16" t="n">
        <f aca="false">INDEX(Sector_Params!$C$22:$E$22,MATCH(B417,Sector_Params!$C$15:$E$15,0))*I417/SUMIFS($I$5:$I$1369,$B$5:$B$1369,B417,$C$5:$C$1369,C417)</f>
        <v>1.95253025070573</v>
      </c>
      <c r="K417" s="28" t="n">
        <f aca="false">INDEX(Sector_Params!$F$11:$H$11,MATCH(B417,Sector_Params!$C$15:$E$15,0))</f>
        <v>0.24</v>
      </c>
      <c r="L417" s="16" t="n">
        <f aca="false">J417*K417</f>
        <v>0.468607260169375</v>
      </c>
      <c r="M417" s="44" t="n">
        <f aca="false">Country_Data!$DW$63+Sector_Params!$E$11</f>
        <v>0.105</v>
      </c>
      <c r="N417" s="44" t="n">
        <f aca="false">Country_Data!$DX$63+Sector_Params!$E$11</f>
        <v>0.15</v>
      </c>
      <c r="O417" s="11" t="n">
        <f aca="false">IF(p_use_ibrd=1,p_r_ibrd,p_r_wb)</f>
        <v>0.06</v>
      </c>
      <c r="P417" s="45" t="n">
        <f aca="false">Sector_Params!$D$11</f>
        <v>30</v>
      </c>
      <c r="Q417" s="46" t="n">
        <f aca="false">M417/(1-(1+M417)^-P417)</f>
        <v>0.110528481529605</v>
      </c>
      <c r="R417" s="46" t="n">
        <f aca="false">N417/(1-(1+N417)^-P417)</f>
        <v>0.152300198192734</v>
      </c>
      <c r="S417" s="46" t="n">
        <f aca="false">O417/(1-(1+O417)^-P417)</f>
        <v>0.0726489114900472</v>
      </c>
      <c r="T417" s="37" t="n">
        <f aca="false">0*Sector_Params!$I$11</f>
        <v>0</v>
      </c>
      <c r="U417" s="37" t="n">
        <f aca="false">p_c*Sector_Params!$J$11</f>
        <v>0.129</v>
      </c>
      <c r="V417" s="37" t="n">
        <f aca="false">1000*p_r_wb/(1-(1+p_r_wb)^-Sector_Params!$D$11)/p_cpt_afolu</f>
        <v>1.45297822980094</v>
      </c>
      <c r="W417" s="16" t="n">
        <f aca="false">T417*L417</f>
        <v>0</v>
      </c>
      <c r="X417" s="16" t="n">
        <f aca="false">U417*L417</f>
        <v>0.0604503365618494</v>
      </c>
      <c r="Y417" s="16" t="n">
        <f aca="false">V417*L417</f>
        <v>0.680876147352769</v>
      </c>
      <c r="Z417" s="16" t="n">
        <f aca="false">Q417*L417</f>
        <v>0.0517944489002697</v>
      </c>
      <c r="AA417" s="16" t="n">
        <f aca="false">R417*L417</f>
        <v>0.0713689785983501</v>
      </c>
      <c r="AB417" s="16" t="n">
        <f aca="false">S417*L417</f>
        <v>0.0340438073676385</v>
      </c>
      <c r="AC417" s="16" t="n">
        <f aca="false">Z417-W417</f>
        <v>0.0517944489002697</v>
      </c>
      <c r="AD417" s="16" t="n">
        <f aca="false">AA417-W417</f>
        <v>0.0713689785983501</v>
      </c>
      <c r="AE417" s="16" t="n">
        <f aca="false">AB417-W417</f>
        <v>0.0340438073676385</v>
      </c>
      <c r="AF417" s="16" t="n">
        <f aca="false">AE417-X417</f>
        <v>-0.0264065291942109</v>
      </c>
      <c r="AG417" s="16" t="n">
        <f aca="false">AF417-p_spc_lo*Y417/1000</f>
        <v>-0.0604503365618494</v>
      </c>
      <c r="AH417" s="16" t="n">
        <f aca="false">AF417-p_spc_hi*Y417/1000</f>
        <v>-0.0944941439294879</v>
      </c>
      <c r="AI417" s="16" t="n">
        <f aca="false">Q417*J417</f>
        <v>0.215810203751124</v>
      </c>
      <c r="AJ417" s="16" t="n">
        <f aca="false">S417*J417</f>
        <v>0.14184919736516</v>
      </c>
      <c r="AK417" s="16" t="n">
        <f aca="false">T417*J417</f>
        <v>0</v>
      </c>
      <c r="AL417" s="16" t="n">
        <f aca="false">U417*J417</f>
        <v>0.251876402341039</v>
      </c>
      <c r="AM417" s="16" t="n">
        <f aca="false">AI417-AJ417</f>
        <v>0.0739610063859633</v>
      </c>
      <c r="AN417" s="16" t="n">
        <f aca="false">J417*Country_Data!$EB$63</f>
        <v>2.24139773985124</v>
      </c>
      <c r="AO417" s="16" t="n">
        <f aca="false">L417*Country_Data!$EB$63</f>
        <v>0.537935457564297</v>
      </c>
    </row>
    <row r="418" customFormat="false" ht="15" hidden="false" customHeight="false" outlineLevel="0" collapsed="false">
      <c r="A418" s="14" t="str">
        <f aca="false">Country_Data!$A$64</f>
        <v>MAR</v>
      </c>
      <c r="B418" s="14" t="str">
        <f aca="false">Country_Data!$E$64</f>
        <v>EMDC</v>
      </c>
      <c r="C418" s="35" t="s">
        <v>466</v>
      </c>
      <c r="D418" s="37" t="n">
        <f aca="false">IF(Country_Data!$BZ$64="","",Country_Data!$BZ$64)</f>
        <v>36.4118359384248</v>
      </c>
      <c r="E418" s="40" t="n">
        <f aca="false">Country_Data!$BW$64</f>
        <v>403.355</v>
      </c>
      <c r="F418" s="41" t="n">
        <f aca="false">Country_Data!$BX$64</f>
        <v>0.398175304632396</v>
      </c>
      <c r="G418" s="42" t="n">
        <f aca="false">IF(D418="","",D418/SUMIFS($D$5:$D$1369,$B$5:$B$1369,B418,$C$5:$C$1369,C418))</f>
        <v>0.0041568529456261</v>
      </c>
      <c r="H418" s="42" t="n">
        <f aca="false">E418/SUMIFS($E$5:$E$1369,$B$5:$B$1369,B418,$C$5:$C$1369,C418)</f>
        <v>0.00499622887560294</v>
      </c>
      <c r="I418" s="43" t="n">
        <f aca="false">IF(G418="",H418,p_beta_alloc*G418+(1-p_beta_alloc)*H418)*F418^p_phi</f>
        <v>0.00288784918872406</v>
      </c>
      <c r="J418" s="16" t="n">
        <f aca="false">INDEX(Sector_Params!$C$16:$E$16,MATCH(B418,Sector_Params!$C$15:$E$15,0))*I418/SUMIFS($I$5:$I$1369,$B$5:$B$1369,B418,$C$5:$C$1369,C418)</f>
        <v>2.79320094862307</v>
      </c>
      <c r="K418" s="28" t="n">
        <f aca="false">INDEX(Sector_Params!$F$5:$H$5,MATCH(B418,Sector_Params!$C$15:$E$15,0))</f>
        <v>0.24</v>
      </c>
      <c r="L418" s="16" t="n">
        <f aca="false">J418*K418</f>
        <v>0.670368227669537</v>
      </c>
      <c r="M418" s="44" t="n">
        <f aca="false">Country_Data!$DW$64+Sector_Params!$E$5</f>
        <v>0.0895199999999999</v>
      </c>
      <c r="N418" s="44" t="n">
        <f aca="false">Country_Data!$DX$64+Sector_Params!$E$5</f>
        <v>0.13452</v>
      </c>
      <c r="O418" s="11" t="n">
        <f aca="false">IF(p_use_ibrd=1,p_r_ibrd,p_r_wb)</f>
        <v>0.06</v>
      </c>
      <c r="P418" s="45" t="n">
        <f aca="false">Sector_Params!$D$5</f>
        <v>25</v>
      </c>
      <c r="Q418" s="46" t="n">
        <f aca="false">M418/(1-(1+M418)^-P418)</f>
        <v>0.101410581724151</v>
      </c>
      <c r="R418" s="46" t="n">
        <f aca="false">N418/(1-(1+N418)^-P418)</f>
        <v>0.140509661512577</v>
      </c>
      <c r="S418" s="46" t="n">
        <f aca="false">O418/(1-(1+O418)^-P418)</f>
        <v>0.078226718212274</v>
      </c>
      <c r="T418" s="37" t="n">
        <f aca="false">IF(AND(p_eng=1,ISNUMBER(Country_Data!$CZ$64)),Country_Data!$CZ$64,Country_Data!$CM$64)*Sector_Params!$I$5</f>
        <v>0.103103740874893</v>
      </c>
      <c r="U418" s="37" t="n">
        <f aca="false">IF(AND(p_eng=1,ISNUMBER(Country_Data!$DA$64)),Country_Data!$DA$64,Country_Data!$CN$64)*Sector_Params!$J$5</f>
        <v>0.0530750283378151</v>
      </c>
      <c r="V418" s="37" t="n">
        <f aca="false">IF(AND(p_eng=1,ISNUMBER(Country_Data!$DB$64)),Country_Data!$DB$64,p_a)</f>
        <v>1.52833937276361</v>
      </c>
      <c r="W418" s="16" t="n">
        <f aca="false">T418*L418</f>
        <v>0.0691174720364013</v>
      </c>
      <c r="X418" s="16" t="n">
        <f aca="false">U418*L418</f>
        <v>0.0355798126803316</v>
      </c>
      <c r="Y418" s="16" t="n">
        <f aca="false">V418*L418</f>
        <v>1.02455015659712</v>
      </c>
      <c r="Z418" s="16" t="n">
        <f aca="false">Q418*L418</f>
        <v>0.0679824319373558</v>
      </c>
      <c r="AA418" s="16" t="n">
        <f aca="false">R418*L418</f>
        <v>0.094193212758633</v>
      </c>
      <c r="AB418" s="16" t="n">
        <f aca="false">S418*L418</f>
        <v>0.0524407064443664</v>
      </c>
      <c r="AC418" s="16" t="n">
        <f aca="false">Z418-W418</f>
        <v>-0.0011350400990455</v>
      </c>
      <c r="AD418" s="16" t="n">
        <f aca="false">AA418-W418</f>
        <v>0.0250757407222316</v>
      </c>
      <c r="AE418" s="16" t="n">
        <f aca="false">AB418-W418</f>
        <v>-0.016676765592035</v>
      </c>
      <c r="AF418" s="16" t="n">
        <f aca="false">AE418-X418</f>
        <v>-0.0522565782723665</v>
      </c>
      <c r="AG418" s="16" t="n">
        <f aca="false">AF418-p_spc_lo*Y418/1000</f>
        <v>-0.103484086102222</v>
      </c>
      <c r="AH418" s="16" t="n">
        <f aca="false">AF418-p_spc_hi*Y418/1000</f>
        <v>-0.154711593932078</v>
      </c>
      <c r="AI418" s="16" t="n">
        <f aca="false">Q418*J418</f>
        <v>0.283260133072316</v>
      </c>
      <c r="AJ418" s="16" t="n">
        <f aca="false">S418*J418</f>
        <v>0.218502943518193</v>
      </c>
      <c r="AK418" s="16" t="n">
        <f aca="false">T418*J418</f>
        <v>0.287989466818339</v>
      </c>
      <c r="AL418" s="16" t="n">
        <f aca="false">U418*J418</f>
        <v>0.148249219501382</v>
      </c>
      <c r="AM418" s="16" t="n">
        <f aca="false">AI418-AJ418</f>
        <v>0.0647571895541228</v>
      </c>
      <c r="AN418" s="16" t="n">
        <f aca="false">J418*Country_Data!$EB$64</f>
        <v>3.29516749591185</v>
      </c>
      <c r="AO418" s="16" t="n">
        <f aca="false">L418*Country_Data!$EB$64</f>
        <v>0.790840199018845</v>
      </c>
    </row>
    <row r="419" customFormat="false" ht="15" hidden="false" customHeight="false" outlineLevel="0" collapsed="false">
      <c r="A419" s="14" t="str">
        <f aca="false">Country_Data!$A$64</f>
        <v>MAR</v>
      </c>
      <c r="B419" s="14" t="str">
        <f aca="false">Country_Data!$E$64</f>
        <v>EMDC</v>
      </c>
      <c r="C419" s="35" t="s">
        <v>470</v>
      </c>
      <c r="D419" s="37" t="n">
        <f aca="false">IF(Country_Data!$BZ$64="","",Country_Data!$BZ$64)</f>
        <v>36.4118359384248</v>
      </c>
      <c r="E419" s="40" t="n">
        <f aca="false">Country_Data!$BW$64</f>
        <v>403.355</v>
      </c>
      <c r="F419" s="41" t="n">
        <f aca="false">Country_Data!$BX$64</f>
        <v>0.398175304632396</v>
      </c>
      <c r="G419" s="42" t="n">
        <f aca="false">IF(D419="","",D419/SUMIFS($D$5:$D$1369,$B$5:$B$1369,B419,$C$5:$C$1369,C419))</f>
        <v>0.0041568529456261</v>
      </c>
      <c r="H419" s="42" t="n">
        <f aca="false">E419/SUMIFS($E$5:$E$1369,$B$5:$B$1369,B419,$C$5:$C$1369,C419)</f>
        <v>0.00499622887560294</v>
      </c>
      <c r="I419" s="43" t="n">
        <f aca="false">IF(G419="",H419,p_beta_alloc*G419+(1-p_beta_alloc)*H419)*F419^p_phi</f>
        <v>0.00288784918872406</v>
      </c>
      <c r="J419" s="16" t="n">
        <f aca="false">INDEX(Sector_Params!$C$17:$E$17,MATCH(B419,Sector_Params!$C$15:$E$15,0))*I419/SUMIFS($I$5:$I$1369,$B$5:$B$1369,B419,$C$5:$C$1369,C419)</f>
        <v>1.91533779334153</v>
      </c>
      <c r="K419" s="28" t="n">
        <f aca="false">INDEX(Sector_Params!$F$6:$H$6,MATCH(B419,Sector_Params!$C$15:$E$15,0))</f>
        <v>0.24</v>
      </c>
      <c r="L419" s="16" t="n">
        <f aca="false">J419*K419</f>
        <v>0.459681070401968</v>
      </c>
      <c r="M419" s="44" t="n">
        <f aca="false">Country_Data!$DW$64+Sector_Params!$E$6</f>
        <v>0.0895199999999999</v>
      </c>
      <c r="N419" s="44" t="n">
        <f aca="false">Country_Data!$DX$64+Sector_Params!$E$6</f>
        <v>0.13452</v>
      </c>
      <c r="O419" s="11" t="n">
        <f aca="false">IF(p_use_ibrd=1,p_r_ibrd,p_r_wb)</f>
        <v>0.06</v>
      </c>
      <c r="P419" s="45" t="n">
        <f aca="false">Sector_Params!$D$6</f>
        <v>40</v>
      </c>
      <c r="Q419" s="46" t="n">
        <f aca="false">M419/(1-(1+M419)^-P419)</f>
        <v>0.0925179024929338</v>
      </c>
      <c r="R419" s="46" t="n">
        <f aca="false">N419/(1-(1+N419)^-P419)</f>
        <v>0.135389155791835</v>
      </c>
      <c r="S419" s="46" t="n">
        <f aca="false">O419/(1-(1+O419)^-P419)</f>
        <v>0.0664615359206755</v>
      </c>
      <c r="T419" s="37" t="n">
        <f aca="false">p_grid_credit*IF(AND(p_eng=1,ISNUMBER(Country_Data!$CZ$64)),Country_Data!$CZ$64,Country_Data!$CM$64)*Sector_Params!$I$6</f>
        <v>0</v>
      </c>
      <c r="U419" s="37" t="n">
        <f aca="false">p_grid_credit*IF(AND(p_eng=1,ISNUMBER(Country_Data!$DA$64)),Country_Data!$DA$64,Country_Data!$CN$64)*Sector_Params!$J$6</f>
        <v>0</v>
      </c>
      <c r="V419" s="37" t="n">
        <f aca="false">p_grid_credit*IF(AND(p_eng=1,ISNUMBER(Country_Data!$DB$64)),Country_Data!$DB$64,p_a)</f>
        <v>0</v>
      </c>
      <c r="W419" s="16" t="n">
        <f aca="false">T419*L419</f>
        <v>0</v>
      </c>
      <c r="X419" s="16" t="n">
        <f aca="false">U419*L419</f>
        <v>0</v>
      </c>
      <c r="Y419" s="16" t="n">
        <f aca="false">V419*L419</f>
        <v>0</v>
      </c>
      <c r="Z419" s="16" t="n">
        <f aca="false">Q419*L419</f>
        <v>0.0425287284492967</v>
      </c>
      <c r="AA419" s="16" t="n">
        <f aca="false">R419*L419</f>
        <v>0.0622358320552095</v>
      </c>
      <c r="AB419" s="16" t="n">
        <f aca="false">S419*L419</f>
        <v>0.030551109972575</v>
      </c>
      <c r="AC419" s="16" t="n">
        <f aca="false">Z419-W419</f>
        <v>0.0425287284492967</v>
      </c>
      <c r="AD419" s="16" t="n">
        <f aca="false">AA419-W419</f>
        <v>0.0622358320552095</v>
      </c>
      <c r="AE419" s="16" t="n">
        <f aca="false">AB419-W419</f>
        <v>0.030551109972575</v>
      </c>
      <c r="AF419" s="16" t="n">
        <f aca="false">AE419-X419</f>
        <v>0.030551109972575</v>
      </c>
      <c r="AG419" s="16" t="n">
        <f aca="false">AF419-p_spc_lo*Y419/1000</f>
        <v>0.030551109972575</v>
      </c>
      <c r="AH419" s="16" t="n">
        <f aca="false">AF419-p_spc_hi*Y419/1000</f>
        <v>0.030551109972575</v>
      </c>
      <c r="AI419" s="16" t="n">
        <f aca="false">Q419*J419</f>
        <v>0.177203035205403</v>
      </c>
      <c r="AJ419" s="16" t="n">
        <f aca="false">S419*J419</f>
        <v>0.127296291552396</v>
      </c>
      <c r="AK419" s="16" t="n">
        <f aca="false">T419*J419</f>
        <v>0</v>
      </c>
      <c r="AL419" s="16" t="n">
        <f aca="false">U419*J419</f>
        <v>0</v>
      </c>
      <c r="AM419" s="16" t="n">
        <f aca="false">AI419-AJ419</f>
        <v>0.0499067436530072</v>
      </c>
      <c r="AN419" s="16" t="n">
        <f aca="false">J419*Country_Data!$EB$64</f>
        <v>2.25954342576813</v>
      </c>
      <c r="AO419" s="16" t="n">
        <f aca="false">L419*Country_Data!$EB$64</f>
        <v>0.542290422184351</v>
      </c>
    </row>
    <row r="420" customFormat="false" ht="15" hidden="false" customHeight="false" outlineLevel="0" collapsed="false">
      <c r="A420" s="14" t="str">
        <f aca="false">Country_Data!$A$64</f>
        <v>MAR</v>
      </c>
      <c r="B420" s="14" t="str">
        <f aca="false">Country_Data!$E$64</f>
        <v>EMDC</v>
      </c>
      <c r="C420" s="35" t="s">
        <v>473</v>
      </c>
      <c r="D420" s="37" t="n">
        <f aca="false">IF(Country_Data!$CA$64="","",Country_Data!$CA$64)</f>
        <v>0.28820552076998</v>
      </c>
      <c r="E420" s="40" t="n">
        <f aca="false">Country_Data!$BW$64</f>
        <v>403.355</v>
      </c>
      <c r="F420" s="41" t="n">
        <f aca="false">Country_Data!$BX$64</f>
        <v>0.398175304632396</v>
      </c>
      <c r="G420" s="42" t="n">
        <f aca="false">IF(D420="","",D420/SUMIFS($D$5:$D$1369,$B$5:$B$1369,B420,$C$5:$C$1369,C420))</f>
        <v>0.00665821810172486</v>
      </c>
      <c r="H420" s="42" t="n">
        <f aca="false">E420/SUMIFS($E$5:$E$1369,$B$5:$B$1369,B420,$C$5:$C$1369,C420)</f>
        <v>0.00499622887560294</v>
      </c>
      <c r="I420" s="43" t="n">
        <f aca="false">IF(G420="",H420,p_beta_alloc*G420+(1-p_beta_alloc)*H420)*F420^p_phi</f>
        <v>0.00367704407169654</v>
      </c>
      <c r="J420" s="16" t="n">
        <f aca="false">INDEX(Sector_Params!$C$18:$E$18,MATCH(B420,Sector_Params!$C$15:$E$15,0))*I420/SUMIFS($I$5:$I$1369,$B$5:$B$1369,B420,$C$5:$C$1369,C420)</f>
        <v>1.50566254403187</v>
      </c>
      <c r="K420" s="28" t="n">
        <f aca="false">INDEX(Sector_Params!$F$7:$H$7,MATCH(B420,Sector_Params!$C$15:$E$15,0))</f>
        <v>0.24</v>
      </c>
      <c r="L420" s="16" t="n">
        <f aca="false">J420*K420</f>
        <v>0.36135901056765</v>
      </c>
      <c r="M420" s="44" t="n">
        <f aca="false">Country_Data!$DW$64+Sector_Params!$E$7</f>
        <v>0.0895199999999999</v>
      </c>
      <c r="N420" s="44" t="n">
        <f aca="false">Country_Data!$DX$64+Sector_Params!$E$7</f>
        <v>0.13452</v>
      </c>
      <c r="O420" s="11" t="n">
        <f aca="false">IF(p_use_ibrd=1,p_r_ibrd,p_r_wb)</f>
        <v>0.06</v>
      </c>
      <c r="P420" s="45" t="n">
        <f aca="false">Sector_Params!$D$7</f>
        <v>12</v>
      </c>
      <c r="Q420" s="46" t="n">
        <f aca="false">M420/(1-(1+M420)^-P420)</f>
        <v>0.139313155051753</v>
      </c>
      <c r="R420" s="46" t="n">
        <f aca="false">N420/(1-(1+N420)^-P420)</f>
        <v>0.172442665098771</v>
      </c>
      <c r="S420" s="46" t="n">
        <f aca="false">O420/(1-(1+O420)^-P420)</f>
        <v>0.119277029380664</v>
      </c>
      <c r="T420" s="37" t="n">
        <f aca="false">IF(AND(p_eng=1,ISNUMBER(Country_Data!$DE$64)),Country_Data!$DE$64,Country_Data!$CM$64)*Sector_Params!$I$7</f>
        <v>0.14278122</v>
      </c>
      <c r="U420" s="37" t="n">
        <f aca="false">IF(AND(p_eng=1,ISNUMBER(Country_Data!$DF$64)),Country_Data!$DF$64,Country_Data!$CN$64)*Sector_Params!$J$7</f>
        <v>0.016583175</v>
      </c>
      <c r="V420" s="37" t="n">
        <f aca="false">IF(AND(p_eng=1,ISNUMBER(Country_Data!$DG$64)),Country_Data!$DG$64,p_a)</f>
        <v>0.174636914269536</v>
      </c>
      <c r="W420" s="16" t="n">
        <f aca="false">T420*L420</f>
        <v>0.0515952803868419</v>
      </c>
      <c r="X420" s="16" t="n">
        <f aca="false">U420*L420</f>
        <v>0.00599247971007019</v>
      </c>
      <c r="Y420" s="16" t="n">
        <f aca="false">V420*L420</f>
        <v>0.0631066225490269</v>
      </c>
      <c r="Z420" s="16" t="n">
        <f aca="false">Q420*L420</f>
        <v>0.0503420638685591</v>
      </c>
      <c r="AA420" s="16" t="n">
        <f aca="false">R420*L420</f>
        <v>0.0623137108397406</v>
      </c>
      <c r="AB420" s="16" t="n">
        <f aca="false">S420*L420</f>
        <v>0.0431018293204451</v>
      </c>
      <c r="AC420" s="16" t="n">
        <f aca="false">Z420-W420</f>
        <v>-0.00125321651828288</v>
      </c>
      <c r="AD420" s="16" t="n">
        <f aca="false">AA420-W420</f>
        <v>0.0107184304528987</v>
      </c>
      <c r="AE420" s="16" t="n">
        <f aca="false">AB420-W420</f>
        <v>-0.00849345106639686</v>
      </c>
      <c r="AF420" s="16" t="n">
        <f aca="false">AE420-X420</f>
        <v>-0.014485930776467</v>
      </c>
      <c r="AG420" s="16" t="n">
        <f aca="false">AF420-p_spc_lo*Y420/1000</f>
        <v>-0.0176412619039184</v>
      </c>
      <c r="AH420" s="16" t="n">
        <f aca="false">AF420-p_spc_hi*Y420/1000</f>
        <v>-0.0207965930313697</v>
      </c>
      <c r="AI420" s="16" t="n">
        <f aca="false">Q420*J420</f>
        <v>0.209758599452329</v>
      </c>
      <c r="AJ420" s="16" t="n">
        <f aca="false">S420*J420</f>
        <v>0.179590955501855</v>
      </c>
      <c r="AK420" s="16" t="n">
        <f aca="false">T420*J420</f>
        <v>0.214980334945175</v>
      </c>
      <c r="AL420" s="16" t="n">
        <f aca="false">U420*J420</f>
        <v>0.0249686654586258</v>
      </c>
      <c r="AM420" s="16" t="n">
        <f aca="false">AI420-AJ420</f>
        <v>0.0301676439504749</v>
      </c>
      <c r="AN420" s="16" t="n">
        <f aca="false">J420*Country_Data!$EB$64</f>
        <v>1.77624537803181</v>
      </c>
      <c r="AO420" s="16" t="n">
        <f aca="false">L420*Country_Data!$EB$64</f>
        <v>0.426298890727633</v>
      </c>
    </row>
    <row r="421" customFormat="false" ht="15" hidden="false" customHeight="false" outlineLevel="0" collapsed="false">
      <c r="A421" s="14" t="str">
        <f aca="false">Country_Data!$A$64</f>
        <v>MAR</v>
      </c>
      <c r="B421" s="14" t="str">
        <f aca="false">Country_Data!$E$64</f>
        <v>EMDC</v>
      </c>
      <c r="C421" s="35" t="s">
        <v>477</v>
      </c>
      <c r="D421" s="37" t="n">
        <f aca="false">IF(Country_Data!$CB$64="","",Country_Data!$CB$64)</f>
        <v>0.173533768539417</v>
      </c>
      <c r="E421" s="40" t="n">
        <f aca="false">Country_Data!$BW$64</f>
        <v>403.355</v>
      </c>
      <c r="F421" s="41" t="n">
        <f aca="false">Country_Data!$BX$64</f>
        <v>0.398175304632396</v>
      </c>
      <c r="G421" s="42" t="n">
        <f aca="false">IF(D421="","",D421/SUMIFS($D$5:$D$1369,$B$5:$B$1369,B421,$C$5:$C$1369,C421))</f>
        <v>0.00547204813242793</v>
      </c>
      <c r="H421" s="42" t="n">
        <f aca="false">E421/SUMIFS($E$5:$E$1369,$B$5:$B$1369,B421,$C$5:$C$1369,C421)</f>
        <v>0.00499622887560294</v>
      </c>
      <c r="I421" s="43" t="n">
        <f aca="false">IF(G421="",H421,p_beta_alloc*G421+(1-p_beta_alloc)*H421)*F421^p_phi</f>
        <v>0.00330280072389011</v>
      </c>
      <c r="J421" s="16" t="n">
        <f aca="false">INDEX(Sector_Params!$C$19:$E$19,MATCH(B421,Sector_Params!$C$15:$E$15,0))*I421/SUMIFS($I$5:$I$1369,$B$5:$B$1369,B421,$C$5:$C$1369,C421)</f>
        <v>1.06304801679752</v>
      </c>
      <c r="K421" s="28" t="n">
        <f aca="false">INDEX(Sector_Params!$F$8:$H$8,MATCH(B421,Sector_Params!$C$15:$E$15,0))</f>
        <v>0.24</v>
      </c>
      <c r="L421" s="16" t="n">
        <f aca="false">J421*K421</f>
        <v>0.255131524031406</v>
      </c>
      <c r="M421" s="44" t="n">
        <f aca="false">Country_Data!$DW$64+Sector_Params!$E$8</f>
        <v>0.0895199999999999</v>
      </c>
      <c r="N421" s="44" t="n">
        <f aca="false">Country_Data!$DX$64+Sector_Params!$E$8</f>
        <v>0.13452</v>
      </c>
      <c r="O421" s="11" t="n">
        <f aca="false">IF(p_use_ibrd=1,p_r_ibrd,p_r_wb)</f>
        <v>0.06</v>
      </c>
      <c r="P421" s="45" t="n">
        <f aca="false">Sector_Params!$D$8</f>
        <v>25</v>
      </c>
      <c r="Q421" s="46" t="n">
        <f aca="false">M421/(1-(1+M421)^-P421)</f>
        <v>0.101410581724151</v>
      </c>
      <c r="R421" s="46" t="n">
        <f aca="false">N421/(1-(1+N421)^-P421)</f>
        <v>0.140509661512577</v>
      </c>
      <c r="S421" s="46" t="n">
        <f aca="false">O421/(1-(1+O421)^-P421)</f>
        <v>0.078226718212274</v>
      </c>
      <c r="T421" s="37" t="n">
        <f aca="false">Country_Data!$CM$64*Sector_Params!$I$8</f>
        <v>0.153056239019004</v>
      </c>
      <c r="U421" s="37" t="n">
        <f aca="false">Country_Data!$CN$64*Sector_Params!$J$8</f>
        <v>0.0979455583382952</v>
      </c>
      <c r="V421" s="37" t="n">
        <f aca="false">p_a</f>
        <v>0.35</v>
      </c>
      <c r="W421" s="16" t="n">
        <f aca="false">T421*L421</f>
        <v>0.0390494715234336</v>
      </c>
      <c r="X421" s="16" t="n">
        <f aca="false">U421*L421</f>
        <v>0.0249889995709562</v>
      </c>
      <c r="Y421" s="16" t="n">
        <f aca="false">V421*L421</f>
        <v>0.089296033410992</v>
      </c>
      <c r="Z421" s="16" t="n">
        <f aca="false">Q421*L421</f>
        <v>0.0258730362681941</v>
      </c>
      <c r="AA421" s="16" t="n">
        <f aca="false">R421*L421</f>
        <v>0.0358484440828408</v>
      </c>
      <c r="AB421" s="16" t="n">
        <f aca="false">S421*L421</f>
        <v>0.0199581018374728</v>
      </c>
      <c r="AC421" s="16" t="n">
        <f aca="false">Z421-W421</f>
        <v>-0.0131764352552395</v>
      </c>
      <c r="AD421" s="16" t="n">
        <f aca="false">AA421-W421</f>
        <v>-0.00320102744059275</v>
      </c>
      <c r="AE421" s="16" t="n">
        <f aca="false">AB421-W421</f>
        <v>-0.0190913696859608</v>
      </c>
      <c r="AF421" s="16" t="n">
        <f aca="false">AE421-X421</f>
        <v>-0.044080369256917</v>
      </c>
      <c r="AG421" s="16" t="n">
        <f aca="false">AF421-p_spc_lo*Y421/1000</f>
        <v>-0.0485451709274666</v>
      </c>
      <c r="AH421" s="16" t="n">
        <f aca="false">AF421-p_spc_hi*Y421/1000</f>
        <v>-0.0530099725980162</v>
      </c>
      <c r="AI421" s="16" t="n">
        <f aca="false">Q421*J421</f>
        <v>0.107804317784142</v>
      </c>
      <c r="AJ421" s="16" t="n">
        <f aca="false">S421*J421</f>
        <v>0.0831587576561366</v>
      </c>
      <c r="AK421" s="16" t="n">
        <f aca="false">T421*J421</f>
        <v>0.16270613134764</v>
      </c>
      <c r="AL421" s="16" t="n">
        <f aca="false">U421*J421</f>
        <v>0.104120831545651</v>
      </c>
      <c r="AM421" s="16" t="n">
        <f aca="false">AI421-AJ421</f>
        <v>0.0246455601280054</v>
      </c>
      <c r="AN421" s="16" t="n">
        <f aca="false">J421*Country_Data!$EB$64</f>
        <v>1.25408852996114</v>
      </c>
      <c r="AO421" s="16" t="n">
        <f aca="false">L421*Country_Data!$EB$64</f>
        <v>0.300981247190673</v>
      </c>
    </row>
    <row r="422" customFormat="false" ht="15" hidden="false" customHeight="false" outlineLevel="0" collapsed="false">
      <c r="A422" s="14" t="str">
        <f aca="false">Country_Data!$A$64</f>
        <v>MAR</v>
      </c>
      <c r="B422" s="14" t="str">
        <f aca="false">Country_Data!$E$64</f>
        <v>EMDC</v>
      </c>
      <c r="C422" s="35" t="s">
        <v>481</v>
      </c>
      <c r="D422" s="37" t="n">
        <f aca="false">IF(Country_Data!$CC$64="","",Country_Data!$CC$64)</f>
        <v>0.143994325989318</v>
      </c>
      <c r="E422" s="40" t="n">
        <f aca="false">Country_Data!$BW$64</f>
        <v>403.355</v>
      </c>
      <c r="F422" s="41" t="n">
        <f aca="false">Country_Data!$BX$64</f>
        <v>0.398175304632396</v>
      </c>
      <c r="G422" s="42" t="n">
        <f aca="false">IF(D422="","",D422/SUMIFS($D$5:$D$1369,$B$5:$B$1369,B422,$C$5:$C$1369,C422))</f>
        <v>0.00205684854794245</v>
      </c>
      <c r="H422" s="42" t="n">
        <f aca="false">E422/SUMIFS($E$5:$E$1369,$B$5:$B$1369,B422,$C$5:$C$1369,C422)</f>
        <v>0.00499622887560294</v>
      </c>
      <c r="I422" s="43" t="n">
        <f aca="false">IF(G422="",H422,p_beta_alloc*G422+(1-p_beta_alloc)*H422)*F422^p_phi</f>
        <v>0.00222528589970133</v>
      </c>
      <c r="J422" s="16" t="n">
        <f aca="false">INDEX(Sector_Params!$C$20:$E$20,MATCH(B422,Sector_Params!$C$15:$E$15,0))*I422/SUMIFS($I$5:$I$1369,$B$5:$B$1369,B422,$C$5:$C$1369,C422)</f>
        <v>0.406159488806426</v>
      </c>
      <c r="K422" s="28" t="n">
        <f aca="false">INDEX(Sector_Params!$F$9:$H$9,MATCH(B422,Sector_Params!$C$15:$E$15,0))</f>
        <v>0.24</v>
      </c>
      <c r="L422" s="16" t="n">
        <f aca="false">J422*K422</f>
        <v>0.0974782773135422</v>
      </c>
      <c r="M422" s="44" t="n">
        <f aca="false">Country_Data!$DW$64+Sector_Params!$E$9</f>
        <v>0.0895199999999999</v>
      </c>
      <c r="N422" s="44" t="n">
        <f aca="false">Country_Data!$DX$64+Sector_Params!$E$9</f>
        <v>0.13452</v>
      </c>
      <c r="O422" s="11" t="n">
        <f aca="false">IF(p_use_ibrd=1,p_r_ibrd,p_r_wb)</f>
        <v>0.06</v>
      </c>
      <c r="P422" s="45" t="n">
        <f aca="false">Sector_Params!$D$9</f>
        <v>25</v>
      </c>
      <c r="Q422" s="46" t="n">
        <f aca="false">M422/(1-(1+M422)^-P422)</f>
        <v>0.101410581724151</v>
      </c>
      <c r="R422" s="46" t="n">
        <f aca="false">N422/(1-(1+N422)^-P422)</f>
        <v>0.140509661512577</v>
      </c>
      <c r="S422" s="46" t="n">
        <f aca="false">O422/(1-(1+O422)^-P422)</f>
        <v>0.078226718212274</v>
      </c>
      <c r="T422" s="37" t="n">
        <f aca="false">Country_Data!$CM$64*Sector_Params!$I$9</f>
        <v>0.153056239019004</v>
      </c>
      <c r="U422" s="37" t="n">
        <f aca="false">Country_Data!$CN$64*Sector_Params!$J$9</f>
        <v>0.0979455583382952</v>
      </c>
      <c r="V422" s="37" t="n">
        <f aca="false">p_a</f>
        <v>0.35</v>
      </c>
      <c r="W422" s="16" t="n">
        <f aca="false">T422*L422</f>
        <v>0.0149196585116623</v>
      </c>
      <c r="X422" s="16" t="n">
        <f aca="false">U422*L422</f>
        <v>0.00954756429733007</v>
      </c>
      <c r="Y422" s="16" t="n">
        <f aca="false">V422*L422</f>
        <v>0.0341173970597398</v>
      </c>
      <c r="Z422" s="16" t="n">
        <f aca="false">Q422*L422</f>
        <v>0.00988532880783443</v>
      </c>
      <c r="AA422" s="16" t="n">
        <f aca="false">R422*L422</f>
        <v>0.013696639750155</v>
      </c>
      <c r="AB422" s="16" t="n">
        <f aca="false">S422*L422</f>
        <v>0.00762540573122437</v>
      </c>
      <c r="AC422" s="16" t="n">
        <f aca="false">Z422-W422</f>
        <v>-0.00503432970382783</v>
      </c>
      <c r="AD422" s="16" t="n">
        <f aca="false">AA422-W422</f>
        <v>-0.00122301876150729</v>
      </c>
      <c r="AE422" s="16" t="n">
        <f aca="false">AB422-W422</f>
        <v>-0.00729425278043789</v>
      </c>
      <c r="AF422" s="16" t="n">
        <f aca="false">AE422-X422</f>
        <v>-0.016841817077768</v>
      </c>
      <c r="AG422" s="16" t="n">
        <f aca="false">AF422-p_spc_lo*Y422/1000</f>
        <v>-0.018547686930755</v>
      </c>
      <c r="AH422" s="16" t="n">
        <f aca="false">AF422-p_spc_hi*Y422/1000</f>
        <v>-0.0202535567837419</v>
      </c>
      <c r="AI422" s="16" t="n">
        <f aca="false">Q422*J422</f>
        <v>0.0411888700326435</v>
      </c>
      <c r="AJ422" s="16" t="n">
        <f aca="false">S422*J422</f>
        <v>0.0317725238801015</v>
      </c>
      <c r="AK422" s="16" t="n">
        <f aca="false">T422*J422</f>
        <v>0.0621652437985927</v>
      </c>
      <c r="AL422" s="16" t="n">
        <f aca="false">U422*J422</f>
        <v>0.039781517905542</v>
      </c>
      <c r="AM422" s="16" t="n">
        <f aca="false">AI422-AJ422</f>
        <v>0.00941634615254194</v>
      </c>
      <c r="AN422" s="16" t="n">
        <f aca="false">J422*Country_Data!$EB$64</f>
        <v>0.479150469403523</v>
      </c>
      <c r="AO422" s="16" t="n">
        <f aca="false">L422*Country_Data!$EB$64</f>
        <v>0.114996112656845</v>
      </c>
    </row>
    <row r="423" customFormat="false" ht="15" hidden="false" customHeight="false" outlineLevel="0" collapsed="false">
      <c r="A423" s="14" t="str">
        <f aca="false">Country_Data!$A$64</f>
        <v>MAR</v>
      </c>
      <c r="B423" s="14" t="str">
        <f aca="false">Country_Data!$E$64</f>
        <v>EMDC</v>
      </c>
      <c r="C423" s="35" t="s">
        <v>484</v>
      </c>
      <c r="D423" s="37" t="n">
        <f aca="false">IF(Country_Data!$CD$64="","",Country_Data!$CD$64)</f>
        <v>0.740935645926128</v>
      </c>
      <c r="E423" s="40" t="n">
        <f aca="false">Country_Data!$BW$64</f>
        <v>403.355</v>
      </c>
      <c r="F423" s="41" t="n">
        <f aca="false">Country_Data!$BX$64</f>
        <v>0.398175304632396</v>
      </c>
      <c r="G423" s="42" t="n">
        <f aca="false">IF(D423="","",D423/SUMIFS($D$5:$D$1369,$B$5:$B$1369,B423,$C$5:$C$1369,C423))</f>
        <v>0.00413765532496443</v>
      </c>
      <c r="H423" s="42" t="n">
        <f aca="false">E423/SUMIFS($E$5:$E$1369,$B$5:$B$1369,B423,$C$5:$C$1369,C423)</f>
        <v>0.00499622887560294</v>
      </c>
      <c r="I423" s="43" t="n">
        <f aca="false">IF(G423="",H423,p_beta_alloc*G423+(1-p_beta_alloc)*H423)*F423^p_phi</f>
        <v>0.00288179223060481</v>
      </c>
      <c r="J423" s="16" t="n">
        <f aca="false">INDEX(Sector_Params!$C$21:$E$21,MATCH(B423,Sector_Params!$C$15:$E$15,0))*I423/SUMIFS($I$5:$I$1369,$B$5:$B$1369,B423,$C$5:$C$1369,C423)</f>
        <v>0.639152198135894</v>
      </c>
      <c r="K423" s="28" t="n">
        <f aca="false">INDEX(Sector_Params!$F$10:$H$10,MATCH(B423,Sector_Params!$C$15:$E$15,0))</f>
        <v>0.24</v>
      </c>
      <c r="L423" s="16" t="n">
        <f aca="false">J423*K423</f>
        <v>0.153396527552615</v>
      </c>
      <c r="M423" s="44" t="n">
        <f aca="false">Country_Data!$DW$64+Sector_Params!$E$10</f>
        <v>0.0895199999999999</v>
      </c>
      <c r="N423" s="44" t="n">
        <f aca="false">Country_Data!$DX$64+Sector_Params!$E$10</f>
        <v>0.13452</v>
      </c>
      <c r="O423" s="11" t="n">
        <f aca="false">IF(p_use_ibrd=1,p_r_ibrd,p_r_wb)</f>
        <v>0.06</v>
      </c>
      <c r="P423" s="45" t="n">
        <f aca="false">Sector_Params!$D$10</f>
        <v>20</v>
      </c>
      <c r="Q423" s="46" t="n">
        <f aca="false">M423/(1-(1+M423)^-P423)</f>
        <v>0.109172020618027</v>
      </c>
      <c r="R423" s="46" t="n">
        <f aca="false">N423/(1-(1+N423)^-P423)</f>
        <v>0.146236932933174</v>
      </c>
      <c r="S423" s="46" t="n">
        <f aca="false">O423/(1-(1+O423)^-P423)</f>
        <v>0.0871845569768514</v>
      </c>
      <c r="T423" s="37" t="n">
        <f aca="false">0*Sector_Params!$I$10</f>
        <v>0</v>
      </c>
      <c r="U423" s="37" t="n">
        <f aca="false">0*Sector_Params!$J$10</f>
        <v>0</v>
      </c>
      <c r="V423" s="37" t="n">
        <f aca="false">1000*p_r_wb/(1-(1+p_r_wb)^-Sector_Params!$D$10)/p_cpt_fuel</f>
        <v>0.871845569768514</v>
      </c>
      <c r="W423" s="16" t="n">
        <f aca="false">T423*L423</f>
        <v>0</v>
      </c>
      <c r="X423" s="16" t="n">
        <f aca="false">U423*L423</f>
        <v>0</v>
      </c>
      <c r="Y423" s="16" t="n">
        <f aca="false">V423*L423</f>
        <v>0.133738082964621</v>
      </c>
      <c r="Z423" s="16" t="n">
        <f aca="false">Q423*L423</f>
        <v>0.0167466088687079</v>
      </c>
      <c r="AA423" s="16" t="n">
        <f aca="false">R423*L423</f>
        <v>0.0224322377118934</v>
      </c>
      <c r="AB423" s="16" t="n">
        <f aca="false">S423*L423</f>
        <v>0.0133738082964621</v>
      </c>
      <c r="AC423" s="16" t="n">
        <f aca="false">Z423-W423</f>
        <v>0.0167466088687079</v>
      </c>
      <c r="AD423" s="16" t="n">
        <f aca="false">AA423-W423</f>
        <v>0.0224322377118934</v>
      </c>
      <c r="AE423" s="16" t="n">
        <f aca="false">AB423-W423</f>
        <v>0.0133738082964621</v>
      </c>
      <c r="AF423" s="16" t="n">
        <f aca="false">AE423-X423</f>
        <v>0.0133738082964621</v>
      </c>
      <c r="AG423" s="16" t="n">
        <f aca="false">AF423-p_spc_lo*Y423/1000</f>
        <v>0.00668690414823104</v>
      </c>
      <c r="AH423" s="16" t="n">
        <f aca="false">AF423-p_spc_hi*Y423/1000</f>
        <v>0</v>
      </c>
      <c r="AI423" s="16" t="n">
        <f aca="false">Q423*J423</f>
        <v>0.0697775369529494</v>
      </c>
      <c r="AJ423" s="16" t="n">
        <f aca="false">S423*J423</f>
        <v>0.0557242012352587</v>
      </c>
      <c r="AK423" s="16" t="n">
        <f aca="false">T423*J423</f>
        <v>0</v>
      </c>
      <c r="AL423" s="16" t="n">
        <f aca="false">U423*J423</f>
        <v>0</v>
      </c>
      <c r="AM423" s="16" t="n">
        <f aca="false">AI423-AJ423</f>
        <v>0.0140533357176907</v>
      </c>
      <c r="AN423" s="16" t="n">
        <f aca="false">J423*Country_Data!$EB$64</f>
        <v>0.754014332293649</v>
      </c>
      <c r="AO423" s="16" t="n">
        <f aca="false">L423*Country_Data!$EB$64</f>
        <v>0.180963439750476</v>
      </c>
    </row>
    <row r="424" customFormat="false" ht="15" hidden="false" customHeight="false" outlineLevel="0" collapsed="false">
      <c r="A424" s="14" t="str">
        <f aca="false">Country_Data!$A$64</f>
        <v>MAR</v>
      </c>
      <c r="B424" s="14" t="str">
        <f aca="false">Country_Data!$E$64</f>
        <v>EMDC</v>
      </c>
      <c r="C424" s="35" t="s">
        <v>488</v>
      </c>
      <c r="D424" s="37" t="n">
        <f aca="false">IF(Country_Data!$CE$64="","",Country_Data!$CE$64)</f>
        <v>41.856</v>
      </c>
      <c r="E424" s="40" t="n">
        <f aca="false">Country_Data!$BW$64</f>
        <v>403.355</v>
      </c>
      <c r="F424" s="41" t="n">
        <f aca="false">Country_Data!$BX$64</f>
        <v>0.398175304632396</v>
      </c>
      <c r="G424" s="42" t="n">
        <f aca="false">IF(D424="","",D424/SUMIFS($D$5:$D$1369,$B$5:$B$1369,B424,$C$5:$C$1369,C424))</f>
        <v>0.00342966426884058</v>
      </c>
      <c r="H424" s="42" t="n">
        <f aca="false">E424/SUMIFS($E$5:$E$1369,$B$5:$B$1369,B424,$C$5:$C$1369,C424)</f>
        <v>0.00499622887560294</v>
      </c>
      <c r="I424" s="43" t="n">
        <f aca="false">IF(G424="",H424,p_beta_alloc*G424+(1-p_beta_alloc)*H424)*F424^p_phi</f>
        <v>0.00265841703993306</v>
      </c>
      <c r="J424" s="16" t="n">
        <f aca="false">INDEX(Sector_Params!$C$22:$E$22,MATCH(B424,Sector_Params!$C$15:$E$15,0))*I424/SUMIFS($I$5:$I$1369,$B$5:$B$1369,B424,$C$5:$C$1369,C424)</f>
        <v>1.6025160910557</v>
      </c>
      <c r="K424" s="28" t="n">
        <f aca="false">INDEX(Sector_Params!$F$11:$H$11,MATCH(B424,Sector_Params!$C$15:$E$15,0))</f>
        <v>0.24</v>
      </c>
      <c r="L424" s="16" t="n">
        <f aca="false">J424*K424</f>
        <v>0.384603861853369</v>
      </c>
      <c r="M424" s="44" t="n">
        <f aca="false">Country_Data!$DW$64+Sector_Params!$E$11</f>
        <v>0.0895199999999999</v>
      </c>
      <c r="N424" s="44" t="n">
        <f aca="false">Country_Data!$DX$64+Sector_Params!$E$11</f>
        <v>0.13452</v>
      </c>
      <c r="O424" s="11" t="n">
        <f aca="false">IF(p_use_ibrd=1,p_r_ibrd,p_r_wb)</f>
        <v>0.06</v>
      </c>
      <c r="P424" s="45" t="n">
        <f aca="false">Sector_Params!$D$11</f>
        <v>30</v>
      </c>
      <c r="Q424" s="46" t="n">
        <f aca="false">M424/(1-(1+M424)^-P424)</f>
        <v>0.0969223151912287</v>
      </c>
      <c r="R424" s="46" t="n">
        <f aca="false">N424/(1-(1+N424)^-P424)</f>
        <v>0.137641657156856</v>
      </c>
      <c r="S424" s="46" t="n">
        <f aca="false">O424/(1-(1+O424)^-P424)</f>
        <v>0.0726489114900472</v>
      </c>
      <c r="T424" s="37" t="n">
        <f aca="false">0*Sector_Params!$I$11</f>
        <v>0</v>
      </c>
      <c r="U424" s="37" t="n">
        <f aca="false">p_c*Sector_Params!$J$11</f>
        <v>0.129</v>
      </c>
      <c r="V424" s="37" t="n">
        <f aca="false">1000*p_r_wb/(1-(1+p_r_wb)^-Sector_Params!$D$11)/p_cpt_afolu</f>
        <v>1.45297822980094</v>
      </c>
      <c r="W424" s="16" t="n">
        <f aca="false">T424*L424</f>
        <v>0</v>
      </c>
      <c r="X424" s="16" t="n">
        <f aca="false">U424*L424</f>
        <v>0.0496138981790846</v>
      </c>
      <c r="Y424" s="16" t="n">
        <f aca="false">V424*L424</f>
        <v>0.558821038370314</v>
      </c>
      <c r="Z424" s="16" t="n">
        <f aca="false">Q424*L424</f>
        <v>0.037276696722316</v>
      </c>
      <c r="AA424" s="16" t="n">
        <f aca="false">R424*L424</f>
        <v>0.0529375128944241</v>
      </c>
      <c r="AB424" s="16" t="n">
        <f aca="false">S424*L424</f>
        <v>0.0279410519185157</v>
      </c>
      <c r="AC424" s="16" t="n">
        <f aca="false">Z424-W424</f>
        <v>0.037276696722316</v>
      </c>
      <c r="AD424" s="16" t="n">
        <f aca="false">AA424-W424</f>
        <v>0.0529375128944241</v>
      </c>
      <c r="AE424" s="16" t="n">
        <f aca="false">AB424-W424</f>
        <v>0.0279410519185157</v>
      </c>
      <c r="AF424" s="16" t="n">
        <f aca="false">AE424-X424</f>
        <v>-0.0216728462605688</v>
      </c>
      <c r="AG424" s="16" t="n">
        <f aca="false">AF424-p_spc_lo*Y424/1000</f>
        <v>-0.0496138981790846</v>
      </c>
      <c r="AH424" s="16" t="n">
        <f aca="false">AF424-p_spc_hi*Y424/1000</f>
        <v>-0.0775549500976003</v>
      </c>
      <c r="AI424" s="16" t="n">
        <f aca="false">Q424*J424</f>
        <v>0.155319569676317</v>
      </c>
      <c r="AJ424" s="16" t="n">
        <f aca="false">S424*J424</f>
        <v>0.116421049660482</v>
      </c>
      <c r="AK424" s="16" t="n">
        <f aca="false">T424*J424</f>
        <v>0</v>
      </c>
      <c r="AL424" s="16" t="n">
        <f aca="false">U424*J424</f>
        <v>0.206724575746186</v>
      </c>
      <c r="AM424" s="16" t="n">
        <f aca="false">AI424-AJ424</f>
        <v>0.0388985200158343</v>
      </c>
      <c r="AN424" s="16" t="n">
        <f aca="false">J424*Country_Data!$EB$64</f>
        <v>1.89050449002803</v>
      </c>
      <c r="AO424" s="16" t="n">
        <f aca="false">L424*Country_Data!$EB$64</f>
        <v>0.453721077606728</v>
      </c>
    </row>
    <row r="425" customFormat="false" ht="15" hidden="false" customHeight="false" outlineLevel="0" collapsed="false">
      <c r="A425" s="14" t="str">
        <f aca="false">Country_Data!$A$65</f>
        <v>ETH</v>
      </c>
      <c r="B425" s="14" t="str">
        <f aca="false">Country_Data!$E$65</f>
        <v>EMDC</v>
      </c>
      <c r="C425" s="35" t="s">
        <v>466</v>
      </c>
      <c r="D425" s="37" t="n">
        <f aca="false">IF(Country_Data!$BZ$65="","",Country_Data!$BZ$65)</f>
        <v>14.5048207289267</v>
      </c>
      <c r="E425" s="40" t="n">
        <f aca="false">Country_Data!$BW$65</f>
        <v>443.251</v>
      </c>
      <c r="F425" s="41" t="n">
        <f aca="false">Country_Data!$BX$65</f>
        <v>0.320524939594045</v>
      </c>
      <c r="G425" s="42" t="n">
        <f aca="false">IF(D425="","",D425/SUMIFS($D$5:$D$1369,$B$5:$B$1369,B425,$C$5:$C$1369,C425))</f>
        <v>0.00165590130843114</v>
      </c>
      <c r="H425" s="42" t="n">
        <f aca="false">E425/SUMIFS($E$5:$E$1369,$B$5:$B$1369,B425,$C$5:$C$1369,C425)</f>
        <v>0.00549040781777808</v>
      </c>
      <c r="I425" s="43" t="n">
        <f aca="false">IF(G425="",H425,p_beta_alloc*G425+(1-p_beta_alloc)*H425)*F425^p_phi</f>
        <v>0.00202293866974817</v>
      </c>
      <c r="J425" s="16" t="n">
        <f aca="false">INDEX(Sector_Params!$C$16:$E$16,MATCH(B425,Sector_Params!$C$15:$E$15,0))*I425/SUMIFS($I$5:$I$1369,$B$5:$B$1369,B425,$C$5:$C$1369,C425)</f>
        <v>1.95663756729742</v>
      </c>
      <c r="K425" s="28" t="n">
        <f aca="false">INDEX(Sector_Params!$F$5:$H$5,MATCH(B425,Sector_Params!$C$15:$E$15,0))</f>
        <v>0.24</v>
      </c>
      <c r="L425" s="16" t="n">
        <f aca="false">J425*K425</f>
        <v>0.469593016151381</v>
      </c>
      <c r="M425" s="44" t="n">
        <f aca="false">Country_Data!$DW$65+Sector_Params!$E$5</f>
        <v>0.10568</v>
      </c>
      <c r="N425" s="44" t="n">
        <f aca="false">Country_Data!$DX$65+Sector_Params!$E$5</f>
        <v>0.15068</v>
      </c>
      <c r="O425" s="11" t="n">
        <f aca="false">IF(p_use_ibrd=1,p_r_ibrd,p_r_wb)</f>
        <v>0.06</v>
      </c>
      <c r="P425" s="45" t="n">
        <f aca="false">Sector_Params!$D$5</f>
        <v>25</v>
      </c>
      <c r="Q425" s="46" t="n">
        <f aca="false">M425/(1-(1+M425)^-P425)</f>
        <v>0.11501275014614</v>
      </c>
      <c r="R425" s="46" t="n">
        <f aca="false">N425/(1-(1+N425)^-P425)</f>
        <v>0.155329318737492</v>
      </c>
      <c r="S425" s="46" t="n">
        <f aca="false">O425/(1-(1+O425)^-P425)</f>
        <v>0.078226718212274</v>
      </c>
      <c r="T425" s="37" t="n">
        <f aca="false">IF(AND(p_eng=1,ISNUMBER(Country_Data!$CZ$65)),Country_Data!$CZ$65,Country_Data!$CM$65)*Sector_Params!$I$5</f>
        <v>0.146916941451853</v>
      </c>
      <c r="U425" s="37" t="n">
        <f aca="false">IF(AND(p_eng=1,ISNUMBER(Country_Data!$DA$65)),Country_Data!$DA$65,Country_Data!$CN$65)*Sector_Params!$J$5</f>
        <v>0.03225</v>
      </c>
      <c r="V425" s="37" t="n">
        <f aca="false">IF(AND(p_eng=1,ISNUMBER(Country_Data!$DB$65)),Country_Data!$DB$65,p_a)</f>
        <v>0.35</v>
      </c>
      <c r="W425" s="16" t="n">
        <f aca="false">T425*L425</f>
        <v>0.0689911696601113</v>
      </c>
      <c r="X425" s="16" t="n">
        <f aca="false">U425*L425</f>
        <v>0.015144374770882</v>
      </c>
      <c r="Y425" s="16" t="n">
        <f aca="false">V425*L425</f>
        <v>0.164357555652983</v>
      </c>
      <c r="Z425" s="16" t="n">
        <f aca="false">Q425*L425</f>
        <v>0.0540091842369908</v>
      </c>
      <c r="AA425" s="16" t="n">
        <f aca="false">R425*L425</f>
        <v>0.0729415632826779</v>
      </c>
      <c r="AB425" s="16" t="n">
        <f aca="false">S425*L425</f>
        <v>0.0367347205489259</v>
      </c>
      <c r="AC425" s="16" t="n">
        <f aca="false">Z425-W425</f>
        <v>-0.0149819854231204</v>
      </c>
      <c r="AD425" s="16" t="n">
        <f aca="false">AA425-W425</f>
        <v>0.00395039362256666</v>
      </c>
      <c r="AE425" s="16" t="n">
        <f aca="false">AB425-W425</f>
        <v>-0.0322564491111854</v>
      </c>
      <c r="AF425" s="16" t="n">
        <f aca="false">AE425-X425</f>
        <v>-0.0474008238820674</v>
      </c>
      <c r="AG425" s="16" t="n">
        <f aca="false">AF425-p_spc_lo*Y425/1000</f>
        <v>-0.0556187016647166</v>
      </c>
      <c r="AH425" s="16" t="n">
        <f aca="false">AF425-p_spc_hi*Y425/1000</f>
        <v>-0.0638365794473657</v>
      </c>
      <c r="AI425" s="16" t="n">
        <f aca="false">Q425*J425</f>
        <v>0.225038267654128</v>
      </c>
      <c r="AJ425" s="16" t="n">
        <f aca="false">S425*J425</f>
        <v>0.153061335620524</v>
      </c>
      <c r="AK425" s="16" t="n">
        <f aca="false">T425*J425</f>
        <v>0.28746320691713</v>
      </c>
      <c r="AL425" s="16" t="n">
        <f aca="false">U425*J425</f>
        <v>0.0631015615453418</v>
      </c>
      <c r="AM425" s="16" t="n">
        <f aca="false">AI425-AJ425</f>
        <v>0.071976932033604</v>
      </c>
      <c r="AN425" s="16" t="n">
        <f aca="false">J425*Country_Data!$EB$65</f>
        <v>2.38740118676445</v>
      </c>
      <c r="AO425" s="16" t="n">
        <f aca="false">L425*Country_Data!$EB$65</f>
        <v>0.572976284823468</v>
      </c>
    </row>
    <row r="426" customFormat="false" ht="15" hidden="false" customHeight="false" outlineLevel="0" collapsed="false">
      <c r="A426" s="14" t="str">
        <f aca="false">Country_Data!$A$65</f>
        <v>ETH</v>
      </c>
      <c r="B426" s="14" t="str">
        <f aca="false">Country_Data!$E$65</f>
        <v>EMDC</v>
      </c>
      <c r="C426" s="35" t="s">
        <v>470</v>
      </c>
      <c r="D426" s="37" t="n">
        <f aca="false">IF(Country_Data!$BZ$65="","",Country_Data!$BZ$65)</f>
        <v>14.5048207289267</v>
      </c>
      <c r="E426" s="40" t="n">
        <f aca="false">Country_Data!$BW$65</f>
        <v>443.251</v>
      </c>
      <c r="F426" s="41" t="n">
        <f aca="false">Country_Data!$BX$65</f>
        <v>0.320524939594045</v>
      </c>
      <c r="G426" s="42" t="n">
        <f aca="false">IF(D426="","",D426/SUMIFS($D$5:$D$1369,$B$5:$B$1369,B426,$C$5:$C$1369,C426))</f>
        <v>0.00165590130843114</v>
      </c>
      <c r="H426" s="42" t="n">
        <f aca="false">E426/SUMIFS($E$5:$E$1369,$B$5:$B$1369,B426,$C$5:$C$1369,C426)</f>
        <v>0.00549040781777808</v>
      </c>
      <c r="I426" s="43" t="n">
        <f aca="false">IF(G426="",H426,p_beta_alloc*G426+(1-p_beta_alloc)*H426)*F426^p_phi</f>
        <v>0.00202293866974817</v>
      </c>
      <c r="J426" s="16" t="n">
        <f aca="false">INDEX(Sector_Params!$C$17:$E$17,MATCH(B426,Sector_Params!$C$15:$E$15,0))*I426/SUMIFS($I$5:$I$1369,$B$5:$B$1369,B426,$C$5:$C$1369,C426)</f>
        <v>1.34169433186109</v>
      </c>
      <c r="K426" s="28" t="n">
        <f aca="false">INDEX(Sector_Params!$F$6:$H$6,MATCH(B426,Sector_Params!$C$15:$E$15,0))</f>
        <v>0.24</v>
      </c>
      <c r="L426" s="16" t="n">
        <f aca="false">J426*K426</f>
        <v>0.322006639646661</v>
      </c>
      <c r="M426" s="44" t="n">
        <f aca="false">Country_Data!$DW$65+Sector_Params!$E$6</f>
        <v>0.10568</v>
      </c>
      <c r="N426" s="44" t="n">
        <f aca="false">Country_Data!$DX$65+Sector_Params!$E$6</f>
        <v>0.15068</v>
      </c>
      <c r="O426" s="11" t="n">
        <f aca="false">IF(p_use_ibrd=1,p_r_ibrd,p_r_wb)</f>
        <v>0.06</v>
      </c>
      <c r="P426" s="45" t="n">
        <f aca="false">Sector_Params!$D$6</f>
        <v>40</v>
      </c>
      <c r="Q426" s="46" t="n">
        <f aca="false">M426/(1-(1+M426)^-P426)</f>
        <v>0.107615062077808</v>
      </c>
      <c r="R426" s="46" t="n">
        <f aca="false">N426/(1-(1+N426)^-P426)</f>
        <v>0.151231390600654</v>
      </c>
      <c r="S426" s="46" t="n">
        <f aca="false">O426/(1-(1+O426)^-P426)</f>
        <v>0.0664615359206755</v>
      </c>
      <c r="T426" s="37" t="n">
        <f aca="false">p_grid_credit*IF(AND(p_eng=1,ISNUMBER(Country_Data!$CZ$65)),Country_Data!$CZ$65,Country_Data!$CM$65)*Sector_Params!$I$6</f>
        <v>0</v>
      </c>
      <c r="U426" s="37" t="n">
        <f aca="false">p_grid_credit*IF(AND(p_eng=1,ISNUMBER(Country_Data!$DA$65)),Country_Data!$DA$65,Country_Data!$CN$65)*Sector_Params!$J$6</f>
        <v>0</v>
      </c>
      <c r="V426" s="37" t="n">
        <f aca="false">p_grid_credit*IF(AND(p_eng=1,ISNUMBER(Country_Data!$DB$65)),Country_Data!$DB$65,p_a)</f>
        <v>0</v>
      </c>
      <c r="W426" s="16" t="n">
        <f aca="false">T426*L426</f>
        <v>0</v>
      </c>
      <c r="X426" s="16" t="n">
        <f aca="false">U426*L426</f>
        <v>0</v>
      </c>
      <c r="Y426" s="16" t="n">
        <f aca="false">V426*L426</f>
        <v>0</v>
      </c>
      <c r="Z426" s="16" t="n">
        <f aca="false">Q426*L426</f>
        <v>0.0346527645150417</v>
      </c>
      <c r="AA426" s="16" t="n">
        <f aca="false">R426*L426</f>
        <v>0.0486975118964081</v>
      </c>
      <c r="AB426" s="16" t="n">
        <f aca="false">S426*L426</f>
        <v>0.0214010558475726</v>
      </c>
      <c r="AC426" s="16" t="n">
        <f aca="false">Z426-W426</f>
        <v>0.0346527645150417</v>
      </c>
      <c r="AD426" s="16" t="n">
        <f aca="false">AA426-W426</f>
        <v>0.0486975118964081</v>
      </c>
      <c r="AE426" s="16" t="n">
        <f aca="false">AB426-W426</f>
        <v>0.0214010558475726</v>
      </c>
      <c r="AF426" s="16" t="n">
        <f aca="false">AE426-X426</f>
        <v>0.0214010558475726</v>
      </c>
      <c r="AG426" s="16" t="n">
        <f aca="false">AF426-p_spc_lo*Y426/1000</f>
        <v>0.0214010558475726</v>
      </c>
      <c r="AH426" s="16" t="n">
        <f aca="false">AF426-p_spc_hi*Y426/1000</f>
        <v>0.0214010558475726</v>
      </c>
      <c r="AI426" s="16" t="n">
        <f aca="false">Q426*J426</f>
        <v>0.144386518812674</v>
      </c>
      <c r="AJ426" s="16" t="n">
        <f aca="false">S426*J426</f>
        <v>0.0891710660315524</v>
      </c>
      <c r="AK426" s="16" t="n">
        <f aca="false">T426*J426</f>
        <v>0</v>
      </c>
      <c r="AL426" s="16" t="n">
        <f aca="false">U426*J426</f>
        <v>0</v>
      </c>
      <c r="AM426" s="16" t="n">
        <f aca="false">AI426-AJ426</f>
        <v>0.0552154527811212</v>
      </c>
      <c r="AN426" s="16" t="n">
        <f aca="false">J426*Country_Data!$EB$65</f>
        <v>1.63707509949562</v>
      </c>
      <c r="AO426" s="16" t="n">
        <f aca="false">L426*Country_Data!$EB$65</f>
        <v>0.392898023878949</v>
      </c>
    </row>
    <row r="427" customFormat="false" ht="15" hidden="false" customHeight="false" outlineLevel="0" collapsed="false">
      <c r="A427" s="14" t="str">
        <f aca="false">Country_Data!$A$65</f>
        <v>ETH</v>
      </c>
      <c r="B427" s="14" t="str">
        <f aca="false">Country_Data!$E$65</f>
        <v>EMDC</v>
      </c>
      <c r="C427" s="35" t="s">
        <v>473</v>
      </c>
      <c r="D427" s="37" t="n">
        <f aca="false">IF(Country_Data!$CA$65="","",Country_Data!$CA$65)</f>
        <v>0.195956187587539</v>
      </c>
      <c r="E427" s="40" t="n">
        <f aca="false">Country_Data!$BW$65</f>
        <v>443.251</v>
      </c>
      <c r="F427" s="41" t="n">
        <f aca="false">Country_Data!$BX$65</f>
        <v>0.320524939594045</v>
      </c>
      <c r="G427" s="42" t="n">
        <f aca="false">IF(D427="","",D427/SUMIFS($D$5:$D$1369,$B$5:$B$1369,B427,$C$5:$C$1369,C427))</f>
        <v>0.00452704386735761</v>
      </c>
      <c r="H427" s="42" t="n">
        <f aca="false">E427/SUMIFS($E$5:$E$1369,$B$5:$B$1369,B427,$C$5:$C$1369,C427)</f>
        <v>0.00549040781777808</v>
      </c>
      <c r="I427" s="43" t="n">
        <f aca="false">IF(G427="",H427,p_beta_alloc*G427+(1-p_beta_alloc)*H427)*F427^p_phi</f>
        <v>0.0028356862302351</v>
      </c>
      <c r="J427" s="16" t="n">
        <f aca="false">INDEX(Sector_Params!$C$18:$E$18,MATCH(B427,Sector_Params!$C$15:$E$15,0))*I427/SUMIFS($I$5:$I$1369,$B$5:$B$1369,B427,$C$5:$C$1369,C427)</f>
        <v>1.16114641550162</v>
      </c>
      <c r="K427" s="28" t="n">
        <f aca="false">INDEX(Sector_Params!$F$7:$H$7,MATCH(B427,Sector_Params!$C$15:$E$15,0))</f>
        <v>0.24</v>
      </c>
      <c r="L427" s="16" t="n">
        <f aca="false">J427*K427</f>
        <v>0.27867513972039</v>
      </c>
      <c r="M427" s="44" t="n">
        <f aca="false">Country_Data!$DW$65+Sector_Params!$E$7</f>
        <v>0.10568</v>
      </c>
      <c r="N427" s="44" t="n">
        <f aca="false">Country_Data!$DX$65+Sector_Params!$E$7</f>
        <v>0.15068</v>
      </c>
      <c r="O427" s="11" t="n">
        <f aca="false">IF(p_use_ibrd=1,p_r_ibrd,p_r_wb)</f>
        <v>0.06</v>
      </c>
      <c r="P427" s="45" t="n">
        <f aca="false">Sector_Params!$D$7</f>
        <v>12</v>
      </c>
      <c r="Q427" s="46" t="n">
        <f aca="false">M427/(1-(1+M427)^-P427)</f>
        <v>0.150871054923581</v>
      </c>
      <c r="R427" s="46" t="n">
        <f aca="false">N427/(1-(1+N427)^-P427)</f>
        <v>0.185016467043397</v>
      </c>
      <c r="S427" s="46" t="n">
        <f aca="false">O427/(1-(1+O427)^-P427)</f>
        <v>0.119277029380664</v>
      </c>
      <c r="T427" s="37" t="n">
        <f aca="false">IF(AND(p_eng=1,ISNUMBER(Country_Data!$DE$65)),Country_Data!$DE$65,Country_Data!$CM$65)*Sector_Params!$I$7</f>
        <v>0.146916941451853</v>
      </c>
      <c r="U427" s="37" t="n">
        <f aca="false">IF(AND(p_eng=1,ISNUMBER(Country_Data!$DF$65)),Country_Data!$DF$65,Country_Data!$CN$65)*Sector_Params!$J$7</f>
        <v>0.03225</v>
      </c>
      <c r="V427" s="37" t="n">
        <f aca="false">IF(AND(p_eng=1,ISNUMBER(Country_Data!$DG$65)),Country_Data!$DG$65,p_a)</f>
        <v>0.35</v>
      </c>
      <c r="W427" s="16" t="n">
        <f aca="false">T427*L427</f>
        <v>0.0409420991863874</v>
      </c>
      <c r="X427" s="16" t="n">
        <f aca="false">U427*L427</f>
        <v>0.00898727325598258</v>
      </c>
      <c r="Y427" s="16" t="n">
        <f aca="false">V427*L427</f>
        <v>0.0975362989021365</v>
      </c>
      <c r="Z427" s="16" t="n">
        <f aca="false">Q427*L427</f>
        <v>0.0420440123105916</v>
      </c>
      <c r="AA427" s="16" t="n">
        <f aca="false">R427*L427</f>
        <v>0.0515594898038915</v>
      </c>
      <c r="AB427" s="16" t="n">
        <f aca="false">S427*L427</f>
        <v>0.0332395428280895</v>
      </c>
      <c r="AC427" s="16" t="n">
        <f aca="false">Z427-W427</f>
        <v>0.00110191312420427</v>
      </c>
      <c r="AD427" s="16" t="n">
        <f aca="false">AA427-W427</f>
        <v>0.0106173906175041</v>
      </c>
      <c r="AE427" s="16" t="n">
        <f aca="false">AB427-W427</f>
        <v>-0.00770255635829789</v>
      </c>
      <c r="AF427" s="16" t="n">
        <f aca="false">AE427-X427</f>
        <v>-0.0166898296142805</v>
      </c>
      <c r="AG427" s="16" t="n">
        <f aca="false">AF427-p_spc_lo*Y427/1000</f>
        <v>-0.0215666445593873</v>
      </c>
      <c r="AH427" s="16" t="n">
        <f aca="false">AF427-p_spc_hi*Y427/1000</f>
        <v>-0.0264434595044941</v>
      </c>
      <c r="AI427" s="16" t="n">
        <f aca="false">Q427*J427</f>
        <v>0.175183384627465</v>
      </c>
      <c r="AJ427" s="16" t="n">
        <f aca="false">S427*J427</f>
        <v>0.138498095117039</v>
      </c>
      <c r="AK427" s="16" t="n">
        <f aca="false">T427*J427</f>
        <v>0.170592079943281</v>
      </c>
      <c r="AL427" s="16" t="n">
        <f aca="false">U427*J427</f>
        <v>0.0374469718999274</v>
      </c>
      <c r="AM427" s="16" t="n">
        <f aca="false">AI427-AJ427</f>
        <v>0.0366852895104257</v>
      </c>
      <c r="AN427" s="16" t="n">
        <f aca="false">J427*Country_Data!$EB$65</f>
        <v>1.41677864961206</v>
      </c>
      <c r="AO427" s="16" t="n">
        <f aca="false">L427*Country_Data!$EB$65</f>
        <v>0.340026875906894</v>
      </c>
    </row>
    <row r="428" customFormat="false" ht="15" hidden="false" customHeight="false" outlineLevel="0" collapsed="false">
      <c r="A428" s="14" t="str">
        <f aca="false">Country_Data!$A$65</f>
        <v>ETH</v>
      </c>
      <c r="B428" s="14" t="str">
        <f aca="false">Country_Data!$E$65</f>
        <v>EMDC</v>
      </c>
      <c r="C428" s="35" t="s">
        <v>477</v>
      </c>
      <c r="D428" s="37" t="n">
        <f aca="false">IF(Country_Data!$CB$65="","",Country_Data!$CB$65)</f>
        <v>0.0276602930703214</v>
      </c>
      <c r="E428" s="40" t="n">
        <f aca="false">Country_Data!$BW$65</f>
        <v>443.251</v>
      </c>
      <c r="F428" s="41" t="n">
        <f aca="false">Country_Data!$BX$65</f>
        <v>0.320524939594045</v>
      </c>
      <c r="G428" s="42" t="n">
        <f aca="false">IF(D428="","",D428/SUMIFS($D$5:$D$1369,$B$5:$B$1369,B428,$C$5:$C$1369,C428))</f>
        <v>0.000872213266108386</v>
      </c>
      <c r="H428" s="42" t="n">
        <f aca="false">E428/SUMIFS($E$5:$E$1369,$B$5:$B$1369,B428,$C$5:$C$1369,C428)</f>
        <v>0.00549040781777808</v>
      </c>
      <c r="I428" s="43" t="n">
        <f aca="false">IF(G428="",H428,p_beta_alloc*G428+(1-p_beta_alloc)*H428)*F428^p_phi</f>
        <v>0.00180109648270652</v>
      </c>
      <c r="J428" s="16" t="n">
        <f aca="false">INDEX(Sector_Params!$C$19:$E$19,MATCH(B428,Sector_Params!$C$15:$E$15,0))*I428/SUMIFS($I$5:$I$1369,$B$5:$B$1369,B428,$C$5:$C$1369,C428)</f>
        <v>0.579705590516841</v>
      </c>
      <c r="K428" s="28" t="n">
        <f aca="false">INDEX(Sector_Params!$F$8:$H$8,MATCH(B428,Sector_Params!$C$15:$E$15,0))</f>
        <v>0.24</v>
      </c>
      <c r="L428" s="16" t="n">
        <f aca="false">J428*K428</f>
        <v>0.139129341724042</v>
      </c>
      <c r="M428" s="44" t="n">
        <f aca="false">Country_Data!$DW$65+Sector_Params!$E$8</f>
        <v>0.10568</v>
      </c>
      <c r="N428" s="44" t="n">
        <f aca="false">Country_Data!$DX$65+Sector_Params!$E$8</f>
        <v>0.15068</v>
      </c>
      <c r="O428" s="11" t="n">
        <f aca="false">IF(p_use_ibrd=1,p_r_ibrd,p_r_wb)</f>
        <v>0.06</v>
      </c>
      <c r="P428" s="45" t="n">
        <f aca="false">Sector_Params!$D$8</f>
        <v>25</v>
      </c>
      <c r="Q428" s="46" t="n">
        <f aca="false">M428/(1-(1+M428)^-P428)</f>
        <v>0.11501275014614</v>
      </c>
      <c r="R428" s="46" t="n">
        <f aca="false">N428/(1-(1+N428)^-P428)</f>
        <v>0.155329318737492</v>
      </c>
      <c r="S428" s="46" t="n">
        <f aca="false">O428/(1-(1+O428)^-P428)</f>
        <v>0.078226718212274</v>
      </c>
      <c r="T428" s="37" t="n">
        <f aca="false">Country_Data!$CM$65*Sector_Params!$I$8</f>
        <v>0.146916941451853</v>
      </c>
      <c r="U428" s="37" t="n">
        <f aca="false">Country_Data!$CN$65*Sector_Params!$J$8</f>
        <v>0.03225</v>
      </c>
      <c r="V428" s="37" t="n">
        <f aca="false">p_a</f>
        <v>0.35</v>
      </c>
      <c r="W428" s="16" t="n">
        <f aca="false">T428*L428</f>
        <v>0.0204404573523058</v>
      </c>
      <c r="X428" s="16" t="n">
        <f aca="false">U428*L428</f>
        <v>0.00448692127060035</v>
      </c>
      <c r="Y428" s="16" t="n">
        <f aca="false">V428*L428</f>
        <v>0.0486952696034146</v>
      </c>
      <c r="Z428" s="16" t="n">
        <f aca="false">Q428*L428</f>
        <v>0.0160016482177041</v>
      </c>
      <c r="AA428" s="16" t="n">
        <f aca="false">R428*L428</f>
        <v>0.0216108658663911</v>
      </c>
      <c r="AB428" s="16" t="n">
        <f aca="false">S428*L428</f>
        <v>0.0108836318101058</v>
      </c>
      <c r="AC428" s="16" t="n">
        <f aca="false">Z428-W428</f>
        <v>-0.00443880913460175</v>
      </c>
      <c r="AD428" s="16" t="n">
        <f aca="false">AA428-W428</f>
        <v>0.00117040851408526</v>
      </c>
      <c r="AE428" s="16" t="n">
        <f aca="false">AB428-W428</f>
        <v>-0.00955682554220004</v>
      </c>
      <c r="AF428" s="16" t="n">
        <f aca="false">AE428-X428</f>
        <v>-0.0140437468128004</v>
      </c>
      <c r="AG428" s="16" t="n">
        <f aca="false">AF428-p_spc_lo*Y428/1000</f>
        <v>-0.0164785102929711</v>
      </c>
      <c r="AH428" s="16" t="n">
        <f aca="false">AF428-p_spc_hi*Y428/1000</f>
        <v>-0.0189132737731418</v>
      </c>
      <c r="AI428" s="16" t="n">
        <f aca="false">Q428*J428</f>
        <v>0.0666735342404337</v>
      </c>
      <c r="AJ428" s="16" t="n">
        <f aca="false">S428*J428</f>
        <v>0.0453484658754407</v>
      </c>
      <c r="AK428" s="16" t="n">
        <f aca="false">T428*J428</f>
        <v>0.0851685723012743</v>
      </c>
      <c r="AL428" s="16" t="n">
        <f aca="false">U428*J428</f>
        <v>0.0186955052941681</v>
      </c>
      <c r="AM428" s="16" t="n">
        <f aca="false">AI428-AJ428</f>
        <v>0.0213250683649929</v>
      </c>
      <c r="AN428" s="16" t="n">
        <f aca="false">J428*Country_Data!$EB$65</f>
        <v>0.707330697266284</v>
      </c>
      <c r="AO428" s="16" t="n">
        <f aca="false">L428*Country_Data!$EB$65</f>
        <v>0.169759367343908</v>
      </c>
    </row>
    <row r="429" customFormat="false" ht="15" hidden="false" customHeight="false" outlineLevel="0" collapsed="false">
      <c r="A429" s="14" t="str">
        <f aca="false">Country_Data!$A$65</f>
        <v>ETH</v>
      </c>
      <c r="B429" s="14" t="str">
        <f aca="false">Country_Data!$E$65</f>
        <v>EMDC</v>
      </c>
      <c r="C429" s="35" t="s">
        <v>481</v>
      </c>
      <c r="D429" s="37" t="n">
        <f aca="false">IF(Country_Data!$CC$65="","",Country_Data!$CC$65)</f>
        <v>0.0943609135498849</v>
      </c>
      <c r="E429" s="40" t="n">
        <f aca="false">Country_Data!$BW$65</f>
        <v>443.251</v>
      </c>
      <c r="F429" s="41" t="n">
        <f aca="false">Country_Data!$BX$65</f>
        <v>0.320524939594045</v>
      </c>
      <c r="G429" s="42" t="n">
        <f aca="false">IF(D429="","",D429/SUMIFS($D$5:$D$1369,$B$5:$B$1369,B429,$C$5:$C$1369,C429))</f>
        <v>0.00134787330461898</v>
      </c>
      <c r="H429" s="42" t="n">
        <f aca="false">E429/SUMIFS($E$5:$E$1369,$B$5:$B$1369,B429,$C$5:$C$1369,C429)</f>
        <v>0.00549040781777808</v>
      </c>
      <c r="I429" s="43" t="n">
        <f aca="false">IF(G429="",H429,p_beta_alloc*G429+(1-p_beta_alloc)*H429)*F429^p_phi</f>
        <v>0.00193574376266087</v>
      </c>
      <c r="J429" s="16" t="n">
        <f aca="false">INDEX(Sector_Params!$C$20:$E$20,MATCH(B429,Sector_Params!$C$15:$E$15,0))*I429/SUMIFS($I$5:$I$1369,$B$5:$B$1369,B429,$C$5:$C$1369,C429)</f>
        <v>0.353312218087613</v>
      </c>
      <c r="K429" s="28" t="n">
        <f aca="false">INDEX(Sector_Params!$F$9:$H$9,MATCH(B429,Sector_Params!$C$15:$E$15,0))</f>
        <v>0.24</v>
      </c>
      <c r="L429" s="16" t="n">
        <f aca="false">J429*K429</f>
        <v>0.084794932341027</v>
      </c>
      <c r="M429" s="44" t="n">
        <f aca="false">Country_Data!$DW$65+Sector_Params!$E$9</f>
        <v>0.10568</v>
      </c>
      <c r="N429" s="44" t="n">
        <f aca="false">Country_Data!$DX$65+Sector_Params!$E$9</f>
        <v>0.15068</v>
      </c>
      <c r="O429" s="11" t="n">
        <f aca="false">IF(p_use_ibrd=1,p_r_ibrd,p_r_wb)</f>
        <v>0.06</v>
      </c>
      <c r="P429" s="45" t="n">
        <f aca="false">Sector_Params!$D$9</f>
        <v>25</v>
      </c>
      <c r="Q429" s="46" t="n">
        <f aca="false">M429/(1-(1+M429)^-P429)</f>
        <v>0.11501275014614</v>
      </c>
      <c r="R429" s="46" t="n">
        <f aca="false">N429/(1-(1+N429)^-P429)</f>
        <v>0.155329318737492</v>
      </c>
      <c r="S429" s="46" t="n">
        <f aca="false">O429/(1-(1+O429)^-P429)</f>
        <v>0.078226718212274</v>
      </c>
      <c r="T429" s="37" t="n">
        <f aca="false">Country_Data!$CM$65*Sector_Params!$I$9</f>
        <v>0.146916941451853</v>
      </c>
      <c r="U429" s="37" t="n">
        <f aca="false">Country_Data!$CN$65*Sector_Params!$J$9</f>
        <v>0.03225</v>
      </c>
      <c r="V429" s="37" t="n">
        <f aca="false">p_a</f>
        <v>0.35</v>
      </c>
      <c r="W429" s="16" t="n">
        <f aca="false">T429*L429</f>
        <v>0.0124578121101605</v>
      </c>
      <c r="X429" s="16" t="n">
        <f aca="false">U429*L429</f>
        <v>0.00273463656799812</v>
      </c>
      <c r="Y429" s="16" t="n">
        <f aca="false">V429*L429</f>
        <v>0.0296782263193594</v>
      </c>
      <c r="Z429" s="16" t="n">
        <f aca="false">Q429*L429</f>
        <v>0.00975249836699734</v>
      </c>
      <c r="AA429" s="16" t="n">
        <f aca="false">R429*L429</f>
        <v>0.0131711390729234</v>
      </c>
      <c r="AB429" s="16" t="n">
        <f aca="false">S429*L429</f>
        <v>0.00663322927807035</v>
      </c>
      <c r="AC429" s="16" t="n">
        <f aca="false">Z429-W429</f>
        <v>-0.00270531374316312</v>
      </c>
      <c r="AD429" s="16" t="n">
        <f aca="false">AA429-W429</f>
        <v>0.000713326962762965</v>
      </c>
      <c r="AE429" s="16" t="n">
        <f aca="false">AB429-W429</f>
        <v>-0.00582458283209011</v>
      </c>
      <c r="AF429" s="16" t="n">
        <f aca="false">AE429-X429</f>
        <v>-0.00855921940008823</v>
      </c>
      <c r="AG429" s="16" t="n">
        <f aca="false">AF429-p_spc_lo*Y429/1000</f>
        <v>-0.0100431307160562</v>
      </c>
      <c r="AH429" s="16" t="n">
        <f aca="false">AF429-p_spc_hi*Y429/1000</f>
        <v>-0.0115270420320242</v>
      </c>
      <c r="AI429" s="16" t="n">
        <f aca="false">Q429*J429</f>
        <v>0.0406354098624889</v>
      </c>
      <c r="AJ429" s="16" t="n">
        <f aca="false">S429*J429</f>
        <v>0.0276384553252931</v>
      </c>
      <c r="AK429" s="16" t="n">
        <f aca="false">T429*J429</f>
        <v>0.0519075504590019</v>
      </c>
      <c r="AL429" s="16" t="n">
        <f aca="false">U429*J429</f>
        <v>0.0113943190333255</v>
      </c>
      <c r="AM429" s="16" t="n">
        <f aca="false">AI429-AJ429</f>
        <v>0.0129969545371958</v>
      </c>
      <c r="AN429" s="16" t="n">
        <f aca="false">J429*Country_Data!$EB$65</f>
        <v>0.431095683154963</v>
      </c>
      <c r="AO429" s="16" t="n">
        <f aca="false">L429*Country_Data!$EB$65</f>
        <v>0.103462963957191</v>
      </c>
    </row>
    <row r="430" customFormat="false" ht="15" hidden="false" customHeight="false" outlineLevel="0" collapsed="false">
      <c r="A430" s="14" t="str">
        <f aca="false">Country_Data!$A$65</f>
        <v>ETH</v>
      </c>
      <c r="B430" s="14" t="str">
        <f aca="false">Country_Data!$E$65</f>
        <v>EMDC</v>
      </c>
      <c r="C430" s="35" t="s">
        <v>484</v>
      </c>
      <c r="D430" s="37" t="n">
        <f aca="false">IF(Country_Data!$CD$65="","",Country_Data!$CD$65)</f>
        <v>0.266114012409235</v>
      </c>
      <c r="E430" s="40" t="n">
        <f aca="false">Country_Data!$BW$65</f>
        <v>443.251</v>
      </c>
      <c r="F430" s="41" t="n">
        <f aca="false">Country_Data!$BX$65</f>
        <v>0.320524939594045</v>
      </c>
      <c r="G430" s="42" t="n">
        <f aca="false">IF(D430="","",D430/SUMIFS($D$5:$D$1369,$B$5:$B$1369,B430,$C$5:$C$1369,C430))</f>
        <v>0.0014860778618856</v>
      </c>
      <c r="H430" s="42" t="n">
        <f aca="false">E430/SUMIFS($E$5:$E$1369,$B$5:$B$1369,B430,$C$5:$C$1369,C430)</f>
        <v>0.00549040781777808</v>
      </c>
      <c r="I430" s="43" t="n">
        <f aca="false">IF(G430="",H430,p_beta_alloc*G430+(1-p_beta_alloc)*H430)*F430^p_phi</f>
        <v>0.00197486596382688</v>
      </c>
      <c r="J430" s="16" t="n">
        <f aca="false">INDEX(Sector_Params!$C$21:$E$21,MATCH(B430,Sector_Params!$C$15:$E$15,0))*I430/SUMIFS($I$5:$I$1369,$B$5:$B$1369,B430,$C$5:$C$1369,C430)</f>
        <v>0.438005178998904</v>
      </c>
      <c r="K430" s="28" t="n">
        <f aca="false">INDEX(Sector_Params!$F$10:$H$10,MATCH(B430,Sector_Params!$C$15:$E$15,0))</f>
        <v>0.24</v>
      </c>
      <c r="L430" s="16" t="n">
        <f aca="false">J430*K430</f>
        <v>0.105121242959737</v>
      </c>
      <c r="M430" s="44" t="n">
        <f aca="false">Country_Data!$DW$65+Sector_Params!$E$10</f>
        <v>0.10568</v>
      </c>
      <c r="N430" s="44" t="n">
        <f aca="false">Country_Data!$DX$65+Sector_Params!$E$10</f>
        <v>0.15068</v>
      </c>
      <c r="O430" s="11" t="n">
        <f aca="false">IF(p_use_ibrd=1,p_r_ibrd,p_r_wb)</f>
        <v>0.06</v>
      </c>
      <c r="P430" s="45" t="n">
        <f aca="false">Sector_Params!$D$10</f>
        <v>20</v>
      </c>
      <c r="Q430" s="46" t="n">
        <f aca="false">M430/(1-(1+M430)^-P430)</f>
        <v>0.122045648539476</v>
      </c>
      <c r="R430" s="46" t="n">
        <f aca="false">N430/(1-(1+N430)^-P430)</f>
        <v>0.160363069926</v>
      </c>
      <c r="S430" s="46" t="n">
        <f aca="false">O430/(1-(1+O430)^-P430)</f>
        <v>0.0871845569768514</v>
      </c>
      <c r="T430" s="37" t="n">
        <f aca="false">0*Sector_Params!$I$10</f>
        <v>0</v>
      </c>
      <c r="U430" s="37" t="n">
        <f aca="false">0*Sector_Params!$J$10</f>
        <v>0</v>
      </c>
      <c r="V430" s="37" t="n">
        <f aca="false">1000*p_r_wb/(1-(1+p_r_wb)^-Sector_Params!$D$10)/p_cpt_fuel</f>
        <v>0.871845569768514</v>
      </c>
      <c r="W430" s="16" t="n">
        <f aca="false">T430*L430</f>
        <v>0</v>
      </c>
      <c r="X430" s="16" t="n">
        <f aca="false">U430*L430</f>
        <v>0</v>
      </c>
      <c r="Y430" s="16" t="n">
        <f aca="false">V430*L430</f>
        <v>0.0916494899630062</v>
      </c>
      <c r="Z430" s="16" t="n">
        <f aca="false">Q430*L430</f>
        <v>0.0128295902722969</v>
      </c>
      <c r="AA430" s="16" t="n">
        <f aca="false">R430*L430</f>
        <v>0.0168575652354603</v>
      </c>
      <c r="AB430" s="16" t="n">
        <f aca="false">S430*L430</f>
        <v>0.00916494899630062</v>
      </c>
      <c r="AC430" s="16" t="n">
        <f aca="false">Z430-W430</f>
        <v>0.0128295902722969</v>
      </c>
      <c r="AD430" s="16" t="n">
        <f aca="false">AA430-W430</f>
        <v>0.0168575652354603</v>
      </c>
      <c r="AE430" s="16" t="n">
        <f aca="false">AB430-W430</f>
        <v>0.00916494899630062</v>
      </c>
      <c r="AF430" s="16" t="n">
        <f aca="false">AE430-X430</f>
        <v>0.00916494899630062</v>
      </c>
      <c r="AG430" s="16" t="n">
        <f aca="false">AF430-p_spc_lo*Y430/1000</f>
        <v>0.00458247449815031</v>
      </c>
      <c r="AH430" s="16" t="n">
        <f aca="false">AF430-p_spc_hi*Y430/1000</f>
        <v>0</v>
      </c>
      <c r="AI430" s="16" t="n">
        <f aca="false">Q430*J430</f>
        <v>0.0534566261345704</v>
      </c>
      <c r="AJ430" s="16" t="n">
        <f aca="false">S430*J430</f>
        <v>0.0381872874845859</v>
      </c>
      <c r="AK430" s="16" t="n">
        <f aca="false">T430*J430</f>
        <v>0</v>
      </c>
      <c r="AL430" s="16" t="n">
        <f aca="false">U430*J430</f>
        <v>0</v>
      </c>
      <c r="AM430" s="16" t="n">
        <f aca="false">AI430-AJ430</f>
        <v>0.0152693386499845</v>
      </c>
      <c r="AN430" s="16" t="n">
        <f aca="false">J430*Country_Data!$EB$65</f>
        <v>0.534434226158352</v>
      </c>
      <c r="AO430" s="16" t="n">
        <f aca="false">L430*Country_Data!$EB$65</f>
        <v>0.128264214278005</v>
      </c>
    </row>
    <row r="431" customFormat="false" ht="15" hidden="false" customHeight="false" outlineLevel="0" collapsed="false">
      <c r="A431" s="14" t="str">
        <f aca="false">Country_Data!$A$65</f>
        <v>ETH</v>
      </c>
      <c r="B431" s="14" t="str">
        <f aca="false">Country_Data!$E$65</f>
        <v>EMDC</v>
      </c>
      <c r="C431" s="35" t="s">
        <v>488</v>
      </c>
      <c r="D431" s="37" t="n">
        <f aca="false">IF(Country_Data!$CE$65="","",Country_Data!$CE$65)</f>
        <v>207.812</v>
      </c>
      <c r="E431" s="40" t="n">
        <f aca="false">Country_Data!$BW$65</f>
        <v>443.251</v>
      </c>
      <c r="F431" s="41" t="n">
        <f aca="false">Country_Data!$BX$65</f>
        <v>0.320524939594045</v>
      </c>
      <c r="G431" s="42" t="n">
        <f aca="false">IF(D431="","",D431/SUMIFS($D$5:$D$1369,$B$5:$B$1369,B431,$C$5:$C$1369,C431))</f>
        <v>0.0170280339983825</v>
      </c>
      <c r="H431" s="42" t="n">
        <f aca="false">E431/SUMIFS($E$5:$E$1369,$B$5:$B$1369,B431,$C$5:$C$1369,C431)</f>
        <v>0.00549040781777808</v>
      </c>
      <c r="I431" s="43" t="n">
        <f aca="false">IF(G431="",H431,p_beta_alloc*G431+(1-p_beta_alloc)*H431)*F431^p_phi</f>
        <v>0.00637439913777553</v>
      </c>
      <c r="J431" s="16" t="n">
        <f aca="false">INDEX(Sector_Params!$C$22:$E$22,MATCH(B431,Sector_Params!$C$15:$E$15,0))*I431/SUMIFS($I$5:$I$1369,$B$5:$B$1369,B431,$C$5:$C$1369,C431)</f>
        <v>3.8425412701064</v>
      </c>
      <c r="K431" s="28" t="n">
        <f aca="false">INDEX(Sector_Params!$F$11:$H$11,MATCH(B431,Sector_Params!$C$15:$E$15,0))</f>
        <v>0.24</v>
      </c>
      <c r="L431" s="16" t="n">
        <f aca="false">J431*K431</f>
        <v>0.922209904825536</v>
      </c>
      <c r="M431" s="44" t="n">
        <f aca="false">Country_Data!$DW$65+Sector_Params!$E$11</f>
        <v>0.10568</v>
      </c>
      <c r="N431" s="44" t="n">
        <f aca="false">Country_Data!$DX$65+Sector_Params!$E$11</f>
        <v>0.15068</v>
      </c>
      <c r="O431" s="11" t="n">
        <f aca="false">IF(p_use_ibrd=1,p_r_ibrd,p_r_wb)</f>
        <v>0.06</v>
      </c>
      <c r="P431" s="45" t="n">
        <f aca="false">Sector_Params!$D$11</f>
        <v>30</v>
      </c>
      <c r="Q431" s="46" t="n">
        <f aca="false">M431/(1-(1+M431)^-P431)</f>
        <v>0.111137278779725</v>
      </c>
      <c r="R431" s="46" t="n">
        <f aca="false">N431/(1-(1+N431)^-P431)</f>
        <v>0.15294939886945</v>
      </c>
      <c r="S431" s="46" t="n">
        <f aca="false">O431/(1-(1+O431)^-P431)</f>
        <v>0.0726489114900472</v>
      </c>
      <c r="T431" s="37" t="n">
        <f aca="false">0*Sector_Params!$I$11</f>
        <v>0</v>
      </c>
      <c r="U431" s="37" t="n">
        <f aca="false">p_c*Sector_Params!$J$11</f>
        <v>0.129</v>
      </c>
      <c r="V431" s="37" t="n">
        <f aca="false">1000*p_r_wb/(1-(1+p_r_wb)^-Sector_Params!$D$11)/p_cpt_afolu</f>
        <v>1.45297822980094</v>
      </c>
      <c r="W431" s="16" t="n">
        <f aca="false">T431*L431</f>
        <v>0</v>
      </c>
      <c r="X431" s="16" t="n">
        <f aca="false">U431*L431</f>
        <v>0.118965077722494</v>
      </c>
      <c r="Y431" s="16" t="n">
        <f aca="false">V431*L431</f>
        <v>1.3399509150183</v>
      </c>
      <c r="Z431" s="16" t="n">
        <f aca="false">Q431*L431</f>
        <v>0.102491899286019</v>
      </c>
      <c r="AA431" s="16" t="n">
        <f aca="false">R431*L431</f>
        <v>0.141051450574519</v>
      </c>
      <c r="AB431" s="16" t="n">
        <f aca="false">S431*L431</f>
        <v>0.0669975457509152</v>
      </c>
      <c r="AC431" s="16" t="n">
        <f aca="false">Z431-W431</f>
        <v>0.102491899286019</v>
      </c>
      <c r="AD431" s="16" t="n">
        <f aca="false">AA431-W431</f>
        <v>0.141051450574519</v>
      </c>
      <c r="AE431" s="16" t="n">
        <f aca="false">AB431-W431</f>
        <v>0.0669975457509152</v>
      </c>
      <c r="AF431" s="16" t="n">
        <f aca="false">AE431-X431</f>
        <v>-0.0519675319715789</v>
      </c>
      <c r="AG431" s="16" t="n">
        <f aca="false">AF431-p_spc_lo*Y431/1000</f>
        <v>-0.118965077722494</v>
      </c>
      <c r="AH431" s="16" t="n">
        <f aca="false">AF431-p_spc_hi*Y431/1000</f>
        <v>-0.185962623473409</v>
      </c>
      <c r="AI431" s="16" t="n">
        <f aca="false">Q431*J431</f>
        <v>0.427049580358414</v>
      </c>
      <c r="AJ431" s="16" t="n">
        <f aca="false">S431*J431</f>
        <v>0.279156440628813</v>
      </c>
      <c r="AK431" s="16" t="n">
        <f aca="false">T431*J431</f>
        <v>0</v>
      </c>
      <c r="AL431" s="16" t="n">
        <f aca="false">U431*J431</f>
        <v>0.495687823843726</v>
      </c>
      <c r="AM431" s="16" t="n">
        <f aca="false">AI431-AJ431</f>
        <v>0.147893139729601</v>
      </c>
      <c r="AN431" s="16" t="n">
        <f aca="false">J431*Country_Data!$EB$65</f>
        <v>4.68849609236238</v>
      </c>
      <c r="AO431" s="16" t="n">
        <f aca="false">L431*Country_Data!$EB$65</f>
        <v>1.12523906216697</v>
      </c>
    </row>
    <row r="432" customFormat="false" ht="15" hidden="false" customHeight="false" outlineLevel="0" collapsed="false">
      <c r="A432" s="14" t="str">
        <f aca="false">Country_Data!$A$66</f>
        <v>SVK</v>
      </c>
      <c r="B432" s="14" t="str">
        <f aca="false">Country_Data!$E$66</f>
        <v>AE</v>
      </c>
      <c r="C432" s="35" t="s">
        <v>466</v>
      </c>
      <c r="D432" s="37" t="n">
        <f aca="false">IF(Country_Data!$BZ$66="","",Country_Data!$BZ$66)</f>
        <v>29.0353472956243</v>
      </c>
      <c r="E432" s="40" t="n">
        <f aca="false">Country_Data!$BW$66</f>
        <v>249.279</v>
      </c>
      <c r="F432" s="41" t="n">
        <f aca="false">Country_Data!$BX$66</f>
        <v>0.565198031121755</v>
      </c>
      <c r="G432" s="42" t="n">
        <f aca="false">IF(D432="","",D432/SUMIFS($D$5:$D$1369,$B$5:$B$1369,B432,$C$5:$C$1369,C432))</f>
        <v>0.0029672106253345</v>
      </c>
      <c r="H432" s="42" t="n">
        <f aca="false">E432/SUMIFS($E$5:$E$1369,$B$5:$B$1369,B432,$C$5:$C$1369,C432)</f>
        <v>0.00316003639279233</v>
      </c>
      <c r="I432" s="43" t="n">
        <f aca="false">IF(G432="",H432,p_beta_alloc*G432+(1-p_beta_alloc)*H432)*F432^p_phi</f>
        <v>0.00230322154086659</v>
      </c>
      <c r="J432" s="16" t="n">
        <f aca="false">INDEX(Sector_Params!$C$16:$E$16,MATCH(B432,Sector_Params!$C$15:$E$15,0))*I432/SUMIFS($I$5:$I$1369,$B$5:$B$1369,B432,$C$5:$C$1369,C432)</f>
        <v>2.06588681569811</v>
      </c>
      <c r="K432" s="28" t="n">
        <f aca="false">INDEX(Sector_Params!$F$5:$H$5,MATCH(B432,Sector_Params!$C$15:$E$15,0))</f>
        <v>0.38</v>
      </c>
      <c r="L432" s="16" t="n">
        <f aca="false">J432*K432</f>
        <v>0.78503698996528</v>
      </c>
      <c r="M432" s="44" t="n">
        <f aca="false">Country_Data!$DW$66+Sector_Params!$E$5</f>
        <v>0.055</v>
      </c>
      <c r="N432" s="44" t="n">
        <f aca="false">Country_Data!$DX$66+Sector_Params!$E$5</f>
        <v>0.07</v>
      </c>
      <c r="O432" s="11" t="n">
        <f aca="false">IF(p_use_ibrd=1,p_r_ibrd,p_r_wb)</f>
        <v>0.06</v>
      </c>
      <c r="P432" s="45" t="n">
        <f aca="false">Sector_Params!$D$5</f>
        <v>25</v>
      </c>
      <c r="Q432" s="46" t="n">
        <f aca="false">M432/(1-(1+M432)^-P432)</f>
        <v>0.0745493529464385</v>
      </c>
      <c r="R432" s="46" t="n">
        <f aca="false">N432/(1-(1+N432)^-P432)</f>
        <v>0.0858105172206656</v>
      </c>
      <c r="S432" s="46" t="n">
        <f aca="false">O432/(1-(1+O432)^-P432)</f>
        <v>0.078226718212274</v>
      </c>
      <c r="T432" s="37" t="n">
        <f aca="false">IF(AND(p_eng=1,ISNUMBER(Country_Data!$CZ$66)),Country_Data!$CZ$66,Country_Data!$CM$66)*Sector_Params!$I$5</f>
        <v>0.0377219048744032</v>
      </c>
      <c r="U432" s="37" t="n">
        <f aca="false">IF(AND(p_eng=1,ISNUMBER(Country_Data!$DA$66)),Country_Data!$DA$66,Country_Data!$CN$66)*Sector_Params!$J$5</f>
        <v>0.00242131793448262</v>
      </c>
      <c r="V432" s="37" t="n">
        <f aca="false">IF(AND(p_eng=1,ISNUMBER(Country_Data!$DB$66)),Country_Data!$DB$66,p_a)</f>
        <v>0.179308351758327</v>
      </c>
      <c r="W432" s="16" t="n">
        <f aca="false">T432*L432</f>
        <v>0.0296130906583581</v>
      </c>
      <c r="X432" s="16" t="n">
        <f aca="false">U432*L432</f>
        <v>0.00190082414303519</v>
      </c>
      <c r="Y432" s="16" t="n">
        <f aca="false">V432*L432</f>
        <v>0.140763688739992</v>
      </c>
      <c r="Z432" s="16" t="n">
        <f aca="false">Q432*L432</f>
        <v>0.0585239996409314</v>
      </c>
      <c r="AA432" s="16" t="n">
        <f aca="false">R432*L432</f>
        <v>0.0673644301462752</v>
      </c>
      <c r="AB432" s="16" t="n">
        <f aca="false">S432*L432</f>
        <v>0.0614108674002257</v>
      </c>
      <c r="AC432" s="16" t="n">
        <f aca="false">Z432-W432</f>
        <v>0.0289109089825733</v>
      </c>
      <c r="AD432" s="16" t="n">
        <f aca="false">AA432-W432</f>
        <v>0.0377513394879171</v>
      </c>
      <c r="AE432" s="16" t="n">
        <f aca="false">AB432-W432</f>
        <v>0.0317977767418676</v>
      </c>
      <c r="AF432" s="16" t="n">
        <f aca="false">AE432-X432</f>
        <v>0.0298969525988324</v>
      </c>
      <c r="AG432" s="16" t="n">
        <f aca="false">AF432-p_spc_lo*Y432/1000</f>
        <v>0.0228587681618328</v>
      </c>
      <c r="AH432" s="16" t="n">
        <f aca="false">AF432-p_spc_hi*Y432/1000</f>
        <v>0.0158205837248332</v>
      </c>
      <c r="AI432" s="16" t="n">
        <f aca="false">Q432*J432</f>
        <v>0.154010525370872</v>
      </c>
      <c r="AJ432" s="16" t="n">
        <f aca="false">S432*J432</f>
        <v>0.161607545790068</v>
      </c>
      <c r="AK432" s="16" t="n">
        <f aca="false">T432*J432</f>
        <v>0.0779291859430476</v>
      </c>
      <c r="AL432" s="16" t="n">
        <f aca="false">U432*J432</f>
        <v>0.00500216879746102</v>
      </c>
      <c r="AM432" s="16" t="n">
        <f aca="false">AI432-AJ432</f>
        <v>-0.00759702041919555</v>
      </c>
      <c r="AN432" s="16" t="n">
        <f aca="false">J432*Country_Data!$EB$66</f>
        <v>2.1584955350225</v>
      </c>
      <c r="AO432" s="16" t="n">
        <f aca="false">L432*Country_Data!$EB$66</f>
        <v>0.820228303308551</v>
      </c>
    </row>
    <row r="433" customFormat="false" ht="15" hidden="false" customHeight="false" outlineLevel="0" collapsed="false">
      <c r="A433" s="14" t="str">
        <f aca="false">Country_Data!$A$66</f>
        <v>SVK</v>
      </c>
      <c r="B433" s="14" t="str">
        <f aca="false">Country_Data!$E$66</f>
        <v>AE</v>
      </c>
      <c r="C433" s="35" t="s">
        <v>470</v>
      </c>
      <c r="D433" s="37" t="n">
        <f aca="false">IF(Country_Data!$BZ$66="","",Country_Data!$BZ$66)</f>
        <v>29.0353472956243</v>
      </c>
      <c r="E433" s="40" t="n">
        <f aca="false">Country_Data!$BW$66</f>
        <v>249.279</v>
      </c>
      <c r="F433" s="41" t="n">
        <f aca="false">Country_Data!$BX$66</f>
        <v>0.565198031121755</v>
      </c>
      <c r="G433" s="42" t="n">
        <f aca="false">IF(D433="","",D433/SUMIFS($D$5:$D$1369,$B$5:$B$1369,B433,$C$5:$C$1369,C433))</f>
        <v>0.0029672106253345</v>
      </c>
      <c r="H433" s="42" t="n">
        <f aca="false">E433/SUMIFS($E$5:$E$1369,$B$5:$B$1369,B433,$C$5:$C$1369,C433)</f>
        <v>0.00316003639279233</v>
      </c>
      <c r="I433" s="43" t="n">
        <f aca="false">IF(G433="",H433,p_beta_alloc*G433+(1-p_beta_alloc)*H433)*F433^p_phi</f>
        <v>0.00230322154086659</v>
      </c>
      <c r="J433" s="16" t="n">
        <f aca="false">INDEX(Sector_Params!$C$17:$E$17,MATCH(B433,Sector_Params!$C$15:$E$15,0))*I433/SUMIFS($I$5:$I$1369,$B$5:$B$1369,B433,$C$5:$C$1369,C433)</f>
        <v>1.41660810219299</v>
      </c>
      <c r="K433" s="28" t="n">
        <f aca="false">INDEX(Sector_Params!$F$6:$H$6,MATCH(B433,Sector_Params!$C$15:$E$15,0))</f>
        <v>0.38</v>
      </c>
      <c r="L433" s="16" t="n">
        <f aca="false">J433*K433</f>
        <v>0.538311078833335</v>
      </c>
      <c r="M433" s="44" t="n">
        <f aca="false">Country_Data!$DW$66+Sector_Params!$E$6</f>
        <v>0.055</v>
      </c>
      <c r="N433" s="44" t="n">
        <f aca="false">Country_Data!$DX$66+Sector_Params!$E$6</f>
        <v>0.07</v>
      </c>
      <c r="O433" s="11" t="n">
        <f aca="false">IF(p_use_ibrd=1,p_r_ibrd,p_r_wb)</f>
        <v>0.06</v>
      </c>
      <c r="P433" s="45" t="n">
        <f aca="false">Sector_Params!$D$6</f>
        <v>40</v>
      </c>
      <c r="Q433" s="46" t="n">
        <f aca="false">M433/(1-(1+M433)^-P433)</f>
        <v>0.062320343360638</v>
      </c>
      <c r="R433" s="46" t="n">
        <f aca="false">N433/(1-(1+N433)^-P433)</f>
        <v>0.0750091388736103</v>
      </c>
      <c r="S433" s="46" t="n">
        <f aca="false">O433/(1-(1+O433)^-P433)</f>
        <v>0.0664615359206755</v>
      </c>
      <c r="T433" s="37" t="n">
        <f aca="false">p_grid_credit*IF(AND(p_eng=1,ISNUMBER(Country_Data!$CZ$66)),Country_Data!$CZ$66,Country_Data!$CM$66)*Sector_Params!$I$6</f>
        <v>0</v>
      </c>
      <c r="U433" s="37" t="n">
        <f aca="false">p_grid_credit*IF(AND(p_eng=1,ISNUMBER(Country_Data!$DA$66)),Country_Data!$DA$66,Country_Data!$CN$66)*Sector_Params!$J$6</f>
        <v>0</v>
      </c>
      <c r="V433" s="37" t="n">
        <f aca="false">p_grid_credit*IF(AND(p_eng=1,ISNUMBER(Country_Data!$DB$66)),Country_Data!$DB$66,p_a)</f>
        <v>0</v>
      </c>
      <c r="W433" s="16" t="n">
        <f aca="false">T433*L433</f>
        <v>0</v>
      </c>
      <c r="X433" s="16" t="n">
        <f aca="false">U433*L433</f>
        <v>0</v>
      </c>
      <c r="Y433" s="16" t="n">
        <f aca="false">V433*L433</f>
        <v>0</v>
      </c>
      <c r="Z433" s="16" t="n">
        <f aca="false">Q433*L433</f>
        <v>0.0335477312677289</v>
      </c>
      <c r="AA433" s="16" t="n">
        <f aca="false">R433*L433</f>
        <v>0.0403782504694126</v>
      </c>
      <c r="AB433" s="16" t="n">
        <f aca="false">S433*L433</f>
        <v>0.0357769811023793</v>
      </c>
      <c r="AC433" s="16" t="n">
        <f aca="false">Z433-W433</f>
        <v>0.0335477312677289</v>
      </c>
      <c r="AD433" s="16" t="n">
        <f aca="false">AA433-W433</f>
        <v>0.0403782504694126</v>
      </c>
      <c r="AE433" s="16" t="n">
        <f aca="false">AB433-W433</f>
        <v>0.0357769811023793</v>
      </c>
      <c r="AF433" s="16" t="n">
        <f aca="false">AE433-X433</f>
        <v>0.0357769811023793</v>
      </c>
      <c r="AG433" s="16" t="n">
        <f aca="false">AF433-p_spc_lo*Y433/1000</f>
        <v>0.0357769811023793</v>
      </c>
      <c r="AH433" s="16" t="n">
        <f aca="false">AF433-p_spc_hi*Y433/1000</f>
        <v>0.0357769811023793</v>
      </c>
      <c r="AI433" s="16" t="n">
        <f aca="false">Q433*J433</f>
        <v>0.0882835033361286</v>
      </c>
      <c r="AJ433" s="16" t="n">
        <f aca="false">S433*J433</f>
        <v>0.0941499502694191</v>
      </c>
      <c r="AK433" s="16" t="n">
        <f aca="false">T433*J433</f>
        <v>0</v>
      </c>
      <c r="AL433" s="16" t="n">
        <f aca="false">U433*J433</f>
        <v>0</v>
      </c>
      <c r="AM433" s="16" t="n">
        <f aca="false">AI433-AJ433</f>
        <v>-0.0058664469332905</v>
      </c>
      <c r="AN433" s="16" t="n">
        <f aca="false">J433*Country_Data!$EB$66</f>
        <v>1.48011122401543</v>
      </c>
      <c r="AO433" s="16" t="n">
        <f aca="false">L433*Country_Data!$EB$66</f>
        <v>0.562442265125864</v>
      </c>
    </row>
    <row r="434" customFormat="false" ht="15" hidden="false" customHeight="false" outlineLevel="0" collapsed="false">
      <c r="A434" s="14" t="str">
        <f aca="false">Country_Data!$A$66</f>
        <v>SVK</v>
      </c>
      <c r="B434" s="14" t="str">
        <f aca="false">Country_Data!$E$66</f>
        <v>AE</v>
      </c>
      <c r="C434" s="35" t="s">
        <v>473</v>
      </c>
      <c r="D434" s="37" t="n">
        <f aca="false">IF(Country_Data!$CA$66="","",Country_Data!$CA$66)</f>
        <v>0.114595098776021</v>
      </c>
      <c r="E434" s="40" t="n">
        <f aca="false">Country_Data!$BW$66</f>
        <v>249.279</v>
      </c>
      <c r="F434" s="41" t="n">
        <f aca="false">Country_Data!$BX$66</f>
        <v>0.565198031121755</v>
      </c>
      <c r="G434" s="42" t="n">
        <f aca="false">IF(D434="","",D434/SUMIFS($D$5:$D$1369,$B$5:$B$1369,B434,$C$5:$C$1369,C434))</f>
        <v>0.0022433102098108</v>
      </c>
      <c r="H434" s="42" t="n">
        <f aca="false">E434/SUMIFS($E$5:$E$1369,$B$5:$B$1369,B434,$C$5:$C$1369,C434)</f>
        <v>0.00316003639279233</v>
      </c>
      <c r="I434" s="43" t="n">
        <f aca="false">IF(G434="",H434,p_beta_alloc*G434+(1-p_beta_alloc)*H434)*F434^p_phi</f>
        <v>0.00203110862856782</v>
      </c>
      <c r="J434" s="16" t="n">
        <f aca="false">INDEX(Sector_Params!$C$18:$E$18,MATCH(B434,Sector_Params!$C$15:$E$15,0))*I434/SUMIFS($I$5:$I$1369,$B$5:$B$1369,B434,$C$5:$C$1369,C434)</f>
        <v>0.765429706583056</v>
      </c>
      <c r="K434" s="28" t="n">
        <f aca="false">INDEX(Sector_Params!$F$7:$H$7,MATCH(B434,Sector_Params!$C$15:$E$15,0))</f>
        <v>0.38</v>
      </c>
      <c r="L434" s="16" t="n">
        <f aca="false">J434*K434</f>
        <v>0.290863288501561</v>
      </c>
      <c r="M434" s="44" t="n">
        <f aca="false">Country_Data!$DW$66+Sector_Params!$E$7</f>
        <v>0.055</v>
      </c>
      <c r="N434" s="44" t="n">
        <f aca="false">Country_Data!$DX$66+Sector_Params!$E$7</f>
        <v>0.07</v>
      </c>
      <c r="O434" s="11" t="n">
        <f aca="false">IF(p_use_ibrd=1,p_r_ibrd,p_r_wb)</f>
        <v>0.06</v>
      </c>
      <c r="P434" s="45" t="n">
        <f aca="false">Sector_Params!$D$7</f>
        <v>12</v>
      </c>
      <c r="Q434" s="46" t="n">
        <f aca="false">M434/(1-(1+M434)^-P434)</f>
        <v>0.116029231191614</v>
      </c>
      <c r="R434" s="46" t="n">
        <f aca="false">N434/(1-(1+N434)^-P434)</f>
        <v>0.12590198865502</v>
      </c>
      <c r="S434" s="46" t="n">
        <f aca="false">O434/(1-(1+O434)^-P434)</f>
        <v>0.119277029380664</v>
      </c>
      <c r="T434" s="37" t="n">
        <f aca="false">IF(AND(p_eng=1,ISNUMBER(Country_Data!$DE$66)),Country_Data!$DE$66,Country_Data!$CM$66)*Sector_Params!$I$7</f>
        <v>0.1489878</v>
      </c>
      <c r="U434" s="37" t="n">
        <f aca="false">IF(AND(p_eng=1,ISNUMBER(Country_Data!$DF$66)),Country_Data!$DF$66,Country_Data!$CN$66)*Sector_Params!$J$7</f>
        <v>0.01428795</v>
      </c>
      <c r="V434" s="37" t="n">
        <f aca="false">IF(AND(p_eng=1,ISNUMBER(Country_Data!$DG$66)),Country_Data!$DG$66,p_a)</f>
        <v>0.491188589721554</v>
      </c>
      <c r="W434" s="16" t="n">
        <f aca="false">T434*L434</f>
        <v>0.0433350814546129</v>
      </c>
      <c r="X434" s="16" t="n">
        <f aca="false">U434*L434</f>
        <v>0.00415584012294588</v>
      </c>
      <c r="Y434" s="16" t="n">
        <f aca="false">V434*L434</f>
        <v>0.142868728480855</v>
      </c>
      <c r="Z434" s="16" t="n">
        <f aca="false">Q434*L434</f>
        <v>0.0337486437467009</v>
      </c>
      <c r="AA434" s="16" t="n">
        <f aca="false">R434*L434</f>
        <v>0.0366202664490855</v>
      </c>
      <c r="AB434" s="16" t="n">
        <f aca="false">S434*L434</f>
        <v>0.0346933090083572</v>
      </c>
      <c r="AC434" s="16" t="n">
        <f aca="false">Z434-W434</f>
        <v>-0.00958643770791201</v>
      </c>
      <c r="AD434" s="16" t="n">
        <f aca="false">AA434-W434</f>
        <v>-0.00671481500552741</v>
      </c>
      <c r="AE434" s="16" t="n">
        <f aca="false">AB434-W434</f>
        <v>-0.00864177244625577</v>
      </c>
      <c r="AF434" s="16" t="n">
        <f aca="false">AE434-X434</f>
        <v>-0.0127976125692017</v>
      </c>
      <c r="AG434" s="16" t="n">
        <f aca="false">AF434-p_spc_lo*Y434/1000</f>
        <v>-0.0199410489932444</v>
      </c>
      <c r="AH434" s="16" t="n">
        <f aca="false">AF434-p_spc_hi*Y434/1000</f>
        <v>-0.0270844854172872</v>
      </c>
      <c r="AI434" s="16" t="n">
        <f aca="false">Q434*J434</f>
        <v>0.088812220386055</v>
      </c>
      <c r="AJ434" s="16" t="n">
        <f aca="false">S434*J434</f>
        <v>0.0912981816009399</v>
      </c>
      <c r="AK434" s="16" t="n">
        <f aca="false">T434*J434</f>
        <v>0.114039688038455</v>
      </c>
      <c r="AL434" s="16" t="n">
        <f aca="false">U434*J434</f>
        <v>0.0109364213761734</v>
      </c>
      <c r="AM434" s="16" t="n">
        <f aca="false">AI434-AJ434</f>
        <v>-0.00248596121488484</v>
      </c>
      <c r="AN434" s="16" t="n">
        <f aca="false">J434*Country_Data!$EB$66</f>
        <v>0.799742072740228</v>
      </c>
      <c r="AO434" s="16" t="n">
        <f aca="false">L434*Country_Data!$EB$66</f>
        <v>0.303901987641286</v>
      </c>
    </row>
    <row r="435" customFormat="false" ht="15" hidden="false" customHeight="false" outlineLevel="0" collapsed="false">
      <c r="A435" s="14" t="str">
        <f aca="false">Country_Data!$A$66</f>
        <v>SVK</v>
      </c>
      <c r="B435" s="14" t="str">
        <f aca="false">Country_Data!$E$66</f>
        <v>AE</v>
      </c>
      <c r="C435" s="35" t="s">
        <v>477</v>
      </c>
      <c r="D435" s="37" t="n">
        <f aca="false">IF(Country_Data!$CB$66="","",Country_Data!$CB$66)</f>
        <v>0.13220173919628</v>
      </c>
      <c r="E435" s="40" t="n">
        <f aca="false">Country_Data!$BW$66</f>
        <v>249.279</v>
      </c>
      <c r="F435" s="41" t="n">
        <f aca="false">Country_Data!$BX$66</f>
        <v>0.565198031121755</v>
      </c>
      <c r="G435" s="42" t="n">
        <f aca="false">IF(D435="","",D435/SUMIFS($D$5:$D$1369,$B$5:$B$1369,B435,$C$5:$C$1369,C435))</f>
        <v>0.00339958188276033</v>
      </c>
      <c r="H435" s="42" t="n">
        <f aca="false">E435/SUMIFS($E$5:$E$1369,$B$5:$B$1369,B435,$C$5:$C$1369,C435)</f>
        <v>0.00316003639279233</v>
      </c>
      <c r="I435" s="43" t="n">
        <f aca="false">IF(G435="",H435,p_beta_alloc*G435+(1-p_beta_alloc)*H435)*F435^p_phi</f>
        <v>0.00246574914760558</v>
      </c>
      <c r="J435" s="16" t="n">
        <f aca="false">INDEX(Sector_Params!$C$19:$E$19,MATCH(B435,Sector_Params!$C$15:$E$15,0))*I435/SUMIFS($I$5:$I$1369,$B$5:$B$1369,B435,$C$5:$C$1369,C435)</f>
        <v>0.724824018755002</v>
      </c>
      <c r="K435" s="28" t="n">
        <f aca="false">INDEX(Sector_Params!$F$8:$H$8,MATCH(B435,Sector_Params!$C$15:$E$15,0))</f>
        <v>0.38</v>
      </c>
      <c r="L435" s="16" t="n">
        <f aca="false">J435*K435</f>
        <v>0.275433127126901</v>
      </c>
      <c r="M435" s="44" t="n">
        <f aca="false">Country_Data!$DW$66+Sector_Params!$E$8</f>
        <v>0.055</v>
      </c>
      <c r="N435" s="44" t="n">
        <f aca="false">Country_Data!$DX$66+Sector_Params!$E$8</f>
        <v>0.07</v>
      </c>
      <c r="O435" s="11" t="n">
        <f aca="false">IF(p_use_ibrd=1,p_r_ibrd,p_r_wb)</f>
        <v>0.06</v>
      </c>
      <c r="P435" s="45" t="n">
        <f aca="false">Sector_Params!$D$8</f>
        <v>25</v>
      </c>
      <c r="Q435" s="46" t="n">
        <f aca="false">M435/(1-(1+M435)^-P435)</f>
        <v>0.0745493529464385</v>
      </c>
      <c r="R435" s="46" t="n">
        <f aca="false">N435/(1-(1+N435)^-P435)</f>
        <v>0.0858105172206656</v>
      </c>
      <c r="S435" s="46" t="n">
        <f aca="false">O435/(1-(1+O435)^-P435)</f>
        <v>0.078226718212274</v>
      </c>
      <c r="T435" s="37" t="n">
        <f aca="false">Country_Data!$CM$66*Sector_Params!$I$8</f>
        <v>0.178720808095745</v>
      </c>
      <c r="U435" s="37" t="n">
        <f aca="false">Country_Data!$CN$66*Sector_Params!$J$8</f>
        <v>0.132960431005976</v>
      </c>
      <c r="V435" s="37" t="n">
        <f aca="false">p_a</f>
        <v>0.35</v>
      </c>
      <c r="W435" s="16" t="n">
        <f aca="false">T435*L435</f>
        <v>0.0492256310564579</v>
      </c>
      <c r="X435" s="16" t="n">
        <f aca="false">U435*L435</f>
        <v>0.0366217072961164</v>
      </c>
      <c r="Y435" s="16" t="n">
        <f aca="false">V435*L435</f>
        <v>0.0964015944944152</v>
      </c>
      <c r="Z435" s="16" t="n">
        <f aca="false">Q435*L435</f>
        <v>0.0205333614073246</v>
      </c>
      <c r="AA435" s="16" t="n">
        <f aca="false">R435*L435</f>
        <v>0.0236350590984647</v>
      </c>
      <c r="AB435" s="16" t="n">
        <f aca="false">S435*L435</f>
        <v>0.0215462296220815</v>
      </c>
      <c r="AC435" s="16" t="n">
        <f aca="false">Z435-W435</f>
        <v>-0.0286922696491333</v>
      </c>
      <c r="AD435" s="16" t="n">
        <f aca="false">AA435-W435</f>
        <v>-0.0255905719579932</v>
      </c>
      <c r="AE435" s="16" t="n">
        <f aca="false">AB435-W435</f>
        <v>-0.0276794014343764</v>
      </c>
      <c r="AF435" s="16" t="n">
        <f aca="false">AE435-X435</f>
        <v>-0.0643011087304928</v>
      </c>
      <c r="AG435" s="16" t="n">
        <f aca="false">AF435-p_spc_lo*Y435/1000</f>
        <v>-0.0691211884552135</v>
      </c>
      <c r="AH435" s="16" t="n">
        <f aca="false">AF435-p_spc_hi*Y435/1000</f>
        <v>-0.0739412681799343</v>
      </c>
      <c r="AI435" s="16" t="n">
        <f aca="false">Q435*J435</f>
        <v>0.0540351615982226</v>
      </c>
      <c r="AJ435" s="16" t="n">
        <f aca="false">S435*J435</f>
        <v>0.0567006042686355</v>
      </c>
      <c r="AK435" s="16" t="n">
        <f aca="false">T435*J435</f>
        <v>0.1295411343591</v>
      </c>
      <c r="AL435" s="16" t="n">
        <f aca="false">U435*J435</f>
        <v>0.0963729139371483</v>
      </c>
      <c r="AM435" s="16" t="n">
        <f aca="false">AI435-AJ435</f>
        <v>-0.00266544267041289</v>
      </c>
      <c r="AN435" s="16" t="n">
        <f aca="false">J435*Country_Data!$EB$66</f>
        <v>0.757316129940571</v>
      </c>
      <c r="AO435" s="16" t="n">
        <f aca="false">L435*Country_Data!$EB$66</f>
        <v>0.287780129377417</v>
      </c>
    </row>
    <row r="436" customFormat="false" ht="15" hidden="false" customHeight="false" outlineLevel="0" collapsed="false">
      <c r="A436" s="14" t="str">
        <f aca="false">Country_Data!$A$66</f>
        <v>SVK</v>
      </c>
      <c r="B436" s="14" t="str">
        <f aca="false">Country_Data!$E$66</f>
        <v>AE</v>
      </c>
      <c r="C436" s="35" t="s">
        <v>481</v>
      </c>
      <c r="D436" s="37" t="n">
        <f aca="false">IF(Country_Data!$CC$66="","",Country_Data!$CC$66)</f>
        <v>0.243853236114038</v>
      </c>
      <c r="E436" s="40" t="n">
        <f aca="false">Country_Data!$BW$66</f>
        <v>249.279</v>
      </c>
      <c r="F436" s="41" t="n">
        <f aca="false">Country_Data!$BX$66</f>
        <v>0.565198031121755</v>
      </c>
      <c r="G436" s="42" t="n">
        <f aca="false">IF(D436="","",D436/SUMIFS($D$5:$D$1369,$B$5:$B$1369,B436,$C$5:$C$1369,C436))</f>
        <v>0.00444004631864047</v>
      </c>
      <c r="H436" s="42" t="n">
        <f aca="false">E436/SUMIFS($E$5:$E$1369,$B$5:$B$1369,B436,$C$5:$C$1369,C436)</f>
        <v>0.00316003639279233</v>
      </c>
      <c r="I436" s="43" t="n">
        <f aca="false">IF(G436="",H436,p_beta_alloc*G436+(1-p_beta_alloc)*H436)*F436^p_phi</f>
        <v>0.00285685792682326</v>
      </c>
      <c r="J436" s="16" t="n">
        <f aca="false">INDEX(Sector_Params!$C$20:$E$20,MATCH(B436,Sector_Params!$C$15:$E$15,0))*I436/SUMIFS($I$5:$I$1369,$B$5:$B$1369,B436,$C$5:$C$1369,C436)</f>
        <v>0.485144047479717</v>
      </c>
      <c r="K436" s="28" t="n">
        <f aca="false">INDEX(Sector_Params!$F$9:$H$9,MATCH(B436,Sector_Params!$C$15:$E$15,0))</f>
        <v>0.38</v>
      </c>
      <c r="L436" s="16" t="n">
        <f aca="false">J436*K436</f>
        <v>0.184354738042293</v>
      </c>
      <c r="M436" s="44" t="n">
        <f aca="false">Country_Data!$DW$66+Sector_Params!$E$9</f>
        <v>0.055</v>
      </c>
      <c r="N436" s="44" t="n">
        <f aca="false">Country_Data!$DX$66+Sector_Params!$E$9</f>
        <v>0.07</v>
      </c>
      <c r="O436" s="11" t="n">
        <f aca="false">IF(p_use_ibrd=1,p_r_ibrd,p_r_wb)</f>
        <v>0.06</v>
      </c>
      <c r="P436" s="45" t="n">
        <f aca="false">Sector_Params!$D$9</f>
        <v>25</v>
      </c>
      <c r="Q436" s="46" t="n">
        <f aca="false">M436/(1-(1+M436)^-P436)</f>
        <v>0.0745493529464385</v>
      </c>
      <c r="R436" s="46" t="n">
        <f aca="false">N436/(1-(1+N436)^-P436)</f>
        <v>0.0858105172206656</v>
      </c>
      <c r="S436" s="46" t="n">
        <f aca="false">O436/(1-(1+O436)^-P436)</f>
        <v>0.078226718212274</v>
      </c>
      <c r="T436" s="37" t="n">
        <f aca="false">Country_Data!$CM$66*Sector_Params!$I$9</f>
        <v>0.178720808095745</v>
      </c>
      <c r="U436" s="37" t="n">
        <f aca="false">Country_Data!$CN$66*Sector_Params!$J$9</f>
        <v>0.132960431005976</v>
      </c>
      <c r="V436" s="37" t="n">
        <f aca="false">p_a</f>
        <v>0.35</v>
      </c>
      <c r="W436" s="16" t="n">
        <f aca="false">T436*L436</f>
        <v>0.032948027759198</v>
      </c>
      <c r="X436" s="16" t="n">
        <f aca="false">U436*L436</f>
        <v>0.0245118854280969</v>
      </c>
      <c r="Y436" s="16" t="n">
        <f aca="false">V436*L436</f>
        <v>0.0645241583148024</v>
      </c>
      <c r="Z436" s="16" t="n">
        <f aca="false">Q436*L436</f>
        <v>0.0137435264336631</v>
      </c>
      <c r="AA436" s="16" t="n">
        <f aca="false">R436*L436</f>
        <v>0.0158195754234894</v>
      </c>
      <c r="AB436" s="16" t="n">
        <f aca="false">S436*L436</f>
        <v>0.014421466143932</v>
      </c>
      <c r="AC436" s="16" t="n">
        <f aca="false">Z436-W436</f>
        <v>-0.0192045013255349</v>
      </c>
      <c r="AD436" s="16" t="n">
        <f aca="false">AA436-W436</f>
        <v>-0.0171284523357086</v>
      </c>
      <c r="AE436" s="16" t="n">
        <f aca="false">AB436-W436</f>
        <v>-0.018526561615266</v>
      </c>
      <c r="AF436" s="16" t="n">
        <f aca="false">AE436-X436</f>
        <v>-0.0430384470433629</v>
      </c>
      <c r="AG436" s="16" t="n">
        <f aca="false">AF436-p_spc_lo*Y436/1000</f>
        <v>-0.0462646549591031</v>
      </c>
      <c r="AH436" s="16" t="n">
        <f aca="false">AF436-p_spc_hi*Y436/1000</f>
        <v>-0.0494908628748432</v>
      </c>
      <c r="AI436" s="16" t="n">
        <f aca="false">Q436*J436</f>
        <v>0.0361671748254292</v>
      </c>
      <c r="AJ436" s="16" t="n">
        <f aca="false">S436*J436</f>
        <v>0.0379512266945579</v>
      </c>
      <c r="AK436" s="16" t="n">
        <f aca="false">T436*J436</f>
        <v>0.0867053362084158</v>
      </c>
      <c r="AL436" s="16" t="n">
        <f aca="false">U436*J436</f>
        <v>0.0645049616528867</v>
      </c>
      <c r="AM436" s="16" t="n">
        <f aca="false">AI436-AJ436</f>
        <v>-0.00178405186912872</v>
      </c>
      <c r="AN436" s="16" t="n">
        <f aca="false">J436*Country_Data!$EB$66</f>
        <v>0.506891884090877</v>
      </c>
      <c r="AO436" s="16" t="n">
        <f aca="false">L436*Country_Data!$EB$66</f>
        <v>0.192618915954533</v>
      </c>
    </row>
    <row r="437" customFormat="false" ht="15" hidden="false" customHeight="false" outlineLevel="0" collapsed="false">
      <c r="A437" s="14" t="str">
        <f aca="false">Country_Data!$A$66</f>
        <v>SVK</v>
      </c>
      <c r="B437" s="14" t="str">
        <f aca="false">Country_Data!$E$66</f>
        <v>AE</v>
      </c>
      <c r="C437" s="35" t="s">
        <v>484</v>
      </c>
      <c r="D437" s="37" t="n">
        <f aca="false">IF(Country_Data!$CD$66="","",Country_Data!$CD$66)</f>
        <v>0.41339448399945</v>
      </c>
      <c r="E437" s="40" t="n">
        <f aca="false">Country_Data!$BW$66</f>
        <v>249.279</v>
      </c>
      <c r="F437" s="41" t="n">
        <f aca="false">Country_Data!$BX$66</f>
        <v>0.565198031121755</v>
      </c>
      <c r="G437" s="42" t="n">
        <f aca="false">IF(D437="","",D437/SUMIFS($D$5:$D$1369,$B$5:$B$1369,B437,$C$5:$C$1369,C437))</f>
        <v>0.0027969826851048</v>
      </c>
      <c r="H437" s="42" t="n">
        <f aca="false">E437/SUMIFS($E$5:$E$1369,$B$5:$B$1369,B437,$C$5:$C$1369,C437)</f>
        <v>0.00316003639279233</v>
      </c>
      <c r="I437" s="43" t="n">
        <f aca="false">IF(G437="",H437,p_beta_alloc*G437+(1-p_beta_alloc)*H437)*F437^p_phi</f>
        <v>0.00223923315299281</v>
      </c>
      <c r="J437" s="16" t="n">
        <f aca="false">INDEX(Sector_Params!$C$21:$E$21,MATCH(B437,Sector_Params!$C$15:$E$15,0))*I437/SUMIFS($I$5:$I$1369,$B$5:$B$1369,B437,$C$5:$C$1369,C437)</f>
        <v>0.45624316317049</v>
      </c>
      <c r="K437" s="28" t="n">
        <f aca="false">INDEX(Sector_Params!$F$10:$H$10,MATCH(B437,Sector_Params!$C$15:$E$15,0))</f>
        <v>0.38</v>
      </c>
      <c r="L437" s="16" t="n">
        <f aca="false">J437*K437</f>
        <v>0.173372402004786</v>
      </c>
      <c r="M437" s="44" t="n">
        <f aca="false">Country_Data!$DW$66+Sector_Params!$E$10</f>
        <v>0.055</v>
      </c>
      <c r="N437" s="44" t="n">
        <f aca="false">Country_Data!$DX$66+Sector_Params!$E$10</f>
        <v>0.07</v>
      </c>
      <c r="O437" s="11" t="n">
        <f aca="false">IF(p_use_ibrd=1,p_r_ibrd,p_r_wb)</f>
        <v>0.06</v>
      </c>
      <c r="P437" s="45" t="n">
        <f aca="false">Sector_Params!$D$10</f>
        <v>20</v>
      </c>
      <c r="Q437" s="46" t="n">
        <f aca="false">M437/(1-(1+M437)^-P437)</f>
        <v>0.0836793300349332</v>
      </c>
      <c r="R437" s="46" t="n">
        <f aca="false">N437/(1-(1+N437)^-P437)</f>
        <v>0.0943929257432557</v>
      </c>
      <c r="S437" s="46" t="n">
        <f aca="false">O437/(1-(1+O437)^-P437)</f>
        <v>0.0871845569768514</v>
      </c>
      <c r="T437" s="37" t="n">
        <f aca="false">0*Sector_Params!$I$10</f>
        <v>0</v>
      </c>
      <c r="U437" s="37" t="n">
        <f aca="false">0*Sector_Params!$J$10</f>
        <v>0</v>
      </c>
      <c r="V437" s="37" t="n">
        <f aca="false">1000*p_r_wb/(1-(1+p_r_wb)^-Sector_Params!$D$10)/p_cpt_fuel</f>
        <v>0.871845569768514</v>
      </c>
      <c r="W437" s="16" t="n">
        <f aca="false">T437*L437</f>
        <v>0</v>
      </c>
      <c r="X437" s="16" t="n">
        <f aca="false">U437*L437</f>
        <v>0</v>
      </c>
      <c r="Y437" s="16" t="n">
        <f aca="false">V437*L437</f>
        <v>0.151153960607999</v>
      </c>
      <c r="Z437" s="16" t="n">
        <f aca="false">Q437*L437</f>
        <v>0.0145076864463076</v>
      </c>
      <c r="AA437" s="16" t="n">
        <f aca="false">R437*L437</f>
        <v>0.0163651282683677</v>
      </c>
      <c r="AB437" s="16" t="n">
        <f aca="false">S437*L437</f>
        <v>0.0151153960607999</v>
      </c>
      <c r="AC437" s="16" t="n">
        <f aca="false">Z437-W437</f>
        <v>0.0145076864463076</v>
      </c>
      <c r="AD437" s="16" t="n">
        <f aca="false">AA437-W437</f>
        <v>0.0163651282683677</v>
      </c>
      <c r="AE437" s="16" t="n">
        <f aca="false">AB437-W437</f>
        <v>0.0151153960607999</v>
      </c>
      <c r="AF437" s="16" t="n">
        <f aca="false">AE437-X437</f>
        <v>0.0151153960607999</v>
      </c>
      <c r="AG437" s="16" t="n">
        <f aca="false">AF437-p_spc_lo*Y437/1000</f>
        <v>0.00755769803039993</v>
      </c>
      <c r="AH437" s="16" t="n">
        <f aca="false">AF437-p_spc_hi*Y437/1000</f>
        <v>0</v>
      </c>
      <c r="AI437" s="16" t="n">
        <f aca="false">Q437*J437</f>
        <v>0.0381781222271253</v>
      </c>
      <c r="AJ437" s="16" t="n">
        <f aca="false">S437*J437</f>
        <v>0.0397773580547365</v>
      </c>
      <c r="AK437" s="16" t="n">
        <f aca="false">T437*J437</f>
        <v>0</v>
      </c>
      <c r="AL437" s="16" t="n">
        <f aca="false">U437*J437</f>
        <v>0</v>
      </c>
      <c r="AM437" s="16" t="n">
        <f aca="false">AI437-AJ437</f>
        <v>-0.00159923582761118</v>
      </c>
      <c r="AN437" s="16" t="n">
        <f aca="false">J437*Country_Data!$EB$66</f>
        <v>0.476695442898822</v>
      </c>
      <c r="AO437" s="16" t="n">
        <f aca="false">L437*Country_Data!$EB$66</f>
        <v>0.181144268301552</v>
      </c>
    </row>
    <row r="438" customFormat="false" ht="15" hidden="false" customHeight="false" outlineLevel="0" collapsed="false">
      <c r="A438" s="14" t="str">
        <f aca="false">Country_Data!$A$66</f>
        <v>SVK</v>
      </c>
      <c r="B438" s="14" t="str">
        <f aca="false">Country_Data!$E$66</f>
        <v>AE</v>
      </c>
      <c r="C438" s="35" t="s">
        <v>488</v>
      </c>
      <c r="D438" s="37" t="n">
        <f aca="false">IF(Country_Data!$CE$66="","",Country_Data!$CE$66)</f>
        <v>6.355</v>
      </c>
      <c r="E438" s="40" t="n">
        <f aca="false">Country_Data!$BW$66</f>
        <v>249.279</v>
      </c>
      <c r="F438" s="41" t="n">
        <f aca="false">Country_Data!$BX$66</f>
        <v>0.565198031121755</v>
      </c>
      <c r="G438" s="42" t="n">
        <f aca="false">IF(D438="","",D438/SUMIFS($D$5:$D$1369,$B$5:$B$1369,B438,$C$5:$C$1369,C438))</f>
        <v>0.00242531887886534</v>
      </c>
      <c r="H438" s="42" t="n">
        <f aca="false">E438/SUMIFS($E$5:$E$1369,$B$5:$B$1369,B438,$C$5:$C$1369,C438)</f>
        <v>0.00316003639279233</v>
      </c>
      <c r="I438" s="43" t="n">
        <f aca="false">IF(G438="",H438,p_beta_alloc*G438+(1-p_beta_alloc)*H438)*F438^p_phi</f>
        <v>0.00209952537200099</v>
      </c>
      <c r="J438" s="16" t="n">
        <f aca="false">INDEX(Sector_Params!$C$22:$E$22,MATCH(B438,Sector_Params!$C$15:$E$15,0))*I438/SUMIFS($I$5:$I$1369,$B$5:$B$1369,B438,$C$5:$C$1369,C438)</f>
        <v>0.0813516169138392</v>
      </c>
      <c r="K438" s="28" t="n">
        <f aca="false">INDEX(Sector_Params!$F$11:$H$11,MATCH(B438,Sector_Params!$C$15:$E$15,0))</f>
        <v>0.38</v>
      </c>
      <c r="L438" s="16" t="n">
        <f aca="false">J438*K438</f>
        <v>0.0309136144272589</v>
      </c>
      <c r="M438" s="44" t="n">
        <f aca="false">Country_Data!$DW$66+Sector_Params!$E$11</f>
        <v>0.055</v>
      </c>
      <c r="N438" s="44" t="n">
        <f aca="false">Country_Data!$DX$66+Sector_Params!$E$11</f>
        <v>0.07</v>
      </c>
      <c r="O438" s="11" t="n">
        <f aca="false">IF(p_use_ibrd=1,p_r_ibrd,p_r_wb)</f>
        <v>0.06</v>
      </c>
      <c r="P438" s="45" t="n">
        <f aca="false">Sector_Params!$D$11</f>
        <v>30</v>
      </c>
      <c r="Q438" s="46" t="n">
        <f aca="false">M438/(1-(1+M438)^-P438)</f>
        <v>0.0688053896793896</v>
      </c>
      <c r="R438" s="46" t="n">
        <f aca="false">N438/(1-(1+N438)^-P438)</f>
        <v>0.0805864035111112</v>
      </c>
      <c r="S438" s="46" t="n">
        <f aca="false">O438/(1-(1+O438)^-P438)</f>
        <v>0.0726489114900472</v>
      </c>
      <c r="T438" s="37" t="n">
        <f aca="false">0*Sector_Params!$I$11</f>
        <v>0</v>
      </c>
      <c r="U438" s="37" t="n">
        <f aca="false">p_c*Sector_Params!$J$11</f>
        <v>0.129</v>
      </c>
      <c r="V438" s="37" t="n">
        <f aca="false">1000*p_r_wb/(1-(1+p_r_wb)^-Sector_Params!$D$11)/p_cpt_afolu</f>
        <v>1.45297822980094</v>
      </c>
      <c r="W438" s="16" t="n">
        <f aca="false">T438*L438</f>
        <v>0</v>
      </c>
      <c r="X438" s="16" t="n">
        <f aca="false">U438*L438</f>
        <v>0.0039878562611164</v>
      </c>
      <c r="Y438" s="16" t="n">
        <f aca="false">V438*L438</f>
        <v>0.0449168087672676</v>
      </c>
      <c r="Z438" s="16" t="n">
        <f aca="false">Q438*L438</f>
        <v>0.00212702328706595</v>
      </c>
      <c r="AA438" s="16" t="n">
        <f aca="false">R438*L438</f>
        <v>0.00249121700622199</v>
      </c>
      <c r="AB438" s="16" t="n">
        <f aca="false">S438*L438</f>
        <v>0.00224584043836338</v>
      </c>
      <c r="AC438" s="16" t="n">
        <f aca="false">Z438-W438</f>
        <v>0.00212702328706595</v>
      </c>
      <c r="AD438" s="16" t="n">
        <f aca="false">AA438-W438</f>
        <v>0.00249121700622199</v>
      </c>
      <c r="AE438" s="16" t="n">
        <f aca="false">AB438-W438</f>
        <v>0.00224584043836338</v>
      </c>
      <c r="AF438" s="16" t="n">
        <f aca="false">AE438-X438</f>
        <v>-0.00174201582275302</v>
      </c>
      <c r="AG438" s="16" t="n">
        <f aca="false">AF438-p_spc_lo*Y438/1000</f>
        <v>-0.0039878562611164</v>
      </c>
      <c r="AH438" s="16" t="n">
        <f aca="false">AF438-p_spc_hi*Y438/1000</f>
        <v>-0.00623369669947978</v>
      </c>
      <c r="AI438" s="16" t="n">
        <f aca="false">Q438*J438</f>
        <v>0.00559742970280513</v>
      </c>
      <c r="AJ438" s="16" t="n">
        <f aca="false">S438*J438</f>
        <v>0.00591010641674573</v>
      </c>
      <c r="AK438" s="16" t="n">
        <f aca="false">T438*J438</f>
        <v>0</v>
      </c>
      <c r="AL438" s="16" t="n">
        <f aca="false">U438*J438</f>
        <v>0.0104943585818853</v>
      </c>
      <c r="AM438" s="16" t="n">
        <f aca="false">AI438-AJ438</f>
        <v>-0.000312676713940604</v>
      </c>
      <c r="AN438" s="16" t="n">
        <f aca="false">J438*Country_Data!$EB$66</f>
        <v>0.0849984135341148</v>
      </c>
      <c r="AO438" s="16" t="n">
        <f aca="false">L438*Country_Data!$EB$66</f>
        <v>0.0322993971429636</v>
      </c>
    </row>
    <row r="439" customFormat="false" ht="15" hidden="false" customHeight="false" outlineLevel="0" collapsed="false">
      <c r="A439" s="14" t="str">
        <f aca="false">Country_Data!$A$67</f>
        <v>PRI</v>
      </c>
      <c r="B439" s="14" t="str">
        <f aca="false">Country_Data!$E$67</f>
        <v>AE</v>
      </c>
      <c r="C439" s="35" t="s">
        <v>466</v>
      </c>
      <c r="D439" s="37" t="n">
        <f aca="false">IF(Country_Data!$BZ$67="","",Country_Data!$BZ$67)</f>
        <v>0</v>
      </c>
      <c r="E439" s="40" t="n">
        <f aca="false">Country_Data!$BW$67</f>
        <v>160.896</v>
      </c>
      <c r="F439" s="41" t="n">
        <f aca="false">Country_Data!$BX$67</f>
        <v>0.782132557677009</v>
      </c>
      <c r="G439" s="42" t="n">
        <f aca="false">IF(D439="","",D439/SUMIFS($D$5:$D$1369,$B$5:$B$1369,B439,$C$5:$C$1369,C439))</f>
        <v>0</v>
      </c>
      <c r="H439" s="42" t="n">
        <f aca="false">E439/SUMIFS($E$5:$E$1369,$B$5:$B$1369,B439,$C$5:$C$1369,C439)</f>
        <v>0.00203963115807875</v>
      </c>
      <c r="I439" s="43" t="n">
        <f aca="false">IF(G439="",H439,p_beta_alloc*G439+(1-p_beta_alloc)*H439)*F439^p_phi</f>
        <v>0.000901907138605519</v>
      </c>
      <c r="J439" s="16" t="n">
        <f aca="false">INDEX(Sector_Params!$C$16:$E$16,MATCH(B439,Sector_Params!$C$15:$E$15,0))*I439/SUMIFS($I$5:$I$1369,$B$5:$B$1369,B439,$C$5:$C$1369,C439)</f>
        <v>0.808970406697438</v>
      </c>
      <c r="K439" s="28" t="n">
        <f aca="false">INDEX(Sector_Params!$F$5:$H$5,MATCH(B439,Sector_Params!$C$15:$E$15,0))</f>
        <v>0.38</v>
      </c>
      <c r="L439" s="16" t="n">
        <f aca="false">J439*K439</f>
        <v>0.307408754545026</v>
      </c>
      <c r="M439" s="44" t="n">
        <f aca="false">Country_Data!$DW$67+Sector_Params!$E$5</f>
        <v>0.055</v>
      </c>
      <c r="N439" s="44" t="n">
        <f aca="false">Country_Data!$DX$67+Sector_Params!$E$5</f>
        <v>0.07</v>
      </c>
      <c r="O439" s="11" t="n">
        <f aca="false">IF(p_use_ibrd=1,p_r_ibrd,p_r_wb)</f>
        <v>0.06</v>
      </c>
      <c r="P439" s="45" t="n">
        <f aca="false">Sector_Params!$D$5</f>
        <v>25</v>
      </c>
      <c r="Q439" s="46" t="n">
        <f aca="false">M439/(1-(1+M439)^-P439)</f>
        <v>0.0745493529464385</v>
      </c>
      <c r="R439" s="46" t="n">
        <f aca="false">N439/(1-(1+N439)^-P439)</f>
        <v>0.0858105172206656</v>
      </c>
      <c r="S439" s="46" t="n">
        <f aca="false">O439/(1-(1+O439)^-P439)</f>
        <v>0.078226718212274</v>
      </c>
      <c r="T439" s="37" t="n">
        <f aca="false">IF(AND(p_eng=1,ISNUMBER(Country_Data!$CZ$67)),Country_Data!$CZ$67,Country_Data!$CM$67)*Sector_Params!$I$5</f>
        <v>0.222008345171246</v>
      </c>
      <c r="U439" s="37" t="n">
        <f aca="false">IF(AND(p_eng=1,ISNUMBER(Country_Data!$DA$67)),Country_Data!$DA$67,Country_Data!$CN$67)*Sector_Params!$J$5</f>
        <v>0</v>
      </c>
      <c r="V439" s="37" t="n">
        <f aca="false">IF(AND(p_eng=1,ISNUMBER(Country_Data!$DB$67)),Country_Data!$DB$67,p_a)</f>
        <v>1.53869131045189</v>
      </c>
      <c r="W439" s="16" t="n">
        <f aca="false">T439*L439</f>
        <v>0.0682473088876952</v>
      </c>
      <c r="X439" s="16" t="n">
        <f aca="false">U439*L439</f>
        <v>0</v>
      </c>
      <c r="Y439" s="16" t="n">
        <f aca="false">V439*L439</f>
        <v>0.473007179375269</v>
      </c>
      <c r="Z439" s="16" t="n">
        <f aca="false">Q439*L439</f>
        <v>0.0229171237414023</v>
      </c>
      <c r="AA439" s="16" t="n">
        <f aca="false">R439*L439</f>
        <v>0.0263789042256694</v>
      </c>
      <c r="AB439" s="16" t="n">
        <f aca="false">S439*L439</f>
        <v>0.0240475780177799</v>
      </c>
      <c r="AC439" s="16" t="n">
        <f aca="false">Z439-W439</f>
        <v>-0.0453301851462929</v>
      </c>
      <c r="AD439" s="16" t="n">
        <f aca="false">AA439-W439</f>
        <v>-0.0418684046620258</v>
      </c>
      <c r="AE439" s="16" t="n">
        <f aca="false">AB439-W439</f>
        <v>-0.0441997308699153</v>
      </c>
      <c r="AF439" s="16" t="n">
        <f aca="false">AE439-X439</f>
        <v>-0.0441997308699153</v>
      </c>
      <c r="AG439" s="16" t="n">
        <f aca="false">AF439-p_spc_lo*Y439/1000</f>
        <v>-0.0678500898386787</v>
      </c>
      <c r="AH439" s="16" t="n">
        <f aca="false">AF439-p_spc_hi*Y439/1000</f>
        <v>-0.0915004488074422</v>
      </c>
      <c r="AI439" s="16" t="n">
        <f aca="false">Q439*J439</f>
        <v>0.0603082203721112</v>
      </c>
      <c r="AJ439" s="16" t="n">
        <f aca="false">S439*J439</f>
        <v>0.0632831000467891</v>
      </c>
      <c r="AK439" s="16" t="n">
        <f aca="false">T439*J439</f>
        <v>0.179598181283408</v>
      </c>
      <c r="AL439" s="16" t="n">
        <f aca="false">U439*J439</f>
        <v>0</v>
      </c>
      <c r="AM439" s="16" t="n">
        <f aca="false">AI439-AJ439</f>
        <v>-0.00297487967467792</v>
      </c>
      <c r="AN439" s="16" t="n">
        <f aca="false">J439*Country_Data!$EB$67</f>
        <v>0.845234597342495</v>
      </c>
      <c r="AO439" s="16" t="n">
        <f aca="false">L439*Country_Data!$EB$67</f>
        <v>0.321189146990148</v>
      </c>
    </row>
    <row r="440" customFormat="false" ht="15" hidden="false" customHeight="false" outlineLevel="0" collapsed="false">
      <c r="A440" s="14" t="str">
        <f aca="false">Country_Data!$A$67</f>
        <v>PRI</v>
      </c>
      <c r="B440" s="14" t="str">
        <f aca="false">Country_Data!$E$67</f>
        <v>AE</v>
      </c>
      <c r="C440" s="35" t="s">
        <v>470</v>
      </c>
      <c r="D440" s="37" t="n">
        <f aca="false">IF(Country_Data!$BZ$67="","",Country_Data!$BZ$67)</f>
        <v>0</v>
      </c>
      <c r="E440" s="40" t="n">
        <f aca="false">Country_Data!$BW$67</f>
        <v>160.896</v>
      </c>
      <c r="F440" s="41" t="n">
        <f aca="false">Country_Data!$BX$67</f>
        <v>0.782132557677009</v>
      </c>
      <c r="G440" s="42" t="n">
        <f aca="false">IF(D440="","",D440/SUMIFS($D$5:$D$1369,$B$5:$B$1369,B440,$C$5:$C$1369,C440))</f>
        <v>0</v>
      </c>
      <c r="H440" s="42" t="n">
        <f aca="false">E440/SUMIFS($E$5:$E$1369,$B$5:$B$1369,B440,$C$5:$C$1369,C440)</f>
        <v>0.00203963115807875</v>
      </c>
      <c r="I440" s="43" t="n">
        <f aca="false">IF(G440="",H440,p_beta_alloc*G440+(1-p_beta_alloc)*H440)*F440^p_phi</f>
        <v>0.000901907138605519</v>
      </c>
      <c r="J440" s="16" t="n">
        <f aca="false">INDEX(Sector_Params!$C$17:$E$17,MATCH(B440,Sector_Params!$C$15:$E$15,0))*I440/SUMIFS($I$5:$I$1369,$B$5:$B$1369,B440,$C$5:$C$1369,C440)</f>
        <v>0.554722564592529</v>
      </c>
      <c r="K440" s="28" t="n">
        <f aca="false">INDEX(Sector_Params!$F$6:$H$6,MATCH(B440,Sector_Params!$C$15:$E$15,0))</f>
        <v>0.38</v>
      </c>
      <c r="L440" s="16" t="n">
        <f aca="false">J440*K440</f>
        <v>0.210794574545161</v>
      </c>
      <c r="M440" s="44" t="n">
        <f aca="false">Country_Data!$DW$67+Sector_Params!$E$6</f>
        <v>0.055</v>
      </c>
      <c r="N440" s="44" t="n">
        <f aca="false">Country_Data!$DX$67+Sector_Params!$E$6</f>
        <v>0.07</v>
      </c>
      <c r="O440" s="11" t="n">
        <f aca="false">IF(p_use_ibrd=1,p_r_ibrd,p_r_wb)</f>
        <v>0.06</v>
      </c>
      <c r="P440" s="45" t="n">
        <f aca="false">Sector_Params!$D$6</f>
        <v>40</v>
      </c>
      <c r="Q440" s="46" t="n">
        <f aca="false">M440/(1-(1+M440)^-P440)</f>
        <v>0.062320343360638</v>
      </c>
      <c r="R440" s="46" t="n">
        <f aca="false">N440/(1-(1+N440)^-P440)</f>
        <v>0.0750091388736103</v>
      </c>
      <c r="S440" s="46" t="n">
        <f aca="false">O440/(1-(1+O440)^-P440)</f>
        <v>0.0664615359206755</v>
      </c>
      <c r="T440" s="37" t="n">
        <f aca="false">p_grid_credit*IF(AND(p_eng=1,ISNUMBER(Country_Data!$CZ$67)),Country_Data!$CZ$67,Country_Data!$CM$67)*Sector_Params!$I$6</f>
        <v>0</v>
      </c>
      <c r="U440" s="37" t="n">
        <f aca="false">p_grid_credit*IF(AND(p_eng=1,ISNUMBER(Country_Data!$DA$67)),Country_Data!$DA$67,Country_Data!$CN$67)*Sector_Params!$J$6</f>
        <v>0</v>
      </c>
      <c r="V440" s="37" t="n">
        <f aca="false">p_grid_credit*IF(AND(p_eng=1,ISNUMBER(Country_Data!$DB$67)),Country_Data!$DB$67,p_a)</f>
        <v>0</v>
      </c>
      <c r="W440" s="16" t="n">
        <f aca="false">T440*L440</f>
        <v>0</v>
      </c>
      <c r="X440" s="16" t="n">
        <f aca="false">U440*L440</f>
        <v>0</v>
      </c>
      <c r="Y440" s="16" t="n">
        <f aca="false">V440*L440</f>
        <v>0</v>
      </c>
      <c r="Z440" s="16" t="n">
        <f aca="false">Q440*L440</f>
        <v>0.013136790264214</v>
      </c>
      <c r="AA440" s="16" t="n">
        <f aca="false">R440*L440</f>
        <v>0.0158115195158616</v>
      </c>
      <c r="AB440" s="16" t="n">
        <f aca="false">S440*L440</f>
        <v>0.0140097311880167</v>
      </c>
      <c r="AC440" s="16" t="n">
        <f aca="false">Z440-W440</f>
        <v>0.013136790264214</v>
      </c>
      <c r="AD440" s="16" t="n">
        <f aca="false">AA440-W440</f>
        <v>0.0158115195158616</v>
      </c>
      <c r="AE440" s="16" t="n">
        <f aca="false">AB440-W440</f>
        <v>0.0140097311880167</v>
      </c>
      <c r="AF440" s="16" t="n">
        <f aca="false">AE440-X440</f>
        <v>0.0140097311880167</v>
      </c>
      <c r="AG440" s="16" t="n">
        <f aca="false">AF440-p_spc_lo*Y440/1000</f>
        <v>0.0140097311880167</v>
      </c>
      <c r="AH440" s="16" t="n">
        <f aca="false">AF440-p_spc_hi*Y440/1000</f>
        <v>0.0140097311880167</v>
      </c>
      <c r="AI440" s="16" t="n">
        <f aca="false">Q440*J440</f>
        <v>0.0345705006953001</v>
      </c>
      <c r="AJ440" s="16" t="n">
        <f aca="false">S440*J440</f>
        <v>0.0368677136526756</v>
      </c>
      <c r="AK440" s="16" t="n">
        <f aca="false">T440*J440</f>
        <v>0</v>
      </c>
      <c r="AL440" s="16" t="n">
        <f aca="false">U440*J440</f>
        <v>0</v>
      </c>
      <c r="AM440" s="16" t="n">
        <f aca="false">AI440-AJ440</f>
        <v>-0.00229721295737553</v>
      </c>
      <c r="AN440" s="16" t="n">
        <f aca="false">J440*Country_Data!$EB$67</f>
        <v>0.579589438177711</v>
      </c>
      <c r="AO440" s="16" t="n">
        <f aca="false">L440*Country_Data!$EB$67</f>
        <v>0.22024398650753</v>
      </c>
    </row>
    <row r="441" customFormat="false" ht="15" hidden="false" customHeight="false" outlineLevel="0" collapsed="false">
      <c r="A441" s="14" t="str">
        <f aca="false">Country_Data!$A$67</f>
        <v>PRI</v>
      </c>
      <c r="B441" s="14" t="str">
        <f aca="false">Country_Data!$E$67</f>
        <v>AE</v>
      </c>
      <c r="C441" s="35" t="s">
        <v>473</v>
      </c>
      <c r="D441" s="37" t="n">
        <f aca="false">IF(Country_Data!$CA$67="","",Country_Data!$CA$67)</f>
        <v>0.118768934672922</v>
      </c>
      <c r="E441" s="40" t="n">
        <f aca="false">Country_Data!$BW$67</f>
        <v>160.896</v>
      </c>
      <c r="F441" s="41" t="n">
        <f aca="false">Country_Data!$BX$67</f>
        <v>0.782132557677009</v>
      </c>
      <c r="G441" s="42" t="n">
        <f aca="false">IF(D441="","",D441/SUMIFS($D$5:$D$1369,$B$5:$B$1369,B441,$C$5:$C$1369,C441))</f>
        <v>0.0023250170958958</v>
      </c>
      <c r="H441" s="42" t="n">
        <f aca="false">E441/SUMIFS($E$5:$E$1369,$B$5:$B$1369,B441,$C$5:$C$1369,C441)</f>
        <v>0.00203963115807875</v>
      </c>
      <c r="I441" s="43" t="n">
        <f aca="false">IF(G441="",H441,p_beta_alloc*G441+(1-p_beta_alloc)*H441)*F441^p_phi</f>
        <v>0.00193000945399843</v>
      </c>
      <c r="J441" s="16" t="n">
        <f aca="false">INDEX(Sector_Params!$C$18:$E$18,MATCH(B441,Sector_Params!$C$15:$E$15,0))*I441/SUMIFS($I$5:$I$1369,$B$5:$B$1369,B441,$C$5:$C$1369,C441)</f>
        <v>0.727330163093349</v>
      </c>
      <c r="K441" s="28" t="n">
        <f aca="false">INDEX(Sector_Params!$F$7:$H$7,MATCH(B441,Sector_Params!$C$15:$E$15,0))</f>
        <v>0.38</v>
      </c>
      <c r="L441" s="16" t="n">
        <f aca="false">J441*K441</f>
        <v>0.276385461975473</v>
      </c>
      <c r="M441" s="44" t="n">
        <f aca="false">Country_Data!$DW$67+Sector_Params!$E$7</f>
        <v>0.055</v>
      </c>
      <c r="N441" s="44" t="n">
        <f aca="false">Country_Data!$DX$67+Sector_Params!$E$7</f>
        <v>0.07</v>
      </c>
      <c r="O441" s="11" t="n">
        <f aca="false">IF(p_use_ibrd=1,p_r_ibrd,p_r_wb)</f>
        <v>0.06</v>
      </c>
      <c r="P441" s="45" t="n">
        <f aca="false">Sector_Params!$D$7</f>
        <v>12</v>
      </c>
      <c r="Q441" s="46" t="n">
        <f aca="false">M441/(1-(1+M441)^-P441)</f>
        <v>0.116029231191614</v>
      </c>
      <c r="R441" s="46" t="n">
        <f aca="false">N441/(1-(1+N441)^-P441)</f>
        <v>0.12590198865502</v>
      </c>
      <c r="S441" s="46" t="n">
        <f aca="false">O441/(1-(1+O441)^-P441)</f>
        <v>0.119277029380664</v>
      </c>
      <c r="T441" s="37" t="n">
        <f aca="false">IF(AND(p_eng=1,ISNUMBER(Country_Data!$DE$67)),Country_Data!$DE$67,Country_Data!$CM$67)*Sector_Params!$I$7</f>
        <v>0.16742583</v>
      </c>
      <c r="U441" s="37" t="n">
        <f aca="false">IF(AND(p_eng=1,ISNUMBER(Country_Data!$DF$67)),Country_Data!$DF$67,Country_Data!$CN$67)*Sector_Params!$J$7</f>
        <v>0</v>
      </c>
      <c r="V441" s="37" t="n">
        <f aca="false">IF(AND(p_eng=1,ISNUMBER(Country_Data!$DG$67)),Country_Data!$DG$67,p_a)</f>
        <v>0.172207820224719</v>
      </c>
      <c r="W441" s="16" t="n">
        <f aca="false">T441*L441</f>
        <v>0.046274065371177</v>
      </c>
      <c r="X441" s="16" t="n">
        <f aca="false">U441*L441</f>
        <v>0</v>
      </c>
      <c r="Y441" s="16" t="n">
        <f aca="false">V441*L441</f>
        <v>0.0475957379485981</v>
      </c>
      <c r="Z441" s="16" t="n">
        <f aca="false">Q441*L441</f>
        <v>0.0320687926655533</v>
      </c>
      <c r="AA441" s="16" t="n">
        <f aca="false">R441*L441</f>
        <v>0.0347974792980486</v>
      </c>
      <c r="AB441" s="16" t="n">
        <f aca="false">S441*L441</f>
        <v>0.0329664368684367</v>
      </c>
      <c r="AC441" s="16" t="n">
        <f aca="false">Z441-W441</f>
        <v>-0.0142052727056237</v>
      </c>
      <c r="AD441" s="16" t="n">
        <f aca="false">AA441-W441</f>
        <v>-0.0114765860731284</v>
      </c>
      <c r="AE441" s="16" t="n">
        <f aca="false">AB441-W441</f>
        <v>-0.0133076285027402</v>
      </c>
      <c r="AF441" s="16" t="n">
        <f aca="false">AE441-X441</f>
        <v>-0.0133076285027402</v>
      </c>
      <c r="AG441" s="16" t="n">
        <f aca="false">AF441-p_spc_lo*Y441/1000</f>
        <v>-0.0156874154001701</v>
      </c>
      <c r="AH441" s="16" t="n">
        <f aca="false">AF441-p_spc_hi*Y441/1000</f>
        <v>-0.0180672022976</v>
      </c>
      <c r="AI441" s="16" t="n">
        <f aca="false">Q441*J441</f>
        <v>0.0843915596461929</v>
      </c>
      <c r="AJ441" s="16" t="n">
        <f aca="false">S441*J441</f>
        <v>0.0867537812327283</v>
      </c>
      <c r="AK441" s="16" t="n">
        <f aca="false">T441*J441</f>
        <v>0.121773856239939</v>
      </c>
      <c r="AL441" s="16" t="n">
        <f aca="false">U441*J441</f>
        <v>0</v>
      </c>
      <c r="AM441" s="16" t="n">
        <f aca="false">AI441-AJ441</f>
        <v>-0.00236222158653539</v>
      </c>
      <c r="AN441" s="16" t="n">
        <f aca="false">J441*Country_Data!$EB$67</f>
        <v>0.759934618680293</v>
      </c>
      <c r="AO441" s="16" t="n">
        <f aca="false">L441*Country_Data!$EB$67</f>
        <v>0.288775155098511</v>
      </c>
    </row>
    <row r="442" customFormat="false" ht="15" hidden="false" customHeight="false" outlineLevel="0" collapsed="false">
      <c r="A442" s="14" t="str">
        <f aca="false">Country_Data!$A$67</f>
        <v>PRI</v>
      </c>
      <c r="B442" s="14" t="str">
        <f aca="false">Country_Data!$E$67</f>
        <v>AE</v>
      </c>
      <c r="C442" s="35" t="s">
        <v>477</v>
      </c>
      <c r="D442" s="37" t="n">
        <f aca="false">IF(Country_Data!$CB$67="","",Country_Data!$CB$67)</f>
        <v>0.00807545607206648</v>
      </c>
      <c r="E442" s="40" t="n">
        <f aca="false">Country_Data!$BW$67</f>
        <v>160.896</v>
      </c>
      <c r="F442" s="41" t="n">
        <f aca="false">Country_Data!$BX$67</f>
        <v>0.782132557677009</v>
      </c>
      <c r="G442" s="42" t="n">
        <f aca="false">IF(D442="","",D442/SUMIFS($D$5:$D$1369,$B$5:$B$1369,B442,$C$5:$C$1369,C442))</f>
        <v>0.000207661217806405</v>
      </c>
      <c r="H442" s="42" t="n">
        <f aca="false">E442/SUMIFS($E$5:$E$1369,$B$5:$B$1369,B442,$C$5:$C$1369,C442)</f>
        <v>0.00203963115807875</v>
      </c>
      <c r="I442" s="43" t="n">
        <f aca="false">IF(G442="",H442,p_beta_alloc*G442+(1-p_beta_alloc)*H442)*F442^p_phi</f>
        <v>0.000993733120969669</v>
      </c>
      <c r="J442" s="16" t="n">
        <f aca="false">INDEX(Sector_Params!$C$19:$E$19,MATCH(B442,Sector_Params!$C$15:$E$15,0))*I442/SUMIFS($I$5:$I$1369,$B$5:$B$1369,B442,$C$5:$C$1369,C442)</f>
        <v>0.292114725056534</v>
      </c>
      <c r="K442" s="28" t="n">
        <f aca="false">INDEX(Sector_Params!$F$8:$H$8,MATCH(B442,Sector_Params!$C$15:$E$15,0))</f>
        <v>0.38</v>
      </c>
      <c r="L442" s="16" t="n">
        <f aca="false">J442*K442</f>
        <v>0.111003595521483</v>
      </c>
      <c r="M442" s="44" t="n">
        <f aca="false">Country_Data!$DW$67+Sector_Params!$E$8</f>
        <v>0.055</v>
      </c>
      <c r="N442" s="44" t="n">
        <f aca="false">Country_Data!$DX$67+Sector_Params!$E$8</f>
        <v>0.07</v>
      </c>
      <c r="O442" s="11" t="n">
        <f aca="false">IF(p_use_ibrd=1,p_r_ibrd,p_r_wb)</f>
        <v>0.06</v>
      </c>
      <c r="P442" s="45" t="n">
        <f aca="false">Sector_Params!$D$8</f>
        <v>25</v>
      </c>
      <c r="Q442" s="46" t="n">
        <f aca="false">M442/(1-(1+M442)^-P442)</f>
        <v>0.0745493529464385</v>
      </c>
      <c r="R442" s="46" t="n">
        <f aca="false">N442/(1-(1+N442)^-P442)</f>
        <v>0.0858105172206656</v>
      </c>
      <c r="S442" s="46" t="n">
        <f aca="false">O442/(1-(1+O442)^-P442)</f>
        <v>0.078226718212274</v>
      </c>
      <c r="T442" s="37" t="n">
        <f aca="false">Country_Data!$CM$67*Sector_Params!$I$8</f>
        <v>0.171160779669367</v>
      </c>
      <c r="U442" s="37" t="n">
        <f aca="false">Country_Data!$CN$67*Sector_Params!$J$8</f>
        <v>0.03225</v>
      </c>
      <c r="V442" s="37" t="n">
        <f aca="false">p_a</f>
        <v>0.35</v>
      </c>
      <c r="W442" s="16" t="n">
        <f aca="false">T442*L442</f>
        <v>0.0189994619555601</v>
      </c>
      <c r="X442" s="16" t="n">
        <f aca="false">U442*L442</f>
        <v>0.00357986595556782</v>
      </c>
      <c r="Y442" s="16" t="n">
        <f aca="false">V442*L442</f>
        <v>0.038851258432519</v>
      </c>
      <c r="Z442" s="16" t="n">
        <f aca="false">Q442*L442</f>
        <v>0.00827524622085472</v>
      </c>
      <c r="AA442" s="16" t="n">
        <f aca="false">R442*L442</f>
        <v>0.009525275945052</v>
      </c>
      <c r="AB442" s="16" t="n">
        <f aca="false">S442*L442</f>
        <v>0.00868344698740827</v>
      </c>
      <c r="AC442" s="16" t="n">
        <f aca="false">Z442-W442</f>
        <v>-0.0107242157347054</v>
      </c>
      <c r="AD442" s="16" t="n">
        <f aca="false">AA442-W442</f>
        <v>-0.00947418601050808</v>
      </c>
      <c r="AE442" s="16" t="n">
        <f aca="false">AB442-W442</f>
        <v>-0.0103160149681518</v>
      </c>
      <c r="AF442" s="16" t="n">
        <f aca="false">AE442-X442</f>
        <v>-0.0138958809237196</v>
      </c>
      <c r="AG442" s="16" t="n">
        <f aca="false">AF442-p_spc_lo*Y442/1000</f>
        <v>-0.0158384438453456</v>
      </c>
      <c r="AH442" s="16" t="n">
        <f aca="false">AF442-p_spc_hi*Y442/1000</f>
        <v>-0.0177810067669715</v>
      </c>
      <c r="AI442" s="16" t="n">
        <f aca="false">Q442*J442</f>
        <v>0.0217769637390914</v>
      </c>
      <c r="AJ442" s="16" t="n">
        <f aca="false">S442*J442</f>
        <v>0.0228511762826533</v>
      </c>
      <c r="AK442" s="16" t="n">
        <f aca="false">T442*J442</f>
        <v>0.0499985840935792</v>
      </c>
      <c r="AL442" s="16" t="n">
        <f aca="false">U442*J442</f>
        <v>0.00942069988307321</v>
      </c>
      <c r="AM442" s="16" t="n">
        <f aca="false">AI442-AJ442</f>
        <v>-0.00107421254356196</v>
      </c>
      <c r="AN442" s="16" t="n">
        <f aca="false">J442*Country_Data!$EB$67</f>
        <v>0.305209523076309</v>
      </c>
      <c r="AO442" s="16" t="n">
        <f aca="false">L442*Country_Data!$EB$67</f>
        <v>0.115979618768998</v>
      </c>
    </row>
    <row r="443" customFormat="false" ht="15" hidden="false" customHeight="false" outlineLevel="0" collapsed="false">
      <c r="A443" s="14" t="str">
        <f aca="false">Country_Data!$A$67</f>
        <v>PRI</v>
      </c>
      <c r="B443" s="14" t="str">
        <f aca="false">Country_Data!$E$67</f>
        <v>AE</v>
      </c>
      <c r="C443" s="35" t="s">
        <v>481</v>
      </c>
      <c r="D443" s="37" t="n">
        <f aca="false">IF(Country_Data!$CC$67="","",Country_Data!$CC$67)</f>
        <v>3.93807920792073E-008</v>
      </c>
      <c r="E443" s="40" t="n">
        <f aca="false">Country_Data!$BW$67</f>
        <v>160.896</v>
      </c>
      <c r="F443" s="41" t="n">
        <f aca="false">Country_Data!$BX$67</f>
        <v>0.782132557677009</v>
      </c>
      <c r="G443" s="42" t="n">
        <f aca="false">IF(D443="","",D443/SUMIFS($D$5:$D$1369,$B$5:$B$1369,B443,$C$5:$C$1369,C443))</f>
        <v>7.1704006755383E-010</v>
      </c>
      <c r="H443" s="42" t="n">
        <f aca="false">E443/SUMIFS($E$5:$E$1369,$B$5:$B$1369,B443,$C$5:$C$1369,C443)</f>
        <v>0.00203963115807875</v>
      </c>
      <c r="I443" s="43" t="n">
        <f aca="false">IF(G443="",H443,p_beta_alloc*G443+(1-p_beta_alloc)*H443)*F443^p_phi</f>
        <v>0.000901907455674393</v>
      </c>
      <c r="J443" s="16" t="n">
        <f aca="false">INDEX(Sector_Params!$C$20:$E$20,MATCH(B443,Sector_Params!$C$15:$E$15,0))*I443/SUMIFS($I$5:$I$1369,$B$5:$B$1369,B443,$C$5:$C$1369,C443)</f>
        <v>0.153159535652708</v>
      </c>
      <c r="K443" s="28" t="n">
        <f aca="false">INDEX(Sector_Params!$F$9:$H$9,MATCH(B443,Sector_Params!$C$15:$E$15,0))</f>
        <v>0.38</v>
      </c>
      <c r="L443" s="16" t="n">
        <f aca="false">J443*K443</f>
        <v>0.0582006235480291</v>
      </c>
      <c r="M443" s="44" t="n">
        <f aca="false">Country_Data!$DW$67+Sector_Params!$E$9</f>
        <v>0.055</v>
      </c>
      <c r="N443" s="44" t="n">
        <f aca="false">Country_Data!$DX$67+Sector_Params!$E$9</f>
        <v>0.07</v>
      </c>
      <c r="O443" s="11" t="n">
        <f aca="false">IF(p_use_ibrd=1,p_r_ibrd,p_r_wb)</f>
        <v>0.06</v>
      </c>
      <c r="P443" s="45" t="n">
        <f aca="false">Sector_Params!$D$9</f>
        <v>25</v>
      </c>
      <c r="Q443" s="46" t="n">
        <f aca="false">M443/(1-(1+M443)^-P443)</f>
        <v>0.0745493529464385</v>
      </c>
      <c r="R443" s="46" t="n">
        <f aca="false">N443/(1-(1+N443)^-P443)</f>
        <v>0.0858105172206656</v>
      </c>
      <c r="S443" s="46" t="n">
        <f aca="false">O443/(1-(1+O443)^-P443)</f>
        <v>0.078226718212274</v>
      </c>
      <c r="T443" s="37" t="n">
        <f aca="false">Country_Data!$CM$67*Sector_Params!$I$9</f>
        <v>0.171160779669367</v>
      </c>
      <c r="U443" s="37" t="n">
        <f aca="false">Country_Data!$CN$67*Sector_Params!$J$9</f>
        <v>0.03225</v>
      </c>
      <c r="V443" s="37" t="n">
        <f aca="false">p_a</f>
        <v>0.35</v>
      </c>
      <c r="W443" s="16" t="n">
        <f aca="false">T443*L443</f>
        <v>0.009961664103724</v>
      </c>
      <c r="X443" s="16" t="n">
        <f aca="false">U443*L443</f>
        <v>0.00187697010942394</v>
      </c>
      <c r="Y443" s="16" t="n">
        <f aca="false">V443*L443</f>
        <v>0.0203702182418102</v>
      </c>
      <c r="Z443" s="16" t="n">
        <f aca="false">Q443*L443</f>
        <v>0.00433881882658482</v>
      </c>
      <c r="AA443" s="16" t="n">
        <f aca="false">R443*L443</f>
        <v>0.00499422560922163</v>
      </c>
      <c r="AB443" s="16" t="n">
        <f aca="false">S443*L443</f>
        <v>0.00455284377807031</v>
      </c>
      <c r="AC443" s="16" t="n">
        <f aca="false">Z443-W443</f>
        <v>-0.00562284527713918</v>
      </c>
      <c r="AD443" s="16" t="n">
        <f aca="false">AA443-W443</f>
        <v>-0.00496743849450237</v>
      </c>
      <c r="AE443" s="16" t="n">
        <f aca="false">AB443-W443</f>
        <v>-0.00540882032565369</v>
      </c>
      <c r="AF443" s="16" t="n">
        <f aca="false">AE443-X443</f>
        <v>-0.00728579043507763</v>
      </c>
      <c r="AG443" s="16" t="n">
        <f aca="false">AF443-p_spc_lo*Y443/1000</f>
        <v>-0.00830430134716814</v>
      </c>
      <c r="AH443" s="16" t="n">
        <f aca="false">AF443-p_spc_hi*Y443/1000</f>
        <v>-0.00932281225925865</v>
      </c>
      <c r="AI443" s="16" t="n">
        <f aca="false">Q443*J443</f>
        <v>0.0114179442804864</v>
      </c>
      <c r="AJ443" s="16" t="n">
        <f aca="false">S443*J443</f>
        <v>0.0119811678370271</v>
      </c>
      <c r="AK443" s="16" t="n">
        <f aca="false">T443*J443</f>
        <v>0.0262149055361158</v>
      </c>
      <c r="AL443" s="16" t="n">
        <f aca="false">U443*J443</f>
        <v>0.00493939502479984</v>
      </c>
      <c r="AM443" s="16" t="n">
        <f aca="false">AI443-AJ443</f>
        <v>-0.000563223556540753</v>
      </c>
      <c r="AN443" s="16" t="n">
        <f aca="false">J443*Country_Data!$EB$67</f>
        <v>0.160025307940588</v>
      </c>
      <c r="AO443" s="16" t="n">
        <f aca="false">L443*Country_Data!$EB$67</f>
        <v>0.0608096170174235</v>
      </c>
    </row>
    <row r="444" customFormat="false" ht="15" hidden="false" customHeight="false" outlineLevel="0" collapsed="false">
      <c r="A444" s="14" t="str">
        <f aca="false">Country_Data!$A$67</f>
        <v>PRI</v>
      </c>
      <c r="B444" s="14" t="str">
        <f aca="false">Country_Data!$E$67</f>
        <v>AE</v>
      </c>
      <c r="C444" s="35" t="s">
        <v>484</v>
      </c>
      <c r="D444" s="37" t="n">
        <f aca="false">IF(Country_Data!$CD$67="","",Country_Data!$CD$67)</f>
        <v>0.12684443012578</v>
      </c>
      <c r="E444" s="40" t="n">
        <f aca="false">Country_Data!$BW$67</f>
        <v>160.896</v>
      </c>
      <c r="F444" s="41" t="n">
        <f aca="false">Country_Data!$BX$67</f>
        <v>0.782132557677009</v>
      </c>
      <c r="G444" s="42" t="n">
        <f aca="false">IF(D444="","",D444/SUMIFS($D$5:$D$1369,$B$5:$B$1369,B444,$C$5:$C$1369,C444))</f>
        <v>0.00085821579265258</v>
      </c>
      <c r="H444" s="42" t="n">
        <f aca="false">E444/SUMIFS($E$5:$E$1369,$B$5:$B$1369,B444,$C$5:$C$1369,C444)</f>
        <v>0.00203963115807875</v>
      </c>
      <c r="I444" s="43" t="n">
        <f aca="false">IF(G444="",H444,p_beta_alloc*G444+(1-p_beta_alloc)*H444)*F444^p_phi</f>
        <v>0.00128140268945132</v>
      </c>
      <c r="J444" s="16" t="n">
        <f aca="false">INDEX(Sector_Params!$C$21:$E$21,MATCH(B444,Sector_Params!$C$15:$E$15,0))*I444/SUMIFS($I$5:$I$1369,$B$5:$B$1369,B444,$C$5:$C$1369,C444)</f>
        <v>0.261085459345341</v>
      </c>
      <c r="K444" s="28" t="n">
        <f aca="false">INDEX(Sector_Params!$F$10:$H$10,MATCH(B444,Sector_Params!$C$15:$E$15,0))</f>
        <v>0.38</v>
      </c>
      <c r="L444" s="16" t="n">
        <f aca="false">J444*K444</f>
        <v>0.0992124745512296</v>
      </c>
      <c r="M444" s="44" t="n">
        <f aca="false">Country_Data!$DW$67+Sector_Params!$E$10</f>
        <v>0.055</v>
      </c>
      <c r="N444" s="44" t="n">
        <f aca="false">Country_Data!$DX$67+Sector_Params!$E$10</f>
        <v>0.07</v>
      </c>
      <c r="O444" s="11" t="n">
        <f aca="false">IF(p_use_ibrd=1,p_r_ibrd,p_r_wb)</f>
        <v>0.06</v>
      </c>
      <c r="P444" s="45" t="n">
        <f aca="false">Sector_Params!$D$10</f>
        <v>20</v>
      </c>
      <c r="Q444" s="46" t="n">
        <f aca="false">M444/(1-(1+M444)^-P444)</f>
        <v>0.0836793300349332</v>
      </c>
      <c r="R444" s="46" t="n">
        <f aca="false">N444/(1-(1+N444)^-P444)</f>
        <v>0.0943929257432557</v>
      </c>
      <c r="S444" s="46" t="n">
        <f aca="false">O444/(1-(1+O444)^-P444)</f>
        <v>0.0871845569768514</v>
      </c>
      <c r="T444" s="37" t="n">
        <f aca="false">0*Sector_Params!$I$10</f>
        <v>0</v>
      </c>
      <c r="U444" s="37" t="n">
        <f aca="false">0*Sector_Params!$J$10</f>
        <v>0</v>
      </c>
      <c r="V444" s="37" t="n">
        <f aca="false">1000*p_r_wb/(1-(1+p_r_wb)^-Sector_Params!$D$10)/p_cpt_fuel</f>
        <v>0.871845569768514</v>
      </c>
      <c r="W444" s="16" t="n">
        <f aca="false">T444*L444</f>
        <v>0</v>
      </c>
      <c r="X444" s="16" t="n">
        <f aca="false">U444*L444</f>
        <v>0</v>
      </c>
      <c r="Y444" s="16" t="n">
        <f aca="false">V444*L444</f>
        <v>0.086497956403261</v>
      </c>
      <c r="Z444" s="16" t="n">
        <f aca="false">Q444*L444</f>
        <v>0.00830203340155476</v>
      </c>
      <c r="AA444" s="16" t="n">
        <f aca="false">R444*L444</f>
        <v>0.00936495574311886</v>
      </c>
      <c r="AB444" s="16" t="n">
        <f aca="false">S444*L444</f>
        <v>0.0086497956403261</v>
      </c>
      <c r="AC444" s="16" t="n">
        <f aca="false">Z444-W444</f>
        <v>0.00830203340155476</v>
      </c>
      <c r="AD444" s="16" t="n">
        <f aca="false">AA444-W444</f>
        <v>0.00936495574311886</v>
      </c>
      <c r="AE444" s="16" t="n">
        <f aca="false">AB444-W444</f>
        <v>0.0086497956403261</v>
      </c>
      <c r="AF444" s="16" t="n">
        <f aca="false">AE444-X444</f>
        <v>0.0086497956403261</v>
      </c>
      <c r="AG444" s="16" t="n">
        <f aca="false">AF444-p_spc_lo*Y444/1000</f>
        <v>0.00432489782016305</v>
      </c>
      <c r="AH444" s="16" t="n">
        <f aca="false">AF444-p_spc_hi*Y444/1000</f>
        <v>0</v>
      </c>
      <c r="AI444" s="16" t="n">
        <f aca="false">Q444*J444</f>
        <v>0.0218474563198809</v>
      </c>
      <c r="AJ444" s="16" t="n">
        <f aca="false">S444*J444</f>
        <v>0.0227626201061213</v>
      </c>
      <c r="AK444" s="16" t="n">
        <f aca="false">T444*J444</f>
        <v>0</v>
      </c>
      <c r="AL444" s="16" t="n">
        <f aca="false">U444*J444</f>
        <v>0</v>
      </c>
      <c r="AM444" s="16" t="n">
        <f aca="false">AI444-AJ444</f>
        <v>-0.000915163786240375</v>
      </c>
      <c r="AN444" s="16" t="n">
        <f aca="false">J444*Country_Data!$EB$67</f>
        <v>0.272789290281512</v>
      </c>
      <c r="AO444" s="16" t="n">
        <f aca="false">L444*Country_Data!$EB$67</f>
        <v>0.103659930306974</v>
      </c>
    </row>
    <row r="445" customFormat="false" ht="15" hidden="false" customHeight="false" outlineLevel="0" collapsed="false">
      <c r="A445" s="14" t="str">
        <f aca="false">Country_Data!$A$67</f>
        <v>PRI</v>
      </c>
      <c r="B445" s="14" t="str">
        <f aca="false">Country_Data!$E$67</f>
        <v>AE</v>
      </c>
      <c r="C445" s="35" t="s">
        <v>488</v>
      </c>
      <c r="D445" s="37" t="n">
        <f aca="false">IF(Country_Data!$CE$67="","",Country_Data!$CE$67)</f>
        <v>2.626</v>
      </c>
      <c r="E445" s="40" t="n">
        <f aca="false">Country_Data!$BW$67</f>
        <v>160.896</v>
      </c>
      <c r="F445" s="41" t="n">
        <f aca="false">Country_Data!$BX$67</f>
        <v>0.782132557677009</v>
      </c>
      <c r="G445" s="42" t="n">
        <f aca="false">IF(D445="","",D445/SUMIFS($D$5:$D$1369,$B$5:$B$1369,B445,$C$5:$C$1369,C445))</f>
        <v>0.00100218526764758</v>
      </c>
      <c r="H445" s="42" t="n">
        <f aca="false">E445/SUMIFS($E$5:$E$1369,$B$5:$B$1369,B445,$C$5:$C$1369,C445)</f>
        <v>0.00203963115807875</v>
      </c>
      <c r="I445" s="43" t="n">
        <f aca="false">IF(G445="",H445,p_beta_alloc*G445+(1-p_beta_alloc)*H445)*F445^p_phi</f>
        <v>0.00134506473772165</v>
      </c>
      <c r="J445" s="16" t="n">
        <f aca="false">INDEX(Sector_Params!$C$22:$E$22,MATCH(B445,Sector_Params!$C$15:$E$15,0))*I445/SUMIFS($I$5:$I$1369,$B$5:$B$1369,B445,$C$5:$C$1369,C445)</f>
        <v>0.0521180609325799</v>
      </c>
      <c r="K445" s="28" t="n">
        <f aca="false">INDEX(Sector_Params!$F$11:$H$11,MATCH(B445,Sector_Params!$C$15:$E$15,0))</f>
        <v>0.38</v>
      </c>
      <c r="L445" s="16" t="n">
        <f aca="false">J445*K445</f>
        <v>0.0198048631543804</v>
      </c>
      <c r="M445" s="44" t="n">
        <f aca="false">Country_Data!$DW$67+Sector_Params!$E$11</f>
        <v>0.055</v>
      </c>
      <c r="N445" s="44" t="n">
        <f aca="false">Country_Data!$DX$67+Sector_Params!$E$11</f>
        <v>0.07</v>
      </c>
      <c r="O445" s="11" t="n">
        <f aca="false">IF(p_use_ibrd=1,p_r_ibrd,p_r_wb)</f>
        <v>0.06</v>
      </c>
      <c r="P445" s="45" t="n">
        <f aca="false">Sector_Params!$D$11</f>
        <v>30</v>
      </c>
      <c r="Q445" s="46" t="n">
        <f aca="false">M445/(1-(1+M445)^-P445)</f>
        <v>0.0688053896793896</v>
      </c>
      <c r="R445" s="46" t="n">
        <f aca="false">N445/(1-(1+N445)^-P445)</f>
        <v>0.0805864035111112</v>
      </c>
      <c r="S445" s="46" t="n">
        <f aca="false">O445/(1-(1+O445)^-P445)</f>
        <v>0.0726489114900472</v>
      </c>
      <c r="T445" s="37" t="n">
        <f aca="false">0*Sector_Params!$I$11</f>
        <v>0</v>
      </c>
      <c r="U445" s="37" t="n">
        <f aca="false">p_c*Sector_Params!$J$11</f>
        <v>0.129</v>
      </c>
      <c r="V445" s="37" t="n">
        <f aca="false">1000*p_r_wb/(1-(1+p_r_wb)^-Sector_Params!$D$11)/p_cpt_afolu</f>
        <v>1.45297822980094</v>
      </c>
      <c r="W445" s="16" t="n">
        <f aca="false">T445*L445</f>
        <v>0</v>
      </c>
      <c r="X445" s="16" t="n">
        <f aca="false">U445*L445</f>
        <v>0.00255482734691507</v>
      </c>
      <c r="Y445" s="16" t="n">
        <f aca="false">V445*L445</f>
        <v>0.0287760350075015</v>
      </c>
      <c r="Z445" s="16" t="n">
        <f aca="false">Q445*L445</f>
        <v>0.00136268132688413</v>
      </c>
      <c r="AA445" s="16" t="n">
        <f aca="false">R445*L445</f>
        <v>0.00159600269364124</v>
      </c>
      <c r="AB445" s="16" t="n">
        <f aca="false">S445*L445</f>
        <v>0.00143880175037508</v>
      </c>
      <c r="AC445" s="16" t="n">
        <f aca="false">Z445-W445</f>
        <v>0.00136268132688413</v>
      </c>
      <c r="AD445" s="16" t="n">
        <f aca="false">AA445-W445</f>
        <v>0.00159600269364124</v>
      </c>
      <c r="AE445" s="16" t="n">
        <f aca="false">AB445-W445</f>
        <v>0.00143880175037508</v>
      </c>
      <c r="AF445" s="16" t="n">
        <f aca="false">AE445-X445</f>
        <v>-0.00111602559653999</v>
      </c>
      <c r="AG445" s="16" t="n">
        <f aca="false">AF445-p_spc_lo*Y445/1000</f>
        <v>-0.00255482734691507</v>
      </c>
      <c r="AH445" s="16" t="n">
        <f aca="false">AF445-p_spc_hi*Y445/1000</f>
        <v>-0.00399362909729015</v>
      </c>
      <c r="AI445" s="16" t="n">
        <f aca="false">Q445*J445</f>
        <v>0.00358600349180033</v>
      </c>
      <c r="AJ445" s="16" t="n">
        <f aca="false">S445*J445</f>
        <v>0.00378632039572389</v>
      </c>
      <c r="AK445" s="16" t="n">
        <f aca="false">T445*J445</f>
        <v>0</v>
      </c>
      <c r="AL445" s="16" t="n">
        <f aca="false">U445*J445</f>
        <v>0.00672322986030281</v>
      </c>
      <c r="AM445" s="16" t="n">
        <f aca="false">AI445-AJ445</f>
        <v>-0.000200316903923554</v>
      </c>
      <c r="AN445" s="16" t="n">
        <f aca="false">J445*Country_Data!$EB$67</f>
        <v>0.0544543878019714</v>
      </c>
      <c r="AO445" s="16" t="n">
        <f aca="false">L445*Country_Data!$EB$67</f>
        <v>0.0206926673647491</v>
      </c>
    </row>
    <row r="446" customFormat="false" ht="15" hidden="false" customHeight="false" outlineLevel="0" collapsed="false">
      <c r="A446" s="14" t="str">
        <f aca="false">Country_Data!$A$68</f>
        <v>DOM</v>
      </c>
      <c r="B446" s="14" t="str">
        <f aca="false">Country_Data!$E$68</f>
        <v>EMDC</v>
      </c>
      <c r="C446" s="35" t="s">
        <v>466</v>
      </c>
      <c r="D446" s="37" t="n">
        <f aca="false">IF(Country_Data!$BZ$68="","",Country_Data!$BZ$68)</f>
        <v>23.1145176559177</v>
      </c>
      <c r="E446" s="40" t="n">
        <f aca="false">Country_Data!$BW$68</f>
        <v>315.191</v>
      </c>
      <c r="F446" s="41" t="n">
        <f aca="false">Country_Data!$BX$68</f>
        <v>0.395357100932451</v>
      </c>
      <c r="G446" s="42" t="n">
        <f aca="false">IF(D446="","",D446/SUMIFS($D$5:$D$1369,$B$5:$B$1369,B446,$C$5:$C$1369,C446))</f>
        <v>0.00263880269501413</v>
      </c>
      <c r="H446" s="42" t="n">
        <f aca="false">E446/SUMIFS($E$5:$E$1369,$B$5:$B$1369,B446,$C$5:$C$1369,C446)</f>
        <v>0.00390416971533802</v>
      </c>
      <c r="I446" s="43" t="n">
        <f aca="false">IF(G446="",H446,p_beta_alloc*G446+(1-p_beta_alloc)*H446)*F446^p_phi</f>
        <v>0.00205702639812964</v>
      </c>
      <c r="J446" s="16" t="n">
        <f aca="false">INDEX(Sector_Params!$C$16:$E$16,MATCH(B446,Sector_Params!$C$15:$E$15,0))*I446/SUMIFS($I$5:$I$1369,$B$5:$B$1369,B446,$C$5:$C$1369,C446)</f>
        <v>1.9896080823864</v>
      </c>
      <c r="K446" s="28" t="n">
        <f aca="false">INDEX(Sector_Params!$F$5:$H$5,MATCH(B446,Sector_Params!$C$15:$E$15,0))</f>
        <v>0.24</v>
      </c>
      <c r="L446" s="16" t="n">
        <f aca="false">J446*K446</f>
        <v>0.477505939772736</v>
      </c>
      <c r="M446" s="44" t="n">
        <f aca="false">Country_Data!$DW$68+Sector_Params!$E$5</f>
        <v>0.0771200000000001</v>
      </c>
      <c r="N446" s="44" t="n">
        <f aca="false">Country_Data!$DX$68+Sector_Params!$E$5</f>
        <v>0.12212</v>
      </c>
      <c r="O446" s="11" t="n">
        <f aca="false">IF(p_use_ibrd=1,p_r_ibrd,p_r_wb)</f>
        <v>0.06</v>
      </c>
      <c r="P446" s="45" t="n">
        <f aca="false">Sector_Params!$D$5</f>
        <v>25</v>
      </c>
      <c r="Q446" s="46" t="n">
        <f aca="false">M446/(1-(1+M446)^-P446)</f>
        <v>0.0913850346868597</v>
      </c>
      <c r="R446" s="46" t="n">
        <f aca="false">N446/(1-(1+N446)^-P446)</f>
        <v>0.1293790782264</v>
      </c>
      <c r="S446" s="46" t="n">
        <f aca="false">O446/(1-(1+O446)^-P446)</f>
        <v>0.078226718212274</v>
      </c>
      <c r="T446" s="37" t="n">
        <f aca="false">IF(AND(p_eng=1,ISNUMBER(Country_Data!$CZ$68)),Country_Data!$CZ$68,Country_Data!$CM$68)*Sector_Params!$I$5</f>
        <v>0.14132785716683</v>
      </c>
      <c r="U446" s="37" t="n">
        <f aca="false">IF(AND(p_eng=1,ISNUMBER(Country_Data!$DA$68)),Country_Data!$DA$68,Country_Data!$CN$68)*Sector_Params!$J$5</f>
        <v>0.0689042763679902</v>
      </c>
      <c r="V446" s="37" t="n">
        <f aca="false">IF(AND(p_eng=1,ISNUMBER(Country_Data!$DB$68)),Country_Data!$DB$68,p_a)</f>
        <v>1.27212539160459</v>
      </c>
      <c r="W446" s="16" t="n">
        <f aca="false">T446*L446</f>
        <v>0.0674848912525143</v>
      </c>
      <c r="X446" s="16" t="n">
        <f aca="false">U446*L446</f>
        <v>0.0329022012414575</v>
      </c>
      <c r="Y446" s="16" t="n">
        <f aca="false">V446*L446</f>
        <v>0.607447430626909</v>
      </c>
      <c r="Z446" s="16" t="n">
        <f aca="false">Q446*L446</f>
        <v>0.043636896869313</v>
      </c>
      <c r="AA446" s="16" t="n">
        <f aca="false">R446*L446</f>
        <v>0.0617792783354275</v>
      </c>
      <c r="AB446" s="16" t="n">
        <f aca="false">S446*L446</f>
        <v>0.0373537225952888</v>
      </c>
      <c r="AC446" s="16" t="n">
        <f aca="false">Z446-W446</f>
        <v>-0.0238479943832013</v>
      </c>
      <c r="AD446" s="16" t="n">
        <f aca="false">AA446-W446</f>
        <v>-0.00570561291708682</v>
      </c>
      <c r="AE446" s="16" t="n">
        <f aca="false">AB446-W446</f>
        <v>-0.0301311686572255</v>
      </c>
      <c r="AF446" s="16" t="n">
        <f aca="false">AE446-X446</f>
        <v>-0.0630333698986829</v>
      </c>
      <c r="AG446" s="16" t="n">
        <f aca="false">AF446-p_spc_lo*Y446/1000</f>
        <v>-0.0934057414300284</v>
      </c>
      <c r="AH446" s="16" t="n">
        <f aca="false">AF446-p_spc_hi*Y446/1000</f>
        <v>-0.123778112961374</v>
      </c>
      <c r="AI446" s="16" t="n">
        <f aca="false">Q446*J446</f>
        <v>0.181820403622138</v>
      </c>
      <c r="AJ446" s="16" t="n">
        <f aca="false">S446*J446</f>
        <v>0.155640510813704</v>
      </c>
      <c r="AK446" s="16" t="n">
        <f aca="false">T446*J446</f>
        <v>0.281187046885476</v>
      </c>
      <c r="AL446" s="16" t="n">
        <f aca="false">U446*J446</f>
        <v>0.137092505172739</v>
      </c>
      <c r="AM446" s="16" t="n">
        <f aca="false">AI446-AJ446</f>
        <v>0.026179892808434</v>
      </c>
      <c r="AN446" s="16" t="n">
        <f aca="false">J446*Country_Data!$EB$68</f>
        <v>2.27654475821355</v>
      </c>
      <c r="AO446" s="16" t="n">
        <f aca="false">L446*Country_Data!$EB$68</f>
        <v>0.546370741971253</v>
      </c>
    </row>
    <row r="447" customFormat="false" ht="15" hidden="false" customHeight="false" outlineLevel="0" collapsed="false">
      <c r="A447" s="14" t="str">
        <f aca="false">Country_Data!$A$68</f>
        <v>DOM</v>
      </c>
      <c r="B447" s="14" t="str">
        <f aca="false">Country_Data!$E$68</f>
        <v>EMDC</v>
      </c>
      <c r="C447" s="35" t="s">
        <v>470</v>
      </c>
      <c r="D447" s="37" t="n">
        <f aca="false">IF(Country_Data!$BZ$68="","",Country_Data!$BZ$68)</f>
        <v>23.1145176559177</v>
      </c>
      <c r="E447" s="40" t="n">
        <f aca="false">Country_Data!$BW$68</f>
        <v>315.191</v>
      </c>
      <c r="F447" s="41" t="n">
        <f aca="false">Country_Data!$BX$68</f>
        <v>0.395357100932451</v>
      </c>
      <c r="G447" s="42" t="n">
        <f aca="false">IF(D447="","",D447/SUMIFS($D$5:$D$1369,$B$5:$B$1369,B447,$C$5:$C$1369,C447))</f>
        <v>0.00263880269501413</v>
      </c>
      <c r="H447" s="42" t="n">
        <f aca="false">E447/SUMIFS($E$5:$E$1369,$B$5:$B$1369,B447,$C$5:$C$1369,C447)</f>
        <v>0.00390416971533802</v>
      </c>
      <c r="I447" s="43" t="n">
        <f aca="false">IF(G447="",H447,p_beta_alloc*G447+(1-p_beta_alloc)*H447)*F447^p_phi</f>
        <v>0.00205702639812964</v>
      </c>
      <c r="J447" s="16" t="n">
        <f aca="false">INDEX(Sector_Params!$C$17:$E$17,MATCH(B447,Sector_Params!$C$15:$E$15,0))*I447/SUMIFS($I$5:$I$1369,$B$5:$B$1369,B447,$C$5:$C$1369,C447)</f>
        <v>1.36430268506496</v>
      </c>
      <c r="K447" s="28" t="n">
        <f aca="false">INDEX(Sector_Params!$F$6:$H$6,MATCH(B447,Sector_Params!$C$15:$E$15,0))</f>
        <v>0.24</v>
      </c>
      <c r="L447" s="16" t="n">
        <f aca="false">J447*K447</f>
        <v>0.32743264441559</v>
      </c>
      <c r="M447" s="44" t="n">
        <f aca="false">Country_Data!$DW$68+Sector_Params!$E$6</f>
        <v>0.0771200000000001</v>
      </c>
      <c r="N447" s="44" t="n">
        <f aca="false">Country_Data!$DX$68+Sector_Params!$E$6</f>
        <v>0.12212</v>
      </c>
      <c r="O447" s="11" t="n">
        <f aca="false">IF(p_use_ibrd=1,p_r_ibrd,p_r_wb)</f>
        <v>0.06</v>
      </c>
      <c r="P447" s="45" t="n">
        <f aca="false">Sector_Params!$D$6</f>
        <v>40</v>
      </c>
      <c r="Q447" s="46" t="n">
        <f aca="false">M447/(1-(1+M447)^-P447)</f>
        <v>0.0812833002244821</v>
      </c>
      <c r="R447" s="46" t="n">
        <f aca="false">N447/(1-(1+N447)^-P447)</f>
        <v>0.123349033238365</v>
      </c>
      <c r="S447" s="46" t="n">
        <f aca="false">O447/(1-(1+O447)^-P447)</f>
        <v>0.0664615359206755</v>
      </c>
      <c r="T447" s="37" t="n">
        <f aca="false">p_grid_credit*IF(AND(p_eng=1,ISNUMBER(Country_Data!$CZ$68)),Country_Data!$CZ$68,Country_Data!$CM$68)*Sector_Params!$I$6</f>
        <v>0</v>
      </c>
      <c r="U447" s="37" t="n">
        <f aca="false">p_grid_credit*IF(AND(p_eng=1,ISNUMBER(Country_Data!$DA$68)),Country_Data!$DA$68,Country_Data!$CN$68)*Sector_Params!$J$6</f>
        <v>0</v>
      </c>
      <c r="V447" s="37" t="n">
        <f aca="false">p_grid_credit*IF(AND(p_eng=1,ISNUMBER(Country_Data!$DB$68)),Country_Data!$DB$68,p_a)</f>
        <v>0</v>
      </c>
      <c r="W447" s="16" t="n">
        <f aca="false">T447*L447</f>
        <v>0</v>
      </c>
      <c r="X447" s="16" t="n">
        <f aca="false">U447*L447</f>
        <v>0</v>
      </c>
      <c r="Y447" s="16" t="n">
        <f aca="false">V447*L447</f>
        <v>0</v>
      </c>
      <c r="Z447" s="16" t="n">
        <f aca="false">Q447*L447</f>
        <v>0.0266148059393285</v>
      </c>
      <c r="AA447" s="16" t="n">
        <f aca="false">R447*L447</f>
        <v>0.0403885001393445</v>
      </c>
      <c r="AB447" s="16" t="n">
        <f aca="false">S447*L447</f>
        <v>0.0217616764584285</v>
      </c>
      <c r="AC447" s="16" t="n">
        <f aca="false">Z447-W447</f>
        <v>0.0266148059393285</v>
      </c>
      <c r="AD447" s="16" t="n">
        <f aca="false">AA447-W447</f>
        <v>0.0403885001393445</v>
      </c>
      <c r="AE447" s="16" t="n">
        <f aca="false">AB447-W447</f>
        <v>0.0217616764584285</v>
      </c>
      <c r="AF447" s="16" t="n">
        <f aca="false">AE447-X447</f>
        <v>0.0217616764584285</v>
      </c>
      <c r="AG447" s="16" t="n">
        <f aca="false">AF447-p_spc_lo*Y447/1000</f>
        <v>0.0217616764584285</v>
      </c>
      <c r="AH447" s="16" t="n">
        <f aca="false">AF447-p_spc_hi*Y447/1000</f>
        <v>0.0217616764584285</v>
      </c>
      <c r="AI447" s="16" t="n">
        <f aca="false">Q447*J447</f>
        <v>0.110895024747202</v>
      </c>
      <c r="AJ447" s="16" t="n">
        <f aca="false">S447*J447</f>
        <v>0.0906736519101188</v>
      </c>
      <c r="AK447" s="16" t="n">
        <f aca="false">T447*J447</f>
        <v>0</v>
      </c>
      <c r="AL447" s="16" t="n">
        <f aca="false">U447*J447</f>
        <v>0</v>
      </c>
      <c r="AM447" s="16" t="n">
        <f aca="false">AI447-AJ447</f>
        <v>0.0202213728370833</v>
      </c>
      <c r="AN447" s="16" t="n">
        <f aca="false">J447*Country_Data!$EB$68</f>
        <v>1.56105926277501</v>
      </c>
      <c r="AO447" s="16" t="n">
        <f aca="false">L447*Country_Data!$EB$68</f>
        <v>0.374654223066002</v>
      </c>
    </row>
    <row r="448" customFormat="false" ht="15" hidden="false" customHeight="false" outlineLevel="0" collapsed="false">
      <c r="A448" s="14" t="str">
        <f aca="false">Country_Data!$A$68</f>
        <v>DOM</v>
      </c>
      <c r="B448" s="14" t="str">
        <f aca="false">Country_Data!$E$68</f>
        <v>EMDC</v>
      </c>
      <c r="C448" s="35" t="s">
        <v>473</v>
      </c>
      <c r="D448" s="37" t="n">
        <f aca="false">IF(Country_Data!$CA$68="","",Country_Data!$CA$68)</f>
        <v>0.12501201046134</v>
      </c>
      <c r="E448" s="40" t="n">
        <f aca="false">Country_Data!$BW$68</f>
        <v>315.191</v>
      </c>
      <c r="F448" s="41" t="n">
        <f aca="false">Country_Data!$BX$68</f>
        <v>0.395357100932451</v>
      </c>
      <c r="G448" s="42" t="n">
        <f aca="false">IF(D448="","",D448/SUMIFS($D$5:$D$1369,$B$5:$B$1369,B448,$C$5:$C$1369,C448))</f>
        <v>0.00288806830890317</v>
      </c>
      <c r="H448" s="42" t="n">
        <f aca="false">E448/SUMIFS($E$5:$E$1369,$B$5:$B$1369,B448,$C$5:$C$1369,C448)</f>
        <v>0.00390416971533802</v>
      </c>
      <c r="I448" s="43" t="n">
        <f aca="false">IF(G448="",H448,p_beta_alloc*G448+(1-p_beta_alloc)*H448)*F448^p_phi</f>
        <v>0.00213539230214972</v>
      </c>
      <c r="J448" s="16" t="n">
        <f aca="false">INDEX(Sector_Params!$C$18:$E$18,MATCH(B448,Sector_Params!$C$15:$E$15,0))*I448/SUMIFS($I$5:$I$1369,$B$5:$B$1369,B448,$C$5:$C$1369,C448)</f>
        <v>0.874392621755384</v>
      </c>
      <c r="K448" s="28" t="n">
        <f aca="false">INDEX(Sector_Params!$F$7:$H$7,MATCH(B448,Sector_Params!$C$15:$E$15,0))</f>
        <v>0.24</v>
      </c>
      <c r="L448" s="16" t="n">
        <f aca="false">J448*K448</f>
        <v>0.209854229221292</v>
      </c>
      <c r="M448" s="44" t="n">
        <f aca="false">Country_Data!$DW$68+Sector_Params!$E$7</f>
        <v>0.0771200000000001</v>
      </c>
      <c r="N448" s="44" t="n">
        <f aca="false">Country_Data!$DX$68+Sector_Params!$E$7</f>
        <v>0.12212</v>
      </c>
      <c r="O448" s="11" t="n">
        <f aca="false">IF(p_use_ibrd=1,p_r_ibrd,p_r_wb)</f>
        <v>0.06</v>
      </c>
      <c r="P448" s="45" t="n">
        <f aca="false">Sector_Params!$D$7</f>
        <v>12</v>
      </c>
      <c r="Q448" s="46" t="n">
        <f aca="false">M448/(1-(1+M448)^-P448)</f>
        <v>0.130721709173703</v>
      </c>
      <c r="R448" s="46" t="n">
        <f aca="false">N448/(1-(1+N448)^-P448)</f>
        <v>0.163025776473108</v>
      </c>
      <c r="S448" s="46" t="n">
        <f aca="false">O448/(1-(1+O448)^-P448)</f>
        <v>0.119277029380664</v>
      </c>
      <c r="T448" s="37" t="n">
        <f aca="false">IF(AND(p_eng=1,ISNUMBER(Country_Data!$DE$68)),Country_Data!$DE$68,Country_Data!$CM$68)*Sector_Params!$I$7</f>
        <v>0.09647163</v>
      </c>
      <c r="U448" s="37" t="n">
        <f aca="false">IF(AND(p_eng=1,ISNUMBER(Country_Data!$DF$68)),Country_Data!$DF$68,Country_Data!$CN$68)*Sector_Params!$J$7</f>
        <v>0.02344455</v>
      </c>
      <c r="V448" s="37" t="n">
        <f aca="false">IF(AND(p_eng=1,ISNUMBER(Country_Data!$DG$68)),Country_Data!$DG$68,p_a)</f>
        <v>0.234757818642574</v>
      </c>
      <c r="W448" s="16" t="n">
        <f aca="false">T448*L448</f>
        <v>0.0202449795553717</v>
      </c>
      <c r="X448" s="16" t="n">
        <f aca="false">U448*L448</f>
        <v>0.00491993796969004</v>
      </c>
      <c r="Y448" s="16" t="n">
        <f aca="false">V448*L448</f>
        <v>0.0492649210849092</v>
      </c>
      <c r="Z448" s="16" t="n">
        <f aca="false">Q448*L448</f>
        <v>0.0274325035211374</v>
      </c>
      <c r="AA448" s="16" t="n">
        <f aca="false">R448*L448</f>
        <v>0.0342116486649668</v>
      </c>
      <c r="AB448" s="16" t="n">
        <f aca="false">S448*L448</f>
        <v>0.0250307890644846</v>
      </c>
      <c r="AC448" s="16" t="n">
        <f aca="false">Z448-W448</f>
        <v>0.00718752396576576</v>
      </c>
      <c r="AD448" s="16" t="n">
        <f aca="false">AA448-W448</f>
        <v>0.0139666691095951</v>
      </c>
      <c r="AE448" s="16" t="n">
        <f aca="false">AB448-W448</f>
        <v>0.00478580950911288</v>
      </c>
      <c r="AF448" s="16" t="n">
        <f aca="false">AE448-X448</f>
        <v>-0.000134128460577164</v>
      </c>
      <c r="AG448" s="16" t="n">
        <f aca="false">AF448-p_spc_lo*Y448/1000</f>
        <v>-0.00259737451482262</v>
      </c>
      <c r="AH448" s="16" t="n">
        <f aca="false">AF448-p_spc_hi*Y448/1000</f>
        <v>-0.00506062056906808</v>
      </c>
      <c r="AI448" s="16" t="n">
        <f aca="false">Q448*J448</f>
        <v>0.114302098004739</v>
      </c>
      <c r="AJ448" s="16" t="n">
        <f aca="false">S448*J448</f>
        <v>0.104294954435352</v>
      </c>
      <c r="AK448" s="16" t="n">
        <f aca="false">T448*J448</f>
        <v>0.0843540814807153</v>
      </c>
      <c r="AL448" s="16" t="n">
        <f aca="false">U448*J448</f>
        <v>0.0204997415403752</v>
      </c>
      <c r="AM448" s="16" t="n">
        <f aca="false">AI448-AJ448</f>
        <v>0.010007143569387</v>
      </c>
      <c r="AN448" s="16" t="n">
        <f aca="false">J448*Country_Data!$EB$68</f>
        <v>1.00049550326024</v>
      </c>
      <c r="AO448" s="16" t="n">
        <f aca="false">L448*Country_Data!$EB$68</f>
        <v>0.240118920782458</v>
      </c>
    </row>
    <row r="449" customFormat="false" ht="15" hidden="false" customHeight="false" outlineLevel="0" collapsed="false">
      <c r="A449" s="14" t="str">
        <f aca="false">Country_Data!$A$68</f>
        <v>DOM</v>
      </c>
      <c r="B449" s="14" t="str">
        <f aca="false">Country_Data!$E$68</f>
        <v>EMDC</v>
      </c>
      <c r="C449" s="35" t="s">
        <v>477</v>
      </c>
      <c r="D449" s="37" t="n">
        <f aca="false">IF(Country_Data!$CB$68="","",Country_Data!$CB$68)</f>
        <v>0.0850523583325448</v>
      </c>
      <c r="E449" s="40" t="n">
        <f aca="false">Country_Data!$BW$68</f>
        <v>315.191</v>
      </c>
      <c r="F449" s="41" t="n">
        <f aca="false">Country_Data!$BX$68</f>
        <v>0.395357100932451</v>
      </c>
      <c r="G449" s="42" t="n">
        <f aca="false">IF(D449="","",D449/SUMIFS($D$5:$D$1369,$B$5:$B$1369,B449,$C$5:$C$1369,C449))</f>
        <v>0.00268195984268318</v>
      </c>
      <c r="H449" s="42" t="n">
        <f aca="false">E449/SUMIFS($E$5:$E$1369,$B$5:$B$1369,B449,$C$5:$C$1369,C449)</f>
        <v>0.00390416971533802</v>
      </c>
      <c r="I449" s="43" t="n">
        <f aca="false">IF(G449="",H449,p_beta_alloc*G449+(1-p_beta_alloc)*H449)*F449^p_phi</f>
        <v>0.00207059445045441</v>
      </c>
      <c r="J449" s="16" t="n">
        <f aca="false">INDEX(Sector_Params!$C$19:$E$19,MATCH(B449,Sector_Params!$C$15:$E$15,0))*I449/SUMIFS($I$5:$I$1369,$B$5:$B$1369,B449,$C$5:$C$1369,C449)</f>
        <v>0.666446906174517</v>
      </c>
      <c r="K449" s="28" t="n">
        <f aca="false">INDEX(Sector_Params!$F$8:$H$8,MATCH(B449,Sector_Params!$C$15:$E$15,0))</f>
        <v>0.24</v>
      </c>
      <c r="L449" s="16" t="n">
        <f aca="false">J449*K449</f>
        <v>0.159947257481884</v>
      </c>
      <c r="M449" s="44" t="n">
        <f aca="false">Country_Data!$DW$68+Sector_Params!$E$8</f>
        <v>0.0771200000000001</v>
      </c>
      <c r="N449" s="44" t="n">
        <f aca="false">Country_Data!$DX$68+Sector_Params!$E$8</f>
        <v>0.12212</v>
      </c>
      <c r="O449" s="11" t="n">
        <f aca="false">IF(p_use_ibrd=1,p_r_ibrd,p_r_wb)</f>
        <v>0.06</v>
      </c>
      <c r="P449" s="45" t="n">
        <f aca="false">Sector_Params!$D$8</f>
        <v>25</v>
      </c>
      <c r="Q449" s="46" t="n">
        <f aca="false">M449/(1-(1+M449)^-P449)</f>
        <v>0.0913850346868597</v>
      </c>
      <c r="R449" s="46" t="n">
        <f aca="false">N449/(1-(1+N449)^-P449)</f>
        <v>0.1293790782264</v>
      </c>
      <c r="S449" s="46" t="n">
        <f aca="false">O449/(1-(1+O449)^-P449)</f>
        <v>0.078226718212274</v>
      </c>
      <c r="T449" s="37" t="n">
        <f aca="false">Country_Data!$CM$68*Sector_Params!$I$8</f>
        <v>0.187689853137808</v>
      </c>
      <c r="U449" s="37" t="n">
        <f aca="false">Country_Data!$CN$68*Sector_Params!$J$8</f>
        <v>0.239713097975005</v>
      </c>
      <c r="V449" s="37" t="n">
        <f aca="false">p_a</f>
        <v>0.35</v>
      </c>
      <c r="W449" s="16" t="n">
        <f aca="false">T449*L449</f>
        <v>0.0300204772665699</v>
      </c>
      <c r="X449" s="16" t="n">
        <f aca="false">U449*L449</f>
        <v>0.0383414526035882</v>
      </c>
      <c r="Y449" s="16" t="n">
        <f aca="false">V449*L449</f>
        <v>0.0559815401186594</v>
      </c>
      <c r="Z449" s="16" t="n">
        <f aca="false">Q449*L449</f>
        <v>0.0146167856730501</v>
      </c>
      <c r="AA449" s="16" t="n">
        <f aca="false">R449*L449</f>
        <v>0.0206938287378469</v>
      </c>
      <c r="AB449" s="16" t="n">
        <f aca="false">S449*L449</f>
        <v>0.0125121490398614</v>
      </c>
      <c r="AC449" s="16" t="n">
        <f aca="false">Z449-W449</f>
        <v>-0.0154036915935199</v>
      </c>
      <c r="AD449" s="16" t="n">
        <f aca="false">AA449-W449</f>
        <v>-0.00932664852872307</v>
      </c>
      <c r="AE449" s="16" t="n">
        <f aca="false">AB449-W449</f>
        <v>-0.0175083282267086</v>
      </c>
      <c r="AF449" s="16" t="n">
        <f aca="false">AE449-X449</f>
        <v>-0.0558497808302968</v>
      </c>
      <c r="AG449" s="16" t="n">
        <f aca="false">AF449-p_spc_lo*Y449/1000</f>
        <v>-0.0586488578362298</v>
      </c>
      <c r="AH449" s="16" t="n">
        <f aca="false">AF449-p_spc_hi*Y449/1000</f>
        <v>-0.0614479348421627</v>
      </c>
      <c r="AI449" s="16" t="n">
        <f aca="false">Q449*J449</f>
        <v>0.0609032736377086</v>
      </c>
      <c r="AJ449" s="16" t="n">
        <f aca="false">S449*J449</f>
        <v>0.0521339543327557</v>
      </c>
      <c r="AK449" s="16" t="n">
        <f aca="false">T449*J449</f>
        <v>0.125085321944041</v>
      </c>
      <c r="AL449" s="16" t="n">
        <f aca="false">U449*J449</f>
        <v>0.159756052514951</v>
      </c>
      <c r="AM449" s="16" t="n">
        <f aca="false">AI449-AJ449</f>
        <v>0.00876931930495288</v>
      </c>
      <c r="AN449" s="16" t="n">
        <f aca="false">J449*Country_Data!$EB$68</f>
        <v>0.762560337541182</v>
      </c>
      <c r="AO449" s="16" t="n">
        <f aca="false">L449*Country_Data!$EB$68</f>
        <v>0.183014481009884</v>
      </c>
    </row>
    <row r="450" customFormat="false" ht="15" hidden="false" customHeight="false" outlineLevel="0" collapsed="false">
      <c r="A450" s="14" t="str">
        <f aca="false">Country_Data!$A$68</f>
        <v>DOM</v>
      </c>
      <c r="B450" s="14" t="str">
        <f aca="false">Country_Data!$E$68</f>
        <v>EMDC</v>
      </c>
      <c r="C450" s="35" t="s">
        <v>481</v>
      </c>
      <c r="D450" s="37" t="n">
        <f aca="false">IF(Country_Data!$CC$68="","",Country_Data!$CC$68)</f>
        <v>0.164726623140782</v>
      </c>
      <c r="E450" s="40" t="n">
        <f aca="false">Country_Data!$BW$68</f>
        <v>315.191</v>
      </c>
      <c r="F450" s="41" t="n">
        <f aca="false">Country_Data!$BX$68</f>
        <v>0.395357100932451</v>
      </c>
      <c r="G450" s="42" t="n">
        <f aca="false">IF(D450="","",D450/SUMIFS($D$5:$D$1369,$B$5:$B$1369,B450,$C$5:$C$1369,C450))</f>
        <v>0.00235299351753426</v>
      </c>
      <c r="H450" s="42" t="n">
        <f aca="false">E450/SUMIFS($E$5:$E$1369,$B$5:$B$1369,B450,$C$5:$C$1369,C450)</f>
        <v>0.00390416971533802</v>
      </c>
      <c r="I450" s="43" t="n">
        <f aca="false">IF(G450="",H450,p_beta_alloc*G450+(1-p_beta_alloc)*H450)*F450^p_phi</f>
        <v>0.00196717166758338</v>
      </c>
      <c r="J450" s="16" t="n">
        <f aca="false">INDEX(Sector_Params!$C$20:$E$20,MATCH(B450,Sector_Params!$C$15:$E$15,0))*I450/SUMIFS($I$5:$I$1369,$B$5:$B$1369,B450,$C$5:$C$1369,C450)</f>
        <v>0.359048443621283</v>
      </c>
      <c r="K450" s="28" t="n">
        <f aca="false">INDEX(Sector_Params!$F$9:$H$9,MATCH(B450,Sector_Params!$C$15:$E$15,0))</f>
        <v>0.24</v>
      </c>
      <c r="L450" s="16" t="n">
        <f aca="false">J450*K450</f>
        <v>0.0861716264691079</v>
      </c>
      <c r="M450" s="44" t="n">
        <f aca="false">Country_Data!$DW$68+Sector_Params!$E$9</f>
        <v>0.0771200000000001</v>
      </c>
      <c r="N450" s="44" t="n">
        <f aca="false">Country_Data!$DX$68+Sector_Params!$E$9</f>
        <v>0.12212</v>
      </c>
      <c r="O450" s="11" t="n">
        <f aca="false">IF(p_use_ibrd=1,p_r_ibrd,p_r_wb)</f>
        <v>0.06</v>
      </c>
      <c r="P450" s="45" t="n">
        <f aca="false">Sector_Params!$D$9</f>
        <v>25</v>
      </c>
      <c r="Q450" s="46" t="n">
        <f aca="false">M450/(1-(1+M450)^-P450)</f>
        <v>0.0913850346868597</v>
      </c>
      <c r="R450" s="46" t="n">
        <f aca="false">N450/(1-(1+N450)^-P450)</f>
        <v>0.1293790782264</v>
      </c>
      <c r="S450" s="46" t="n">
        <f aca="false">O450/(1-(1+O450)^-P450)</f>
        <v>0.078226718212274</v>
      </c>
      <c r="T450" s="37" t="n">
        <f aca="false">Country_Data!$CM$68*Sector_Params!$I$9</f>
        <v>0.187689853137808</v>
      </c>
      <c r="U450" s="37" t="n">
        <f aca="false">Country_Data!$CN$68*Sector_Params!$J$9</f>
        <v>0.239713097975005</v>
      </c>
      <c r="V450" s="37" t="n">
        <f aca="false">p_a</f>
        <v>0.35</v>
      </c>
      <c r="W450" s="16" t="n">
        <f aca="false">T450*L450</f>
        <v>0.0161735399166329</v>
      </c>
      <c r="X450" s="16" t="n">
        <f aca="false">U450*L450</f>
        <v>0.0206564675384548</v>
      </c>
      <c r="Y450" s="16" t="n">
        <f aca="false">V450*L450</f>
        <v>0.0301600692641878</v>
      </c>
      <c r="Z450" s="16" t="n">
        <f aca="false">Q450*L450</f>
        <v>0.00787479707390255</v>
      </c>
      <c r="AA450" s="16" t="n">
        <f aca="false">R450*L450</f>
        <v>0.0111488056018428</v>
      </c>
      <c r="AB450" s="16" t="n">
        <f aca="false">S450*L450</f>
        <v>0.00674092354169223</v>
      </c>
      <c r="AC450" s="16" t="n">
        <f aca="false">Z450-W450</f>
        <v>-0.00829874284273033</v>
      </c>
      <c r="AD450" s="16" t="n">
        <f aca="false">AA450-W450</f>
        <v>-0.00502473431479003</v>
      </c>
      <c r="AE450" s="16" t="n">
        <f aca="false">AB450-W450</f>
        <v>-0.00943261637494064</v>
      </c>
      <c r="AF450" s="16" t="n">
        <f aca="false">AE450-X450</f>
        <v>-0.0300890839133954</v>
      </c>
      <c r="AG450" s="16" t="n">
        <f aca="false">AF450-p_spc_lo*Y450/1000</f>
        <v>-0.0315970873766048</v>
      </c>
      <c r="AH450" s="16" t="n">
        <f aca="false">AF450-p_spc_hi*Y450/1000</f>
        <v>-0.0331050908398142</v>
      </c>
      <c r="AI450" s="16" t="n">
        <f aca="false">Q450*J450</f>
        <v>0.0328116544745939</v>
      </c>
      <c r="AJ450" s="16" t="n">
        <f aca="false">S450*J450</f>
        <v>0.0280871814237176</v>
      </c>
      <c r="AK450" s="16" t="n">
        <f aca="false">T450*J450</f>
        <v>0.067389749652637</v>
      </c>
      <c r="AL450" s="16" t="n">
        <f aca="false">U450*J450</f>
        <v>0.0860686147435616</v>
      </c>
      <c r="AM450" s="16" t="n">
        <f aca="false">AI450-AJ450</f>
        <v>0.00472447305087631</v>
      </c>
      <c r="AN450" s="16" t="n">
        <f aca="false">J450*Country_Data!$EB$68</f>
        <v>0.410829579708162</v>
      </c>
      <c r="AO450" s="16" t="n">
        <f aca="false">L450*Country_Data!$EB$68</f>
        <v>0.0985990991299588</v>
      </c>
    </row>
    <row r="451" customFormat="false" ht="15" hidden="false" customHeight="false" outlineLevel="0" collapsed="false">
      <c r="A451" s="14" t="str">
        <f aca="false">Country_Data!$A$68</f>
        <v>DOM</v>
      </c>
      <c r="B451" s="14" t="str">
        <f aca="false">Country_Data!$E$68</f>
        <v>EMDC</v>
      </c>
      <c r="C451" s="35" t="s">
        <v>484</v>
      </c>
      <c r="D451" s="37" t="n">
        <f aca="false">IF(Country_Data!$CD$68="","",Country_Data!$CD$68)</f>
        <v>0.394858921933699</v>
      </c>
      <c r="E451" s="40" t="n">
        <f aca="false">Country_Data!$BW$68</f>
        <v>315.191</v>
      </c>
      <c r="F451" s="41" t="n">
        <f aca="false">Country_Data!$BX$68</f>
        <v>0.395357100932451</v>
      </c>
      <c r="G451" s="42" t="n">
        <f aca="false">IF(D451="","",D451/SUMIFS($D$5:$D$1369,$B$5:$B$1369,B451,$C$5:$C$1369,C451))</f>
        <v>0.00220503646967415</v>
      </c>
      <c r="H451" s="42" t="n">
        <f aca="false">E451/SUMIFS($E$5:$E$1369,$B$5:$B$1369,B451,$C$5:$C$1369,C451)</f>
        <v>0.00390416971533802</v>
      </c>
      <c r="I451" s="43" t="n">
        <f aca="false">IF(G451="",H451,p_beta_alloc*G451+(1-p_beta_alloc)*H451)*F451^p_phi</f>
        <v>0.00192065587412595</v>
      </c>
      <c r="J451" s="16" t="n">
        <f aca="false">INDEX(Sector_Params!$C$21:$E$21,MATCH(B451,Sector_Params!$C$15:$E$15,0))*I451/SUMIFS($I$5:$I$1369,$B$5:$B$1369,B451,$C$5:$C$1369,C451)</f>
        <v>0.425981932622734</v>
      </c>
      <c r="K451" s="28" t="n">
        <f aca="false">INDEX(Sector_Params!$F$10:$H$10,MATCH(B451,Sector_Params!$C$15:$E$15,0))</f>
        <v>0.24</v>
      </c>
      <c r="L451" s="16" t="n">
        <f aca="false">J451*K451</f>
        <v>0.102235663829456</v>
      </c>
      <c r="M451" s="44" t="n">
        <f aca="false">Country_Data!$DW$68+Sector_Params!$E$10</f>
        <v>0.0771200000000001</v>
      </c>
      <c r="N451" s="44" t="n">
        <f aca="false">Country_Data!$DX$68+Sector_Params!$E$10</f>
        <v>0.12212</v>
      </c>
      <c r="O451" s="11" t="n">
        <f aca="false">IF(p_use_ibrd=1,p_r_ibrd,p_r_wb)</f>
        <v>0.06</v>
      </c>
      <c r="P451" s="45" t="n">
        <f aca="false">Sector_Params!$D$10</f>
        <v>20</v>
      </c>
      <c r="Q451" s="46" t="n">
        <f aca="false">M451/(1-(1+M451)^-P451)</f>
        <v>0.0996791362226427</v>
      </c>
      <c r="R451" s="46" t="n">
        <f aca="false">N451/(1-(1+N451)^-P451)</f>
        <v>0.135661630924076</v>
      </c>
      <c r="S451" s="46" t="n">
        <f aca="false">O451/(1-(1+O451)^-P451)</f>
        <v>0.0871845569768514</v>
      </c>
      <c r="T451" s="37" t="n">
        <f aca="false">0*Sector_Params!$I$10</f>
        <v>0</v>
      </c>
      <c r="U451" s="37" t="n">
        <f aca="false">0*Sector_Params!$J$10</f>
        <v>0</v>
      </c>
      <c r="V451" s="37" t="n">
        <f aca="false">1000*p_r_wb/(1-(1+p_r_wb)^-Sector_Params!$D$10)/p_cpt_fuel</f>
        <v>0.871845569768514</v>
      </c>
      <c r="W451" s="16" t="n">
        <f aca="false">T451*L451</f>
        <v>0</v>
      </c>
      <c r="X451" s="16" t="n">
        <f aca="false">U451*L451</f>
        <v>0</v>
      </c>
      <c r="Y451" s="16" t="n">
        <f aca="false">V451*L451</f>
        <v>0.0891337105820544</v>
      </c>
      <c r="Z451" s="16" t="n">
        <f aca="false">Q451*L451</f>
        <v>0.0101907626616687</v>
      </c>
      <c r="AA451" s="16" t="n">
        <f aca="false">R451*L451</f>
        <v>0.0138694568937096</v>
      </c>
      <c r="AB451" s="16" t="n">
        <f aca="false">S451*L451</f>
        <v>0.00891337105820544</v>
      </c>
      <c r="AC451" s="16" t="n">
        <f aca="false">Z451-W451</f>
        <v>0.0101907626616687</v>
      </c>
      <c r="AD451" s="16" t="n">
        <f aca="false">AA451-W451</f>
        <v>0.0138694568937096</v>
      </c>
      <c r="AE451" s="16" t="n">
        <f aca="false">AB451-W451</f>
        <v>0.00891337105820544</v>
      </c>
      <c r="AF451" s="16" t="n">
        <f aca="false">AE451-X451</f>
        <v>0.00891337105820544</v>
      </c>
      <c r="AG451" s="16" t="n">
        <f aca="false">AF451-p_spc_lo*Y451/1000</f>
        <v>0.00445668552910272</v>
      </c>
      <c r="AH451" s="16" t="n">
        <f aca="false">AF451-p_spc_hi*Y451/1000</f>
        <v>0</v>
      </c>
      <c r="AI451" s="16" t="n">
        <f aca="false">Q451*J451</f>
        <v>0.0424615110902861</v>
      </c>
      <c r="AJ451" s="16" t="n">
        <f aca="false">S451*J451</f>
        <v>0.037139046075856</v>
      </c>
      <c r="AK451" s="16" t="n">
        <f aca="false">T451*J451</f>
        <v>0</v>
      </c>
      <c r="AL451" s="16" t="n">
        <f aca="false">U451*J451</f>
        <v>0</v>
      </c>
      <c r="AM451" s="16" t="n">
        <f aca="false">AI451-AJ451</f>
        <v>0.00532246501443007</v>
      </c>
      <c r="AN451" s="16" t="n">
        <f aca="false">J451*Country_Data!$EB$68</f>
        <v>0.48741606168125</v>
      </c>
      <c r="AO451" s="16" t="n">
        <f aca="false">L451*Country_Data!$EB$68</f>
        <v>0.1169798548035</v>
      </c>
    </row>
    <row r="452" customFormat="false" ht="15" hidden="false" customHeight="false" outlineLevel="0" collapsed="false">
      <c r="A452" s="14" t="str">
        <f aca="false">Country_Data!$A$68</f>
        <v>DOM</v>
      </c>
      <c r="B452" s="14" t="str">
        <f aca="false">Country_Data!$E$68</f>
        <v>EMDC</v>
      </c>
      <c r="C452" s="35" t="s">
        <v>488</v>
      </c>
      <c r="D452" s="37" t="n">
        <f aca="false">IF(Country_Data!$CE$68="","",Country_Data!$CE$68)</f>
        <v>18.808</v>
      </c>
      <c r="E452" s="40" t="n">
        <f aca="false">Country_Data!$BW$68</f>
        <v>315.191</v>
      </c>
      <c r="F452" s="41" t="n">
        <f aca="false">Country_Data!$BX$68</f>
        <v>0.395357100932451</v>
      </c>
      <c r="G452" s="42" t="n">
        <f aca="false">IF(D452="","",D452/SUMIFS($D$5:$D$1369,$B$5:$B$1369,B452,$C$5:$C$1369,C452))</f>
        <v>0.00154112016361701</v>
      </c>
      <c r="H452" s="42" t="n">
        <f aca="false">E452/SUMIFS($E$5:$E$1369,$B$5:$B$1369,B452,$C$5:$C$1369,C452)</f>
        <v>0.00390416971533802</v>
      </c>
      <c r="I452" s="43" t="n">
        <f aca="false">IF(G452="",H452,p_beta_alloc*G452+(1-p_beta_alloc)*H452)*F452^p_phi</f>
        <v>0.0017119291239493</v>
      </c>
      <c r="J452" s="16" t="n">
        <f aca="false">INDEX(Sector_Params!$C$22:$E$22,MATCH(B452,Sector_Params!$C$15:$E$15,0))*I452/SUMIFS($I$5:$I$1369,$B$5:$B$1369,B452,$C$5:$C$1369,C452)</f>
        <v>1.03196523595287</v>
      </c>
      <c r="K452" s="28" t="n">
        <f aca="false">INDEX(Sector_Params!$F$11:$H$11,MATCH(B452,Sector_Params!$C$15:$E$15,0))</f>
        <v>0.24</v>
      </c>
      <c r="L452" s="16" t="n">
        <f aca="false">J452*K452</f>
        <v>0.247671656628689</v>
      </c>
      <c r="M452" s="44" t="n">
        <f aca="false">Country_Data!$DW$68+Sector_Params!$E$11</f>
        <v>0.0771200000000001</v>
      </c>
      <c r="N452" s="44" t="n">
        <f aca="false">Country_Data!$DX$68+Sector_Params!$E$11</f>
        <v>0.12212</v>
      </c>
      <c r="O452" s="11" t="n">
        <f aca="false">IF(p_use_ibrd=1,p_r_ibrd,p_r_wb)</f>
        <v>0.06</v>
      </c>
      <c r="P452" s="45" t="n">
        <f aca="false">Sector_Params!$D$11</f>
        <v>30</v>
      </c>
      <c r="Q452" s="46" t="n">
        <f aca="false">M452/(1-(1+M452)^-P452)</f>
        <v>0.0864250074902865</v>
      </c>
      <c r="R452" s="46" t="n">
        <f aca="false">N452/(1-(1+N452)^-P452)</f>
        <v>0.126096717023053</v>
      </c>
      <c r="S452" s="46" t="n">
        <f aca="false">O452/(1-(1+O452)^-P452)</f>
        <v>0.0726489114900472</v>
      </c>
      <c r="T452" s="37" t="n">
        <f aca="false">0*Sector_Params!$I$11</f>
        <v>0</v>
      </c>
      <c r="U452" s="37" t="n">
        <f aca="false">p_c*Sector_Params!$J$11</f>
        <v>0.129</v>
      </c>
      <c r="V452" s="37" t="n">
        <f aca="false">1000*p_r_wb/(1-(1+p_r_wb)^-Sector_Params!$D$11)/p_cpt_afolu</f>
        <v>1.45297822980094</v>
      </c>
      <c r="W452" s="16" t="n">
        <f aca="false">T452*L452</f>
        <v>0</v>
      </c>
      <c r="X452" s="16" t="n">
        <f aca="false">U452*L452</f>
        <v>0.0319496437051008</v>
      </c>
      <c r="Y452" s="16" t="n">
        <f aca="false">V452*L452</f>
        <v>0.359861525220219</v>
      </c>
      <c r="Z452" s="16" t="n">
        <f aca="false">Q452*L452</f>
        <v>0.0214050247792661</v>
      </c>
      <c r="AA452" s="16" t="n">
        <f aca="false">R452*L452</f>
        <v>0.0312305828005384</v>
      </c>
      <c r="AB452" s="16" t="n">
        <f aca="false">S452*L452</f>
        <v>0.017993076261011</v>
      </c>
      <c r="AC452" s="16" t="n">
        <f aca="false">Z452-W452</f>
        <v>0.0214050247792661</v>
      </c>
      <c r="AD452" s="16" t="n">
        <f aca="false">AA452-W452</f>
        <v>0.0312305828005384</v>
      </c>
      <c r="AE452" s="16" t="n">
        <f aca="false">AB452-W452</f>
        <v>0.017993076261011</v>
      </c>
      <c r="AF452" s="16" t="n">
        <f aca="false">AE452-X452</f>
        <v>-0.0139565674440899</v>
      </c>
      <c r="AG452" s="16" t="n">
        <f aca="false">AF452-p_spc_lo*Y452/1000</f>
        <v>-0.0319496437051008</v>
      </c>
      <c r="AH452" s="16" t="n">
        <f aca="false">AF452-p_spc_hi*Y452/1000</f>
        <v>-0.0499427199661118</v>
      </c>
      <c r="AI452" s="16" t="n">
        <f aca="false">Q452*J452</f>
        <v>0.089187603246942</v>
      </c>
      <c r="AJ452" s="16" t="n">
        <f aca="false">S452*J452</f>
        <v>0.0749711510875457</v>
      </c>
      <c r="AK452" s="16" t="n">
        <f aca="false">T452*J452</f>
        <v>0</v>
      </c>
      <c r="AL452" s="16" t="n">
        <f aca="false">U452*J452</f>
        <v>0.13312351543792</v>
      </c>
      <c r="AM452" s="16" t="n">
        <f aca="false">AI452-AJ452</f>
        <v>0.0142164521593963</v>
      </c>
      <c r="AN452" s="16" t="n">
        <f aca="false">J452*Country_Data!$EB$68</f>
        <v>1.18079287542362</v>
      </c>
      <c r="AO452" s="16" t="n">
        <f aca="false">L452*Country_Data!$EB$68</f>
        <v>0.28339029010167</v>
      </c>
    </row>
    <row r="453" customFormat="false" ht="15" hidden="false" customHeight="false" outlineLevel="0" collapsed="false">
      <c r="A453" s="14" t="str">
        <f aca="false">Country_Data!$A$69</f>
        <v>ECU</v>
      </c>
      <c r="B453" s="14" t="str">
        <f aca="false">Country_Data!$E$69</f>
        <v>EMDC</v>
      </c>
      <c r="C453" s="35" t="s">
        <v>466</v>
      </c>
      <c r="D453" s="37" t="n">
        <f aca="false">IF(Country_Data!$BZ$69="","",Country_Data!$BZ$69)</f>
        <v>31.5281557442345</v>
      </c>
      <c r="E453" s="40" t="n">
        <f aca="false">Country_Data!$BW$69</f>
        <v>287.417</v>
      </c>
      <c r="F453" s="41" t="n">
        <f aca="false">Country_Data!$BX$69</f>
        <v>0.430740004940557</v>
      </c>
      <c r="G453" s="42" t="n">
        <f aca="false">IF(D453="","",D453/SUMIFS($D$5:$D$1369,$B$5:$B$1369,B453,$C$5:$C$1369,C453))</f>
        <v>0.00359932158590434</v>
      </c>
      <c r="H453" s="42" t="n">
        <f aca="false">E453/SUMIFS($E$5:$E$1369,$B$5:$B$1369,B453,$C$5:$C$1369,C453)</f>
        <v>0.00356014209502589</v>
      </c>
      <c r="I453" s="43" t="n">
        <f aca="false">IF(G453="",H453,p_beta_alloc*G453+(1-p_beta_alloc)*H453)*F453^p_phi</f>
        <v>0.0023494061377064</v>
      </c>
      <c r="J453" s="16" t="n">
        <f aca="false">INDEX(Sector_Params!$C$16:$E$16,MATCH(B453,Sector_Params!$C$15:$E$15,0))*I453/SUMIFS($I$5:$I$1369,$B$5:$B$1369,B453,$C$5:$C$1369,C453)</f>
        <v>2.27240517897052</v>
      </c>
      <c r="K453" s="28" t="n">
        <f aca="false">INDEX(Sector_Params!$F$5:$H$5,MATCH(B453,Sector_Params!$C$15:$E$15,0))</f>
        <v>0.24</v>
      </c>
      <c r="L453" s="16" t="n">
        <f aca="false">J453*K453</f>
        <v>0.545377242952925</v>
      </c>
      <c r="M453" s="44" t="n">
        <f aca="false">Country_Data!$DW$69+Sector_Params!$E$5</f>
        <v>0.14444</v>
      </c>
      <c r="N453" s="44" t="n">
        <f aca="false">Country_Data!$DX$69+Sector_Params!$E$5</f>
        <v>0.18944</v>
      </c>
      <c r="O453" s="11" t="n">
        <f aca="false">IF(p_use_ibrd=1,p_r_ibrd,p_r_wb)</f>
        <v>0.06</v>
      </c>
      <c r="P453" s="45" t="n">
        <f aca="false">Sector_Params!$D$5</f>
        <v>25</v>
      </c>
      <c r="Q453" s="46" t="n">
        <f aca="false">M453/(1-(1+M453)^-P453)</f>
        <v>0.149568794232519</v>
      </c>
      <c r="R453" s="46" t="n">
        <f aca="false">N453/(1-(1+N453)^-P453)</f>
        <v>0.191949712540027</v>
      </c>
      <c r="S453" s="46" t="n">
        <f aca="false">O453/(1-(1+O453)^-P453)</f>
        <v>0.078226718212274</v>
      </c>
      <c r="T453" s="37" t="n">
        <f aca="false">IF(AND(p_eng=1,ISNUMBER(Country_Data!$CZ$69)),Country_Data!$CZ$69,Country_Data!$CM$69)*Sector_Params!$I$5</f>
        <v>0.0673475417828559</v>
      </c>
      <c r="U453" s="37" t="n">
        <f aca="false">IF(AND(p_eng=1,ISNUMBER(Country_Data!$DA$69)),Country_Data!$DA$69,Country_Data!$CN$69)*Sector_Params!$J$5</f>
        <v>0.0166492348547753</v>
      </c>
      <c r="V453" s="37" t="n">
        <f aca="false">IF(AND(p_eng=1,ISNUMBER(Country_Data!$DB$69)),Country_Data!$DB$69,p_a)</f>
        <v>0.361141780591175</v>
      </c>
      <c r="W453" s="16" t="n">
        <f aca="false">T453*L453</f>
        <v>0.0367298166571909</v>
      </c>
      <c r="X453" s="16" t="n">
        <f aca="false">U453*L453</f>
        <v>0.00908011380237308</v>
      </c>
      <c r="Y453" s="16" t="n">
        <f aca="false">V453*L453</f>
        <v>0.196958508613925</v>
      </c>
      <c r="Z453" s="16" t="n">
        <f aca="false">Q453*L453</f>
        <v>0.0815714166303246</v>
      </c>
      <c r="AA453" s="16" t="n">
        <f aca="false">R453*L453</f>
        <v>0.104685005010687</v>
      </c>
      <c r="AB453" s="16" t="n">
        <f aca="false">S453*L453</f>
        <v>0.0426630719038653</v>
      </c>
      <c r="AC453" s="16" t="n">
        <f aca="false">Z453-W453</f>
        <v>0.0448415999731338</v>
      </c>
      <c r="AD453" s="16" t="n">
        <f aca="false">AA453-W453</f>
        <v>0.0679551883534957</v>
      </c>
      <c r="AE453" s="16" t="n">
        <f aca="false">AB453-W453</f>
        <v>0.00593325524667449</v>
      </c>
      <c r="AF453" s="16" t="n">
        <f aca="false">AE453-X453</f>
        <v>-0.0031468585556986</v>
      </c>
      <c r="AG453" s="16" t="n">
        <f aca="false">AF453-p_spc_lo*Y453/1000</f>
        <v>-0.0129947839863949</v>
      </c>
      <c r="AH453" s="16" t="n">
        <f aca="false">AF453-p_spc_hi*Y453/1000</f>
        <v>-0.0228427094170911</v>
      </c>
      <c r="AI453" s="16" t="n">
        <f aca="false">Q453*J453</f>
        <v>0.339880902626353</v>
      </c>
      <c r="AJ453" s="16" t="n">
        <f aca="false">S453*J453</f>
        <v>0.177762799599439</v>
      </c>
      <c r="AK453" s="16" t="n">
        <f aca="false">T453*J453</f>
        <v>0.153040902738295</v>
      </c>
      <c r="AL453" s="16" t="n">
        <f aca="false">U453*J453</f>
        <v>0.0378338075098878</v>
      </c>
      <c r="AM453" s="16" t="n">
        <f aca="false">AI453-AJ453</f>
        <v>0.162118103026914</v>
      </c>
      <c r="AN453" s="16" t="n">
        <f aca="false">J453*Country_Data!$EB$69</f>
        <v>2.60859663010589</v>
      </c>
      <c r="AO453" s="16" t="n">
        <f aca="false">L453*Country_Data!$EB$69</f>
        <v>0.626063191225413</v>
      </c>
    </row>
    <row r="454" customFormat="false" ht="15" hidden="false" customHeight="false" outlineLevel="0" collapsed="false">
      <c r="A454" s="14" t="str">
        <f aca="false">Country_Data!$A$69</f>
        <v>ECU</v>
      </c>
      <c r="B454" s="14" t="str">
        <f aca="false">Country_Data!$E$69</f>
        <v>EMDC</v>
      </c>
      <c r="C454" s="35" t="s">
        <v>470</v>
      </c>
      <c r="D454" s="37" t="n">
        <f aca="false">IF(Country_Data!$BZ$69="","",Country_Data!$BZ$69)</f>
        <v>31.5281557442345</v>
      </c>
      <c r="E454" s="40" t="n">
        <f aca="false">Country_Data!$BW$69</f>
        <v>287.417</v>
      </c>
      <c r="F454" s="41" t="n">
        <f aca="false">Country_Data!$BX$69</f>
        <v>0.430740004940557</v>
      </c>
      <c r="G454" s="42" t="n">
        <f aca="false">IF(D454="","",D454/SUMIFS($D$5:$D$1369,$B$5:$B$1369,B454,$C$5:$C$1369,C454))</f>
        <v>0.00359932158590434</v>
      </c>
      <c r="H454" s="42" t="n">
        <f aca="false">E454/SUMIFS($E$5:$E$1369,$B$5:$B$1369,B454,$C$5:$C$1369,C454)</f>
        <v>0.00356014209502589</v>
      </c>
      <c r="I454" s="43" t="n">
        <f aca="false">IF(G454="",H454,p_beta_alloc*G454+(1-p_beta_alloc)*H454)*F454^p_phi</f>
        <v>0.0023494061377064</v>
      </c>
      <c r="J454" s="16" t="n">
        <f aca="false">INDEX(Sector_Params!$C$17:$E$17,MATCH(B454,Sector_Params!$C$15:$E$15,0))*I454/SUMIFS($I$5:$I$1369,$B$5:$B$1369,B454,$C$5:$C$1369,C454)</f>
        <v>1.55822069415121</v>
      </c>
      <c r="K454" s="28" t="n">
        <f aca="false">INDEX(Sector_Params!$F$6:$H$6,MATCH(B454,Sector_Params!$C$15:$E$15,0))</f>
        <v>0.24</v>
      </c>
      <c r="L454" s="16" t="n">
        <f aca="false">J454*K454</f>
        <v>0.373972966596292</v>
      </c>
      <c r="M454" s="44" t="n">
        <f aca="false">Country_Data!$DW$69+Sector_Params!$E$6</f>
        <v>0.14444</v>
      </c>
      <c r="N454" s="44" t="n">
        <f aca="false">Country_Data!$DX$69+Sector_Params!$E$6</f>
        <v>0.18944</v>
      </c>
      <c r="O454" s="11" t="n">
        <f aca="false">IF(p_use_ibrd=1,p_r_ibrd,p_r_wb)</f>
        <v>0.06</v>
      </c>
      <c r="P454" s="45" t="n">
        <f aca="false">Sector_Params!$D$6</f>
        <v>40</v>
      </c>
      <c r="Q454" s="46" t="n">
        <f aca="false">M454/(1-(1+M454)^-P454)</f>
        <v>0.145097565437853</v>
      </c>
      <c r="R454" s="46" t="n">
        <f aca="false">N454/(1-(1+N454)^-P454)</f>
        <v>0.189623734672339</v>
      </c>
      <c r="S454" s="46" t="n">
        <f aca="false">O454/(1-(1+O454)^-P454)</f>
        <v>0.0664615359206755</v>
      </c>
      <c r="T454" s="37" t="n">
        <f aca="false">p_grid_credit*IF(AND(p_eng=1,ISNUMBER(Country_Data!$CZ$69)),Country_Data!$CZ$69,Country_Data!$CM$69)*Sector_Params!$I$6</f>
        <v>0</v>
      </c>
      <c r="U454" s="37" t="n">
        <f aca="false">p_grid_credit*IF(AND(p_eng=1,ISNUMBER(Country_Data!$DA$69)),Country_Data!$DA$69,Country_Data!$CN$69)*Sector_Params!$J$6</f>
        <v>0</v>
      </c>
      <c r="V454" s="37" t="n">
        <f aca="false">p_grid_credit*IF(AND(p_eng=1,ISNUMBER(Country_Data!$DB$69)),Country_Data!$DB$69,p_a)</f>
        <v>0</v>
      </c>
      <c r="W454" s="16" t="n">
        <f aca="false">T454*L454</f>
        <v>0</v>
      </c>
      <c r="X454" s="16" t="n">
        <f aca="false">U454*L454</f>
        <v>0</v>
      </c>
      <c r="Y454" s="16" t="n">
        <f aca="false">V454*L454</f>
        <v>0</v>
      </c>
      <c r="Z454" s="16" t="n">
        <f aca="false">Q454*L454</f>
        <v>0.0542625669926935</v>
      </c>
      <c r="AA454" s="16" t="n">
        <f aca="false">R454*L454</f>
        <v>0.0709141505924825</v>
      </c>
      <c r="AB454" s="16" t="n">
        <f aca="false">S454*L454</f>
        <v>0.024854817752801</v>
      </c>
      <c r="AC454" s="16" t="n">
        <f aca="false">Z454-W454</f>
        <v>0.0542625669926935</v>
      </c>
      <c r="AD454" s="16" t="n">
        <f aca="false">AA454-W454</f>
        <v>0.0709141505924825</v>
      </c>
      <c r="AE454" s="16" t="n">
        <f aca="false">AB454-W454</f>
        <v>0.024854817752801</v>
      </c>
      <c r="AF454" s="16" t="n">
        <f aca="false">AE454-X454</f>
        <v>0.024854817752801</v>
      </c>
      <c r="AG454" s="16" t="n">
        <f aca="false">AF454-p_spc_lo*Y454/1000</f>
        <v>0.024854817752801</v>
      </c>
      <c r="AH454" s="16" t="n">
        <f aca="false">AF454-p_spc_hi*Y454/1000</f>
        <v>0.024854817752801</v>
      </c>
      <c r="AI454" s="16" t="n">
        <f aca="false">Q454*J454</f>
        <v>0.226094029136223</v>
      </c>
      <c r="AJ454" s="16" t="n">
        <f aca="false">S454*J454</f>
        <v>0.103561740636671</v>
      </c>
      <c r="AK454" s="16" t="n">
        <f aca="false">T454*J454</f>
        <v>0</v>
      </c>
      <c r="AL454" s="16" t="n">
        <f aca="false">U454*J454</f>
        <v>0</v>
      </c>
      <c r="AM454" s="16" t="n">
        <f aca="false">AI454-AJ454</f>
        <v>0.122532288499552</v>
      </c>
      <c r="AN454" s="16" t="n">
        <f aca="false">J454*Country_Data!$EB$69</f>
        <v>1.78875197492975</v>
      </c>
      <c r="AO454" s="16" t="n">
        <f aca="false">L454*Country_Data!$EB$69</f>
        <v>0.42930047398314</v>
      </c>
    </row>
    <row r="455" customFormat="false" ht="15" hidden="false" customHeight="false" outlineLevel="0" collapsed="false">
      <c r="A455" s="14" t="str">
        <f aca="false">Country_Data!$A$69</f>
        <v>ECU</v>
      </c>
      <c r="B455" s="14" t="str">
        <f aca="false">Country_Data!$E$69</f>
        <v>EMDC</v>
      </c>
      <c r="C455" s="35" t="s">
        <v>473</v>
      </c>
      <c r="D455" s="37" t="n">
        <f aca="false">IF(Country_Data!$CA$69="","",Country_Data!$CA$69)</f>
        <v>0.346143775370166</v>
      </c>
      <c r="E455" s="40" t="n">
        <f aca="false">Country_Data!$BW$69</f>
        <v>287.417</v>
      </c>
      <c r="F455" s="41" t="n">
        <f aca="false">Country_Data!$BX$69</f>
        <v>0.430740004940557</v>
      </c>
      <c r="G455" s="42" t="n">
        <f aca="false">IF(D455="","",D455/SUMIFS($D$5:$D$1369,$B$5:$B$1369,B455,$C$5:$C$1369,C455))</f>
        <v>0.00799672658876104</v>
      </c>
      <c r="H455" s="42" t="n">
        <f aca="false">E455/SUMIFS($E$5:$E$1369,$B$5:$B$1369,B455,$C$5:$C$1369,C455)</f>
        <v>0.00356014209502589</v>
      </c>
      <c r="I455" s="43" t="n">
        <f aca="false">IF(G455="",H455,p_beta_alloc*G455+(1-p_beta_alloc)*H455)*F455^p_phi</f>
        <v>0.00379243186758202</v>
      </c>
      <c r="J455" s="16" t="n">
        <f aca="false">INDEX(Sector_Params!$C$18:$E$18,MATCH(B455,Sector_Params!$C$15:$E$15,0))*I455/SUMIFS($I$5:$I$1369,$B$5:$B$1369,B455,$C$5:$C$1369,C455)</f>
        <v>1.55291111623161</v>
      </c>
      <c r="K455" s="28" t="n">
        <f aca="false">INDEX(Sector_Params!$F$7:$H$7,MATCH(B455,Sector_Params!$C$15:$E$15,0))</f>
        <v>0.24</v>
      </c>
      <c r="L455" s="16" t="n">
        <f aca="false">J455*K455</f>
        <v>0.372698667895586</v>
      </c>
      <c r="M455" s="44" t="n">
        <f aca="false">Country_Data!$DW$69+Sector_Params!$E$7</f>
        <v>0.14444</v>
      </c>
      <c r="N455" s="44" t="n">
        <f aca="false">Country_Data!$DX$69+Sector_Params!$E$7</f>
        <v>0.18944</v>
      </c>
      <c r="O455" s="11" t="n">
        <f aca="false">IF(p_use_ibrd=1,p_r_ibrd,p_r_wb)</f>
        <v>0.06</v>
      </c>
      <c r="P455" s="45" t="n">
        <f aca="false">Sector_Params!$D$7</f>
        <v>12</v>
      </c>
      <c r="Q455" s="46" t="n">
        <f aca="false">M455/(1-(1+M455)^-P455)</f>
        <v>0.180122125764491</v>
      </c>
      <c r="R455" s="46" t="n">
        <f aca="false">N455/(1-(1+N455)^-P455)</f>
        <v>0.216430291240743</v>
      </c>
      <c r="S455" s="46" t="n">
        <f aca="false">O455/(1-(1+O455)^-P455)</f>
        <v>0.119277029380664</v>
      </c>
      <c r="T455" s="37" t="n">
        <f aca="false">IF(AND(p_eng=1,ISNUMBER(Country_Data!$DE$69)),Country_Data!$DE$69,Country_Data!$CM$69)*Sector_Params!$I$7</f>
        <v>0.1259172</v>
      </c>
      <c r="U455" s="37" t="n">
        <f aca="false">IF(AND(p_eng=1,ISNUMBER(Country_Data!$DF$69)),Country_Data!$DF$69,Country_Data!$CN$69)*Sector_Params!$J$7</f>
        <v>0.01737135</v>
      </c>
      <c r="V455" s="37" t="n">
        <f aca="false">IF(AND(p_eng=1,ISNUMBER(Country_Data!$DG$69)),Country_Data!$DG$69,p_a)</f>
        <v>0.448521167213115</v>
      </c>
      <c r="W455" s="16" t="n">
        <f aca="false">T455*L455</f>
        <v>0.0469291727051421</v>
      </c>
      <c r="X455" s="16" t="n">
        <f aca="false">U455*L455</f>
        <v>0.00647427900454799</v>
      </c>
      <c r="Y455" s="16" t="n">
        <f aca="false">V455*L455</f>
        <v>0.167163241543301</v>
      </c>
      <c r="Z455" s="16" t="n">
        <f aca="false">Q455*L455</f>
        <v>0.0671312763309471</v>
      </c>
      <c r="AA455" s="16" t="n">
        <f aca="false">R455*L455</f>
        <v>0.0806632812376788</v>
      </c>
      <c r="AB455" s="16" t="n">
        <f aca="false">S455*L455</f>
        <v>0.044454389960716</v>
      </c>
      <c r="AC455" s="16" t="n">
        <f aca="false">Z455-W455</f>
        <v>0.020202103625805</v>
      </c>
      <c r="AD455" s="16" t="n">
        <f aca="false">AA455-W455</f>
        <v>0.0337341085325367</v>
      </c>
      <c r="AE455" s="16" t="n">
        <f aca="false">AB455-W455</f>
        <v>-0.00247478274442611</v>
      </c>
      <c r="AF455" s="16" t="n">
        <f aca="false">AE455-X455</f>
        <v>-0.00894906174897409</v>
      </c>
      <c r="AG455" s="16" t="n">
        <f aca="false">AF455-p_spc_lo*Y455/1000</f>
        <v>-0.0173072238261392</v>
      </c>
      <c r="AH455" s="16" t="n">
        <f aca="false">AF455-p_spc_hi*Y455/1000</f>
        <v>-0.0256653859033042</v>
      </c>
      <c r="AI455" s="16" t="n">
        <f aca="false">Q455*J455</f>
        <v>0.279713651378946</v>
      </c>
      <c r="AJ455" s="16" t="n">
        <f aca="false">S455*J455</f>
        <v>0.185226624836317</v>
      </c>
      <c r="AK455" s="16" t="n">
        <f aca="false">T455*J455</f>
        <v>0.195538219604759</v>
      </c>
      <c r="AL455" s="16" t="n">
        <f aca="false">U455*J455</f>
        <v>0.0269761625189499</v>
      </c>
      <c r="AM455" s="16" t="n">
        <f aca="false">AI455-AJ455</f>
        <v>0.0944870265426298</v>
      </c>
      <c r="AN455" s="16" t="n">
        <f aca="false">J455*Country_Data!$EB$69</f>
        <v>1.78265687041382</v>
      </c>
      <c r="AO455" s="16" t="n">
        <f aca="false">L455*Country_Data!$EB$69</f>
        <v>0.427837648899317</v>
      </c>
    </row>
    <row r="456" customFormat="false" ht="15" hidden="false" customHeight="false" outlineLevel="0" collapsed="false">
      <c r="A456" s="14" t="str">
        <f aca="false">Country_Data!$A$69</f>
        <v>ECU</v>
      </c>
      <c r="B456" s="14" t="str">
        <f aca="false">Country_Data!$E$69</f>
        <v>EMDC</v>
      </c>
      <c r="C456" s="35" t="s">
        <v>477</v>
      </c>
      <c r="D456" s="37" t="n">
        <f aca="false">IF(Country_Data!$CB$69="","",Country_Data!$CB$69)</f>
        <v>0.101578961315909</v>
      </c>
      <c r="E456" s="40" t="n">
        <f aca="false">Country_Data!$BW$69</f>
        <v>287.417</v>
      </c>
      <c r="F456" s="41" t="n">
        <f aca="false">Country_Data!$BX$69</f>
        <v>0.430740004940557</v>
      </c>
      <c r="G456" s="42" t="n">
        <f aca="false">IF(D456="","",D456/SUMIFS($D$5:$D$1369,$B$5:$B$1369,B456,$C$5:$C$1369,C456))</f>
        <v>0.00320309395825997</v>
      </c>
      <c r="H456" s="42" t="n">
        <f aca="false">E456/SUMIFS($E$5:$E$1369,$B$5:$B$1369,B456,$C$5:$C$1369,C456)</f>
        <v>0.00356014209502589</v>
      </c>
      <c r="I456" s="43" t="n">
        <f aca="false">IF(G456="",H456,p_beta_alloc*G456+(1-p_beta_alloc)*H456)*F456^p_phi</f>
        <v>0.00221938248484591</v>
      </c>
      <c r="J456" s="16" t="n">
        <f aca="false">INDEX(Sector_Params!$C$19:$E$19,MATCH(B456,Sector_Params!$C$15:$E$15,0))*I456/SUMIFS($I$5:$I$1369,$B$5:$B$1369,B456,$C$5:$C$1369,C456)</f>
        <v>0.71433620925569</v>
      </c>
      <c r="K456" s="28" t="n">
        <f aca="false">INDEX(Sector_Params!$F$8:$H$8,MATCH(B456,Sector_Params!$C$15:$E$15,0))</f>
        <v>0.24</v>
      </c>
      <c r="L456" s="16" t="n">
        <f aca="false">J456*K456</f>
        <v>0.171440690221366</v>
      </c>
      <c r="M456" s="44" t="n">
        <f aca="false">Country_Data!$DW$69+Sector_Params!$E$8</f>
        <v>0.14444</v>
      </c>
      <c r="N456" s="44" t="n">
        <f aca="false">Country_Data!$DX$69+Sector_Params!$E$8</f>
        <v>0.18944</v>
      </c>
      <c r="O456" s="11" t="n">
        <f aca="false">IF(p_use_ibrd=1,p_r_ibrd,p_r_wb)</f>
        <v>0.06</v>
      </c>
      <c r="P456" s="45" t="n">
        <f aca="false">Sector_Params!$D$8</f>
        <v>25</v>
      </c>
      <c r="Q456" s="46" t="n">
        <f aca="false">M456/(1-(1+M456)^-P456)</f>
        <v>0.149568794232519</v>
      </c>
      <c r="R456" s="46" t="n">
        <f aca="false">N456/(1-(1+N456)^-P456)</f>
        <v>0.191949712540027</v>
      </c>
      <c r="S456" s="46" t="n">
        <f aca="false">O456/(1-(1+O456)^-P456)</f>
        <v>0.078226718212274</v>
      </c>
      <c r="T456" s="37" t="n">
        <f aca="false">Country_Data!$CM$69*Sector_Params!$I$8</f>
        <v>0.206872189987641</v>
      </c>
      <c r="U456" s="37" t="n">
        <f aca="false">Country_Data!$CN$69*Sector_Params!$J$8</f>
        <v>0.0941166274936364</v>
      </c>
      <c r="V456" s="37" t="n">
        <f aca="false">p_a</f>
        <v>0.35</v>
      </c>
      <c r="W456" s="16" t="n">
        <f aca="false">T456*L456</f>
        <v>0.0354663110390867</v>
      </c>
      <c r="X456" s="16" t="n">
        <f aca="false">U456*L456</f>
        <v>0.0161354195788162</v>
      </c>
      <c r="Y456" s="16" t="n">
        <f aca="false">V456*L456</f>
        <v>0.060004241577478</v>
      </c>
      <c r="Z456" s="16" t="n">
        <f aca="false">Q456*L456</f>
        <v>0.0256421773188005</v>
      </c>
      <c r="AA456" s="16" t="n">
        <f aca="false">R456*L456</f>
        <v>0.032907991205655</v>
      </c>
      <c r="AB456" s="16" t="n">
        <f aca="false">S456*L456</f>
        <v>0.0134112425640645</v>
      </c>
      <c r="AC456" s="16" t="n">
        <f aca="false">Z456-W456</f>
        <v>-0.00982413372028619</v>
      </c>
      <c r="AD456" s="16" t="n">
        <f aca="false">AA456-W456</f>
        <v>-0.00255831983343169</v>
      </c>
      <c r="AE456" s="16" t="n">
        <f aca="false">AB456-W456</f>
        <v>-0.0220550684750222</v>
      </c>
      <c r="AF456" s="16" t="n">
        <f aca="false">AE456-X456</f>
        <v>-0.0381904880538383</v>
      </c>
      <c r="AG456" s="16" t="n">
        <f aca="false">AF456-p_spc_lo*Y456/1000</f>
        <v>-0.0411907001327122</v>
      </c>
      <c r="AH456" s="16" t="n">
        <f aca="false">AF456-p_spc_hi*Y456/1000</f>
        <v>-0.0441909122115861</v>
      </c>
      <c r="AI456" s="16" t="n">
        <f aca="false">Q456*J456</f>
        <v>0.106842405495002</v>
      </c>
      <c r="AJ456" s="16" t="n">
        <f aca="false">S456*J456</f>
        <v>0.0558801773502688</v>
      </c>
      <c r="AK456" s="16" t="n">
        <f aca="false">T456*J456</f>
        <v>0.147776295996194</v>
      </c>
      <c r="AL456" s="16" t="n">
        <f aca="false">U456*J456</f>
        <v>0.0672309149117341</v>
      </c>
      <c r="AM456" s="16" t="n">
        <f aca="false">AI456-AJ456</f>
        <v>0.0509622281447332</v>
      </c>
      <c r="AN456" s="16" t="n">
        <f aca="false">J456*Country_Data!$EB$69</f>
        <v>0.820018826515436</v>
      </c>
      <c r="AO456" s="16" t="n">
        <f aca="false">L456*Country_Data!$EB$69</f>
        <v>0.196804518363705</v>
      </c>
    </row>
    <row r="457" customFormat="false" ht="15" hidden="false" customHeight="false" outlineLevel="0" collapsed="false">
      <c r="A457" s="14" t="str">
        <f aca="false">Country_Data!$A$69</f>
        <v>ECU</v>
      </c>
      <c r="B457" s="14" t="str">
        <f aca="false">Country_Data!$E$69</f>
        <v>EMDC</v>
      </c>
      <c r="C457" s="35" t="s">
        <v>481</v>
      </c>
      <c r="D457" s="37" t="n">
        <f aca="false">IF(Country_Data!$CC$69="","",Country_Data!$CC$69)</f>
        <v>0.167021910989208</v>
      </c>
      <c r="E457" s="40" t="n">
        <f aca="false">Country_Data!$BW$69</f>
        <v>287.417</v>
      </c>
      <c r="F457" s="41" t="n">
        <f aca="false">Country_Data!$BX$69</f>
        <v>0.430740004940557</v>
      </c>
      <c r="G457" s="42" t="n">
        <f aca="false">IF(D457="","",D457/SUMIFS($D$5:$D$1369,$B$5:$B$1369,B457,$C$5:$C$1369,C457))</f>
        <v>0.0023857799446779</v>
      </c>
      <c r="H457" s="42" t="n">
        <f aca="false">E457/SUMIFS($E$5:$E$1369,$B$5:$B$1369,B457,$C$5:$C$1369,C457)</f>
        <v>0.00356014209502589</v>
      </c>
      <c r="I457" s="43" t="n">
        <f aca="false">IF(G457="",H457,p_beta_alloc*G457+(1-p_beta_alloc)*H457)*F457^p_phi</f>
        <v>0.00195117767991649</v>
      </c>
      <c r="J457" s="16" t="n">
        <f aca="false">INDEX(Sector_Params!$C$20:$E$20,MATCH(B457,Sector_Params!$C$15:$E$15,0))*I457/SUMIFS($I$5:$I$1369,$B$5:$B$1369,B457,$C$5:$C$1369,C457)</f>
        <v>0.356129218790159</v>
      </c>
      <c r="K457" s="28" t="n">
        <f aca="false">INDEX(Sector_Params!$F$9:$H$9,MATCH(B457,Sector_Params!$C$15:$E$15,0))</f>
        <v>0.24</v>
      </c>
      <c r="L457" s="16" t="n">
        <f aca="false">J457*K457</f>
        <v>0.0854710125096383</v>
      </c>
      <c r="M457" s="44" t="n">
        <f aca="false">Country_Data!$DW$69+Sector_Params!$E$9</f>
        <v>0.14444</v>
      </c>
      <c r="N457" s="44" t="n">
        <f aca="false">Country_Data!$DX$69+Sector_Params!$E$9</f>
        <v>0.18944</v>
      </c>
      <c r="O457" s="11" t="n">
        <f aca="false">IF(p_use_ibrd=1,p_r_ibrd,p_r_wb)</f>
        <v>0.06</v>
      </c>
      <c r="P457" s="45" t="n">
        <f aca="false">Sector_Params!$D$9</f>
        <v>25</v>
      </c>
      <c r="Q457" s="46" t="n">
        <f aca="false">M457/(1-(1+M457)^-P457)</f>
        <v>0.149568794232519</v>
      </c>
      <c r="R457" s="46" t="n">
        <f aca="false">N457/(1-(1+N457)^-P457)</f>
        <v>0.191949712540027</v>
      </c>
      <c r="S457" s="46" t="n">
        <f aca="false">O457/(1-(1+O457)^-P457)</f>
        <v>0.078226718212274</v>
      </c>
      <c r="T457" s="37" t="n">
        <f aca="false">Country_Data!$CM$69*Sector_Params!$I$9</f>
        <v>0.206872189987641</v>
      </c>
      <c r="U457" s="37" t="n">
        <f aca="false">Country_Data!$CN$69*Sector_Params!$J$9</f>
        <v>0.0941166274936364</v>
      </c>
      <c r="V457" s="37" t="n">
        <f aca="false">p_a</f>
        <v>0.35</v>
      </c>
      <c r="W457" s="16" t="n">
        <f aca="false">T457*L457</f>
        <v>0.0176815755383299</v>
      </c>
      <c r="X457" s="16" t="n">
        <f aca="false">U457*L457</f>
        <v>0.00804424344587356</v>
      </c>
      <c r="Y457" s="16" t="n">
        <f aca="false">V457*L457</f>
        <v>0.0299148543783734</v>
      </c>
      <c r="Z457" s="16" t="n">
        <f aca="false">Q457*L457</f>
        <v>0.0127837962828991</v>
      </c>
      <c r="AA457" s="16" t="n">
        <f aca="false">R457*L457</f>
        <v>0.0164061362817301</v>
      </c>
      <c r="AB457" s="16" t="n">
        <f aca="false">S457*L457</f>
        <v>0.00668611681090921</v>
      </c>
      <c r="AC457" s="16" t="n">
        <f aca="false">Z457-W457</f>
        <v>-0.00489777925543079</v>
      </c>
      <c r="AD457" s="16" t="n">
        <f aca="false">AA457-W457</f>
        <v>-0.0012754392565998</v>
      </c>
      <c r="AE457" s="16" t="n">
        <f aca="false">AB457-W457</f>
        <v>-0.0109954587274207</v>
      </c>
      <c r="AF457" s="16" t="n">
        <f aca="false">AE457-X457</f>
        <v>-0.0190397021732943</v>
      </c>
      <c r="AG457" s="16" t="n">
        <f aca="false">AF457-p_spc_lo*Y457/1000</f>
        <v>-0.020535444892213</v>
      </c>
      <c r="AH457" s="16" t="n">
        <f aca="false">AF457-p_spc_hi*Y457/1000</f>
        <v>-0.0220311876111316</v>
      </c>
      <c r="AI457" s="16" t="n">
        <f aca="false">Q457*J457</f>
        <v>0.0532658178454131</v>
      </c>
      <c r="AJ457" s="16" t="n">
        <f aca="false">S457*J457</f>
        <v>0.0278588200454551</v>
      </c>
      <c r="AK457" s="16" t="n">
        <f aca="false">T457*J457</f>
        <v>0.0736732314097081</v>
      </c>
      <c r="AL457" s="16" t="n">
        <f aca="false">U457*J457</f>
        <v>0.0335176810244732</v>
      </c>
      <c r="AM457" s="16" t="n">
        <f aca="false">AI457-AJ457</f>
        <v>0.0254069977999581</v>
      </c>
      <c r="AN457" s="16" t="n">
        <f aca="false">J457*Country_Data!$EB$69</f>
        <v>0.408816829241306</v>
      </c>
      <c r="AO457" s="16" t="n">
        <f aca="false">L457*Country_Data!$EB$69</f>
        <v>0.0981160390179135</v>
      </c>
    </row>
    <row r="458" customFormat="false" ht="15" hidden="false" customHeight="false" outlineLevel="0" collapsed="false">
      <c r="A458" s="14" t="str">
        <f aca="false">Country_Data!$A$69</f>
        <v>ECU</v>
      </c>
      <c r="B458" s="14" t="str">
        <f aca="false">Country_Data!$E$69</f>
        <v>EMDC</v>
      </c>
      <c r="C458" s="35" t="s">
        <v>484</v>
      </c>
      <c r="D458" s="37" t="n">
        <f aca="false">IF(Country_Data!$CD$69="","",Country_Data!$CD$69)</f>
        <v>0.523199082877645</v>
      </c>
      <c r="E458" s="40" t="n">
        <f aca="false">Country_Data!$BW$69</f>
        <v>287.417</v>
      </c>
      <c r="F458" s="41" t="n">
        <f aca="false">Country_Data!$BX$69</f>
        <v>0.430740004940557</v>
      </c>
      <c r="G458" s="42" t="n">
        <f aca="false">IF(D458="","",D458/SUMIFS($D$5:$D$1369,$B$5:$B$1369,B458,$C$5:$C$1369,C458))</f>
        <v>0.00292173481352661</v>
      </c>
      <c r="H458" s="42" t="n">
        <f aca="false">E458/SUMIFS($E$5:$E$1369,$B$5:$B$1369,B458,$C$5:$C$1369,C458)</f>
        <v>0.00356014209502589</v>
      </c>
      <c r="I458" s="43" t="n">
        <f aca="false">IF(G458="",H458,p_beta_alloc*G458+(1-p_beta_alloc)*H458)*F458^p_phi</f>
        <v>0.00212705337599142</v>
      </c>
      <c r="J458" s="16" t="n">
        <f aca="false">INDEX(Sector_Params!$C$21:$E$21,MATCH(B458,Sector_Params!$C$15:$E$15,0))*I458/SUMIFS($I$5:$I$1369,$B$5:$B$1369,B458,$C$5:$C$1369,C458)</f>
        <v>0.471758798701448</v>
      </c>
      <c r="K458" s="28" t="n">
        <f aca="false">INDEX(Sector_Params!$F$10:$H$10,MATCH(B458,Sector_Params!$C$15:$E$15,0))</f>
        <v>0.24</v>
      </c>
      <c r="L458" s="16" t="n">
        <f aca="false">J458*K458</f>
        <v>0.113222111688348</v>
      </c>
      <c r="M458" s="44" t="n">
        <f aca="false">Country_Data!$DW$69+Sector_Params!$E$10</f>
        <v>0.14444</v>
      </c>
      <c r="N458" s="44" t="n">
        <f aca="false">Country_Data!$DX$69+Sector_Params!$E$10</f>
        <v>0.18944</v>
      </c>
      <c r="O458" s="11" t="n">
        <f aca="false">IF(p_use_ibrd=1,p_r_ibrd,p_r_wb)</f>
        <v>0.06</v>
      </c>
      <c r="P458" s="45" t="n">
        <f aca="false">Sector_Params!$D$10</f>
        <v>20</v>
      </c>
      <c r="Q458" s="46" t="n">
        <f aca="false">M458/(1-(1+M458)^-P458)</f>
        <v>0.154865428261859</v>
      </c>
      <c r="R458" s="46" t="n">
        <f aca="false">N458/(1-(1+N458)^-P458)</f>
        <v>0.19552631501975</v>
      </c>
      <c r="S458" s="46" t="n">
        <f aca="false">O458/(1-(1+O458)^-P458)</f>
        <v>0.0871845569768514</v>
      </c>
      <c r="T458" s="37" t="n">
        <f aca="false">0*Sector_Params!$I$10</f>
        <v>0</v>
      </c>
      <c r="U458" s="37" t="n">
        <f aca="false">0*Sector_Params!$J$10</f>
        <v>0</v>
      </c>
      <c r="V458" s="37" t="n">
        <f aca="false">1000*p_r_wb/(1-(1+p_r_wb)^-Sector_Params!$D$10)/p_cpt_fuel</f>
        <v>0.871845569768514</v>
      </c>
      <c r="W458" s="16" t="n">
        <f aca="false">T458*L458</f>
        <v>0</v>
      </c>
      <c r="X458" s="16" t="n">
        <f aca="false">U458*L458</f>
        <v>0</v>
      </c>
      <c r="Y458" s="16" t="n">
        <f aca="false">V458*L458</f>
        <v>0.0987121964753217</v>
      </c>
      <c r="Z458" s="16" t="n">
        <f aca="false">Q458*L458</f>
        <v>0.0175341908153279</v>
      </c>
      <c r="AA458" s="16" t="n">
        <f aca="false">R458*L458</f>
        <v>0.0221379022771771</v>
      </c>
      <c r="AB458" s="16" t="n">
        <f aca="false">S458*L458</f>
        <v>0.00987121964753217</v>
      </c>
      <c r="AC458" s="16" t="n">
        <f aca="false">Z458-W458</f>
        <v>0.0175341908153279</v>
      </c>
      <c r="AD458" s="16" t="n">
        <f aca="false">AA458-W458</f>
        <v>0.0221379022771771</v>
      </c>
      <c r="AE458" s="16" t="n">
        <f aca="false">AB458-W458</f>
        <v>0.00987121964753217</v>
      </c>
      <c r="AF458" s="16" t="n">
        <f aca="false">AE458-X458</f>
        <v>0.00987121964753217</v>
      </c>
      <c r="AG458" s="16" t="n">
        <f aca="false">AF458-p_spc_lo*Y458/1000</f>
        <v>0.00493560982376608</v>
      </c>
      <c r="AH458" s="16" t="n">
        <f aca="false">AF458-p_spc_hi*Y458/1000</f>
        <v>0</v>
      </c>
      <c r="AI458" s="16" t="n">
        <f aca="false">Q458*J458</f>
        <v>0.0730591283971998</v>
      </c>
      <c r="AJ458" s="16" t="n">
        <f aca="false">S458*J458</f>
        <v>0.0411300818647174</v>
      </c>
      <c r="AK458" s="16" t="n">
        <f aca="false">T458*J458</f>
        <v>0</v>
      </c>
      <c r="AL458" s="16" t="n">
        <f aca="false">U458*J458</f>
        <v>0</v>
      </c>
      <c r="AM458" s="16" t="n">
        <f aca="false">AI458-AJ458</f>
        <v>0.0319290465324824</v>
      </c>
      <c r="AN458" s="16" t="n">
        <f aca="false">J458*Country_Data!$EB$69</f>
        <v>0.541553251112073</v>
      </c>
      <c r="AO458" s="16" t="n">
        <f aca="false">L458*Country_Data!$EB$69</f>
        <v>0.129972780266898</v>
      </c>
    </row>
    <row r="459" customFormat="false" ht="15" hidden="false" customHeight="false" outlineLevel="0" collapsed="false">
      <c r="A459" s="14" t="str">
        <f aca="false">Country_Data!$A$69</f>
        <v>ECU</v>
      </c>
      <c r="B459" s="14" t="str">
        <f aca="false">Country_Data!$E$69</f>
        <v>EMDC</v>
      </c>
      <c r="C459" s="35" t="s">
        <v>488</v>
      </c>
      <c r="D459" s="37" t="n">
        <f aca="false">IF(Country_Data!$CE$69="","",Country_Data!$CE$69)</f>
        <v>56.258</v>
      </c>
      <c r="E459" s="40" t="n">
        <f aca="false">Country_Data!$BW$69</f>
        <v>287.417</v>
      </c>
      <c r="F459" s="41" t="n">
        <f aca="false">Country_Data!$BX$69</f>
        <v>0.430740004940557</v>
      </c>
      <c r="G459" s="42" t="n">
        <f aca="false">IF(D459="","",D459/SUMIFS($D$5:$D$1369,$B$5:$B$1369,B459,$C$5:$C$1369,C459))</f>
        <v>0.0046097585157787</v>
      </c>
      <c r="H459" s="42" t="n">
        <f aca="false">E459/SUMIFS($E$5:$E$1369,$B$5:$B$1369,B459,$C$5:$C$1369,C459)</f>
        <v>0.00356014209502589</v>
      </c>
      <c r="I459" s="43" t="n">
        <f aca="false">IF(G459="",H459,p_beta_alloc*G459+(1-p_beta_alloc)*H459)*F459^p_phi</f>
        <v>0.0026809849864315</v>
      </c>
      <c r="J459" s="16" t="n">
        <f aca="false">INDEX(Sector_Params!$C$22:$E$22,MATCH(B459,Sector_Params!$C$15:$E$15,0))*I459/SUMIFS($I$5:$I$1369,$B$5:$B$1369,B459,$C$5:$C$1369,C459)</f>
        <v>1.61612023850984</v>
      </c>
      <c r="K459" s="28" t="n">
        <f aca="false">INDEX(Sector_Params!$F$11:$H$11,MATCH(B459,Sector_Params!$C$15:$E$15,0))</f>
        <v>0.24</v>
      </c>
      <c r="L459" s="16" t="n">
        <f aca="false">J459*K459</f>
        <v>0.387868857242361</v>
      </c>
      <c r="M459" s="44" t="n">
        <f aca="false">Country_Data!$DW$69+Sector_Params!$E$11</f>
        <v>0.14444</v>
      </c>
      <c r="N459" s="44" t="n">
        <f aca="false">Country_Data!$DX$69+Sector_Params!$E$11</f>
        <v>0.18944</v>
      </c>
      <c r="O459" s="11" t="n">
        <f aca="false">IF(p_use_ibrd=1,p_r_ibrd,p_r_wb)</f>
        <v>0.06</v>
      </c>
      <c r="P459" s="45" t="n">
        <f aca="false">Sector_Params!$D$11</f>
        <v>30</v>
      </c>
      <c r="Q459" s="46" t="n">
        <f aca="false">M459/(1-(1+M459)^-P459)</f>
        <v>0.147007729734524</v>
      </c>
      <c r="R459" s="46" t="n">
        <f aca="false">N459/(1-(1+N459)^-P459)</f>
        <v>0.190486133680431</v>
      </c>
      <c r="S459" s="46" t="n">
        <f aca="false">O459/(1-(1+O459)^-P459)</f>
        <v>0.0726489114900472</v>
      </c>
      <c r="T459" s="37" t="n">
        <f aca="false">0*Sector_Params!$I$11</f>
        <v>0</v>
      </c>
      <c r="U459" s="37" t="n">
        <f aca="false">p_c*Sector_Params!$J$11</f>
        <v>0.129</v>
      </c>
      <c r="V459" s="37" t="n">
        <f aca="false">1000*p_r_wb/(1-(1+p_r_wb)^-Sector_Params!$D$11)/p_cpt_afolu</f>
        <v>1.45297822980094</v>
      </c>
      <c r="W459" s="16" t="n">
        <f aca="false">T459*L459</f>
        <v>0</v>
      </c>
      <c r="X459" s="16" t="n">
        <f aca="false">U459*L459</f>
        <v>0.0500350825842646</v>
      </c>
      <c r="Y459" s="16" t="n">
        <f aca="false">V459*L459</f>
        <v>0.563565005590921</v>
      </c>
      <c r="Z459" s="16" t="n">
        <f aca="false">Q459*L459</f>
        <v>0.0570197201379236</v>
      </c>
      <c r="AA459" s="16" t="n">
        <f aca="false">R459*L459</f>
        <v>0.0738836389911443</v>
      </c>
      <c r="AB459" s="16" t="n">
        <f aca="false">S459*L459</f>
        <v>0.028178250279546</v>
      </c>
      <c r="AC459" s="16" t="n">
        <f aca="false">Z459-W459</f>
        <v>0.0570197201379236</v>
      </c>
      <c r="AD459" s="16" t="n">
        <f aca="false">AA459-W459</f>
        <v>0.0738836389911443</v>
      </c>
      <c r="AE459" s="16" t="n">
        <f aca="false">AB459-W459</f>
        <v>0.028178250279546</v>
      </c>
      <c r="AF459" s="16" t="n">
        <f aca="false">AE459-X459</f>
        <v>-0.0218568323047185</v>
      </c>
      <c r="AG459" s="16" t="n">
        <f aca="false">AF459-p_spc_lo*Y459/1000</f>
        <v>-0.0500350825842646</v>
      </c>
      <c r="AH459" s="16" t="n">
        <f aca="false">AF459-p_spc_hi*Y459/1000</f>
        <v>-0.0782133328638106</v>
      </c>
      <c r="AI459" s="16" t="n">
        <f aca="false">Q459*J459</f>
        <v>0.237582167241349</v>
      </c>
      <c r="AJ459" s="16" t="n">
        <f aca="false">S459*J459</f>
        <v>0.117409376164775</v>
      </c>
      <c r="AK459" s="16" t="n">
        <f aca="false">T459*J459</f>
        <v>0</v>
      </c>
      <c r="AL459" s="16" t="n">
        <f aca="false">U459*J459</f>
        <v>0.208479510767769</v>
      </c>
      <c r="AM459" s="16" t="n">
        <f aca="false">AI459-AJ459</f>
        <v>0.120172791076573</v>
      </c>
      <c r="AN459" s="16" t="n">
        <f aca="false">J459*Country_Data!$EB$69</f>
        <v>1.85521747927568</v>
      </c>
      <c r="AO459" s="16" t="n">
        <f aca="false">L459*Country_Data!$EB$69</f>
        <v>0.445252195026162</v>
      </c>
    </row>
    <row r="460" customFormat="false" ht="15" hidden="false" customHeight="false" outlineLevel="0" collapsed="false">
      <c r="A460" s="14" t="str">
        <f aca="false">Country_Data!$A$70</f>
        <v>UZB</v>
      </c>
      <c r="B460" s="14" t="str">
        <f aca="false">Country_Data!$E$70</f>
        <v>EMDC</v>
      </c>
      <c r="C460" s="35" t="s">
        <v>466</v>
      </c>
      <c r="D460" s="37" t="n">
        <f aca="false">IF(Country_Data!$BZ$70="","",Country_Data!$BZ$70)</f>
        <v>72.1128010055497</v>
      </c>
      <c r="E460" s="40" t="n">
        <f aca="false">Country_Data!$BW$70</f>
        <v>455.193</v>
      </c>
      <c r="F460" s="41" t="n">
        <f aca="false">Country_Data!$BX$70</f>
        <v>0.266594609319563</v>
      </c>
      <c r="G460" s="42" t="n">
        <f aca="false">IF(D460="","",D460/SUMIFS($D$5:$D$1369,$B$5:$B$1369,B460,$C$5:$C$1369,C460))</f>
        <v>0.00823255135457023</v>
      </c>
      <c r="H460" s="42" t="n">
        <f aca="false">E460/SUMIFS($E$5:$E$1369,$B$5:$B$1369,B460,$C$5:$C$1369,C460)</f>
        <v>0.00563832953743558</v>
      </c>
      <c r="I460" s="43" t="n">
        <f aca="false">IF(G460="",H460,p_beta_alloc*G460+(1-p_beta_alloc)*H460)*F460^p_phi</f>
        <v>0.00358096213312451</v>
      </c>
      <c r="J460" s="16" t="n">
        <f aca="false">INDEX(Sector_Params!$C$16:$E$16,MATCH(B460,Sector_Params!$C$15:$E$15,0))*I460/SUMIFS($I$5:$I$1369,$B$5:$B$1369,B460,$C$5:$C$1369,C460)</f>
        <v>3.46359736037532</v>
      </c>
      <c r="K460" s="28" t="n">
        <f aca="false">INDEX(Sector_Params!$F$5:$H$5,MATCH(B460,Sector_Params!$C$15:$E$15,0))</f>
        <v>0.24</v>
      </c>
      <c r="L460" s="16" t="n">
        <f aca="false">J460*K460</f>
        <v>0.831263366490078</v>
      </c>
      <c r="M460" s="44" t="n">
        <f aca="false">Country_Data!$DW$70+Sector_Params!$E$5</f>
        <v>0.105</v>
      </c>
      <c r="N460" s="44" t="n">
        <f aca="false">Country_Data!$DX$70+Sector_Params!$E$5</f>
        <v>0.15</v>
      </c>
      <c r="O460" s="11" t="n">
        <f aca="false">IF(p_use_ibrd=1,p_r_ibrd,p_r_wb)</f>
        <v>0.06</v>
      </c>
      <c r="P460" s="45" t="n">
        <f aca="false">Sector_Params!$D$5</f>
        <v>25</v>
      </c>
      <c r="Q460" s="46" t="n">
        <f aca="false">M460/(1-(1+M460)^-P460)</f>
        <v>0.114429319813103</v>
      </c>
      <c r="R460" s="46" t="n">
        <f aca="false">N460/(1-(1+N460)^-P460)</f>
        <v>0.154699402320206</v>
      </c>
      <c r="S460" s="46" t="n">
        <f aca="false">O460/(1-(1+O460)^-P460)</f>
        <v>0.078226718212274</v>
      </c>
      <c r="T460" s="37" t="n">
        <f aca="false">IF(AND(p_eng=1,ISNUMBER(Country_Data!$CZ$70)),Country_Data!$CZ$70,Country_Data!$CM$70)*Sector_Params!$I$5</f>
        <v>0.1917142748487</v>
      </c>
      <c r="U460" s="37" t="n">
        <f aca="false">IF(AND(p_eng=1,ISNUMBER(Country_Data!$DA$70)),Country_Data!$DA$70,Country_Data!$CN$70)*Sector_Params!$J$5</f>
        <v>0.0163137267822805</v>
      </c>
      <c r="V460" s="37" t="n">
        <f aca="false">IF(AND(p_eng=1,ISNUMBER(Country_Data!$DB$70)),Country_Data!$DB$70,p_a)</f>
        <v>0.875717938083635</v>
      </c>
      <c r="W460" s="16" t="n">
        <f aca="false">T460*L460</f>
        <v>0.159365053514935</v>
      </c>
      <c r="X460" s="16" t="n">
        <f aca="false">U460*L460</f>
        <v>0.0135610034450379</v>
      </c>
      <c r="Y460" s="16" t="n">
        <f aca="false">V460*L460</f>
        <v>0.727952241307152</v>
      </c>
      <c r="Z460" s="16" t="n">
        <f aca="false">Q460*L460</f>
        <v>0.09512090161301</v>
      </c>
      <c r="AA460" s="16" t="n">
        <f aca="false">R460*L460</f>
        <v>0.128595945966698</v>
      </c>
      <c r="AB460" s="16" t="n">
        <f aca="false">S460*L460</f>
        <v>0.0650270051306055</v>
      </c>
      <c r="AC460" s="16" t="n">
        <f aca="false">Z460-W460</f>
        <v>-0.0642441519019248</v>
      </c>
      <c r="AD460" s="16" t="n">
        <f aca="false">AA460-W460</f>
        <v>-0.030769107548237</v>
      </c>
      <c r="AE460" s="16" t="n">
        <f aca="false">AB460-W460</f>
        <v>-0.0943380483843293</v>
      </c>
      <c r="AF460" s="16" t="n">
        <f aca="false">AE460-X460</f>
        <v>-0.107899051829367</v>
      </c>
      <c r="AG460" s="16" t="n">
        <f aca="false">AF460-p_spc_lo*Y460/1000</f>
        <v>-0.144296663894725</v>
      </c>
      <c r="AH460" s="16" t="n">
        <f aca="false">AF460-p_spc_hi*Y460/1000</f>
        <v>-0.180694275960082</v>
      </c>
      <c r="AI460" s="16" t="n">
        <f aca="false">Q460*J460</f>
        <v>0.396337090054208</v>
      </c>
      <c r="AJ460" s="16" t="n">
        <f aca="false">S460*J460</f>
        <v>0.270945854710856</v>
      </c>
      <c r="AK460" s="16" t="n">
        <f aca="false">T460*J460</f>
        <v>0.664021056312228</v>
      </c>
      <c r="AL460" s="16" t="n">
        <f aca="false">U460*J460</f>
        <v>0.0565041810209911</v>
      </c>
      <c r="AM460" s="16" t="n">
        <f aca="false">AI460-AJ460</f>
        <v>0.125391235343352</v>
      </c>
      <c r="AN460" s="16" t="n">
        <f aca="false">J460*Country_Data!$EB$70</f>
        <v>3.85436219077664</v>
      </c>
      <c r="AO460" s="16" t="n">
        <f aca="false">L460*Country_Data!$EB$70</f>
        <v>0.925046925786394</v>
      </c>
    </row>
    <row r="461" customFormat="false" ht="15" hidden="false" customHeight="false" outlineLevel="0" collapsed="false">
      <c r="A461" s="14" t="str">
        <f aca="false">Country_Data!$A$70</f>
        <v>UZB</v>
      </c>
      <c r="B461" s="14" t="str">
        <f aca="false">Country_Data!$E$70</f>
        <v>EMDC</v>
      </c>
      <c r="C461" s="35" t="s">
        <v>470</v>
      </c>
      <c r="D461" s="37" t="n">
        <f aca="false">IF(Country_Data!$BZ$70="","",Country_Data!$BZ$70)</f>
        <v>72.1128010055497</v>
      </c>
      <c r="E461" s="40" t="n">
        <f aca="false">Country_Data!$BW$70</f>
        <v>455.193</v>
      </c>
      <c r="F461" s="41" t="n">
        <f aca="false">Country_Data!$BX$70</f>
        <v>0.266594609319563</v>
      </c>
      <c r="G461" s="42" t="n">
        <f aca="false">IF(D461="","",D461/SUMIFS($D$5:$D$1369,$B$5:$B$1369,B461,$C$5:$C$1369,C461))</f>
        <v>0.00823255135457023</v>
      </c>
      <c r="H461" s="42" t="n">
        <f aca="false">E461/SUMIFS($E$5:$E$1369,$B$5:$B$1369,B461,$C$5:$C$1369,C461)</f>
        <v>0.00563832953743558</v>
      </c>
      <c r="I461" s="43" t="n">
        <f aca="false">IF(G461="",H461,p_beta_alloc*G461+(1-p_beta_alloc)*H461)*F461^p_phi</f>
        <v>0.00358096213312451</v>
      </c>
      <c r="J461" s="16" t="n">
        <f aca="false">INDEX(Sector_Params!$C$17:$E$17,MATCH(B461,Sector_Params!$C$15:$E$15,0))*I461/SUMIFS($I$5:$I$1369,$B$5:$B$1369,B461,$C$5:$C$1369,C461)</f>
        <v>2.37503818997165</v>
      </c>
      <c r="K461" s="28" t="n">
        <f aca="false">INDEX(Sector_Params!$F$6:$H$6,MATCH(B461,Sector_Params!$C$15:$E$15,0))</f>
        <v>0.24</v>
      </c>
      <c r="L461" s="16" t="n">
        <f aca="false">J461*K461</f>
        <v>0.570009165593196</v>
      </c>
      <c r="M461" s="44" t="n">
        <f aca="false">Country_Data!$DW$70+Sector_Params!$E$6</f>
        <v>0.105</v>
      </c>
      <c r="N461" s="44" t="n">
        <f aca="false">Country_Data!$DX$70+Sector_Params!$E$6</f>
        <v>0.15</v>
      </c>
      <c r="O461" s="11" t="n">
        <f aca="false">IF(p_use_ibrd=1,p_r_ibrd,p_r_wb)</f>
        <v>0.06</v>
      </c>
      <c r="P461" s="45" t="n">
        <f aca="false">Sector_Params!$D$6</f>
        <v>40</v>
      </c>
      <c r="Q461" s="46" t="n">
        <f aca="false">M461/(1-(1+M461)^-P461)</f>
        <v>0.10697140835497</v>
      </c>
      <c r="R461" s="46" t="n">
        <f aca="false">N461/(1-(1+N461)^-P461)</f>
        <v>0.150562085013545</v>
      </c>
      <c r="S461" s="46" t="n">
        <f aca="false">O461/(1-(1+O461)^-P461)</f>
        <v>0.0664615359206755</v>
      </c>
      <c r="T461" s="37" t="n">
        <f aca="false">p_grid_credit*IF(AND(p_eng=1,ISNUMBER(Country_Data!$CZ$70)),Country_Data!$CZ$70,Country_Data!$CM$70)*Sector_Params!$I$6</f>
        <v>0</v>
      </c>
      <c r="U461" s="37" t="n">
        <f aca="false">p_grid_credit*IF(AND(p_eng=1,ISNUMBER(Country_Data!$DA$70)),Country_Data!$DA$70,Country_Data!$CN$70)*Sector_Params!$J$6</f>
        <v>0</v>
      </c>
      <c r="V461" s="37" t="n">
        <f aca="false">p_grid_credit*IF(AND(p_eng=1,ISNUMBER(Country_Data!$DB$70)),Country_Data!$DB$70,p_a)</f>
        <v>0</v>
      </c>
      <c r="W461" s="16" t="n">
        <f aca="false">T461*L461</f>
        <v>0</v>
      </c>
      <c r="X461" s="16" t="n">
        <f aca="false">U461*L461</f>
        <v>0</v>
      </c>
      <c r="Y461" s="16" t="n">
        <f aca="false">V461*L461</f>
        <v>0</v>
      </c>
      <c r="Z461" s="16" t="n">
        <f aca="false">Q461*L461</f>
        <v>0.0609746832187457</v>
      </c>
      <c r="AA461" s="16" t="n">
        <f aca="false">R461*L461</f>
        <v>0.0858217684485426</v>
      </c>
      <c r="AB461" s="16" t="n">
        <f aca="false">S461*L461</f>
        <v>0.0378836846341865</v>
      </c>
      <c r="AC461" s="16" t="n">
        <f aca="false">Z461-W461</f>
        <v>0.0609746832187457</v>
      </c>
      <c r="AD461" s="16" t="n">
        <f aca="false">AA461-W461</f>
        <v>0.0858217684485426</v>
      </c>
      <c r="AE461" s="16" t="n">
        <f aca="false">AB461-W461</f>
        <v>0.0378836846341865</v>
      </c>
      <c r="AF461" s="16" t="n">
        <f aca="false">AE461-X461</f>
        <v>0.0378836846341865</v>
      </c>
      <c r="AG461" s="16" t="n">
        <f aca="false">AF461-p_spc_lo*Y461/1000</f>
        <v>0.0378836846341865</v>
      </c>
      <c r="AH461" s="16" t="n">
        <f aca="false">AF461-p_spc_hi*Y461/1000</f>
        <v>0.0378836846341865</v>
      </c>
      <c r="AI461" s="16" t="n">
        <f aca="false">Q461*J461</f>
        <v>0.254061180078107</v>
      </c>
      <c r="AJ461" s="16" t="n">
        <f aca="false">S461*J461</f>
        <v>0.157848685975777</v>
      </c>
      <c r="AK461" s="16" t="n">
        <f aca="false">T461*J461</f>
        <v>0</v>
      </c>
      <c r="AL461" s="16" t="n">
        <f aca="false">U461*J461</f>
        <v>0</v>
      </c>
      <c r="AM461" s="16" t="n">
        <f aca="false">AI461-AJ461</f>
        <v>0.0962124941023302</v>
      </c>
      <c r="AN461" s="16" t="n">
        <f aca="false">J461*Country_Data!$EB$70</f>
        <v>2.64299121653256</v>
      </c>
      <c r="AO461" s="16" t="n">
        <f aca="false">L461*Country_Data!$EB$70</f>
        <v>0.634317891967813</v>
      </c>
    </row>
    <row r="462" customFormat="false" ht="15" hidden="false" customHeight="false" outlineLevel="0" collapsed="false">
      <c r="A462" s="14" t="str">
        <f aca="false">Country_Data!$A$70</f>
        <v>UZB</v>
      </c>
      <c r="B462" s="14" t="str">
        <f aca="false">Country_Data!$E$70</f>
        <v>EMDC</v>
      </c>
      <c r="C462" s="35" t="s">
        <v>473</v>
      </c>
      <c r="D462" s="37" t="n">
        <f aca="false">IF(Country_Data!$CA$70="","",Country_Data!$CA$70)</f>
        <v>0.115933628404919</v>
      </c>
      <c r="E462" s="40" t="n">
        <f aca="false">Country_Data!$BW$70</f>
        <v>455.193</v>
      </c>
      <c r="F462" s="41" t="n">
        <f aca="false">Country_Data!$BX$70</f>
        <v>0.266594609319563</v>
      </c>
      <c r="G462" s="42" t="n">
        <f aca="false">IF(D462="","",D462/SUMIFS($D$5:$D$1369,$B$5:$B$1369,B462,$C$5:$C$1369,C462))</f>
        <v>0.00267833656059749</v>
      </c>
      <c r="H462" s="42" t="n">
        <f aca="false">E462/SUMIFS($E$5:$E$1369,$B$5:$B$1369,B462,$C$5:$C$1369,C462)</f>
        <v>0.00563832953743558</v>
      </c>
      <c r="I462" s="43" t="n">
        <f aca="false">IF(G462="",H462,p_beta_alloc*G462+(1-p_beta_alloc)*H462)*F462^p_phi</f>
        <v>0.00214706380962876</v>
      </c>
      <c r="J462" s="16" t="n">
        <f aca="false">INDEX(Sector_Params!$C$18:$E$18,MATCH(B462,Sector_Params!$C$15:$E$15,0))*I462/SUMIFS($I$5:$I$1369,$B$5:$B$1369,B462,$C$5:$C$1369,C462)</f>
        <v>0.879171827906011</v>
      </c>
      <c r="K462" s="28" t="n">
        <f aca="false">INDEX(Sector_Params!$F$7:$H$7,MATCH(B462,Sector_Params!$C$15:$E$15,0))</f>
        <v>0.24</v>
      </c>
      <c r="L462" s="16" t="n">
        <f aca="false">J462*K462</f>
        <v>0.211001238697443</v>
      </c>
      <c r="M462" s="44" t="n">
        <f aca="false">Country_Data!$DW$70+Sector_Params!$E$7</f>
        <v>0.105</v>
      </c>
      <c r="N462" s="44" t="n">
        <f aca="false">Country_Data!$DX$70+Sector_Params!$E$7</f>
        <v>0.15</v>
      </c>
      <c r="O462" s="11" t="n">
        <f aca="false">IF(p_use_ibrd=1,p_r_ibrd,p_r_wb)</f>
        <v>0.06</v>
      </c>
      <c r="P462" s="45" t="n">
        <f aca="false">Sector_Params!$D$7</f>
        <v>12</v>
      </c>
      <c r="Q462" s="46" t="n">
        <f aca="false">M462/(1-(1+M462)^-P462)</f>
        <v>0.150376745634766</v>
      </c>
      <c r="R462" s="46" t="n">
        <f aca="false">N462/(1-(1+N462)^-P462)</f>
        <v>0.18448077613084</v>
      </c>
      <c r="S462" s="46" t="n">
        <f aca="false">O462/(1-(1+O462)^-P462)</f>
        <v>0.119277029380664</v>
      </c>
      <c r="T462" s="37" t="n">
        <f aca="false">IF(AND(p_eng=1,ISNUMBER(Country_Data!$DE$70)),Country_Data!$DE$70,Country_Data!$CM$70)*Sector_Params!$I$7</f>
        <v>0.1804788</v>
      </c>
      <c r="U462" s="37" t="n">
        <f aca="false">IF(AND(p_eng=1,ISNUMBER(Country_Data!$DF$70)),Country_Data!$DF$70,Country_Data!$CN$70)*Sector_Params!$J$7</f>
        <v>0.04603725</v>
      </c>
      <c r="V462" s="37" t="n">
        <f aca="false">IF(AND(p_eng=1,ISNUMBER(Country_Data!$DG$70)),Country_Data!$DG$70,p_a)</f>
        <v>0.32777528200692</v>
      </c>
      <c r="W462" s="16" t="n">
        <f aca="false">T462*L462</f>
        <v>0.038081250358628</v>
      </c>
      <c r="X462" s="16" t="n">
        <f aca="false">U462*L462</f>
        <v>0.00971391677622384</v>
      </c>
      <c r="Y462" s="16" t="n">
        <f aca="false">V462*L462</f>
        <v>0.0691609905178638</v>
      </c>
      <c r="Z462" s="16" t="n">
        <f aca="false">Q462*L462</f>
        <v>0.0317296796002258</v>
      </c>
      <c r="AA462" s="16" t="n">
        <f aca="false">R462*L462</f>
        <v>0.0389256722794727</v>
      </c>
      <c r="AB462" s="16" t="n">
        <f aca="false">S462*L462</f>
        <v>0.0251676009474713</v>
      </c>
      <c r="AC462" s="16" t="n">
        <f aca="false">Z462-W462</f>
        <v>-0.00635157075840219</v>
      </c>
      <c r="AD462" s="16" t="n">
        <f aca="false">AA462-W462</f>
        <v>0.000844421920844746</v>
      </c>
      <c r="AE462" s="16" t="n">
        <f aca="false">AB462-W462</f>
        <v>-0.0129136494111567</v>
      </c>
      <c r="AF462" s="16" t="n">
        <f aca="false">AE462-X462</f>
        <v>-0.0226275661873806</v>
      </c>
      <c r="AG462" s="16" t="n">
        <f aca="false">AF462-p_spc_lo*Y462/1000</f>
        <v>-0.0260856157132738</v>
      </c>
      <c r="AH462" s="16" t="n">
        <f aca="false">AF462-p_spc_hi*Y462/1000</f>
        <v>-0.029543665239167</v>
      </c>
      <c r="AI462" s="16" t="n">
        <f aca="false">Q462*J462</f>
        <v>0.132206998334274</v>
      </c>
      <c r="AJ462" s="16" t="n">
        <f aca="false">S462*J462</f>
        <v>0.104865003947797</v>
      </c>
      <c r="AK462" s="16" t="n">
        <f aca="false">T462*J462</f>
        <v>0.158671876494283</v>
      </c>
      <c r="AL462" s="16" t="n">
        <f aca="false">U462*J462</f>
        <v>0.040474653234266</v>
      </c>
      <c r="AM462" s="16" t="n">
        <f aca="false">AI462-AJ462</f>
        <v>0.0273419943864773</v>
      </c>
      <c r="AN462" s="16" t="n">
        <f aca="false">J462*Country_Data!$EB$70</f>
        <v>0.978360444387715</v>
      </c>
      <c r="AO462" s="16" t="n">
        <f aca="false">L462*Country_Data!$EB$70</f>
        <v>0.234806506653052</v>
      </c>
    </row>
    <row r="463" customFormat="false" ht="15" hidden="false" customHeight="false" outlineLevel="0" collapsed="false">
      <c r="A463" s="14" t="str">
        <f aca="false">Country_Data!$A$70</f>
        <v>UZB</v>
      </c>
      <c r="B463" s="14" t="str">
        <f aca="false">Country_Data!$E$70</f>
        <v>EMDC</v>
      </c>
      <c r="C463" s="35" t="s">
        <v>477</v>
      </c>
      <c r="D463" s="37" t="n">
        <f aca="false">IF(Country_Data!$CB$70="","",Country_Data!$CB$70)</f>
        <v>0.690451768707564</v>
      </c>
      <c r="E463" s="40" t="n">
        <f aca="false">Country_Data!$BW$70</f>
        <v>455.193</v>
      </c>
      <c r="F463" s="41" t="n">
        <f aca="false">Country_Data!$BX$70</f>
        <v>0.266594609319563</v>
      </c>
      <c r="G463" s="42" t="n">
        <f aca="false">IF(D463="","",D463/SUMIFS($D$5:$D$1369,$B$5:$B$1369,B463,$C$5:$C$1369,C463))</f>
        <v>0.0217720466932037</v>
      </c>
      <c r="H463" s="42" t="n">
        <f aca="false">E463/SUMIFS($E$5:$E$1369,$B$5:$B$1369,B463,$C$5:$C$1369,C463)</f>
        <v>0.00563832953743558</v>
      </c>
      <c r="I463" s="43" t="n">
        <f aca="false">IF(G463="",H463,p_beta_alloc*G463+(1-p_beta_alloc)*H463)*F463^p_phi</f>
        <v>0.00707637244532793</v>
      </c>
      <c r="J463" s="16" t="n">
        <f aca="false">INDEX(Sector_Params!$C$19:$E$19,MATCH(B463,Sector_Params!$C$15:$E$15,0))*I463/SUMIFS($I$5:$I$1369,$B$5:$B$1369,B463,$C$5:$C$1369,C463)</f>
        <v>2.27761960923465</v>
      </c>
      <c r="K463" s="28" t="n">
        <f aca="false">INDEX(Sector_Params!$F$8:$H$8,MATCH(B463,Sector_Params!$C$15:$E$15,0))</f>
        <v>0.24</v>
      </c>
      <c r="L463" s="16" t="n">
        <f aca="false">J463*K463</f>
        <v>0.546628706216315</v>
      </c>
      <c r="M463" s="44" t="n">
        <f aca="false">Country_Data!$DW$70+Sector_Params!$E$8</f>
        <v>0.105</v>
      </c>
      <c r="N463" s="44" t="n">
        <f aca="false">Country_Data!$DX$70+Sector_Params!$E$8</f>
        <v>0.15</v>
      </c>
      <c r="O463" s="11" t="n">
        <f aca="false">IF(p_use_ibrd=1,p_r_ibrd,p_r_wb)</f>
        <v>0.06</v>
      </c>
      <c r="P463" s="45" t="n">
        <f aca="false">Sector_Params!$D$8</f>
        <v>25</v>
      </c>
      <c r="Q463" s="46" t="n">
        <f aca="false">M463/(1-(1+M463)^-P463)</f>
        <v>0.114429319813103</v>
      </c>
      <c r="R463" s="46" t="n">
        <f aca="false">N463/(1-(1+N463)^-P463)</f>
        <v>0.154699402320206</v>
      </c>
      <c r="S463" s="46" t="n">
        <f aca="false">O463/(1-(1+O463)^-P463)</f>
        <v>0.078226718212274</v>
      </c>
      <c r="T463" s="37" t="n">
        <f aca="false">Country_Data!$CM$70*Sector_Params!$I$8</f>
        <v>0.15396911641514</v>
      </c>
      <c r="U463" s="37" t="n">
        <f aca="false">Country_Data!$CN$70*Sector_Params!$J$8</f>
        <v>0.145783773044543</v>
      </c>
      <c r="V463" s="37" t="n">
        <f aca="false">p_a</f>
        <v>0.35</v>
      </c>
      <c r="W463" s="16" t="n">
        <f aca="false">T463*L463</f>
        <v>0.0841639389032773</v>
      </c>
      <c r="X463" s="16" t="n">
        <f aca="false">U463*L463</f>
        <v>0.0796895952466717</v>
      </c>
      <c r="Y463" s="16" t="n">
        <f aca="false">V463*L463</f>
        <v>0.19132004717571</v>
      </c>
      <c r="Z463" s="16" t="n">
        <f aca="false">Q463*L463</f>
        <v>0.0625503510426497</v>
      </c>
      <c r="AA463" s="16" t="n">
        <f aca="false">R463*L463</f>
        <v>0.0845631341427317</v>
      </c>
      <c r="AB463" s="16" t="n">
        <f aca="false">S463*L463</f>
        <v>0.0427609697679236</v>
      </c>
      <c r="AC463" s="16" t="n">
        <f aca="false">Z463-W463</f>
        <v>-0.0216135878606277</v>
      </c>
      <c r="AD463" s="16" t="n">
        <f aca="false">AA463-W463</f>
        <v>0.00039919523945442</v>
      </c>
      <c r="AE463" s="16" t="n">
        <f aca="false">AB463-W463</f>
        <v>-0.0414029691353537</v>
      </c>
      <c r="AF463" s="16" t="n">
        <f aca="false">AE463-X463</f>
        <v>-0.121092564382025</v>
      </c>
      <c r="AG463" s="16" t="n">
        <f aca="false">AF463-p_spc_lo*Y463/1000</f>
        <v>-0.130658566740811</v>
      </c>
      <c r="AH463" s="16" t="n">
        <f aca="false">AF463-p_spc_hi*Y463/1000</f>
        <v>-0.140224569099596</v>
      </c>
      <c r="AI463" s="16" t="n">
        <f aca="false">Q463*J463</f>
        <v>0.260626462677707</v>
      </c>
      <c r="AJ463" s="16" t="n">
        <f aca="false">S463*J463</f>
        <v>0.178170707366348</v>
      </c>
      <c r="AK463" s="16" t="n">
        <f aca="false">T463*J463</f>
        <v>0.350683078763655</v>
      </c>
      <c r="AL463" s="16" t="n">
        <f aca="false">U463*J463</f>
        <v>0.332039980194465</v>
      </c>
      <c r="AM463" s="16" t="n">
        <f aca="false">AI463-AJ463</f>
        <v>0.0824557553113586</v>
      </c>
      <c r="AN463" s="16" t="n">
        <f aca="false">J463*Country_Data!$EB$70</f>
        <v>2.53458182155856</v>
      </c>
      <c r="AO463" s="16" t="n">
        <f aca="false">L463*Country_Data!$EB$70</f>
        <v>0.608299637174054</v>
      </c>
    </row>
    <row r="464" customFormat="false" ht="15" hidden="false" customHeight="false" outlineLevel="0" collapsed="false">
      <c r="A464" s="14" t="str">
        <f aca="false">Country_Data!$A$70</f>
        <v>UZB</v>
      </c>
      <c r="B464" s="14" t="str">
        <f aca="false">Country_Data!$E$70</f>
        <v>EMDC</v>
      </c>
      <c r="C464" s="35" t="s">
        <v>481</v>
      </c>
      <c r="D464" s="37" t="n">
        <f aca="false">IF(Country_Data!$CC$70="","",Country_Data!$CC$70)</f>
        <v>0.747516710946885</v>
      </c>
      <c r="E464" s="40" t="n">
        <f aca="false">Country_Data!$BW$70</f>
        <v>455.193</v>
      </c>
      <c r="F464" s="41" t="n">
        <f aca="false">Country_Data!$BX$70</f>
        <v>0.266594609319563</v>
      </c>
      <c r="G464" s="42" t="n">
        <f aca="false">IF(D464="","",D464/SUMIFS($D$5:$D$1369,$B$5:$B$1369,B464,$C$5:$C$1369,C464))</f>
        <v>0.0106777031033006</v>
      </c>
      <c r="H464" s="42" t="n">
        <f aca="false">E464/SUMIFS($E$5:$E$1369,$B$5:$B$1369,B464,$C$5:$C$1369,C464)</f>
        <v>0.00563832953743558</v>
      </c>
      <c r="I464" s="43" t="n">
        <f aca="false">IF(G464="",H464,p_beta_alloc*G464+(1-p_beta_alloc)*H464)*F464^p_phi</f>
        <v>0.00421221229597415</v>
      </c>
      <c r="J464" s="16" t="n">
        <f aca="false">INDEX(Sector_Params!$C$20:$E$20,MATCH(B464,Sector_Params!$C$15:$E$15,0))*I464/SUMIFS($I$5:$I$1369,$B$5:$B$1369,B464,$C$5:$C$1369,C464)</f>
        <v>0.768813568228077</v>
      </c>
      <c r="K464" s="28" t="n">
        <f aca="false">INDEX(Sector_Params!$F$9:$H$9,MATCH(B464,Sector_Params!$C$15:$E$15,0))</f>
        <v>0.24</v>
      </c>
      <c r="L464" s="16" t="n">
        <f aca="false">J464*K464</f>
        <v>0.184515256374738</v>
      </c>
      <c r="M464" s="44" t="n">
        <f aca="false">Country_Data!$DW$70+Sector_Params!$E$9</f>
        <v>0.105</v>
      </c>
      <c r="N464" s="44" t="n">
        <f aca="false">Country_Data!$DX$70+Sector_Params!$E$9</f>
        <v>0.15</v>
      </c>
      <c r="O464" s="11" t="n">
        <f aca="false">IF(p_use_ibrd=1,p_r_ibrd,p_r_wb)</f>
        <v>0.06</v>
      </c>
      <c r="P464" s="45" t="n">
        <f aca="false">Sector_Params!$D$9</f>
        <v>25</v>
      </c>
      <c r="Q464" s="46" t="n">
        <f aca="false">M464/(1-(1+M464)^-P464)</f>
        <v>0.114429319813103</v>
      </c>
      <c r="R464" s="46" t="n">
        <f aca="false">N464/(1-(1+N464)^-P464)</f>
        <v>0.154699402320206</v>
      </c>
      <c r="S464" s="46" t="n">
        <f aca="false">O464/(1-(1+O464)^-P464)</f>
        <v>0.078226718212274</v>
      </c>
      <c r="T464" s="37" t="n">
        <f aca="false">Country_Data!$CM$70*Sector_Params!$I$9</f>
        <v>0.15396911641514</v>
      </c>
      <c r="U464" s="37" t="n">
        <f aca="false">Country_Data!$CN$70*Sector_Params!$J$9</f>
        <v>0.145783773044543</v>
      </c>
      <c r="V464" s="37" t="n">
        <f aca="false">p_a</f>
        <v>0.35</v>
      </c>
      <c r="W464" s="16" t="n">
        <f aca="false">T464*L464</f>
        <v>0.0284096509891315</v>
      </c>
      <c r="X464" s="16" t="n">
        <f aca="false">U464*L464</f>
        <v>0.0268993302585906</v>
      </c>
      <c r="Y464" s="16" t="n">
        <f aca="false">V464*L464</f>
        <v>0.0645803397311584</v>
      </c>
      <c r="Z464" s="16" t="n">
        <f aca="false">Q464*L464</f>
        <v>0.0211139552821017</v>
      </c>
      <c r="AA464" s="16" t="n">
        <f aca="false">R464*L464</f>
        <v>0.0285443998801317</v>
      </c>
      <c r="AB464" s="16" t="n">
        <f aca="false">S464*L464</f>
        <v>0.0144340229662921</v>
      </c>
      <c r="AC464" s="16" t="n">
        <f aca="false">Z464-W464</f>
        <v>-0.00729569570702983</v>
      </c>
      <c r="AD464" s="16" t="n">
        <f aca="false">AA464-W464</f>
        <v>0.00013474889100017</v>
      </c>
      <c r="AE464" s="16" t="n">
        <f aca="false">AB464-W464</f>
        <v>-0.0139756280228394</v>
      </c>
      <c r="AF464" s="16" t="n">
        <f aca="false">AE464-X464</f>
        <v>-0.04087495828143</v>
      </c>
      <c r="AG464" s="16" t="n">
        <f aca="false">AF464-p_spc_lo*Y464/1000</f>
        <v>-0.0441039752679879</v>
      </c>
      <c r="AH464" s="16" t="n">
        <f aca="false">AF464-p_spc_hi*Y464/1000</f>
        <v>-0.0473329922545458</v>
      </c>
      <c r="AI464" s="16" t="n">
        <f aca="false">Q464*J464</f>
        <v>0.0879748136754237</v>
      </c>
      <c r="AJ464" s="16" t="n">
        <f aca="false">S464*J464</f>
        <v>0.0601417623595506</v>
      </c>
      <c r="AK464" s="16" t="n">
        <f aca="false">T464*J464</f>
        <v>0.118373545788048</v>
      </c>
      <c r="AL464" s="16" t="n">
        <f aca="false">U464*J464</f>
        <v>0.112080542744127</v>
      </c>
      <c r="AM464" s="16" t="n">
        <f aca="false">AI464-AJ464</f>
        <v>0.0278330513158731</v>
      </c>
      <c r="AN464" s="16" t="n">
        <f aca="false">J464*Country_Data!$EB$70</f>
        <v>0.855551509258937</v>
      </c>
      <c r="AO464" s="16" t="n">
        <f aca="false">L464*Country_Data!$EB$70</f>
        <v>0.205332362222145</v>
      </c>
    </row>
    <row r="465" customFormat="false" ht="15" hidden="false" customHeight="false" outlineLevel="0" collapsed="false">
      <c r="A465" s="14" t="str">
        <f aca="false">Country_Data!$A$70</f>
        <v>UZB</v>
      </c>
      <c r="B465" s="14" t="str">
        <f aca="false">Country_Data!$E$70</f>
        <v>EMDC</v>
      </c>
      <c r="C465" s="35" t="s">
        <v>484</v>
      </c>
      <c r="D465" s="37" t="n">
        <f aca="false">IF(Country_Data!$CD$70="","",Country_Data!$CD$70)</f>
        <v>2.11816999844267</v>
      </c>
      <c r="E465" s="40" t="n">
        <f aca="false">Country_Data!$BW$70</f>
        <v>455.193</v>
      </c>
      <c r="F465" s="41" t="n">
        <f aca="false">Country_Data!$BX$70</f>
        <v>0.266594609319563</v>
      </c>
      <c r="G465" s="42" t="n">
        <f aca="false">IF(D465="","",D465/SUMIFS($D$5:$D$1369,$B$5:$B$1369,B465,$C$5:$C$1369,C465))</f>
        <v>0.0118286350797462</v>
      </c>
      <c r="H465" s="42" t="n">
        <f aca="false">E465/SUMIFS($E$5:$E$1369,$B$5:$B$1369,B465,$C$5:$C$1369,C465)</f>
        <v>0.00563832953743558</v>
      </c>
      <c r="I465" s="43" t="n">
        <f aca="false">IF(G465="",H465,p_beta_alloc*G465+(1-p_beta_alloc)*H465)*F465^p_phi</f>
        <v>0.0045093415019375</v>
      </c>
      <c r="J465" s="16" t="n">
        <f aca="false">INDEX(Sector_Params!$C$21:$E$21,MATCH(B465,Sector_Params!$C$15:$E$15,0))*I465/SUMIFS($I$5:$I$1369,$B$5:$B$1369,B465,$C$5:$C$1369,C465)</f>
        <v>1.0001260682502</v>
      </c>
      <c r="K465" s="28" t="n">
        <f aca="false">INDEX(Sector_Params!$F$10:$H$10,MATCH(B465,Sector_Params!$C$15:$E$15,0))</f>
        <v>0.24</v>
      </c>
      <c r="L465" s="16" t="n">
        <f aca="false">J465*K465</f>
        <v>0.240030256380048</v>
      </c>
      <c r="M465" s="44" t="n">
        <f aca="false">Country_Data!$DW$70+Sector_Params!$E$10</f>
        <v>0.105</v>
      </c>
      <c r="N465" s="44" t="n">
        <f aca="false">Country_Data!$DX$70+Sector_Params!$E$10</f>
        <v>0.15</v>
      </c>
      <c r="O465" s="11" t="n">
        <f aca="false">IF(p_use_ibrd=1,p_r_ibrd,p_r_wb)</f>
        <v>0.06</v>
      </c>
      <c r="P465" s="45" t="n">
        <f aca="false">Sector_Params!$D$10</f>
        <v>20</v>
      </c>
      <c r="Q465" s="46" t="n">
        <f aca="false">M465/(1-(1+M465)^-P465)</f>
        <v>0.121493265267016</v>
      </c>
      <c r="R465" s="46" t="n">
        <f aca="false">N465/(1-(1+N465)^-P465)</f>
        <v>0.159761470405744</v>
      </c>
      <c r="S465" s="46" t="n">
        <f aca="false">O465/(1-(1+O465)^-P465)</f>
        <v>0.0871845569768514</v>
      </c>
      <c r="T465" s="37" t="n">
        <f aca="false">0*Sector_Params!$I$10</f>
        <v>0</v>
      </c>
      <c r="U465" s="37" t="n">
        <f aca="false">0*Sector_Params!$J$10</f>
        <v>0</v>
      </c>
      <c r="V465" s="37" t="n">
        <f aca="false">1000*p_r_wb/(1-(1+p_r_wb)^-Sector_Params!$D$10)/p_cpt_fuel</f>
        <v>0.871845569768514</v>
      </c>
      <c r="W465" s="16" t="n">
        <f aca="false">T465*L465</f>
        <v>0</v>
      </c>
      <c r="X465" s="16" t="n">
        <f aca="false">U465*L465</f>
        <v>0</v>
      </c>
      <c r="Y465" s="16" t="n">
        <f aca="false">V465*L465</f>
        <v>0.209269315635346</v>
      </c>
      <c r="Z465" s="16" t="n">
        <f aca="false">Q465*L465</f>
        <v>0.0291620596104911</v>
      </c>
      <c r="AA465" s="16" t="n">
        <f aca="false">R465*L465</f>
        <v>0.0383475867011442</v>
      </c>
      <c r="AB465" s="16" t="n">
        <f aca="false">S465*L465</f>
        <v>0.0209269315635346</v>
      </c>
      <c r="AC465" s="16" t="n">
        <f aca="false">Z465-W465</f>
        <v>0.0291620596104911</v>
      </c>
      <c r="AD465" s="16" t="n">
        <f aca="false">AA465-W465</f>
        <v>0.0383475867011442</v>
      </c>
      <c r="AE465" s="16" t="n">
        <f aca="false">AB465-W465</f>
        <v>0.0209269315635346</v>
      </c>
      <c r="AF465" s="16" t="n">
        <f aca="false">AE465-X465</f>
        <v>0.0209269315635346</v>
      </c>
      <c r="AG465" s="16" t="n">
        <f aca="false">AF465-p_spc_lo*Y465/1000</f>
        <v>0.0104634657817673</v>
      </c>
      <c r="AH465" s="16" t="n">
        <f aca="false">AF465-p_spc_hi*Y465/1000</f>
        <v>0</v>
      </c>
      <c r="AI465" s="16" t="n">
        <f aca="false">Q465*J465</f>
        <v>0.12150858171038</v>
      </c>
      <c r="AJ465" s="16" t="n">
        <f aca="false">S465*J465</f>
        <v>0.0871955481813941</v>
      </c>
      <c r="AK465" s="16" t="n">
        <f aca="false">T465*J465</f>
        <v>0</v>
      </c>
      <c r="AL465" s="16" t="n">
        <f aca="false">U465*J465</f>
        <v>0</v>
      </c>
      <c r="AM465" s="16" t="n">
        <f aca="false">AI465-AJ465</f>
        <v>0.0343130335289856</v>
      </c>
      <c r="AN465" s="16" t="n">
        <f aca="false">J465*Country_Data!$EB$70</f>
        <v>1.11296080415535</v>
      </c>
      <c r="AO465" s="16" t="n">
        <f aca="false">L465*Country_Data!$EB$70</f>
        <v>0.267110592997285</v>
      </c>
    </row>
    <row r="466" customFormat="false" ht="15" hidden="false" customHeight="false" outlineLevel="0" collapsed="false">
      <c r="A466" s="14" t="str">
        <f aca="false">Country_Data!$A$70</f>
        <v>UZB</v>
      </c>
      <c r="B466" s="14" t="str">
        <f aca="false">Country_Data!$E$70</f>
        <v>EMDC</v>
      </c>
      <c r="C466" s="35" t="s">
        <v>488</v>
      </c>
      <c r="D466" s="37" t="n">
        <f aca="false">IF(Country_Data!$CE$70="","",Country_Data!$CE$70)</f>
        <v>97.114</v>
      </c>
      <c r="E466" s="40" t="n">
        <f aca="false">Country_Data!$BW$70</f>
        <v>455.193</v>
      </c>
      <c r="F466" s="41" t="n">
        <f aca="false">Country_Data!$BX$70</f>
        <v>0.266594609319563</v>
      </c>
      <c r="G466" s="42" t="n">
        <f aca="false">IF(D466="","",D466/SUMIFS($D$5:$D$1369,$B$5:$B$1369,B466,$C$5:$C$1369,C466))</f>
        <v>0.00795748317574981</v>
      </c>
      <c r="H466" s="42" t="n">
        <f aca="false">E466/SUMIFS($E$5:$E$1369,$B$5:$B$1369,B466,$C$5:$C$1369,C466)</f>
        <v>0.00563832953743558</v>
      </c>
      <c r="I466" s="43" t="n">
        <f aca="false">IF(G466="",H466,p_beta_alloc*G466+(1-p_beta_alloc)*H466)*F466^p_phi</f>
        <v>0.00350994943104363</v>
      </c>
      <c r="J466" s="16" t="n">
        <f aca="false">INDEX(Sector_Params!$C$22:$E$22,MATCH(B466,Sector_Params!$C$15:$E$15,0))*I466/SUMIFS($I$5:$I$1369,$B$5:$B$1369,B466,$C$5:$C$1369,C466)</f>
        <v>2.11582695925725</v>
      </c>
      <c r="K466" s="28" t="n">
        <f aca="false">INDEX(Sector_Params!$F$11:$H$11,MATCH(B466,Sector_Params!$C$15:$E$15,0))</f>
        <v>0.24</v>
      </c>
      <c r="L466" s="16" t="n">
        <f aca="false">J466*K466</f>
        <v>0.507798470221739</v>
      </c>
      <c r="M466" s="44" t="n">
        <f aca="false">Country_Data!$DW$70+Sector_Params!$E$11</f>
        <v>0.105</v>
      </c>
      <c r="N466" s="44" t="n">
        <f aca="false">Country_Data!$DX$70+Sector_Params!$E$11</f>
        <v>0.15</v>
      </c>
      <c r="O466" s="11" t="n">
        <f aca="false">IF(p_use_ibrd=1,p_r_ibrd,p_r_wb)</f>
        <v>0.06</v>
      </c>
      <c r="P466" s="45" t="n">
        <f aca="false">Sector_Params!$D$11</f>
        <v>30</v>
      </c>
      <c r="Q466" s="46" t="n">
        <f aca="false">M466/(1-(1+M466)^-P466)</f>
        <v>0.110528481529605</v>
      </c>
      <c r="R466" s="46" t="n">
        <f aca="false">N466/(1-(1+N466)^-P466)</f>
        <v>0.152300198192734</v>
      </c>
      <c r="S466" s="46" t="n">
        <f aca="false">O466/(1-(1+O466)^-P466)</f>
        <v>0.0726489114900472</v>
      </c>
      <c r="T466" s="37" t="n">
        <f aca="false">0*Sector_Params!$I$11</f>
        <v>0</v>
      </c>
      <c r="U466" s="37" t="n">
        <f aca="false">p_c*Sector_Params!$J$11</f>
        <v>0.129</v>
      </c>
      <c r="V466" s="37" t="n">
        <f aca="false">1000*p_r_wb/(1-(1+p_r_wb)^-Sector_Params!$D$11)/p_cpt_afolu</f>
        <v>1.45297822980094</v>
      </c>
      <c r="W466" s="16" t="n">
        <f aca="false">T466*L466</f>
        <v>0</v>
      </c>
      <c r="X466" s="16" t="n">
        <f aca="false">U466*L466</f>
        <v>0.0655060026586044</v>
      </c>
      <c r="Y466" s="16" t="n">
        <f aca="false">V466*L466</f>
        <v>0.73782012235841</v>
      </c>
      <c r="Z466" s="16" t="n">
        <f aca="false">Q466*L466</f>
        <v>0.0561261938366652</v>
      </c>
      <c r="AA466" s="16" t="n">
        <f aca="false">R466*L466</f>
        <v>0.0773378076567381</v>
      </c>
      <c r="AB466" s="16" t="n">
        <f aca="false">S466*L466</f>
        <v>0.0368910061179205</v>
      </c>
      <c r="AC466" s="16" t="n">
        <f aca="false">Z466-W466</f>
        <v>0.0561261938366652</v>
      </c>
      <c r="AD466" s="16" t="n">
        <f aca="false">AA466-W466</f>
        <v>0.0773378076567381</v>
      </c>
      <c r="AE466" s="16" t="n">
        <f aca="false">AB466-W466</f>
        <v>0.0368910061179205</v>
      </c>
      <c r="AF466" s="16" t="n">
        <f aca="false">AE466-X466</f>
        <v>-0.0286149965406839</v>
      </c>
      <c r="AG466" s="16" t="n">
        <f aca="false">AF466-p_spc_lo*Y466/1000</f>
        <v>-0.0655060026586044</v>
      </c>
      <c r="AH466" s="16" t="n">
        <f aca="false">AF466-p_spc_hi*Y466/1000</f>
        <v>-0.102397008776525</v>
      </c>
      <c r="AI466" s="16" t="n">
        <f aca="false">Q466*J466</f>
        <v>0.233859140986105</v>
      </c>
      <c r="AJ466" s="16" t="n">
        <f aca="false">S466*J466</f>
        <v>0.153712525491335</v>
      </c>
      <c r="AK466" s="16" t="n">
        <f aca="false">T466*J466</f>
        <v>0</v>
      </c>
      <c r="AL466" s="16" t="n">
        <f aca="false">U466*J466</f>
        <v>0.272941677744185</v>
      </c>
      <c r="AM466" s="16" t="n">
        <f aca="false">AI466-AJ466</f>
        <v>0.0801466154947698</v>
      </c>
      <c r="AN466" s="16" t="n">
        <f aca="false">J466*Country_Data!$EB$70</f>
        <v>2.35453564184012</v>
      </c>
      <c r="AO466" s="16" t="n">
        <f aca="false">L466*Country_Data!$EB$70</f>
        <v>0.565088554041628</v>
      </c>
    </row>
    <row r="467" customFormat="false" ht="15" hidden="false" customHeight="false" outlineLevel="0" collapsed="false">
      <c r="A467" s="14" t="str">
        <f aca="false">Country_Data!$A$71</f>
        <v>VEN</v>
      </c>
      <c r="B467" s="14" t="str">
        <f aca="false">Country_Data!$E$71</f>
        <v>EMDC</v>
      </c>
      <c r="C467" s="35" t="s">
        <v>466</v>
      </c>
      <c r="D467" s="37" t="n">
        <f aca="false">IF(Country_Data!$BZ$71="","",Country_Data!$BZ$71)</f>
        <v>73.1570066779831</v>
      </c>
      <c r="E467" s="40" t="n">
        <f aca="false">Country_Data!$BW$71</f>
        <v>227.633</v>
      </c>
      <c r="F467" s="41" t="n">
        <f aca="false">Country_Data!$BX$71</f>
        <v>0.529650797555715</v>
      </c>
      <c r="G467" s="42" t="n">
        <f aca="false">IF(D467="","",D467/SUMIFS($D$5:$D$1369,$B$5:$B$1369,B467,$C$5:$C$1369,C467))</f>
        <v>0.00835176010396244</v>
      </c>
      <c r="H467" s="42" t="n">
        <f aca="false">E467/SUMIFS($E$5:$E$1369,$B$5:$B$1369,B467,$C$5:$C$1369,C467)</f>
        <v>0.00281961688249835</v>
      </c>
      <c r="I467" s="43" t="n">
        <f aca="false">IF(G467="",H467,p_beta_alloc*G467+(1-p_beta_alloc)*H467)*F467^p_phi</f>
        <v>0.0040651027493898</v>
      </c>
      <c r="J467" s="16" t="n">
        <f aca="false">INDEX(Sector_Params!$C$16:$E$16,MATCH(B467,Sector_Params!$C$15:$E$15,0))*I467/SUMIFS($I$5:$I$1369,$B$5:$B$1369,B467,$C$5:$C$1369,C467)</f>
        <v>3.93187043844996</v>
      </c>
      <c r="K467" s="28" t="n">
        <f aca="false">INDEX(Sector_Params!$F$5:$H$5,MATCH(B467,Sector_Params!$C$15:$E$15,0))</f>
        <v>0.24</v>
      </c>
      <c r="L467" s="16" t="n">
        <f aca="false">J467*K467</f>
        <v>0.94364890522799</v>
      </c>
      <c r="M467" s="44" t="n">
        <f aca="false">Country_Data!$DW$71+Sector_Params!$E$5</f>
        <v>0.105</v>
      </c>
      <c r="N467" s="44" t="n">
        <f aca="false">Country_Data!$DX$71+Sector_Params!$E$5</f>
        <v>0.15</v>
      </c>
      <c r="O467" s="11" t="n">
        <f aca="false">IF(p_use_ibrd=1,p_r_ibrd,p_r_wb)</f>
        <v>0.06</v>
      </c>
      <c r="P467" s="45" t="n">
        <f aca="false">Sector_Params!$D$5</f>
        <v>25</v>
      </c>
      <c r="Q467" s="46" t="n">
        <f aca="false">M467/(1-(1+M467)^-P467)</f>
        <v>0.114429319813103</v>
      </c>
      <c r="R467" s="46" t="n">
        <f aca="false">N467/(1-(1+N467)^-P467)</f>
        <v>0.154699402320206</v>
      </c>
      <c r="S467" s="46" t="n">
        <f aca="false">O467/(1-(1+O467)^-P467)</f>
        <v>0.078226718212274</v>
      </c>
      <c r="T467" s="37" t="n">
        <f aca="false">IF(AND(p_eng=1,ISNUMBER(Country_Data!$CZ$71)),Country_Data!$CZ$71,Country_Data!$CM$71)*Sector_Params!$I$5</f>
        <v>0.00494413773127568</v>
      </c>
      <c r="U467" s="37" t="n">
        <f aca="false">IF(AND(p_eng=1,ISNUMBER(Country_Data!$DA$71)),Country_Data!$DA$71,Country_Data!$CN$71)*Sector_Params!$J$5</f>
        <v>0.00135922907776722</v>
      </c>
      <c r="V467" s="37" t="n">
        <f aca="false">IF(AND(p_eng=1,ISNUMBER(Country_Data!$DB$71)),Country_Data!$DB$71,p_a)</f>
        <v>0.125192338119793</v>
      </c>
      <c r="W467" s="16" t="n">
        <f aca="false">T467*L467</f>
        <v>0.00466553015741469</v>
      </c>
      <c r="X467" s="16" t="n">
        <f aca="false">U467*L467</f>
        <v>0.00128263503118909</v>
      </c>
      <c r="Y467" s="16" t="n">
        <f aca="false">V467*L467</f>
        <v>0.118137612809675</v>
      </c>
      <c r="Z467" s="16" t="n">
        <f aca="false">Q467*L467</f>
        <v>0.107981102367619</v>
      </c>
      <c r="AA467" s="16" t="n">
        <f aca="false">R467*L467</f>
        <v>0.145981921638887</v>
      </c>
      <c r="AB467" s="16" t="n">
        <f aca="false">S467*L467</f>
        <v>0.0738185570005908</v>
      </c>
      <c r="AC467" s="16" t="n">
        <f aca="false">Z467-W467</f>
        <v>0.103315572210204</v>
      </c>
      <c r="AD467" s="16" t="n">
        <f aca="false">AA467-W467</f>
        <v>0.141316391481473</v>
      </c>
      <c r="AE467" s="16" t="n">
        <f aca="false">AB467-W467</f>
        <v>0.0691530268431761</v>
      </c>
      <c r="AF467" s="16" t="n">
        <f aca="false">AE467-X467</f>
        <v>0.067870391811987</v>
      </c>
      <c r="AG467" s="16" t="n">
        <f aca="false">AF467-p_spc_lo*Y467/1000</f>
        <v>0.0619635111715033</v>
      </c>
      <c r="AH467" s="16" t="n">
        <f aca="false">AF467-p_spc_hi*Y467/1000</f>
        <v>0.0560566305310195</v>
      </c>
      <c r="AI467" s="16" t="n">
        <f aca="false">Q467*J467</f>
        <v>0.449921259865077</v>
      </c>
      <c r="AJ467" s="16" t="n">
        <f aca="false">S467*J467</f>
        <v>0.307577320835795</v>
      </c>
      <c r="AK467" s="16" t="n">
        <f aca="false">T467*J467</f>
        <v>0.0194397089892279</v>
      </c>
      <c r="AL467" s="16" t="n">
        <f aca="false">U467*J467</f>
        <v>0.00534431262995454</v>
      </c>
      <c r="AM467" s="16" t="n">
        <f aca="false">AI467-AJ467</f>
        <v>0.142343939029282</v>
      </c>
      <c r="AN467" s="16" t="n">
        <f aca="false">J467*Country_Data!$EB$71</f>
        <v>4.51357181838502</v>
      </c>
      <c r="AO467" s="16" t="n">
        <f aca="false">L467*Country_Data!$EB$71</f>
        <v>1.08325723641241</v>
      </c>
    </row>
    <row r="468" customFormat="false" ht="15" hidden="false" customHeight="false" outlineLevel="0" collapsed="false">
      <c r="A468" s="14" t="str">
        <f aca="false">Country_Data!$A$71</f>
        <v>VEN</v>
      </c>
      <c r="B468" s="14" t="str">
        <f aca="false">Country_Data!$E$71</f>
        <v>EMDC</v>
      </c>
      <c r="C468" s="35" t="s">
        <v>470</v>
      </c>
      <c r="D468" s="37" t="n">
        <f aca="false">IF(Country_Data!$BZ$71="","",Country_Data!$BZ$71)</f>
        <v>73.1570066779831</v>
      </c>
      <c r="E468" s="40" t="n">
        <f aca="false">Country_Data!$BW$71</f>
        <v>227.633</v>
      </c>
      <c r="F468" s="41" t="n">
        <f aca="false">Country_Data!$BX$71</f>
        <v>0.529650797555715</v>
      </c>
      <c r="G468" s="42" t="n">
        <f aca="false">IF(D468="","",D468/SUMIFS($D$5:$D$1369,$B$5:$B$1369,B468,$C$5:$C$1369,C468))</f>
        <v>0.00835176010396244</v>
      </c>
      <c r="H468" s="42" t="n">
        <f aca="false">E468/SUMIFS($E$5:$E$1369,$B$5:$B$1369,B468,$C$5:$C$1369,C468)</f>
        <v>0.00281961688249835</v>
      </c>
      <c r="I468" s="43" t="n">
        <f aca="false">IF(G468="",H468,p_beta_alloc*G468+(1-p_beta_alloc)*H468)*F468^p_phi</f>
        <v>0.0040651027493898</v>
      </c>
      <c r="J468" s="16" t="n">
        <f aca="false">INDEX(Sector_Params!$C$17:$E$17,MATCH(B468,Sector_Params!$C$15:$E$15,0))*I468/SUMIFS($I$5:$I$1369,$B$5:$B$1369,B468,$C$5:$C$1369,C468)</f>
        <v>2.69613972922283</v>
      </c>
      <c r="K468" s="28" t="n">
        <f aca="false">INDEX(Sector_Params!$F$6:$H$6,MATCH(B468,Sector_Params!$C$15:$E$15,0))</f>
        <v>0.24</v>
      </c>
      <c r="L468" s="16" t="n">
        <f aca="false">J468*K468</f>
        <v>0.647073535013479</v>
      </c>
      <c r="M468" s="44" t="n">
        <f aca="false">Country_Data!$DW$71+Sector_Params!$E$6</f>
        <v>0.105</v>
      </c>
      <c r="N468" s="44" t="n">
        <f aca="false">Country_Data!$DX$71+Sector_Params!$E$6</f>
        <v>0.15</v>
      </c>
      <c r="O468" s="11" t="n">
        <f aca="false">IF(p_use_ibrd=1,p_r_ibrd,p_r_wb)</f>
        <v>0.06</v>
      </c>
      <c r="P468" s="45" t="n">
        <f aca="false">Sector_Params!$D$6</f>
        <v>40</v>
      </c>
      <c r="Q468" s="46" t="n">
        <f aca="false">M468/(1-(1+M468)^-P468)</f>
        <v>0.10697140835497</v>
      </c>
      <c r="R468" s="46" t="n">
        <f aca="false">N468/(1-(1+N468)^-P468)</f>
        <v>0.150562085013545</v>
      </c>
      <c r="S468" s="46" t="n">
        <f aca="false">O468/(1-(1+O468)^-P468)</f>
        <v>0.0664615359206755</v>
      </c>
      <c r="T468" s="37" t="n">
        <f aca="false">p_grid_credit*IF(AND(p_eng=1,ISNUMBER(Country_Data!$CZ$71)),Country_Data!$CZ$71,Country_Data!$CM$71)*Sector_Params!$I$6</f>
        <v>0</v>
      </c>
      <c r="U468" s="37" t="n">
        <f aca="false">p_grid_credit*IF(AND(p_eng=1,ISNUMBER(Country_Data!$DA$71)),Country_Data!$DA$71,Country_Data!$CN$71)*Sector_Params!$J$6</f>
        <v>0</v>
      </c>
      <c r="V468" s="37" t="n">
        <f aca="false">p_grid_credit*IF(AND(p_eng=1,ISNUMBER(Country_Data!$DB$71)),Country_Data!$DB$71,p_a)</f>
        <v>0</v>
      </c>
      <c r="W468" s="16" t="n">
        <f aca="false">T468*L468</f>
        <v>0</v>
      </c>
      <c r="X468" s="16" t="n">
        <f aca="false">U468*L468</f>
        <v>0</v>
      </c>
      <c r="Y468" s="16" t="n">
        <f aca="false">V468*L468</f>
        <v>0</v>
      </c>
      <c r="Z468" s="16" t="n">
        <f aca="false">Q468*L468</f>
        <v>0.069218367349621</v>
      </c>
      <c r="AA468" s="16" t="n">
        <f aca="false">R468*L468</f>
        <v>0.0974247405887145</v>
      </c>
      <c r="AB468" s="16" t="n">
        <f aca="false">S468*L468</f>
        <v>0.0430055009906168</v>
      </c>
      <c r="AC468" s="16" t="n">
        <f aca="false">Z468-W468</f>
        <v>0.069218367349621</v>
      </c>
      <c r="AD468" s="16" t="n">
        <f aca="false">AA468-W468</f>
        <v>0.0974247405887145</v>
      </c>
      <c r="AE468" s="16" t="n">
        <f aca="false">AB468-W468</f>
        <v>0.0430055009906168</v>
      </c>
      <c r="AF468" s="16" t="n">
        <f aca="false">AE468-X468</f>
        <v>0.0430055009906168</v>
      </c>
      <c r="AG468" s="16" t="n">
        <f aca="false">AF468-p_spc_lo*Y468/1000</f>
        <v>0.0430055009906168</v>
      </c>
      <c r="AH468" s="16" t="n">
        <f aca="false">AF468-p_spc_hi*Y468/1000</f>
        <v>0.0430055009906168</v>
      </c>
      <c r="AI468" s="16" t="n">
        <f aca="false">Q468*J468</f>
        <v>0.288409863956754</v>
      </c>
      <c r="AJ468" s="16" t="n">
        <f aca="false">S468*J468</f>
        <v>0.179189587460903</v>
      </c>
      <c r="AK468" s="16" t="n">
        <f aca="false">T468*J468</f>
        <v>0</v>
      </c>
      <c r="AL468" s="16" t="n">
        <f aca="false">U468*J468</f>
        <v>0</v>
      </c>
      <c r="AM468" s="16" t="n">
        <f aca="false">AI468-AJ468</f>
        <v>0.109220276495851</v>
      </c>
      <c r="AN468" s="16" t="n">
        <f aca="false">J468*Country_Data!$EB$71</f>
        <v>3.09502067546401</v>
      </c>
      <c r="AO468" s="16" t="n">
        <f aca="false">L468*Country_Data!$EB$71</f>
        <v>0.742804962111363</v>
      </c>
    </row>
    <row r="469" customFormat="false" ht="15" hidden="false" customHeight="false" outlineLevel="0" collapsed="false">
      <c r="A469" s="14" t="str">
        <f aca="false">Country_Data!$A$71</f>
        <v>VEN</v>
      </c>
      <c r="B469" s="14" t="str">
        <f aca="false">Country_Data!$E$71</f>
        <v>EMDC</v>
      </c>
      <c r="C469" s="35" t="s">
        <v>473</v>
      </c>
      <c r="D469" s="37" t="n">
        <f aca="false">IF(Country_Data!$CA$71="","",Country_Data!$CA$71)</f>
        <v>0.19499578194809</v>
      </c>
      <c r="E469" s="40" t="n">
        <f aca="false">Country_Data!$BW$71</f>
        <v>227.633</v>
      </c>
      <c r="F469" s="41" t="n">
        <f aca="false">Country_Data!$BX$71</f>
        <v>0.529650797555715</v>
      </c>
      <c r="G469" s="42" t="n">
        <f aca="false">IF(D469="","",D469/SUMIFS($D$5:$D$1369,$B$5:$B$1369,B469,$C$5:$C$1369,C469))</f>
        <v>0.0045048562624967</v>
      </c>
      <c r="H469" s="42" t="n">
        <f aca="false">E469/SUMIFS($E$5:$E$1369,$B$5:$B$1369,B469,$C$5:$C$1369,C469)</f>
        <v>0.00281961688249835</v>
      </c>
      <c r="I469" s="43" t="n">
        <f aca="false">IF(G469="",H469,p_beta_alloc*G469+(1-p_beta_alloc)*H469)*F469^p_phi</f>
        <v>0.00266526999810648</v>
      </c>
      <c r="J469" s="16" t="n">
        <f aca="false">INDEX(Sector_Params!$C$18:$E$18,MATCH(B469,Sector_Params!$C$15:$E$15,0))*I469/SUMIFS($I$5:$I$1369,$B$5:$B$1369,B469,$C$5:$C$1369,C469)</f>
        <v>1.09136500069995</v>
      </c>
      <c r="K469" s="28" t="n">
        <f aca="false">INDEX(Sector_Params!$F$7:$H$7,MATCH(B469,Sector_Params!$C$15:$E$15,0))</f>
        <v>0.24</v>
      </c>
      <c r="L469" s="16" t="n">
        <f aca="false">J469*K469</f>
        <v>0.261927600167987</v>
      </c>
      <c r="M469" s="44" t="n">
        <f aca="false">Country_Data!$DW$71+Sector_Params!$E$7</f>
        <v>0.105</v>
      </c>
      <c r="N469" s="44" t="n">
        <f aca="false">Country_Data!$DX$71+Sector_Params!$E$7</f>
        <v>0.15</v>
      </c>
      <c r="O469" s="11" t="n">
        <f aca="false">IF(p_use_ibrd=1,p_r_ibrd,p_r_wb)</f>
        <v>0.06</v>
      </c>
      <c r="P469" s="45" t="n">
        <f aca="false">Sector_Params!$D$7</f>
        <v>12</v>
      </c>
      <c r="Q469" s="46" t="n">
        <f aca="false">M469/(1-(1+M469)^-P469)</f>
        <v>0.150376745634766</v>
      </c>
      <c r="R469" s="46" t="n">
        <f aca="false">N469/(1-(1+N469)^-P469)</f>
        <v>0.18448077613084</v>
      </c>
      <c r="S469" s="46" t="n">
        <f aca="false">O469/(1-(1+O469)^-P469)</f>
        <v>0.119277029380664</v>
      </c>
      <c r="T469" s="37" t="n">
        <f aca="false">IF(AND(p_eng=1,ISNUMBER(Country_Data!$DE$71)),Country_Data!$DE$71,Country_Data!$CM$71)*Sector_Params!$I$7</f>
        <v>0.1600164</v>
      </c>
      <c r="U469" s="37" t="n">
        <f aca="false">IF(AND(p_eng=1,ISNUMBER(Country_Data!$DF$71)),Country_Data!$DF$71,Country_Data!$CN$71)*Sector_Params!$J$7</f>
        <v>0.005735025</v>
      </c>
      <c r="V469" s="37" t="n">
        <f aca="false">IF(AND(p_eng=1,ISNUMBER(Country_Data!$DG$71)),Country_Data!$DG$71,p_a)</f>
        <v>0.503886974354175</v>
      </c>
      <c r="W469" s="16" t="n">
        <f aca="false">T469*L469</f>
        <v>0.0419127116395207</v>
      </c>
      <c r="X469" s="16" t="n">
        <f aca="false">U469*L469</f>
        <v>0.00150216133515341</v>
      </c>
      <c r="Y469" s="16" t="n">
        <f aca="false">V469*L469</f>
        <v>0.131981905948497</v>
      </c>
      <c r="Z469" s="16" t="n">
        <f aca="false">Q469*L469</f>
        <v>0.039387820105186</v>
      </c>
      <c r="AA469" s="16" t="n">
        <f aca="false">R469*L469</f>
        <v>0.0483206069690784</v>
      </c>
      <c r="AB469" s="16" t="n">
        <f aca="false">S469*L469</f>
        <v>0.0312419460608437</v>
      </c>
      <c r="AC469" s="16" t="n">
        <f aca="false">Z469-W469</f>
        <v>-0.00252489153433468</v>
      </c>
      <c r="AD469" s="16" t="n">
        <f aca="false">AA469-W469</f>
        <v>0.00640789532955777</v>
      </c>
      <c r="AE469" s="16" t="n">
        <f aca="false">AB469-W469</f>
        <v>-0.010670765578677</v>
      </c>
      <c r="AF469" s="16" t="n">
        <f aca="false">AE469-X469</f>
        <v>-0.0121729269138304</v>
      </c>
      <c r="AG469" s="16" t="n">
        <f aca="false">AF469-p_spc_lo*Y469/1000</f>
        <v>-0.0187720222112553</v>
      </c>
      <c r="AH469" s="16" t="n">
        <f aca="false">AF469-p_spc_hi*Y469/1000</f>
        <v>-0.0253711175086801</v>
      </c>
      <c r="AI469" s="16" t="n">
        <f aca="false">Q469*J469</f>
        <v>0.164115917104942</v>
      </c>
      <c r="AJ469" s="16" t="n">
        <f aca="false">S469*J469</f>
        <v>0.130174775253515</v>
      </c>
      <c r="AK469" s="16" t="n">
        <f aca="false">T469*J469</f>
        <v>0.174636298498003</v>
      </c>
      <c r="AL469" s="16" t="n">
        <f aca="false">U469*J469</f>
        <v>0.0062590055631392</v>
      </c>
      <c r="AM469" s="16" t="n">
        <f aca="false">AI469-AJ469</f>
        <v>0.0339411418514263</v>
      </c>
      <c r="AN469" s="16" t="n">
        <f aca="false">J469*Country_Data!$EB$71</f>
        <v>1.25282721998158</v>
      </c>
      <c r="AO469" s="16" t="n">
        <f aca="false">L469*Country_Data!$EB$71</f>
        <v>0.30067853279558</v>
      </c>
    </row>
    <row r="470" customFormat="false" ht="15" hidden="false" customHeight="false" outlineLevel="0" collapsed="false">
      <c r="A470" s="14" t="str">
        <f aca="false">Country_Data!$A$71</f>
        <v>VEN</v>
      </c>
      <c r="B470" s="14" t="str">
        <f aca="false">Country_Data!$E$71</f>
        <v>EMDC</v>
      </c>
      <c r="C470" s="35" t="s">
        <v>477</v>
      </c>
      <c r="D470" s="37" t="n">
        <f aca="false">IF(Country_Data!$CB$71="","",Country_Data!$CB$71)</f>
        <v>0.139904617631643</v>
      </c>
      <c r="E470" s="40" t="n">
        <f aca="false">Country_Data!$BW$71</f>
        <v>227.633</v>
      </c>
      <c r="F470" s="41" t="n">
        <f aca="false">Country_Data!$BX$71</f>
        <v>0.529650797555715</v>
      </c>
      <c r="G470" s="42" t="n">
        <f aca="false">IF(D470="","",D470/SUMIFS($D$5:$D$1369,$B$5:$B$1369,B470,$C$5:$C$1369,C470))</f>
        <v>0.00441161860353066</v>
      </c>
      <c r="H470" s="42" t="n">
        <f aca="false">E470/SUMIFS($E$5:$E$1369,$B$5:$B$1369,B470,$C$5:$C$1369,C470)</f>
        <v>0.00281961688249835</v>
      </c>
      <c r="I470" s="43" t="n">
        <f aca="false">IF(G470="",H470,p_beta_alloc*G470+(1-p_beta_alloc)*H470)*F470^p_phi</f>
        <v>0.0026313421605383</v>
      </c>
      <c r="J470" s="16" t="n">
        <f aca="false">INDEX(Sector_Params!$C$19:$E$19,MATCH(B470,Sector_Params!$C$15:$E$15,0))*I470/SUMIFS($I$5:$I$1369,$B$5:$B$1369,B470,$C$5:$C$1369,C470)</f>
        <v>0.846930620137839</v>
      </c>
      <c r="K470" s="28" t="n">
        <f aca="false">INDEX(Sector_Params!$F$8:$H$8,MATCH(B470,Sector_Params!$C$15:$E$15,0))</f>
        <v>0.24</v>
      </c>
      <c r="L470" s="16" t="n">
        <f aca="false">J470*K470</f>
        <v>0.203263348833081</v>
      </c>
      <c r="M470" s="44" t="n">
        <f aca="false">Country_Data!$DW$71+Sector_Params!$E$8</f>
        <v>0.105</v>
      </c>
      <c r="N470" s="44" t="n">
        <f aca="false">Country_Data!$DX$71+Sector_Params!$E$8</f>
        <v>0.15</v>
      </c>
      <c r="O470" s="11" t="n">
        <f aca="false">IF(p_use_ibrd=1,p_r_ibrd,p_r_wb)</f>
        <v>0.06</v>
      </c>
      <c r="P470" s="45" t="n">
        <f aca="false">Sector_Params!$D$8</f>
        <v>25</v>
      </c>
      <c r="Q470" s="46" t="n">
        <f aca="false">M470/(1-(1+M470)^-P470)</f>
        <v>0.114429319813103</v>
      </c>
      <c r="R470" s="46" t="n">
        <f aca="false">N470/(1-(1+N470)^-P470)</f>
        <v>0.154699402320206</v>
      </c>
      <c r="S470" s="46" t="n">
        <f aca="false">O470/(1-(1+O470)^-P470)</f>
        <v>0.078226718212274</v>
      </c>
      <c r="T470" s="37" t="n">
        <f aca="false">Country_Data!$CM$71*Sector_Params!$I$8</f>
        <v>0.08761565967632</v>
      </c>
      <c r="U470" s="37" t="n">
        <f aca="false">Country_Data!$CN$71*Sector_Params!$J$8</f>
        <v>0.03225</v>
      </c>
      <c r="V470" s="37" t="n">
        <f aca="false">p_a</f>
        <v>0.35</v>
      </c>
      <c r="W470" s="16" t="n">
        <f aca="false">T470*L470</f>
        <v>0.0178090523960284</v>
      </c>
      <c r="X470" s="16" t="n">
        <f aca="false">U470*L470</f>
        <v>0.00655524299986688</v>
      </c>
      <c r="Y470" s="16" t="n">
        <f aca="false">V470*L470</f>
        <v>0.0711421720915785</v>
      </c>
      <c r="Z470" s="16" t="n">
        <f aca="false">Q470*L470</f>
        <v>0.0232592867499031</v>
      </c>
      <c r="AA470" s="16" t="n">
        <f aca="false">R470*L470</f>
        <v>0.0314447185780813</v>
      </c>
      <c r="AB470" s="16" t="n">
        <f aca="false">S470*L470</f>
        <v>0.0159006247120486</v>
      </c>
      <c r="AC470" s="16" t="n">
        <f aca="false">Z470-W470</f>
        <v>0.00545023435387467</v>
      </c>
      <c r="AD470" s="16" t="n">
        <f aca="false">AA470-W470</f>
        <v>0.0136356661820529</v>
      </c>
      <c r="AE470" s="16" t="n">
        <f aca="false">AB470-W470</f>
        <v>-0.00190842768397978</v>
      </c>
      <c r="AF470" s="16" t="n">
        <f aca="false">AE470-X470</f>
        <v>-0.00846367068384666</v>
      </c>
      <c r="AG470" s="16" t="n">
        <f aca="false">AF470-p_spc_lo*Y470/1000</f>
        <v>-0.0120207792884256</v>
      </c>
      <c r="AH470" s="16" t="n">
        <f aca="false">AF470-p_spc_hi*Y470/1000</f>
        <v>-0.0155778878930045</v>
      </c>
      <c r="AI470" s="16" t="n">
        <f aca="false">Q470*J470</f>
        <v>0.0969136947912627</v>
      </c>
      <c r="AJ470" s="16" t="n">
        <f aca="false">S470*J470</f>
        <v>0.0662526029668692</v>
      </c>
      <c r="AK470" s="16" t="n">
        <f aca="false">T470*J470</f>
        <v>0.0742043849834516</v>
      </c>
      <c r="AL470" s="16" t="n">
        <f aca="false">U470*J470</f>
        <v>0.0273135124994453</v>
      </c>
      <c r="AM470" s="16" t="n">
        <f aca="false">AI470-AJ470</f>
        <v>0.0306610918243935</v>
      </c>
      <c r="AN470" s="16" t="n">
        <f aca="false">J470*Country_Data!$EB$71</f>
        <v>0.972229944760972</v>
      </c>
      <c r="AO470" s="16" t="n">
        <f aca="false">L470*Country_Data!$EB$71</f>
        <v>0.233335186742633</v>
      </c>
    </row>
    <row r="471" customFormat="false" ht="15" hidden="false" customHeight="false" outlineLevel="0" collapsed="false">
      <c r="A471" s="14" t="str">
        <f aca="false">Country_Data!$A$71</f>
        <v>VEN</v>
      </c>
      <c r="B471" s="14" t="str">
        <f aca="false">Country_Data!$E$71</f>
        <v>EMDC</v>
      </c>
      <c r="C471" s="35" t="s">
        <v>481</v>
      </c>
      <c r="D471" s="37" t="n">
        <f aca="false">IF(Country_Data!$CC$71="","",Country_Data!$CC$71)</f>
        <v>0.551106259389703</v>
      </c>
      <c r="E471" s="40" t="n">
        <f aca="false">Country_Data!$BW$71</f>
        <v>227.633</v>
      </c>
      <c r="F471" s="41" t="n">
        <f aca="false">Country_Data!$BX$71</f>
        <v>0.529650797555715</v>
      </c>
      <c r="G471" s="42" t="n">
        <f aca="false">IF(D471="","",D471/SUMIFS($D$5:$D$1369,$B$5:$B$1369,B471,$C$5:$C$1369,C471))</f>
        <v>0.0078721303884696</v>
      </c>
      <c r="H471" s="42" t="n">
        <f aca="false">E471/SUMIFS($E$5:$E$1369,$B$5:$B$1369,B471,$C$5:$C$1369,C471)</f>
        <v>0.00281961688249835</v>
      </c>
      <c r="I471" s="43" t="n">
        <f aca="false">IF(G471="",H471,p_beta_alloc*G471+(1-p_beta_alloc)*H471)*F471^p_phi</f>
        <v>0.00389057242268952</v>
      </c>
      <c r="J471" s="16" t="n">
        <f aca="false">INDEX(Sector_Params!$C$20:$E$20,MATCH(B471,Sector_Params!$C$15:$E$15,0))*I471/SUMIFS($I$5:$I$1369,$B$5:$B$1369,B471,$C$5:$C$1369,C471)</f>
        <v>0.710107814270536</v>
      </c>
      <c r="K471" s="28" t="n">
        <f aca="false">INDEX(Sector_Params!$F$9:$H$9,MATCH(B471,Sector_Params!$C$15:$E$15,0))</f>
        <v>0.24</v>
      </c>
      <c r="L471" s="16" t="n">
        <f aca="false">J471*K471</f>
        <v>0.170425875424929</v>
      </c>
      <c r="M471" s="44" t="n">
        <f aca="false">Country_Data!$DW$71+Sector_Params!$E$9</f>
        <v>0.105</v>
      </c>
      <c r="N471" s="44" t="n">
        <f aca="false">Country_Data!$DX$71+Sector_Params!$E$9</f>
        <v>0.15</v>
      </c>
      <c r="O471" s="11" t="n">
        <f aca="false">IF(p_use_ibrd=1,p_r_ibrd,p_r_wb)</f>
        <v>0.06</v>
      </c>
      <c r="P471" s="45" t="n">
        <f aca="false">Sector_Params!$D$9</f>
        <v>25</v>
      </c>
      <c r="Q471" s="46" t="n">
        <f aca="false">M471/(1-(1+M471)^-P471)</f>
        <v>0.114429319813103</v>
      </c>
      <c r="R471" s="46" t="n">
        <f aca="false">N471/(1-(1+N471)^-P471)</f>
        <v>0.154699402320206</v>
      </c>
      <c r="S471" s="46" t="n">
        <f aca="false">O471/(1-(1+O471)^-P471)</f>
        <v>0.078226718212274</v>
      </c>
      <c r="T471" s="37" t="n">
        <f aca="false">Country_Data!$CM$71*Sector_Params!$I$9</f>
        <v>0.08761565967632</v>
      </c>
      <c r="U471" s="37" t="n">
        <f aca="false">Country_Data!$CN$71*Sector_Params!$J$9</f>
        <v>0.03225</v>
      </c>
      <c r="V471" s="37" t="n">
        <f aca="false">p_a</f>
        <v>0.35</v>
      </c>
      <c r="W471" s="16" t="n">
        <f aca="false">T471*L471</f>
        <v>0.0149319755012695</v>
      </c>
      <c r="X471" s="16" t="n">
        <f aca="false">U471*L471</f>
        <v>0.00549623448245395</v>
      </c>
      <c r="Y471" s="16" t="n">
        <f aca="false">V471*L471</f>
        <v>0.059649056398725</v>
      </c>
      <c r="Z471" s="16" t="n">
        <f aca="false">Q471*L471</f>
        <v>0.0195017170034273</v>
      </c>
      <c r="AA471" s="16" t="n">
        <f aca="false">R471*L471</f>
        <v>0.0263647810681344</v>
      </c>
      <c r="AB471" s="16" t="n">
        <f aca="false">S471*L471</f>
        <v>0.013331856932946</v>
      </c>
      <c r="AC471" s="16" t="n">
        <f aca="false">Z471-W471</f>
        <v>0.0045697415021578</v>
      </c>
      <c r="AD471" s="16" t="n">
        <f aca="false">AA471-W471</f>
        <v>0.011432805566865</v>
      </c>
      <c r="AE471" s="16" t="n">
        <f aca="false">AB471-W471</f>
        <v>-0.00160011856832347</v>
      </c>
      <c r="AF471" s="16" t="n">
        <f aca="false">AE471-X471</f>
        <v>-0.00709635305077741</v>
      </c>
      <c r="AG471" s="16" t="n">
        <f aca="false">AF471-p_spc_lo*Y471/1000</f>
        <v>-0.0100788058707137</v>
      </c>
      <c r="AH471" s="16" t="n">
        <f aca="false">AF471-p_spc_hi*Y471/1000</f>
        <v>-0.0130612586906499</v>
      </c>
      <c r="AI471" s="16" t="n">
        <f aca="false">Q471*J471</f>
        <v>0.0812571541809469</v>
      </c>
      <c r="AJ471" s="16" t="n">
        <f aca="false">S471*J471</f>
        <v>0.055549403887275</v>
      </c>
      <c r="AK471" s="16" t="n">
        <f aca="false">T471*J471</f>
        <v>0.0622165645886227</v>
      </c>
      <c r="AL471" s="16" t="n">
        <f aca="false">U471*J471</f>
        <v>0.0229009770102248</v>
      </c>
      <c r="AM471" s="16" t="n">
        <f aca="false">AI471-AJ471</f>
        <v>0.0257077502936719</v>
      </c>
      <c r="AN471" s="16" t="n">
        <f aca="false">J471*Country_Data!$EB$71</f>
        <v>0.815164860765355</v>
      </c>
      <c r="AO471" s="16" t="n">
        <f aca="false">L471*Country_Data!$EB$71</f>
        <v>0.195639566583685</v>
      </c>
    </row>
    <row r="472" customFormat="false" ht="15" hidden="false" customHeight="false" outlineLevel="0" collapsed="false">
      <c r="A472" s="14" t="str">
        <f aca="false">Country_Data!$A$71</f>
        <v>VEN</v>
      </c>
      <c r="B472" s="14" t="str">
        <f aca="false">Country_Data!$E$71</f>
        <v>EMDC</v>
      </c>
      <c r="C472" s="35" t="s">
        <v>484</v>
      </c>
      <c r="D472" s="37" t="n">
        <f aca="false">IF(Country_Data!$CD$71="","",Country_Data!$CD$71)</f>
        <v>1.06229157684202</v>
      </c>
      <c r="E472" s="40" t="n">
        <f aca="false">Country_Data!$BW$71</f>
        <v>227.633</v>
      </c>
      <c r="F472" s="41" t="n">
        <f aca="false">Country_Data!$BX$71</f>
        <v>0.529650797555715</v>
      </c>
      <c r="G472" s="42" t="n">
        <f aca="false">IF(D472="","",D472/SUMIFS($D$5:$D$1369,$B$5:$B$1369,B472,$C$5:$C$1369,C472))</f>
        <v>0.00593222424073181</v>
      </c>
      <c r="H472" s="42" t="n">
        <f aca="false">E472/SUMIFS($E$5:$E$1369,$B$5:$B$1369,B472,$C$5:$C$1369,C472)</f>
        <v>0.00281961688249835</v>
      </c>
      <c r="I472" s="43" t="n">
        <f aca="false">IF(G472="",H472,p_beta_alloc*G472+(1-p_beta_alloc)*H472)*F472^p_phi</f>
        <v>0.00318466859147118</v>
      </c>
      <c r="J472" s="16" t="n">
        <f aca="false">INDEX(Sector_Params!$C$21:$E$21,MATCH(B472,Sector_Params!$C$15:$E$15,0))*I472/SUMIFS($I$5:$I$1369,$B$5:$B$1369,B472,$C$5:$C$1369,C472)</f>
        <v>0.706327093589933</v>
      </c>
      <c r="K472" s="28" t="n">
        <f aca="false">INDEX(Sector_Params!$F$10:$H$10,MATCH(B472,Sector_Params!$C$15:$E$15,0))</f>
        <v>0.24</v>
      </c>
      <c r="L472" s="16" t="n">
        <f aca="false">J472*K472</f>
        <v>0.169518502461584</v>
      </c>
      <c r="M472" s="44" t="n">
        <f aca="false">Country_Data!$DW$71+Sector_Params!$E$10</f>
        <v>0.105</v>
      </c>
      <c r="N472" s="44" t="n">
        <f aca="false">Country_Data!$DX$71+Sector_Params!$E$10</f>
        <v>0.15</v>
      </c>
      <c r="O472" s="11" t="n">
        <f aca="false">IF(p_use_ibrd=1,p_r_ibrd,p_r_wb)</f>
        <v>0.06</v>
      </c>
      <c r="P472" s="45" t="n">
        <f aca="false">Sector_Params!$D$10</f>
        <v>20</v>
      </c>
      <c r="Q472" s="46" t="n">
        <f aca="false">M472/(1-(1+M472)^-P472)</f>
        <v>0.121493265267016</v>
      </c>
      <c r="R472" s="46" t="n">
        <f aca="false">N472/(1-(1+N472)^-P472)</f>
        <v>0.159761470405744</v>
      </c>
      <c r="S472" s="46" t="n">
        <f aca="false">O472/(1-(1+O472)^-P472)</f>
        <v>0.0871845569768514</v>
      </c>
      <c r="T472" s="37" t="n">
        <f aca="false">0*Sector_Params!$I$10</f>
        <v>0</v>
      </c>
      <c r="U472" s="37" t="n">
        <f aca="false">0*Sector_Params!$J$10</f>
        <v>0</v>
      </c>
      <c r="V472" s="37" t="n">
        <f aca="false">1000*p_r_wb/(1-(1+p_r_wb)^-Sector_Params!$D$10)/p_cpt_fuel</f>
        <v>0.871845569768514</v>
      </c>
      <c r="W472" s="16" t="n">
        <f aca="false">T472*L472</f>
        <v>0</v>
      </c>
      <c r="X472" s="16" t="n">
        <f aca="false">U472*L472</f>
        <v>0</v>
      </c>
      <c r="Y472" s="16" t="n">
        <f aca="false">V472*L472</f>
        <v>0.147793955364925</v>
      </c>
      <c r="Z472" s="16" t="n">
        <f aca="false">Q472*L472</f>
        <v>0.0205953563872325</v>
      </c>
      <c r="AA472" s="16" t="n">
        <f aca="false">R472*L472</f>
        <v>0.0270825252142423</v>
      </c>
      <c r="AB472" s="16" t="n">
        <f aca="false">S472*L472</f>
        <v>0.0147793955364925</v>
      </c>
      <c r="AC472" s="16" t="n">
        <f aca="false">Z472-W472</f>
        <v>0.0205953563872325</v>
      </c>
      <c r="AD472" s="16" t="n">
        <f aca="false">AA472-W472</f>
        <v>0.0270825252142423</v>
      </c>
      <c r="AE472" s="16" t="n">
        <f aca="false">AB472-W472</f>
        <v>0.0147793955364925</v>
      </c>
      <c r="AF472" s="16" t="n">
        <f aca="false">AE472-X472</f>
        <v>0.0147793955364925</v>
      </c>
      <c r="AG472" s="16" t="n">
        <f aca="false">AF472-p_spc_lo*Y472/1000</f>
        <v>0.00738969776824624</v>
      </c>
      <c r="AH472" s="16" t="n">
        <f aca="false">AF472-p_spc_hi*Y472/1000</f>
        <v>0</v>
      </c>
      <c r="AI472" s="16" t="n">
        <f aca="false">Q472*J472</f>
        <v>0.0858139849468022</v>
      </c>
      <c r="AJ472" s="16" t="n">
        <f aca="false">S472*J472</f>
        <v>0.0615808147353853</v>
      </c>
      <c r="AK472" s="16" t="n">
        <f aca="false">T472*J472</f>
        <v>0</v>
      </c>
      <c r="AL472" s="16" t="n">
        <f aca="false">U472*J472</f>
        <v>0</v>
      </c>
      <c r="AM472" s="16" t="n">
        <f aca="false">AI472-AJ472</f>
        <v>0.0242331702114169</v>
      </c>
      <c r="AN472" s="16" t="n">
        <f aca="false">J472*Country_Data!$EB$71</f>
        <v>0.810824800586799</v>
      </c>
      <c r="AO472" s="16" t="n">
        <f aca="false">L472*Country_Data!$EB$71</f>
        <v>0.194597952140832</v>
      </c>
    </row>
    <row r="473" customFormat="false" ht="15" hidden="false" customHeight="false" outlineLevel="0" collapsed="false">
      <c r="A473" s="14" t="str">
        <f aca="false">Country_Data!$A$71</f>
        <v>VEN</v>
      </c>
      <c r="B473" s="14" t="str">
        <f aca="false">Country_Data!$E$71</f>
        <v>EMDC</v>
      </c>
      <c r="C473" s="35" t="s">
        <v>488</v>
      </c>
      <c r="D473" s="37" t="n">
        <f aca="false">IF(Country_Data!$CE$71="","",Country_Data!$CE$71)</f>
        <v>113.767</v>
      </c>
      <c r="E473" s="40" t="n">
        <f aca="false">Country_Data!$BW$71</f>
        <v>227.633</v>
      </c>
      <c r="F473" s="41" t="n">
        <f aca="false">Country_Data!$BX$71</f>
        <v>0.529650797555715</v>
      </c>
      <c r="G473" s="42" t="n">
        <f aca="false">IF(D473="","",D473/SUMIFS($D$5:$D$1369,$B$5:$B$1369,B473,$C$5:$C$1369,C473))</f>
        <v>0.00932202348225311</v>
      </c>
      <c r="H473" s="42" t="n">
        <f aca="false">E473/SUMIFS($E$5:$E$1369,$B$5:$B$1369,B473,$C$5:$C$1369,C473)</f>
        <v>0.00281961688249835</v>
      </c>
      <c r="I473" s="43" t="n">
        <f aca="false">IF(G473="",H473,p_beta_alloc*G473+(1-p_beta_alloc)*H473)*F473^p_phi</f>
        <v>0.00441816758029666</v>
      </c>
      <c r="J473" s="16" t="n">
        <f aca="false">INDEX(Sector_Params!$C$22:$E$22,MATCH(B473,Sector_Params!$C$15:$E$15,0))*I473/SUMIFS($I$5:$I$1369,$B$5:$B$1369,B473,$C$5:$C$1369,C473)</f>
        <v>2.66330847795962</v>
      </c>
      <c r="K473" s="28" t="n">
        <f aca="false">INDEX(Sector_Params!$F$11:$H$11,MATCH(B473,Sector_Params!$C$15:$E$15,0))</f>
        <v>0.24</v>
      </c>
      <c r="L473" s="16" t="n">
        <f aca="false">J473*K473</f>
        <v>0.639194034710309</v>
      </c>
      <c r="M473" s="44" t="n">
        <f aca="false">Country_Data!$DW$71+Sector_Params!$E$11</f>
        <v>0.105</v>
      </c>
      <c r="N473" s="44" t="n">
        <f aca="false">Country_Data!$DX$71+Sector_Params!$E$11</f>
        <v>0.15</v>
      </c>
      <c r="O473" s="11" t="n">
        <f aca="false">IF(p_use_ibrd=1,p_r_ibrd,p_r_wb)</f>
        <v>0.06</v>
      </c>
      <c r="P473" s="45" t="n">
        <f aca="false">Sector_Params!$D$11</f>
        <v>30</v>
      </c>
      <c r="Q473" s="46" t="n">
        <f aca="false">M473/(1-(1+M473)^-P473)</f>
        <v>0.110528481529605</v>
      </c>
      <c r="R473" s="46" t="n">
        <f aca="false">N473/(1-(1+N473)^-P473)</f>
        <v>0.152300198192734</v>
      </c>
      <c r="S473" s="46" t="n">
        <f aca="false">O473/(1-(1+O473)^-P473)</f>
        <v>0.0726489114900472</v>
      </c>
      <c r="T473" s="37" t="n">
        <f aca="false">0*Sector_Params!$I$11</f>
        <v>0</v>
      </c>
      <c r="U473" s="37" t="n">
        <f aca="false">p_c*Sector_Params!$J$11</f>
        <v>0.129</v>
      </c>
      <c r="V473" s="37" t="n">
        <f aca="false">1000*p_r_wb/(1-(1+p_r_wb)^-Sector_Params!$D$11)/p_cpt_afolu</f>
        <v>1.45297822980094</v>
      </c>
      <c r="W473" s="16" t="n">
        <f aca="false">T473*L473</f>
        <v>0</v>
      </c>
      <c r="X473" s="16" t="n">
        <f aca="false">U473*L473</f>
        <v>0.0824560304776298</v>
      </c>
      <c r="Y473" s="16" t="n">
        <f aca="false">V473*L473</f>
        <v>0.928735017052707</v>
      </c>
      <c r="Z473" s="16" t="n">
        <f aca="false">Q473*L473</f>
        <v>0.0706491460593121</v>
      </c>
      <c r="AA473" s="16" t="n">
        <f aca="false">R473*L473</f>
        <v>0.0973493781699935</v>
      </c>
      <c r="AB473" s="16" t="n">
        <f aca="false">S473*L473</f>
        <v>0.0464367508526354</v>
      </c>
      <c r="AC473" s="16" t="n">
        <f aca="false">Z473-W473</f>
        <v>0.0706491460593121</v>
      </c>
      <c r="AD473" s="16" t="n">
        <f aca="false">AA473-W473</f>
        <v>0.0973493781699935</v>
      </c>
      <c r="AE473" s="16" t="n">
        <f aca="false">AB473-W473</f>
        <v>0.0464367508526354</v>
      </c>
      <c r="AF473" s="16" t="n">
        <f aca="false">AE473-X473</f>
        <v>-0.0360192796249944</v>
      </c>
      <c r="AG473" s="16" t="n">
        <f aca="false">AF473-p_spc_lo*Y473/1000</f>
        <v>-0.0824560304776298</v>
      </c>
      <c r="AH473" s="16" t="n">
        <f aca="false">AF473-p_spc_hi*Y473/1000</f>
        <v>-0.128892781330265</v>
      </c>
      <c r="AI473" s="16" t="n">
        <f aca="false">Q473*J473</f>
        <v>0.294371441913801</v>
      </c>
      <c r="AJ473" s="16" t="n">
        <f aca="false">S473*J473</f>
        <v>0.193486461885981</v>
      </c>
      <c r="AK473" s="16" t="n">
        <f aca="false">T473*J473</f>
        <v>0</v>
      </c>
      <c r="AL473" s="16" t="n">
        <f aca="false">U473*J473</f>
        <v>0.343566793656791</v>
      </c>
      <c r="AM473" s="16" t="n">
        <f aca="false">AI473-AJ473</f>
        <v>0.10088498002782</v>
      </c>
      <c r="AN473" s="16" t="n">
        <f aca="false">J473*Country_Data!$EB$71</f>
        <v>3.05733219798652</v>
      </c>
      <c r="AO473" s="16" t="n">
        <f aca="false">L473*Country_Data!$EB$71</f>
        <v>0.733759727516765</v>
      </c>
    </row>
    <row r="474" customFormat="false" ht="15" hidden="false" customHeight="false" outlineLevel="0" collapsed="false">
      <c r="A474" s="14" t="str">
        <f aca="false">Country_Data!$A$72</f>
        <v>AGO</v>
      </c>
      <c r="B474" s="14" t="str">
        <f aca="false">Country_Data!$E$72</f>
        <v>EMDC</v>
      </c>
      <c r="C474" s="35" t="s">
        <v>466</v>
      </c>
      <c r="D474" s="37" t="n">
        <f aca="false">IF(Country_Data!$BZ$72="","",Country_Data!$BZ$72)</f>
        <v>14.8189846427315</v>
      </c>
      <c r="E474" s="40" t="n">
        <f aca="false">Country_Data!$BW$72</f>
        <v>379.894</v>
      </c>
      <c r="F474" s="41" t="n">
        <f aca="false">Country_Data!$BX$72</f>
        <v>0.314756221472305</v>
      </c>
      <c r="G474" s="42" t="n">
        <f aca="false">IF(D474="","",D474/SUMIFS($D$5:$D$1369,$B$5:$B$1369,B474,$C$5:$C$1369,C474))</f>
        <v>0.00169176693170587</v>
      </c>
      <c r="H474" s="42" t="n">
        <f aca="false">E474/SUMIFS($E$5:$E$1369,$B$5:$B$1369,B474,$C$5:$C$1369,C474)</f>
        <v>0.00470562500147092</v>
      </c>
      <c r="I474" s="43" t="n">
        <f aca="false">IF(G474="",H474,p_beta_alloc*G474+(1-p_beta_alloc)*H474)*F474^p_phi</f>
        <v>0.00179456884690802</v>
      </c>
      <c r="J474" s="16" t="n">
        <f aca="false">INDEX(Sector_Params!$C$16:$E$16,MATCH(B474,Sector_Params!$C$15:$E$15,0))*I474/SUMIFS($I$5:$I$1369,$B$5:$B$1369,B474,$C$5:$C$1369,C474)</f>
        <v>1.73575248497225</v>
      </c>
      <c r="K474" s="28" t="n">
        <f aca="false">INDEX(Sector_Params!$F$5:$H$5,MATCH(B474,Sector_Params!$C$15:$E$15,0))</f>
        <v>0.24</v>
      </c>
      <c r="L474" s="16" t="n">
        <f aca="false">J474*K474</f>
        <v>0.416580596393339</v>
      </c>
      <c r="M474" s="44" t="n">
        <f aca="false">Country_Data!$DW$72+Sector_Params!$E$5</f>
        <v>0.105</v>
      </c>
      <c r="N474" s="44" t="n">
        <f aca="false">Country_Data!$DX$72+Sector_Params!$E$5</f>
        <v>0.15</v>
      </c>
      <c r="O474" s="11" t="n">
        <f aca="false">IF(p_use_ibrd=1,p_r_ibrd,p_r_wb)</f>
        <v>0.06</v>
      </c>
      <c r="P474" s="45" t="n">
        <f aca="false">Sector_Params!$D$5</f>
        <v>25</v>
      </c>
      <c r="Q474" s="46" t="n">
        <f aca="false">M474/(1-(1+M474)^-P474)</f>
        <v>0.114429319813103</v>
      </c>
      <c r="R474" s="46" t="n">
        <f aca="false">N474/(1-(1+N474)^-P474)</f>
        <v>0.154699402320206</v>
      </c>
      <c r="S474" s="46" t="n">
        <f aca="false">O474/(1-(1+O474)^-P474)</f>
        <v>0.078226718212274</v>
      </c>
      <c r="T474" s="37" t="n">
        <f aca="false">IF(AND(p_eng=1,ISNUMBER(Country_Data!$CZ$72)),Country_Data!$CZ$72,Country_Data!$CM$72)*Sector_Params!$I$5</f>
        <v>0.0506700688988249</v>
      </c>
      <c r="U474" s="37" t="n">
        <f aca="false">IF(AND(p_eng=1,ISNUMBER(Country_Data!$DA$72)),Country_Data!$DA$72,Country_Data!$CN$72)*Sector_Params!$J$5</f>
        <v>0.00239813749199712</v>
      </c>
      <c r="V474" s="37" t="n">
        <f aca="false">IF(AND(p_eng=1,ISNUMBER(Country_Data!$DB$72)),Country_Data!$DB$72,p_a)</f>
        <v>0.410857505963267</v>
      </c>
      <c r="W474" s="16" t="n">
        <f aca="false">T474*L474</f>
        <v>0.021108167521164</v>
      </c>
      <c r="X474" s="16" t="n">
        <f aca="false">U474*L474</f>
        <v>0.000999017546649387</v>
      </c>
      <c r="Y474" s="16" t="n">
        <f aca="false">V474*L474</f>
        <v>0.171155264866858</v>
      </c>
      <c r="Z474" s="16" t="n">
        <f aca="false">Q474*L474</f>
        <v>0.0476690342926267</v>
      </c>
      <c r="AA474" s="16" t="n">
        <f aca="false">R474*L474</f>
        <v>0.0644447692802447</v>
      </c>
      <c r="AB474" s="16" t="n">
        <f aca="false">S474*L474</f>
        <v>0.0325877329267628</v>
      </c>
      <c r="AC474" s="16" t="n">
        <f aca="false">Z474-W474</f>
        <v>0.0265608667714627</v>
      </c>
      <c r="AD474" s="16" t="n">
        <f aca="false">AA474-W474</f>
        <v>0.0433366017590807</v>
      </c>
      <c r="AE474" s="16" t="n">
        <f aca="false">AB474-W474</f>
        <v>0.0114795654055987</v>
      </c>
      <c r="AF474" s="16" t="n">
        <f aca="false">AE474-X474</f>
        <v>0.0104805478589493</v>
      </c>
      <c r="AG474" s="16" t="n">
        <f aca="false">AF474-p_spc_lo*Y474/1000</f>
        <v>0.00192278461560646</v>
      </c>
      <c r="AH474" s="16" t="n">
        <f aca="false">AF474-p_spc_hi*Y474/1000</f>
        <v>-0.00663497862773642</v>
      </c>
      <c r="AI474" s="16" t="n">
        <f aca="false">Q474*J474</f>
        <v>0.198620976219278</v>
      </c>
      <c r="AJ474" s="16" t="n">
        <f aca="false">S474*J474</f>
        <v>0.135782220528178</v>
      </c>
      <c r="AK474" s="16" t="n">
        <f aca="false">T474*J474</f>
        <v>0.0879506980048502</v>
      </c>
      <c r="AL474" s="16" t="n">
        <f aca="false">U474*J474</f>
        <v>0.00416257311103911</v>
      </c>
      <c r="AM474" s="16" t="n">
        <f aca="false">AI474-AJ474</f>
        <v>0.0628387556910998</v>
      </c>
      <c r="AN474" s="16" t="n">
        <f aca="false">J474*Country_Data!$EB$72</f>
        <v>1.99254874302294</v>
      </c>
      <c r="AO474" s="16" t="n">
        <f aca="false">L474*Country_Data!$EB$72</f>
        <v>0.478211698325505</v>
      </c>
    </row>
    <row r="475" customFormat="false" ht="15" hidden="false" customHeight="false" outlineLevel="0" collapsed="false">
      <c r="A475" s="14" t="str">
        <f aca="false">Country_Data!$A$72</f>
        <v>AGO</v>
      </c>
      <c r="B475" s="14" t="str">
        <f aca="false">Country_Data!$E$72</f>
        <v>EMDC</v>
      </c>
      <c r="C475" s="35" t="s">
        <v>470</v>
      </c>
      <c r="D475" s="37" t="n">
        <f aca="false">IF(Country_Data!$BZ$72="","",Country_Data!$BZ$72)</f>
        <v>14.8189846427315</v>
      </c>
      <c r="E475" s="40" t="n">
        <f aca="false">Country_Data!$BW$72</f>
        <v>379.894</v>
      </c>
      <c r="F475" s="41" t="n">
        <f aca="false">Country_Data!$BX$72</f>
        <v>0.314756221472305</v>
      </c>
      <c r="G475" s="42" t="n">
        <f aca="false">IF(D475="","",D475/SUMIFS($D$5:$D$1369,$B$5:$B$1369,B475,$C$5:$C$1369,C475))</f>
        <v>0.00169176693170587</v>
      </c>
      <c r="H475" s="42" t="n">
        <f aca="false">E475/SUMIFS($E$5:$E$1369,$B$5:$B$1369,B475,$C$5:$C$1369,C475)</f>
        <v>0.00470562500147092</v>
      </c>
      <c r="I475" s="43" t="n">
        <f aca="false">IF(G475="",H475,p_beta_alloc*G475+(1-p_beta_alloc)*H475)*F475^p_phi</f>
        <v>0.00179456884690802</v>
      </c>
      <c r="J475" s="16" t="n">
        <f aca="false">INDEX(Sector_Params!$C$17:$E$17,MATCH(B475,Sector_Params!$C$15:$E$15,0))*I475/SUMIFS($I$5:$I$1369,$B$5:$B$1369,B475,$C$5:$C$1369,C475)</f>
        <v>1.19023027540954</v>
      </c>
      <c r="K475" s="28" t="n">
        <f aca="false">INDEX(Sector_Params!$F$6:$H$6,MATCH(B475,Sector_Params!$C$15:$E$15,0))</f>
        <v>0.24</v>
      </c>
      <c r="L475" s="16" t="n">
        <f aca="false">J475*K475</f>
        <v>0.28565526609829</v>
      </c>
      <c r="M475" s="44" t="n">
        <f aca="false">Country_Data!$DW$72+Sector_Params!$E$6</f>
        <v>0.105</v>
      </c>
      <c r="N475" s="44" t="n">
        <f aca="false">Country_Data!$DX$72+Sector_Params!$E$6</f>
        <v>0.15</v>
      </c>
      <c r="O475" s="11" t="n">
        <f aca="false">IF(p_use_ibrd=1,p_r_ibrd,p_r_wb)</f>
        <v>0.06</v>
      </c>
      <c r="P475" s="45" t="n">
        <f aca="false">Sector_Params!$D$6</f>
        <v>40</v>
      </c>
      <c r="Q475" s="46" t="n">
        <f aca="false">M475/(1-(1+M475)^-P475)</f>
        <v>0.10697140835497</v>
      </c>
      <c r="R475" s="46" t="n">
        <f aca="false">N475/(1-(1+N475)^-P475)</f>
        <v>0.150562085013545</v>
      </c>
      <c r="S475" s="46" t="n">
        <f aca="false">O475/(1-(1+O475)^-P475)</f>
        <v>0.0664615359206755</v>
      </c>
      <c r="T475" s="37" t="n">
        <f aca="false">p_grid_credit*IF(AND(p_eng=1,ISNUMBER(Country_Data!$CZ$72)),Country_Data!$CZ$72,Country_Data!$CM$72)*Sector_Params!$I$6</f>
        <v>0</v>
      </c>
      <c r="U475" s="37" t="n">
        <f aca="false">p_grid_credit*IF(AND(p_eng=1,ISNUMBER(Country_Data!$DA$72)),Country_Data!$DA$72,Country_Data!$CN$72)*Sector_Params!$J$6</f>
        <v>0</v>
      </c>
      <c r="V475" s="37" t="n">
        <f aca="false">p_grid_credit*IF(AND(p_eng=1,ISNUMBER(Country_Data!$DB$72)),Country_Data!$DB$72,p_a)</f>
        <v>0</v>
      </c>
      <c r="W475" s="16" t="n">
        <f aca="false">T475*L475</f>
        <v>0</v>
      </c>
      <c r="X475" s="16" t="n">
        <f aca="false">U475*L475</f>
        <v>0</v>
      </c>
      <c r="Y475" s="16" t="n">
        <f aca="false">V475*L475</f>
        <v>0</v>
      </c>
      <c r="Z475" s="16" t="n">
        <f aca="false">Q475*L475</f>
        <v>0.0305569461185479</v>
      </c>
      <c r="AA475" s="16" t="n">
        <f aca="false">R475*L475</f>
        <v>0.0430088524588575</v>
      </c>
      <c r="AB475" s="16" t="n">
        <f aca="false">S475*L475</f>
        <v>0.0189850877287216</v>
      </c>
      <c r="AC475" s="16" t="n">
        <f aca="false">Z475-W475</f>
        <v>0.0305569461185479</v>
      </c>
      <c r="AD475" s="16" t="n">
        <f aca="false">AA475-W475</f>
        <v>0.0430088524588575</v>
      </c>
      <c r="AE475" s="16" t="n">
        <f aca="false">AB475-W475</f>
        <v>0.0189850877287216</v>
      </c>
      <c r="AF475" s="16" t="n">
        <f aca="false">AE475-X475</f>
        <v>0.0189850877287216</v>
      </c>
      <c r="AG475" s="16" t="n">
        <f aca="false">AF475-p_spc_lo*Y475/1000</f>
        <v>0.0189850877287216</v>
      </c>
      <c r="AH475" s="16" t="n">
        <f aca="false">AF475-p_spc_hi*Y475/1000</f>
        <v>0.0189850877287216</v>
      </c>
      <c r="AI475" s="16" t="n">
        <f aca="false">Q475*J475</f>
        <v>0.127320608827283</v>
      </c>
      <c r="AJ475" s="16" t="n">
        <f aca="false">S475*J475</f>
        <v>0.0791045322030067</v>
      </c>
      <c r="AK475" s="16" t="n">
        <f aca="false">T475*J475</f>
        <v>0</v>
      </c>
      <c r="AL475" s="16" t="n">
        <f aca="false">U475*J475</f>
        <v>0</v>
      </c>
      <c r="AM475" s="16" t="n">
        <f aca="false">AI475-AJ475</f>
        <v>0.0482160766242761</v>
      </c>
      <c r="AN475" s="16" t="n">
        <f aca="false">J475*Country_Data!$EB$72</f>
        <v>1.36631913807287</v>
      </c>
      <c r="AO475" s="16" t="n">
        <f aca="false">L475*Country_Data!$EB$72</f>
        <v>0.327916593137489</v>
      </c>
    </row>
    <row r="476" customFormat="false" ht="15" hidden="false" customHeight="false" outlineLevel="0" collapsed="false">
      <c r="A476" s="14" t="str">
        <f aca="false">Country_Data!$A$72</f>
        <v>AGO</v>
      </c>
      <c r="B476" s="14" t="str">
        <f aca="false">Country_Data!$E$72</f>
        <v>EMDC</v>
      </c>
      <c r="C476" s="35" t="s">
        <v>473</v>
      </c>
      <c r="D476" s="37" t="n">
        <f aca="false">IF(Country_Data!$CA$72="","",Country_Data!$CA$72)</f>
        <v>0.123187211206552</v>
      </c>
      <c r="E476" s="40" t="n">
        <f aca="false">Country_Data!$BW$72</f>
        <v>379.894</v>
      </c>
      <c r="F476" s="41" t="n">
        <f aca="false">Country_Data!$BX$72</f>
        <v>0.314756221472305</v>
      </c>
      <c r="G476" s="42" t="n">
        <f aca="false">IF(D476="","",D476/SUMIFS($D$5:$D$1369,$B$5:$B$1369,B476,$C$5:$C$1369,C476))</f>
        <v>0.00284591120033084</v>
      </c>
      <c r="H476" s="42" t="n">
        <f aca="false">E476/SUMIFS($E$5:$E$1369,$B$5:$B$1369,B476,$C$5:$C$1369,C476)</f>
        <v>0.00470562500147092</v>
      </c>
      <c r="I476" s="43" t="n">
        <f aca="false">IF(G476="",H476,p_beta_alloc*G476+(1-p_beta_alloc)*H476)*F476^p_phi</f>
        <v>0.00211832442901807</v>
      </c>
      <c r="J476" s="16" t="n">
        <f aca="false">INDEX(Sector_Params!$C$18:$E$18,MATCH(B476,Sector_Params!$C$15:$E$15,0))*I476/SUMIFS($I$5:$I$1369,$B$5:$B$1369,B476,$C$5:$C$1369,C476)</f>
        <v>0.867403731554574</v>
      </c>
      <c r="K476" s="28" t="n">
        <f aca="false">INDEX(Sector_Params!$F$7:$H$7,MATCH(B476,Sector_Params!$C$15:$E$15,0))</f>
        <v>0.24</v>
      </c>
      <c r="L476" s="16" t="n">
        <f aca="false">J476*K476</f>
        <v>0.208176895573098</v>
      </c>
      <c r="M476" s="44" t="n">
        <f aca="false">Country_Data!$DW$72+Sector_Params!$E$7</f>
        <v>0.105</v>
      </c>
      <c r="N476" s="44" t="n">
        <f aca="false">Country_Data!$DX$72+Sector_Params!$E$7</f>
        <v>0.15</v>
      </c>
      <c r="O476" s="11" t="n">
        <f aca="false">IF(p_use_ibrd=1,p_r_ibrd,p_r_wb)</f>
        <v>0.06</v>
      </c>
      <c r="P476" s="45" t="n">
        <f aca="false">Sector_Params!$D$7</f>
        <v>12</v>
      </c>
      <c r="Q476" s="46" t="n">
        <f aca="false">M476/(1-(1+M476)^-P476)</f>
        <v>0.150376745634766</v>
      </c>
      <c r="R476" s="46" t="n">
        <f aca="false">N476/(1-(1+N476)^-P476)</f>
        <v>0.18448077613084</v>
      </c>
      <c r="S476" s="46" t="n">
        <f aca="false">O476/(1-(1+O476)^-P476)</f>
        <v>0.119277029380664</v>
      </c>
      <c r="T476" s="37" t="n">
        <f aca="false">IF(AND(p_eng=1,ISNUMBER(Country_Data!$DE$72)),Country_Data!$DE$72,Country_Data!$CM$72)*Sector_Params!$I$7</f>
        <v>0.143556525</v>
      </c>
      <c r="U476" s="37" t="n">
        <f aca="false">IF(AND(p_eng=1,ISNUMBER(Country_Data!$DF$72)),Country_Data!$DF$72,Country_Data!$CN$72)*Sector_Params!$J$7</f>
        <v>0.00507195</v>
      </c>
      <c r="V476" s="37" t="n">
        <f aca="false">IF(AND(p_eng=1,ISNUMBER(Country_Data!$DG$72)),Country_Data!$DG$72,p_a)</f>
        <v>0.436855315266196</v>
      </c>
      <c r="W476" s="16" t="n">
        <f aca="false">T476*L476</f>
        <v>0.0298851517137618</v>
      </c>
      <c r="X476" s="16" t="n">
        <f aca="false">U476*L476</f>
        <v>0.00105586280550197</v>
      </c>
      <c r="Y476" s="16" t="n">
        <f aca="false">V476*L476</f>
        <v>0.0909431833467237</v>
      </c>
      <c r="Z476" s="16" t="n">
        <f aca="false">Q476*L476</f>
        <v>0.0313049640726309</v>
      </c>
      <c r="AA476" s="16" t="n">
        <f aca="false">R476*L476</f>
        <v>0.0384046352678338</v>
      </c>
      <c r="AB476" s="16" t="n">
        <f aca="false">S476*L476</f>
        <v>0.0248307216896477</v>
      </c>
      <c r="AC476" s="16" t="n">
        <f aca="false">Z476-W476</f>
        <v>0.00141981235886911</v>
      </c>
      <c r="AD476" s="16" t="n">
        <f aca="false">AA476-W476</f>
        <v>0.00851948355407202</v>
      </c>
      <c r="AE476" s="16" t="n">
        <f aca="false">AB476-W476</f>
        <v>-0.00505443002411409</v>
      </c>
      <c r="AF476" s="16" t="n">
        <f aca="false">AE476-X476</f>
        <v>-0.00611029282961607</v>
      </c>
      <c r="AG476" s="16" t="n">
        <f aca="false">AF476-p_spc_lo*Y476/1000</f>
        <v>-0.0106574519969522</v>
      </c>
      <c r="AH476" s="16" t="n">
        <f aca="false">AF476-p_spc_hi*Y476/1000</f>
        <v>-0.0152046111642884</v>
      </c>
      <c r="AI476" s="16" t="n">
        <f aca="false">Q476*J476</f>
        <v>0.130437350302629</v>
      </c>
      <c r="AJ476" s="16" t="n">
        <f aca="false">S476*J476</f>
        <v>0.103461340373532</v>
      </c>
      <c r="AK476" s="16" t="n">
        <f aca="false">T476*J476</f>
        <v>0.124521465474008</v>
      </c>
      <c r="AL476" s="16" t="n">
        <f aca="false">U476*J476</f>
        <v>0.00439942835625822</v>
      </c>
      <c r="AM476" s="16" t="n">
        <f aca="false">AI476-AJ476</f>
        <v>0.0269760099290967</v>
      </c>
      <c r="AN476" s="16" t="n">
        <f aca="false">J476*Country_Data!$EB$72</f>
        <v>0.995731954853059</v>
      </c>
      <c r="AO476" s="16" t="n">
        <f aca="false">L476*Country_Data!$EB$72</f>
        <v>0.238975669164734</v>
      </c>
    </row>
    <row r="477" customFormat="false" ht="15" hidden="false" customHeight="false" outlineLevel="0" collapsed="false">
      <c r="A477" s="14" t="str">
        <f aca="false">Country_Data!$A$72</f>
        <v>AGO</v>
      </c>
      <c r="B477" s="14" t="str">
        <f aca="false">Country_Data!$E$72</f>
        <v>EMDC</v>
      </c>
      <c r="C477" s="35" t="s">
        <v>477</v>
      </c>
      <c r="D477" s="37" t="n">
        <f aca="false">IF(Country_Data!$CB$72="","",Country_Data!$CB$72)</f>
        <v>0.121907049970425</v>
      </c>
      <c r="E477" s="40" t="n">
        <f aca="false">Country_Data!$BW$72</f>
        <v>379.894</v>
      </c>
      <c r="F477" s="41" t="n">
        <f aca="false">Country_Data!$BX$72</f>
        <v>0.314756221472305</v>
      </c>
      <c r="G477" s="42" t="n">
        <f aca="false">IF(D477="","",D477/SUMIFS($D$5:$D$1369,$B$5:$B$1369,B477,$C$5:$C$1369,C477))</f>
        <v>0.00384410049257323</v>
      </c>
      <c r="H477" s="42" t="n">
        <f aca="false">E477/SUMIFS($E$5:$E$1369,$B$5:$B$1369,B477,$C$5:$C$1369,C477)</f>
        <v>0.00470562500147092</v>
      </c>
      <c r="I477" s="43" t="n">
        <f aca="false">IF(G477="",H477,p_beta_alloc*G477+(1-p_beta_alloc)*H477)*F477^p_phi</f>
        <v>0.00239833219247642</v>
      </c>
      <c r="J477" s="16" t="n">
        <f aca="false">INDEX(Sector_Params!$C$19:$E$19,MATCH(B477,Sector_Params!$C$15:$E$15,0))*I477/SUMIFS($I$5:$I$1369,$B$5:$B$1369,B477,$C$5:$C$1369,C477)</f>
        <v>0.771933426801122</v>
      </c>
      <c r="K477" s="28" t="n">
        <f aca="false">INDEX(Sector_Params!$F$8:$H$8,MATCH(B477,Sector_Params!$C$15:$E$15,0))</f>
        <v>0.24</v>
      </c>
      <c r="L477" s="16" t="n">
        <f aca="false">J477*K477</f>
        <v>0.185264022432269</v>
      </c>
      <c r="M477" s="44" t="n">
        <f aca="false">Country_Data!$DW$72+Sector_Params!$E$8</f>
        <v>0.105</v>
      </c>
      <c r="N477" s="44" t="n">
        <f aca="false">Country_Data!$DX$72+Sector_Params!$E$8</f>
        <v>0.15</v>
      </c>
      <c r="O477" s="11" t="n">
        <f aca="false">IF(p_use_ibrd=1,p_r_ibrd,p_r_wb)</f>
        <v>0.06</v>
      </c>
      <c r="P477" s="45" t="n">
        <f aca="false">Sector_Params!$D$8</f>
        <v>25</v>
      </c>
      <c r="Q477" s="46" t="n">
        <f aca="false">M477/(1-(1+M477)^-P477)</f>
        <v>0.114429319813103</v>
      </c>
      <c r="R477" s="46" t="n">
        <f aca="false">N477/(1-(1+N477)^-P477)</f>
        <v>0.154699402320206</v>
      </c>
      <c r="S477" s="46" t="n">
        <f aca="false">O477/(1-(1+O477)^-P477)</f>
        <v>0.078226718212274</v>
      </c>
      <c r="T477" s="37" t="n">
        <f aca="false">Country_Data!$CM$72*Sector_Params!$I$8</f>
        <v>0.212950754413299</v>
      </c>
      <c r="U477" s="37" t="n">
        <f aca="false">Country_Data!$CN$72*Sector_Params!$J$8</f>
        <v>0.0331142835464474</v>
      </c>
      <c r="V477" s="37" t="n">
        <f aca="false">p_a</f>
        <v>0.35</v>
      </c>
      <c r="W477" s="16" t="n">
        <f aca="false">T477*L477</f>
        <v>0.0394521133425941</v>
      </c>
      <c r="X477" s="16" t="n">
        <f aca="false">U477*L477</f>
        <v>0.00613488536977755</v>
      </c>
      <c r="Y477" s="16" t="n">
        <f aca="false">V477*L477</f>
        <v>0.0648424078512942</v>
      </c>
      <c r="Z477" s="16" t="n">
        <f aca="false">Q477*L477</f>
        <v>0.0211996360727641</v>
      </c>
      <c r="AA477" s="16" t="n">
        <f aca="false">R477*L477</f>
        <v>0.0286602335417094</v>
      </c>
      <c r="AB477" s="16" t="n">
        <f aca="false">S477*L477</f>
        <v>0.0144925964776815</v>
      </c>
      <c r="AC477" s="16" t="n">
        <f aca="false">Z477-W477</f>
        <v>-0.0182524772698301</v>
      </c>
      <c r="AD477" s="16" t="n">
        <f aca="false">AA477-W477</f>
        <v>-0.0107918798008848</v>
      </c>
      <c r="AE477" s="16" t="n">
        <f aca="false">AB477-W477</f>
        <v>-0.0249595168649126</v>
      </c>
      <c r="AF477" s="16" t="n">
        <f aca="false">AE477-X477</f>
        <v>-0.0310944022346902</v>
      </c>
      <c r="AG477" s="16" t="n">
        <f aca="false">AF477-p_spc_lo*Y477/1000</f>
        <v>-0.0343365226272549</v>
      </c>
      <c r="AH477" s="16" t="n">
        <f aca="false">AF477-p_spc_hi*Y477/1000</f>
        <v>-0.0375786430198196</v>
      </c>
      <c r="AI477" s="16" t="n">
        <f aca="false">Q477*J477</f>
        <v>0.0883318169698504</v>
      </c>
      <c r="AJ477" s="16" t="n">
        <f aca="false">S477*J477</f>
        <v>0.0603858186570064</v>
      </c>
      <c r="AK477" s="16" t="n">
        <f aca="false">T477*J477</f>
        <v>0.164383805594142</v>
      </c>
      <c r="AL477" s="16" t="n">
        <f aca="false">U477*J477</f>
        <v>0.0255620223740731</v>
      </c>
      <c r="AM477" s="16" t="n">
        <f aca="false">AI477-AJ477</f>
        <v>0.027945998312844</v>
      </c>
      <c r="AN477" s="16" t="n">
        <f aca="false">J477*Country_Data!$EB$72</f>
        <v>0.886137276245671</v>
      </c>
      <c r="AO477" s="16" t="n">
        <f aca="false">L477*Country_Data!$EB$72</f>
        <v>0.212672946298961</v>
      </c>
    </row>
    <row r="478" customFormat="false" ht="15" hidden="false" customHeight="false" outlineLevel="0" collapsed="false">
      <c r="A478" s="14" t="str">
        <f aca="false">Country_Data!$A$72</f>
        <v>AGO</v>
      </c>
      <c r="B478" s="14" t="str">
        <f aca="false">Country_Data!$E$72</f>
        <v>EMDC</v>
      </c>
      <c r="C478" s="35" t="s">
        <v>481</v>
      </c>
      <c r="D478" s="37" t="n">
        <f aca="false">IF(Country_Data!$CC$72="","",Country_Data!$CC$72)</f>
        <v>0.0508442404731375</v>
      </c>
      <c r="E478" s="40" t="n">
        <f aca="false">Country_Data!$BW$72</f>
        <v>379.894</v>
      </c>
      <c r="F478" s="41" t="n">
        <f aca="false">Country_Data!$BX$72</f>
        <v>0.314756221472305</v>
      </c>
      <c r="G478" s="42" t="n">
        <f aca="false">IF(D478="","",D478/SUMIFS($D$5:$D$1369,$B$5:$B$1369,B478,$C$5:$C$1369,C478))</f>
        <v>0.000726270993456839</v>
      </c>
      <c r="H478" s="42" t="n">
        <f aca="false">E478/SUMIFS($E$5:$E$1369,$B$5:$B$1369,B478,$C$5:$C$1369,C478)</f>
        <v>0.00470562500147092</v>
      </c>
      <c r="I478" s="43" t="n">
        <f aca="false">IF(G478="",H478,p_beta_alloc*G478+(1-p_beta_alloc)*H478)*F478^p_phi</f>
        <v>0.0015237320823802</v>
      </c>
      <c r="J478" s="16" t="n">
        <f aca="false">INDEX(Sector_Params!$C$20:$E$20,MATCH(B478,Sector_Params!$C$15:$E$15,0))*I478/SUMIFS($I$5:$I$1369,$B$5:$B$1369,B478,$C$5:$C$1369,C478)</f>
        <v>0.278111789474133</v>
      </c>
      <c r="K478" s="28" t="n">
        <f aca="false">INDEX(Sector_Params!$F$9:$H$9,MATCH(B478,Sector_Params!$C$15:$E$15,0))</f>
        <v>0.24</v>
      </c>
      <c r="L478" s="16" t="n">
        <f aca="false">J478*K478</f>
        <v>0.066746829473792</v>
      </c>
      <c r="M478" s="44" t="n">
        <f aca="false">Country_Data!$DW$72+Sector_Params!$E$9</f>
        <v>0.105</v>
      </c>
      <c r="N478" s="44" t="n">
        <f aca="false">Country_Data!$DX$72+Sector_Params!$E$9</f>
        <v>0.15</v>
      </c>
      <c r="O478" s="11" t="n">
        <f aca="false">IF(p_use_ibrd=1,p_r_ibrd,p_r_wb)</f>
        <v>0.06</v>
      </c>
      <c r="P478" s="45" t="n">
        <f aca="false">Sector_Params!$D$9</f>
        <v>25</v>
      </c>
      <c r="Q478" s="46" t="n">
        <f aca="false">M478/(1-(1+M478)^-P478)</f>
        <v>0.114429319813103</v>
      </c>
      <c r="R478" s="46" t="n">
        <f aca="false">N478/(1-(1+N478)^-P478)</f>
        <v>0.154699402320206</v>
      </c>
      <c r="S478" s="46" t="n">
        <f aca="false">O478/(1-(1+O478)^-P478)</f>
        <v>0.078226718212274</v>
      </c>
      <c r="T478" s="37" t="n">
        <f aca="false">Country_Data!$CM$72*Sector_Params!$I$9</f>
        <v>0.212950754413299</v>
      </c>
      <c r="U478" s="37" t="n">
        <f aca="false">Country_Data!$CN$72*Sector_Params!$J$9</f>
        <v>0.0331142835464474</v>
      </c>
      <c r="V478" s="37" t="n">
        <f aca="false">p_a</f>
        <v>0.35</v>
      </c>
      <c r="W478" s="16" t="n">
        <f aca="false">T478*L478</f>
        <v>0.0142137876911399</v>
      </c>
      <c r="X478" s="16" t="n">
        <f aca="false">U478*L478</f>
        <v>0.00221027343702152</v>
      </c>
      <c r="Y478" s="16" t="n">
        <f aca="false">V478*L478</f>
        <v>0.0233613903158272</v>
      </c>
      <c r="Z478" s="16" t="n">
        <f aca="false">Q478*L478</f>
        <v>0.00763779429636722</v>
      </c>
      <c r="AA478" s="16" t="n">
        <f aca="false">R478*L478</f>
        <v>0.0103256946263644</v>
      </c>
      <c r="AB478" s="16" t="n">
        <f aca="false">S478*L478</f>
        <v>0.00522138542080903</v>
      </c>
      <c r="AC478" s="16" t="n">
        <f aca="false">Z478-W478</f>
        <v>-0.00657599339477263</v>
      </c>
      <c r="AD478" s="16" t="n">
        <f aca="false">AA478-W478</f>
        <v>-0.00388809306477549</v>
      </c>
      <c r="AE478" s="16" t="n">
        <f aca="false">AB478-W478</f>
        <v>-0.00899240227033082</v>
      </c>
      <c r="AF478" s="16" t="n">
        <f aca="false">AE478-X478</f>
        <v>-0.0112026757073523</v>
      </c>
      <c r="AG478" s="16" t="n">
        <f aca="false">AF478-p_spc_lo*Y478/1000</f>
        <v>-0.0123707452231437</v>
      </c>
      <c r="AH478" s="16" t="n">
        <f aca="false">AF478-p_spc_hi*Y478/1000</f>
        <v>-0.0135388147389351</v>
      </c>
      <c r="AI478" s="16" t="n">
        <f aca="false">Q478*J478</f>
        <v>0.0318241429015301</v>
      </c>
      <c r="AJ478" s="16" t="n">
        <f aca="false">S478*J478</f>
        <v>0.0217557725867043</v>
      </c>
      <c r="AK478" s="16" t="n">
        <f aca="false">T478*J478</f>
        <v>0.0592241153797494</v>
      </c>
      <c r="AL478" s="16" t="n">
        <f aca="false">U478*J478</f>
        <v>0.00920947265425633</v>
      </c>
      <c r="AM478" s="16" t="n">
        <f aca="false">AI478-AJ478</f>
        <v>0.0100683703148258</v>
      </c>
      <c r="AN478" s="16" t="n">
        <f aca="false">J478*Country_Data!$EB$72</f>
        <v>0.319257095314142</v>
      </c>
      <c r="AO478" s="16" t="n">
        <f aca="false">L478*Country_Data!$EB$72</f>
        <v>0.0766217028753942</v>
      </c>
    </row>
    <row r="479" customFormat="false" ht="15" hidden="false" customHeight="false" outlineLevel="0" collapsed="false">
      <c r="A479" s="14" t="str">
        <f aca="false">Country_Data!$A$72</f>
        <v>AGO</v>
      </c>
      <c r="B479" s="14" t="str">
        <f aca="false">Country_Data!$E$72</f>
        <v>EMDC</v>
      </c>
      <c r="C479" s="35" t="s">
        <v>484</v>
      </c>
      <c r="D479" s="37" t="n">
        <f aca="false">IF(Country_Data!$CD$72="","",Country_Data!$CD$72)</f>
        <v>0.280284433796866</v>
      </c>
      <c r="E479" s="40" t="n">
        <f aca="false">Country_Data!$BW$72</f>
        <v>379.894</v>
      </c>
      <c r="F479" s="41" t="n">
        <f aca="false">Country_Data!$BX$72</f>
        <v>0.314756221472305</v>
      </c>
      <c r="G479" s="42" t="n">
        <f aca="false">IF(D479="","",D479/SUMIFS($D$5:$D$1369,$B$5:$B$1369,B479,$C$5:$C$1369,C479))</f>
        <v>0.00156521067164296</v>
      </c>
      <c r="H479" s="42" t="n">
        <f aca="false">E479/SUMIFS($E$5:$E$1369,$B$5:$B$1369,B479,$C$5:$C$1369,C479)</f>
        <v>0.00470562500147092</v>
      </c>
      <c r="I479" s="43" t="n">
        <f aca="false">IF(G479="",H479,p_beta_alloc*G479+(1-p_beta_alloc)*H479)*F479^p_phi</f>
        <v>0.00175906782960872</v>
      </c>
      <c r="J479" s="16" t="n">
        <f aca="false">INDEX(Sector_Params!$C$21:$E$21,MATCH(B479,Sector_Params!$C$15:$E$15,0))*I479/SUMIFS($I$5:$I$1369,$B$5:$B$1369,B479,$C$5:$C$1369,C479)</f>
        <v>0.390143348303977</v>
      </c>
      <c r="K479" s="28" t="n">
        <f aca="false">INDEX(Sector_Params!$F$10:$H$10,MATCH(B479,Sector_Params!$C$15:$E$15,0))</f>
        <v>0.24</v>
      </c>
      <c r="L479" s="16" t="n">
        <f aca="false">J479*K479</f>
        <v>0.0936344035929545</v>
      </c>
      <c r="M479" s="44" t="n">
        <f aca="false">Country_Data!$DW$72+Sector_Params!$E$10</f>
        <v>0.105</v>
      </c>
      <c r="N479" s="44" t="n">
        <f aca="false">Country_Data!$DX$72+Sector_Params!$E$10</f>
        <v>0.15</v>
      </c>
      <c r="O479" s="11" t="n">
        <f aca="false">IF(p_use_ibrd=1,p_r_ibrd,p_r_wb)</f>
        <v>0.06</v>
      </c>
      <c r="P479" s="45" t="n">
        <f aca="false">Sector_Params!$D$10</f>
        <v>20</v>
      </c>
      <c r="Q479" s="46" t="n">
        <f aca="false">M479/(1-(1+M479)^-P479)</f>
        <v>0.121493265267016</v>
      </c>
      <c r="R479" s="46" t="n">
        <f aca="false">N479/(1-(1+N479)^-P479)</f>
        <v>0.159761470405744</v>
      </c>
      <c r="S479" s="46" t="n">
        <f aca="false">O479/(1-(1+O479)^-P479)</f>
        <v>0.0871845569768514</v>
      </c>
      <c r="T479" s="37" t="n">
        <f aca="false">0*Sector_Params!$I$10</f>
        <v>0</v>
      </c>
      <c r="U479" s="37" t="n">
        <f aca="false">0*Sector_Params!$J$10</f>
        <v>0</v>
      </c>
      <c r="V479" s="37" t="n">
        <f aca="false">1000*p_r_wb/(1-(1+p_r_wb)^-Sector_Params!$D$10)/p_cpt_fuel</f>
        <v>0.871845569768514</v>
      </c>
      <c r="W479" s="16" t="n">
        <f aca="false">T479*L479</f>
        <v>0</v>
      </c>
      <c r="X479" s="16" t="n">
        <f aca="false">U479*L479</f>
        <v>0</v>
      </c>
      <c r="Y479" s="16" t="n">
        <f aca="false">V479*L479</f>
        <v>0.0816347399504344</v>
      </c>
      <c r="Z479" s="16" t="n">
        <f aca="false">Q479*L479</f>
        <v>0.0113759494338377</v>
      </c>
      <c r="AA479" s="16" t="n">
        <f aca="false">R479*L479</f>
        <v>0.0149591699985753</v>
      </c>
      <c r="AB479" s="16" t="n">
        <f aca="false">S479*L479</f>
        <v>0.00816347399504344</v>
      </c>
      <c r="AC479" s="16" t="n">
        <f aca="false">Z479-W479</f>
        <v>0.0113759494338377</v>
      </c>
      <c r="AD479" s="16" t="n">
        <f aca="false">AA479-W479</f>
        <v>0.0149591699985753</v>
      </c>
      <c r="AE479" s="16" t="n">
        <f aca="false">AB479-W479</f>
        <v>0.00816347399504344</v>
      </c>
      <c r="AF479" s="16" t="n">
        <f aca="false">AE479-X479</f>
        <v>0.00816347399504344</v>
      </c>
      <c r="AG479" s="16" t="n">
        <f aca="false">AF479-p_spc_lo*Y479/1000</f>
        <v>0.00408173699752172</v>
      </c>
      <c r="AH479" s="16" t="n">
        <f aca="false">AF479-p_spc_hi*Y479/1000</f>
        <v>0</v>
      </c>
      <c r="AI479" s="16" t="n">
        <f aca="false">Q479*J479</f>
        <v>0.047399789307657</v>
      </c>
      <c r="AJ479" s="16" t="n">
        <f aca="false">S479*J479</f>
        <v>0.0340144749793477</v>
      </c>
      <c r="AK479" s="16" t="n">
        <f aca="false">T479*J479</f>
        <v>0</v>
      </c>
      <c r="AL479" s="16" t="n">
        <f aca="false">U479*J479</f>
        <v>0</v>
      </c>
      <c r="AM479" s="16" t="n">
        <f aca="false">AI479-AJ479</f>
        <v>0.0133853143283093</v>
      </c>
      <c r="AN479" s="16" t="n">
        <f aca="false">J479*Country_Data!$EB$72</f>
        <v>0.44786318613525</v>
      </c>
      <c r="AO479" s="16" t="n">
        <f aca="false">L479*Country_Data!$EB$72</f>
        <v>0.10748716467246</v>
      </c>
    </row>
    <row r="480" customFormat="false" ht="15" hidden="false" customHeight="false" outlineLevel="0" collapsed="false">
      <c r="A480" s="14" t="str">
        <f aca="false">Country_Data!$A$72</f>
        <v>AGO</v>
      </c>
      <c r="B480" s="14" t="str">
        <f aca="false">Country_Data!$E$72</f>
        <v>EMDC</v>
      </c>
      <c r="C480" s="35" t="s">
        <v>488</v>
      </c>
      <c r="D480" s="37" t="n">
        <f aca="false">IF(Country_Data!$CE$72="","",Country_Data!$CE$72)</f>
        <v>93.586</v>
      </c>
      <c r="E480" s="40" t="n">
        <f aca="false">Country_Data!$BW$72</f>
        <v>379.894</v>
      </c>
      <c r="F480" s="41" t="n">
        <f aca="false">Country_Data!$BX$72</f>
        <v>0.314756221472305</v>
      </c>
      <c r="G480" s="42" t="n">
        <f aca="false">IF(D480="","",D480/SUMIFS($D$5:$D$1369,$B$5:$B$1369,B480,$C$5:$C$1369,C480))</f>
        <v>0.00766840023565832</v>
      </c>
      <c r="H480" s="42" t="n">
        <f aca="false">E480/SUMIFS($E$5:$E$1369,$B$5:$B$1369,B480,$C$5:$C$1369,C480)</f>
        <v>0.00470562500147092</v>
      </c>
      <c r="I480" s="43" t="n">
        <f aca="false">IF(G480="",H480,p_beta_alloc*G480+(1-p_beta_alloc)*H480)*F480^p_phi</f>
        <v>0.00347110829434186</v>
      </c>
      <c r="J480" s="16" t="n">
        <f aca="false">INDEX(Sector_Params!$C$22:$E$22,MATCH(B480,Sector_Params!$C$15:$E$15,0))*I480/SUMIFS($I$5:$I$1369,$B$5:$B$1369,B480,$C$5:$C$1369,C480)</f>
        <v>2.09241319624547</v>
      </c>
      <c r="K480" s="28" t="n">
        <f aca="false">INDEX(Sector_Params!$F$11:$H$11,MATCH(B480,Sector_Params!$C$15:$E$15,0))</f>
        <v>0.24</v>
      </c>
      <c r="L480" s="16" t="n">
        <f aca="false">J480*K480</f>
        <v>0.502179167098912</v>
      </c>
      <c r="M480" s="44" t="n">
        <f aca="false">Country_Data!$DW$72+Sector_Params!$E$11</f>
        <v>0.105</v>
      </c>
      <c r="N480" s="44" t="n">
        <f aca="false">Country_Data!$DX$72+Sector_Params!$E$11</f>
        <v>0.15</v>
      </c>
      <c r="O480" s="11" t="n">
        <f aca="false">IF(p_use_ibrd=1,p_r_ibrd,p_r_wb)</f>
        <v>0.06</v>
      </c>
      <c r="P480" s="45" t="n">
        <f aca="false">Sector_Params!$D$11</f>
        <v>30</v>
      </c>
      <c r="Q480" s="46" t="n">
        <f aca="false">M480/(1-(1+M480)^-P480)</f>
        <v>0.110528481529605</v>
      </c>
      <c r="R480" s="46" t="n">
        <f aca="false">N480/(1-(1+N480)^-P480)</f>
        <v>0.152300198192734</v>
      </c>
      <c r="S480" s="46" t="n">
        <f aca="false">O480/(1-(1+O480)^-P480)</f>
        <v>0.0726489114900472</v>
      </c>
      <c r="T480" s="37" t="n">
        <f aca="false">0*Sector_Params!$I$11</f>
        <v>0</v>
      </c>
      <c r="U480" s="37" t="n">
        <f aca="false">p_c*Sector_Params!$J$11</f>
        <v>0.129</v>
      </c>
      <c r="V480" s="37" t="n">
        <f aca="false">1000*p_r_wb/(1-(1+p_r_wb)^-Sector_Params!$D$11)/p_cpt_afolu</f>
        <v>1.45297822980094</v>
      </c>
      <c r="W480" s="16" t="n">
        <f aca="false">T480*L480</f>
        <v>0</v>
      </c>
      <c r="X480" s="16" t="n">
        <f aca="false">U480*L480</f>
        <v>0.0647811125557597</v>
      </c>
      <c r="Y480" s="16" t="n">
        <f aca="false">V480*L480</f>
        <v>0.72965539725429</v>
      </c>
      <c r="Z480" s="16" t="n">
        <f aca="false">Q480*L480</f>
        <v>0.0555051007952446</v>
      </c>
      <c r="AA480" s="16" t="n">
        <f aca="false">R480*L480</f>
        <v>0.0764819866774265</v>
      </c>
      <c r="AB480" s="16" t="n">
        <f aca="false">S480*L480</f>
        <v>0.0364827698627145</v>
      </c>
      <c r="AC480" s="16" t="n">
        <f aca="false">Z480-W480</f>
        <v>0.0555051007952446</v>
      </c>
      <c r="AD480" s="16" t="n">
        <f aca="false">AA480-W480</f>
        <v>0.0764819866774265</v>
      </c>
      <c r="AE480" s="16" t="n">
        <f aca="false">AB480-W480</f>
        <v>0.0364827698627145</v>
      </c>
      <c r="AF480" s="16" t="n">
        <f aca="false">AE480-X480</f>
        <v>-0.0282983426930452</v>
      </c>
      <c r="AG480" s="16" t="n">
        <f aca="false">AF480-p_spc_lo*Y480/1000</f>
        <v>-0.0647811125557596</v>
      </c>
      <c r="AH480" s="16" t="n">
        <f aca="false">AF480-p_spc_hi*Y480/1000</f>
        <v>-0.101263882418474</v>
      </c>
      <c r="AI480" s="16" t="n">
        <f aca="false">Q480*J480</f>
        <v>0.231271253313519</v>
      </c>
      <c r="AJ480" s="16" t="n">
        <f aca="false">S480*J480</f>
        <v>0.152011541094644</v>
      </c>
      <c r="AK480" s="16" t="n">
        <f aca="false">T480*J480</f>
        <v>0</v>
      </c>
      <c r="AL480" s="16" t="n">
        <f aca="false">U480*J480</f>
        <v>0.269921302315665</v>
      </c>
      <c r="AM480" s="16" t="n">
        <f aca="false">AI480-AJ480</f>
        <v>0.0792597122188755</v>
      </c>
      <c r="AN480" s="16" t="n">
        <f aca="false">J480*Country_Data!$EB$72</f>
        <v>2.40197569651192</v>
      </c>
      <c r="AO480" s="16" t="n">
        <f aca="false">L480*Country_Data!$EB$72</f>
        <v>0.576474167162861</v>
      </c>
    </row>
    <row r="481" customFormat="false" ht="15" hidden="false" customHeight="false" outlineLevel="0" collapsed="false">
      <c r="A481" s="14" t="str">
        <f aca="false">Country_Data!$A$73</f>
        <v>KEN</v>
      </c>
      <c r="B481" s="14" t="str">
        <f aca="false">Country_Data!$E$73</f>
        <v>EMDC</v>
      </c>
      <c r="C481" s="35" t="s">
        <v>466</v>
      </c>
      <c r="D481" s="37" t="n">
        <f aca="false">IF(Country_Data!$BZ$73="","",Country_Data!$BZ$73)</f>
        <v>14.2452317926</v>
      </c>
      <c r="E481" s="40" t="n">
        <f aca="false">Country_Data!$BW$73</f>
        <v>375.492</v>
      </c>
      <c r="F481" s="41" t="n">
        <f aca="false">Country_Data!$BX$73</f>
        <v>0.317735131507462</v>
      </c>
      <c r="G481" s="42" t="n">
        <f aca="false">IF(D481="","",D481/SUMIFS($D$5:$D$1369,$B$5:$B$1369,B481,$C$5:$C$1369,C481))</f>
        <v>0.0016262660811263</v>
      </c>
      <c r="H481" s="42" t="n">
        <f aca="false">E481/SUMIFS($E$5:$E$1369,$B$5:$B$1369,B481,$C$5:$C$1369,C481)</f>
        <v>0.00465109884086697</v>
      </c>
      <c r="I481" s="43" t="n">
        <f aca="false">IF(G481="",H481,p_beta_alloc*G481+(1-p_beta_alloc)*H481)*F481^p_phi</f>
        <v>0.00176921249928868</v>
      </c>
      <c r="J481" s="16" t="n">
        <f aca="false">INDEX(Sector_Params!$C$16:$E$16,MATCH(B481,Sector_Params!$C$15:$E$15,0))*I481/SUMIFS($I$5:$I$1369,$B$5:$B$1369,B481,$C$5:$C$1369,C481)</f>
        <v>1.71122718271599</v>
      </c>
      <c r="K481" s="28" t="n">
        <f aca="false">INDEX(Sector_Params!$F$5:$H$5,MATCH(B481,Sector_Params!$C$15:$E$15,0))</f>
        <v>0.24</v>
      </c>
      <c r="L481" s="16" t="n">
        <f aca="false">J481*K481</f>
        <v>0.410694523851837</v>
      </c>
      <c r="M481" s="44" t="n">
        <f aca="false">Country_Data!$DW$73+Sector_Params!$E$5</f>
        <v>0.09659</v>
      </c>
      <c r="N481" s="44" t="n">
        <f aca="false">Country_Data!$DX$73+Sector_Params!$E$5</f>
        <v>0.14159</v>
      </c>
      <c r="O481" s="11" t="n">
        <f aca="false">IF(p_use_ibrd=1,p_r_ibrd,p_r_wb)</f>
        <v>0.06</v>
      </c>
      <c r="P481" s="45" t="n">
        <f aca="false">Sector_Params!$D$5</f>
        <v>25</v>
      </c>
      <c r="Q481" s="46" t="n">
        <f aca="false">M481/(1-(1+M481)^-P481)</f>
        <v>0.107291873139153</v>
      </c>
      <c r="R481" s="46" t="n">
        <f aca="false">N481/(1-(1+N481)^-P481)</f>
        <v>0.146953214857796</v>
      </c>
      <c r="S481" s="46" t="n">
        <f aca="false">O481/(1-(1+O481)^-P481)</f>
        <v>0.078226718212274</v>
      </c>
      <c r="T481" s="37" t="n">
        <f aca="false">IF(AND(p_eng=1,ISNUMBER(Country_Data!$CZ$73)),Country_Data!$CZ$73,Country_Data!$CM$73)*Sector_Params!$I$5</f>
        <v>0.0171940263763132</v>
      </c>
      <c r="U481" s="37" t="n">
        <f aca="false">IF(AND(p_eng=1,ISNUMBER(Country_Data!$DA$73)),Country_Data!$DA$73,Country_Data!$CN$73)*Sector_Params!$J$5</f>
        <v>0.00595530967371863</v>
      </c>
      <c r="V481" s="37" t="n">
        <f aca="false">IF(AND(p_eng=1,ISNUMBER(Country_Data!$DB$73)),Country_Data!$DB$73,p_a)</f>
        <v>0.18516079292894</v>
      </c>
      <c r="W481" s="16" t="n">
        <f aca="false">T481*L481</f>
        <v>0.00706149247571587</v>
      </c>
      <c r="X481" s="16" t="n">
        <f aca="false">U481*L481</f>
        <v>0.00244581307083811</v>
      </c>
      <c r="Y481" s="16" t="n">
        <f aca="false">V481*L481</f>
        <v>0.0760445236879797</v>
      </c>
      <c r="Z481" s="16" t="n">
        <f aca="false">Q481*L481</f>
        <v>0.0440641847520562</v>
      </c>
      <c r="AA481" s="16" t="n">
        <f aca="false">R481*L481</f>
        <v>0.0603528806045191</v>
      </c>
      <c r="AB481" s="16" t="n">
        <f aca="false">S481*L481</f>
        <v>0.0321272847886816</v>
      </c>
      <c r="AC481" s="16" t="n">
        <f aca="false">Z481-W481</f>
        <v>0.0370026922763403</v>
      </c>
      <c r="AD481" s="16" t="n">
        <f aca="false">AA481-W481</f>
        <v>0.0532913881288033</v>
      </c>
      <c r="AE481" s="16" t="n">
        <f aca="false">AB481-W481</f>
        <v>0.0250657923129658</v>
      </c>
      <c r="AF481" s="16" t="n">
        <f aca="false">AE481-X481</f>
        <v>0.0226199792421277</v>
      </c>
      <c r="AG481" s="16" t="n">
        <f aca="false">AF481-p_spc_lo*Y481/1000</f>
        <v>0.0188177530577287</v>
      </c>
      <c r="AH481" s="16" t="n">
        <f aca="false">AF481-p_spc_hi*Y481/1000</f>
        <v>0.0150155268733297</v>
      </c>
      <c r="AI481" s="16" t="n">
        <f aca="false">Q481*J481</f>
        <v>0.183600769800234</v>
      </c>
      <c r="AJ481" s="16" t="n">
        <f aca="false">S481*J481</f>
        <v>0.133863686619507</v>
      </c>
      <c r="AK481" s="16" t="n">
        <f aca="false">T481*J481</f>
        <v>0.0294228853154828</v>
      </c>
      <c r="AL481" s="16" t="n">
        <f aca="false">U481*J481</f>
        <v>0.0101908877951588</v>
      </c>
      <c r="AM481" s="16" t="n">
        <f aca="false">AI481-AJ481</f>
        <v>0.0497370831807274</v>
      </c>
      <c r="AN481" s="16" t="n">
        <f aca="false">J481*Country_Data!$EB$73</f>
        <v>1.95801640906686</v>
      </c>
      <c r="AO481" s="16" t="n">
        <f aca="false">L481*Country_Data!$EB$73</f>
        <v>0.469923938176047</v>
      </c>
    </row>
    <row r="482" customFormat="false" ht="15" hidden="false" customHeight="false" outlineLevel="0" collapsed="false">
      <c r="A482" s="14" t="str">
        <f aca="false">Country_Data!$A$73</f>
        <v>KEN</v>
      </c>
      <c r="B482" s="14" t="str">
        <f aca="false">Country_Data!$E$73</f>
        <v>EMDC</v>
      </c>
      <c r="C482" s="35" t="s">
        <v>470</v>
      </c>
      <c r="D482" s="37" t="n">
        <f aca="false">IF(Country_Data!$BZ$73="","",Country_Data!$BZ$73)</f>
        <v>14.2452317926</v>
      </c>
      <c r="E482" s="40" t="n">
        <f aca="false">Country_Data!$BW$73</f>
        <v>375.492</v>
      </c>
      <c r="F482" s="41" t="n">
        <f aca="false">Country_Data!$BX$73</f>
        <v>0.317735131507462</v>
      </c>
      <c r="G482" s="42" t="n">
        <f aca="false">IF(D482="","",D482/SUMIFS($D$5:$D$1369,$B$5:$B$1369,B482,$C$5:$C$1369,C482))</f>
        <v>0.0016262660811263</v>
      </c>
      <c r="H482" s="42" t="n">
        <f aca="false">E482/SUMIFS($E$5:$E$1369,$B$5:$B$1369,B482,$C$5:$C$1369,C482)</f>
        <v>0.00465109884086697</v>
      </c>
      <c r="I482" s="43" t="n">
        <f aca="false">IF(G482="",H482,p_beta_alloc*G482+(1-p_beta_alloc)*H482)*F482^p_phi</f>
        <v>0.00176921249928868</v>
      </c>
      <c r="J482" s="16" t="n">
        <f aca="false">INDEX(Sector_Params!$C$17:$E$17,MATCH(B482,Sector_Params!$C$15:$E$15,0))*I482/SUMIFS($I$5:$I$1369,$B$5:$B$1369,B482,$C$5:$C$1369,C482)</f>
        <v>1.17341292529096</v>
      </c>
      <c r="K482" s="28" t="n">
        <f aca="false">INDEX(Sector_Params!$F$6:$H$6,MATCH(B482,Sector_Params!$C$15:$E$15,0))</f>
        <v>0.24</v>
      </c>
      <c r="L482" s="16" t="n">
        <f aca="false">J482*K482</f>
        <v>0.281619102069831</v>
      </c>
      <c r="M482" s="44" t="n">
        <f aca="false">Country_Data!$DW$73+Sector_Params!$E$6</f>
        <v>0.09659</v>
      </c>
      <c r="N482" s="44" t="n">
        <f aca="false">Country_Data!$DX$73+Sector_Params!$E$6</f>
        <v>0.14159</v>
      </c>
      <c r="O482" s="11" t="n">
        <f aca="false">IF(p_use_ibrd=1,p_r_ibrd,p_r_wb)</f>
        <v>0.06</v>
      </c>
      <c r="P482" s="45" t="n">
        <f aca="false">Sector_Params!$D$6</f>
        <v>40</v>
      </c>
      <c r="Q482" s="46" t="n">
        <f aca="false">M482/(1-(1+M482)^-P482)</f>
        <v>0.0990683561152838</v>
      </c>
      <c r="R482" s="46" t="n">
        <f aca="false">N482/(1-(1+N482)^-P482)</f>
        <v>0.14230253533256</v>
      </c>
      <c r="S482" s="46" t="n">
        <f aca="false">O482/(1-(1+O482)^-P482)</f>
        <v>0.0664615359206755</v>
      </c>
      <c r="T482" s="37" t="n">
        <f aca="false">p_grid_credit*IF(AND(p_eng=1,ISNUMBER(Country_Data!$CZ$73)),Country_Data!$CZ$73,Country_Data!$CM$73)*Sector_Params!$I$6</f>
        <v>0</v>
      </c>
      <c r="U482" s="37" t="n">
        <f aca="false">p_grid_credit*IF(AND(p_eng=1,ISNUMBER(Country_Data!$DA$73)),Country_Data!$DA$73,Country_Data!$CN$73)*Sector_Params!$J$6</f>
        <v>0</v>
      </c>
      <c r="V482" s="37" t="n">
        <f aca="false">p_grid_credit*IF(AND(p_eng=1,ISNUMBER(Country_Data!$DB$73)),Country_Data!$DB$73,p_a)</f>
        <v>0</v>
      </c>
      <c r="W482" s="16" t="n">
        <f aca="false">T482*L482</f>
        <v>0</v>
      </c>
      <c r="X482" s="16" t="n">
        <f aca="false">U482*L482</f>
        <v>0</v>
      </c>
      <c r="Y482" s="16" t="n">
        <f aca="false">V482*L482</f>
        <v>0</v>
      </c>
      <c r="Z482" s="16" t="n">
        <f aca="false">Q482*L482</f>
        <v>0.0278995414927205</v>
      </c>
      <c r="AA482" s="16" t="n">
        <f aca="false">R482*L482</f>
        <v>0.040075112222616</v>
      </c>
      <c r="AB482" s="16" t="n">
        <f aca="false">S482*L482</f>
        <v>0.0187168380681624</v>
      </c>
      <c r="AC482" s="16" t="n">
        <f aca="false">Z482-W482</f>
        <v>0.0278995414927205</v>
      </c>
      <c r="AD482" s="16" t="n">
        <f aca="false">AA482-W482</f>
        <v>0.040075112222616</v>
      </c>
      <c r="AE482" s="16" t="n">
        <f aca="false">AB482-W482</f>
        <v>0.0187168380681624</v>
      </c>
      <c r="AF482" s="16" t="n">
        <f aca="false">AE482-X482</f>
        <v>0.0187168380681624</v>
      </c>
      <c r="AG482" s="16" t="n">
        <f aca="false">AF482-p_spc_lo*Y482/1000</f>
        <v>0.0187168380681624</v>
      </c>
      <c r="AH482" s="16" t="n">
        <f aca="false">AF482-p_spc_hi*Y482/1000</f>
        <v>0.0187168380681624</v>
      </c>
      <c r="AI482" s="16" t="n">
        <f aca="false">Q482*J482</f>
        <v>0.116248089553002</v>
      </c>
      <c r="AJ482" s="16" t="n">
        <f aca="false">S482*J482</f>
        <v>0.0779868252840102</v>
      </c>
      <c r="AK482" s="16" t="n">
        <f aca="false">T482*J482</f>
        <v>0</v>
      </c>
      <c r="AL482" s="16" t="n">
        <f aca="false">U482*J482</f>
        <v>0</v>
      </c>
      <c r="AM482" s="16" t="n">
        <f aca="false">AI482-AJ482</f>
        <v>0.0382612642689918</v>
      </c>
      <c r="AN482" s="16" t="n">
        <f aca="false">J482*Country_Data!$EB$73</f>
        <v>1.34263982336013</v>
      </c>
      <c r="AO482" s="16" t="n">
        <f aca="false">L482*Country_Data!$EB$73</f>
        <v>0.322233557606432</v>
      </c>
    </row>
    <row r="483" customFormat="false" ht="15" hidden="false" customHeight="false" outlineLevel="0" collapsed="false">
      <c r="A483" s="14" t="str">
        <f aca="false">Country_Data!$A$73</f>
        <v>KEN</v>
      </c>
      <c r="B483" s="14" t="str">
        <f aca="false">Country_Data!$E$73</f>
        <v>EMDC</v>
      </c>
      <c r="C483" s="35" t="s">
        <v>473</v>
      </c>
      <c r="D483" s="37" t="n">
        <f aca="false">IF(Country_Data!$CA$73="","",Country_Data!$CA$73)</f>
        <v>0.173281452695566</v>
      </c>
      <c r="E483" s="40" t="n">
        <f aca="false">Country_Data!$BW$73</f>
        <v>375.492</v>
      </c>
      <c r="F483" s="41" t="n">
        <f aca="false">Country_Data!$BX$73</f>
        <v>0.317735131507462</v>
      </c>
      <c r="G483" s="42" t="n">
        <f aca="false">IF(D483="","",D483/SUMIFS($D$5:$D$1369,$B$5:$B$1369,B483,$C$5:$C$1369,C483))</f>
        <v>0.0040032047337206</v>
      </c>
      <c r="H483" s="42" t="n">
        <f aca="false">E483/SUMIFS($E$5:$E$1369,$B$5:$B$1369,B483,$C$5:$C$1369,C483)</f>
        <v>0.00465109884086697</v>
      </c>
      <c r="I483" s="43" t="n">
        <f aca="false">IF(G483="",H483,p_beta_alloc*G483+(1-p_beta_alloc)*H483)*F483^p_phi</f>
        <v>0.00243912887765288</v>
      </c>
      <c r="J483" s="16" t="n">
        <f aca="false">INDEX(Sector_Params!$C$18:$E$18,MATCH(B483,Sector_Params!$C$15:$E$15,0))*I483/SUMIFS($I$5:$I$1369,$B$5:$B$1369,B483,$C$5:$C$1369,C483)</f>
        <v>0.998765562647714</v>
      </c>
      <c r="K483" s="28" t="n">
        <f aca="false">INDEX(Sector_Params!$F$7:$H$7,MATCH(B483,Sector_Params!$C$15:$E$15,0))</f>
        <v>0.24</v>
      </c>
      <c r="L483" s="16" t="n">
        <f aca="false">J483*K483</f>
        <v>0.239703735035451</v>
      </c>
      <c r="M483" s="44" t="n">
        <f aca="false">Country_Data!$DW$73+Sector_Params!$E$7</f>
        <v>0.09659</v>
      </c>
      <c r="N483" s="44" t="n">
        <f aca="false">Country_Data!$DX$73+Sector_Params!$E$7</f>
        <v>0.14159</v>
      </c>
      <c r="O483" s="11" t="n">
        <f aca="false">IF(p_use_ibrd=1,p_r_ibrd,p_r_wb)</f>
        <v>0.06</v>
      </c>
      <c r="P483" s="45" t="n">
        <f aca="false">Sector_Params!$D$7</f>
        <v>12</v>
      </c>
      <c r="Q483" s="46" t="n">
        <f aca="false">M483/(1-(1+M483)^-P483)</f>
        <v>0.144320609547523</v>
      </c>
      <c r="R483" s="46" t="n">
        <f aca="false">N483/(1-(1+N483)^-P483)</f>
        <v>0.177902923529807</v>
      </c>
      <c r="S483" s="46" t="n">
        <f aca="false">O483/(1-(1+O483)^-P483)</f>
        <v>0.119277029380664</v>
      </c>
      <c r="T483" s="37" t="n">
        <f aca="false">IF(AND(p_eng=1,ISNUMBER(Country_Data!$DE$73)),Country_Data!$DE$73,Country_Data!$CM$73)*Sector_Params!$I$7</f>
        <v>0.122924115</v>
      </c>
      <c r="U483" s="37" t="n">
        <f aca="false">IF(AND(p_eng=1,ISNUMBER(Country_Data!$DF$73)),Country_Data!$DF$73,Country_Data!$CN$73)*Sector_Params!$J$7</f>
        <v>0.002193075</v>
      </c>
      <c r="V483" s="37" t="n">
        <f aca="false">IF(AND(p_eng=1,ISNUMBER(Country_Data!$DG$73)),Country_Data!$DG$73,p_a)</f>
        <v>0.489815307692308</v>
      </c>
      <c r="W483" s="16" t="n">
        <f aca="false">T483*L483</f>
        <v>0.0294653694914273</v>
      </c>
      <c r="X483" s="16" t="n">
        <f aca="false">U483*L483</f>
        <v>0.000525688268712872</v>
      </c>
      <c r="Y483" s="16" t="n">
        <f aca="false">V483*L483</f>
        <v>0.117410558731385</v>
      </c>
      <c r="Z483" s="16" t="n">
        <f aca="false">Q483*L483</f>
        <v>0.0345941891511342</v>
      </c>
      <c r="AA483" s="16" t="n">
        <f aca="false">R483*L483</f>
        <v>0.042643995243821</v>
      </c>
      <c r="AB483" s="16" t="n">
        <f aca="false">S483*L483</f>
        <v>0.0285911494464783</v>
      </c>
      <c r="AC483" s="16" t="n">
        <f aca="false">Z483-W483</f>
        <v>0.00512881965970688</v>
      </c>
      <c r="AD483" s="16" t="n">
        <f aca="false">AA483-W483</f>
        <v>0.0131786257523936</v>
      </c>
      <c r="AE483" s="16" t="n">
        <f aca="false">AB483-W483</f>
        <v>-0.000874220044949036</v>
      </c>
      <c r="AF483" s="16" t="n">
        <f aca="false">AE483-X483</f>
        <v>-0.00139990831366191</v>
      </c>
      <c r="AG483" s="16" t="n">
        <f aca="false">AF483-p_spc_lo*Y483/1000</f>
        <v>-0.00727043625023116</v>
      </c>
      <c r="AH483" s="16" t="n">
        <f aca="false">AF483-p_spc_hi*Y483/1000</f>
        <v>-0.0131409641868004</v>
      </c>
      <c r="AI483" s="16" t="n">
        <f aca="false">Q483*J483</f>
        <v>0.144142454796393</v>
      </c>
      <c r="AJ483" s="16" t="n">
        <f aca="false">S483*J483</f>
        <v>0.119129789360326</v>
      </c>
      <c r="AK483" s="16" t="n">
        <f aca="false">T483*J483</f>
        <v>0.122772372880947</v>
      </c>
      <c r="AL483" s="16" t="n">
        <f aca="false">U483*J483</f>
        <v>0.00219036778630363</v>
      </c>
      <c r="AM483" s="16" t="n">
        <f aca="false">AI483-AJ483</f>
        <v>0.0250126654360663</v>
      </c>
      <c r="AN483" s="16" t="n">
        <f aca="false">J483*Country_Data!$EB$73</f>
        <v>1.14280522202276</v>
      </c>
      <c r="AO483" s="16" t="n">
        <f aca="false">L483*Country_Data!$EB$73</f>
        <v>0.274273253285462</v>
      </c>
    </row>
    <row r="484" customFormat="false" ht="15" hidden="false" customHeight="false" outlineLevel="0" collapsed="false">
      <c r="A484" s="14" t="str">
        <f aca="false">Country_Data!$A$73</f>
        <v>KEN</v>
      </c>
      <c r="B484" s="14" t="str">
        <f aca="false">Country_Data!$E$73</f>
        <v>EMDC</v>
      </c>
      <c r="C484" s="35" t="s">
        <v>477</v>
      </c>
      <c r="D484" s="37" t="n">
        <f aca="false">IF(Country_Data!$CB$73="","",Country_Data!$CB$73)</f>
        <v>0.0397253335133836</v>
      </c>
      <c r="E484" s="40" t="n">
        <f aca="false">Country_Data!$BW$73</f>
        <v>375.492</v>
      </c>
      <c r="F484" s="41" t="n">
        <f aca="false">Country_Data!$BX$73</f>
        <v>0.317735131507462</v>
      </c>
      <c r="G484" s="42" t="n">
        <f aca="false">IF(D484="","",D484/SUMIFS($D$5:$D$1369,$B$5:$B$1369,B484,$C$5:$C$1369,C484))</f>
        <v>0.00125266072933011</v>
      </c>
      <c r="H484" s="42" t="n">
        <f aca="false">E484/SUMIFS($E$5:$E$1369,$B$5:$B$1369,B484,$C$5:$C$1369,C484)</f>
        <v>0.00465109884086697</v>
      </c>
      <c r="I484" s="43" t="n">
        <f aca="false">IF(G484="",H484,p_beta_alloc*G484+(1-p_beta_alloc)*H484)*F484^p_phi</f>
        <v>0.00166391556874332</v>
      </c>
      <c r="J484" s="16" t="n">
        <f aca="false">INDEX(Sector_Params!$C$19:$E$19,MATCH(B484,Sector_Params!$C$15:$E$15,0))*I484/SUMIFS($I$5:$I$1369,$B$5:$B$1369,B484,$C$5:$C$1369,C484)</f>
        <v>0.535552185354905</v>
      </c>
      <c r="K484" s="28" t="n">
        <f aca="false">INDEX(Sector_Params!$F$8:$H$8,MATCH(B484,Sector_Params!$C$15:$E$15,0))</f>
        <v>0.24</v>
      </c>
      <c r="L484" s="16" t="n">
        <f aca="false">J484*K484</f>
        <v>0.128532524485177</v>
      </c>
      <c r="M484" s="44" t="n">
        <f aca="false">Country_Data!$DW$73+Sector_Params!$E$8</f>
        <v>0.09659</v>
      </c>
      <c r="N484" s="44" t="n">
        <f aca="false">Country_Data!$DX$73+Sector_Params!$E$8</f>
        <v>0.14159</v>
      </c>
      <c r="O484" s="11" t="n">
        <f aca="false">IF(p_use_ibrd=1,p_r_ibrd,p_r_wb)</f>
        <v>0.06</v>
      </c>
      <c r="P484" s="45" t="n">
        <f aca="false">Sector_Params!$D$8</f>
        <v>25</v>
      </c>
      <c r="Q484" s="46" t="n">
        <f aca="false">M484/(1-(1+M484)^-P484)</f>
        <v>0.107291873139153</v>
      </c>
      <c r="R484" s="46" t="n">
        <f aca="false">N484/(1-(1+N484)^-P484)</f>
        <v>0.146953214857796</v>
      </c>
      <c r="S484" s="46" t="n">
        <f aca="false">O484/(1-(1+O484)^-P484)</f>
        <v>0.078226718212274</v>
      </c>
      <c r="T484" s="37" t="n">
        <f aca="false">Country_Data!$CM$73*Sector_Params!$I$8</f>
        <v>0.175768918442202</v>
      </c>
      <c r="U484" s="37" t="n">
        <f aca="false">Country_Data!$CN$73*Sector_Params!$J$8</f>
        <v>0.03225</v>
      </c>
      <c r="V484" s="37" t="n">
        <f aca="false">p_a</f>
        <v>0.35</v>
      </c>
      <c r="W484" s="16" t="n">
        <f aca="false">T484*L484</f>
        <v>0.0225920228134054</v>
      </c>
      <c r="X484" s="16" t="n">
        <f aca="false">U484*L484</f>
        <v>0.00414517391464697</v>
      </c>
      <c r="Y484" s="16" t="n">
        <f aca="false">V484*L484</f>
        <v>0.044986383569812</v>
      </c>
      <c r="Z484" s="16" t="n">
        <f aca="false">Q484*L484</f>
        <v>0.0137904953113188</v>
      </c>
      <c r="AA484" s="16" t="n">
        <f aca="false">R484*L484</f>
        <v>0.0188882676868852</v>
      </c>
      <c r="AB484" s="16" t="n">
        <f aca="false">S484*L484</f>
        <v>0.0100546775740142</v>
      </c>
      <c r="AC484" s="16" t="n">
        <f aca="false">Z484-W484</f>
        <v>-0.00880152750208665</v>
      </c>
      <c r="AD484" s="16" t="n">
        <f aca="false">AA484-W484</f>
        <v>-0.00370375512652023</v>
      </c>
      <c r="AE484" s="16" t="n">
        <f aca="false">AB484-W484</f>
        <v>-0.0125373452393912</v>
      </c>
      <c r="AF484" s="16" t="n">
        <f aca="false">AE484-X484</f>
        <v>-0.0166825191540382</v>
      </c>
      <c r="AG484" s="16" t="n">
        <f aca="false">AF484-p_spc_lo*Y484/1000</f>
        <v>-0.0189318383325288</v>
      </c>
      <c r="AH484" s="16" t="n">
        <f aca="false">AF484-p_spc_hi*Y484/1000</f>
        <v>-0.0211811575110194</v>
      </c>
      <c r="AI484" s="16" t="n">
        <f aca="false">Q484*J484</f>
        <v>0.0574603971304948</v>
      </c>
      <c r="AJ484" s="16" t="n">
        <f aca="false">S484*J484</f>
        <v>0.0418944898917257</v>
      </c>
      <c r="AK484" s="16" t="n">
        <f aca="false">T484*J484</f>
        <v>0.0941334283891892</v>
      </c>
      <c r="AL484" s="16" t="n">
        <f aca="false">U484*J484</f>
        <v>0.0172715579776957</v>
      </c>
      <c r="AM484" s="16" t="n">
        <f aca="false">AI484-AJ484</f>
        <v>0.0155659072387691</v>
      </c>
      <c r="AN484" s="16" t="n">
        <f aca="false">J484*Country_Data!$EB$73</f>
        <v>0.61278828283466</v>
      </c>
      <c r="AO484" s="16" t="n">
        <f aca="false">L484*Country_Data!$EB$73</f>
        <v>0.147069187880318</v>
      </c>
    </row>
    <row r="485" customFormat="false" ht="15" hidden="false" customHeight="false" outlineLevel="0" collapsed="false">
      <c r="A485" s="14" t="str">
        <f aca="false">Country_Data!$A$73</f>
        <v>KEN</v>
      </c>
      <c r="B485" s="14" t="str">
        <f aca="false">Country_Data!$E$73</f>
        <v>EMDC</v>
      </c>
      <c r="C485" s="35" t="s">
        <v>481</v>
      </c>
      <c r="D485" s="37" t="n">
        <f aca="false">IF(Country_Data!$CC$73="","",Country_Data!$CC$73)</f>
        <v>0.0931368420871042</v>
      </c>
      <c r="E485" s="40" t="n">
        <f aca="false">Country_Data!$BW$73</f>
        <v>375.492</v>
      </c>
      <c r="F485" s="41" t="n">
        <f aca="false">Country_Data!$BX$73</f>
        <v>0.317735131507462</v>
      </c>
      <c r="G485" s="42" t="n">
        <f aca="false">IF(D485="","",D485/SUMIFS($D$5:$D$1369,$B$5:$B$1369,B485,$C$5:$C$1369,C485))</f>
        <v>0.00133038838225485</v>
      </c>
      <c r="H485" s="42" t="n">
        <f aca="false">E485/SUMIFS($E$5:$E$1369,$B$5:$B$1369,B485,$C$5:$C$1369,C485)</f>
        <v>0.00465109884086697</v>
      </c>
      <c r="I485" s="43" t="n">
        <f aca="false">IF(G485="",H485,p_beta_alloc*G485+(1-p_beta_alloc)*H485)*F485^p_phi</f>
        <v>0.00168582233006813</v>
      </c>
      <c r="J485" s="16" t="n">
        <f aca="false">INDEX(Sector_Params!$C$20:$E$20,MATCH(B485,Sector_Params!$C$15:$E$15,0))*I485/SUMIFS($I$5:$I$1369,$B$5:$B$1369,B485,$C$5:$C$1369,C485)</f>
        <v>0.307696523799854</v>
      </c>
      <c r="K485" s="28" t="n">
        <f aca="false">INDEX(Sector_Params!$F$9:$H$9,MATCH(B485,Sector_Params!$C$15:$E$15,0))</f>
        <v>0.24</v>
      </c>
      <c r="L485" s="16" t="n">
        <f aca="false">J485*K485</f>
        <v>0.0738471657119649</v>
      </c>
      <c r="M485" s="44" t="n">
        <f aca="false">Country_Data!$DW$73+Sector_Params!$E$9</f>
        <v>0.09659</v>
      </c>
      <c r="N485" s="44" t="n">
        <f aca="false">Country_Data!$DX$73+Sector_Params!$E$9</f>
        <v>0.14159</v>
      </c>
      <c r="O485" s="11" t="n">
        <f aca="false">IF(p_use_ibrd=1,p_r_ibrd,p_r_wb)</f>
        <v>0.06</v>
      </c>
      <c r="P485" s="45" t="n">
        <f aca="false">Sector_Params!$D$9</f>
        <v>25</v>
      </c>
      <c r="Q485" s="46" t="n">
        <f aca="false">M485/(1-(1+M485)^-P485)</f>
        <v>0.107291873139153</v>
      </c>
      <c r="R485" s="46" t="n">
        <f aca="false">N485/(1-(1+N485)^-P485)</f>
        <v>0.146953214857796</v>
      </c>
      <c r="S485" s="46" t="n">
        <f aca="false">O485/(1-(1+O485)^-P485)</f>
        <v>0.078226718212274</v>
      </c>
      <c r="T485" s="37" t="n">
        <f aca="false">Country_Data!$CM$73*Sector_Params!$I$9</f>
        <v>0.175768918442202</v>
      </c>
      <c r="U485" s="37" t="n">
        <f aca="false">Country_Data!$CN$73*Sector_Params!$J$9</f>
        <v>0.03225</v>
      </c>
      <c r="V485" s="37" t="n">
        <f aca="false">p_a</f>
        <v>0.35</v>
      </c>
      <c r="W485" s="16" t="n">
        <f aca="false">T485*L485</f>
        <v>0.0129800364472141</v>
      </c>
      <c r="X485" s="16" t="n">
        <f aca="false">U485*L485</f>
        <v>0.00238157109421087</v>
      </c>
      <c r="Y485" s="16" t="n">
        <f aca="false">V485*L485</f>
        <v>0.0258465079991877</v>
      </c>
      <c r="Z485" s="16" t="n">
        <f aca="false">Q485*L485</f>
        <v>0.00792320073525417</v>
      </c>
      <c r="AA485" s="16" t="n">
        <f aca="false">R485*L485</f>
        <v>0.0108520784095096</v>
      </c>
      <c r="AB485" s="16" t="n">
        <f aca="false">S485*L485</f>
        <v>0.00577682142292497</v>
      </c>
      <c r="AC485" s="16" t="n">
        <f aca="false">Z485-W485</f>
        <v>-0.00505683571195993</v>
      </c>
      <c r="AD485" s="16" t="n">
        <f aca="false">AA485-W485</f>
        <v>-0.00212795803770447</v>
      </c>
      <c r="AE485" s="16" t="n">
        <f aca="false">AB485-W485</f>
        <v>-0.00720321502428912</v>
      </c>
      <c r="AF485" s="16" t="n">
        <f aca="false">AE485-X485</f>
        <v>-0.00958478611849999</v>
      </c>
      <c r="AG485" s="16" t="n">
        <f aca="false">AF485-p_spc_lo*Y485/1000</f>
        <v>-0.0108771115184594</v>
      </c>
      <c r="AH485" s="16" t="n">
        <f aca="false">AF485-p_spc_hi*Y485/1000</f>
        <v>-0.0121694369184188</v>
      </c>
      <c r="AI485" s="16" t="n">
        <f aca="false">Q485*J485</f>
        <v>0.0330133363968924</v>
      </c>
      <c r="AJ485" s="16" t="n">
        <f aca="false">S485*J485</f>
        <v>0.0240700892621874</v>
      </c>
      <c r="AK485" s="16" t="n">
        <f aca="false">T485*J485</f>
        <v>0.0540834851967254</v>
      </c>
      <c r="AL485" s="16" t="n">
        <f aca="false">U485*J485</f>
        <v>0.00992321289254528</v>
      </c>
      <c r="AM485" s="16" t="n">
        <f aca="false">AI485-AJ485</f>
        <v>0.00894324713470496</v>
      </c>
      <c r="AN485" s="16" t="n">
        <f aca="false">J485*Country_Data!$EB$73</f>
        <v>0.352071804783234</v>
      </c>
      <c r="AO485" s="16" t="n">
        <f aca="false">L485*Country_Data!$EB$73</f>
        <v>0.0844972331479761</v>
      </c>
    </row>
    <row r="486" customFormat="false" ht="15" hidden="false" customHeight="false" outlineLevel="0" collapsed="false">
      <c r="A486" s="14" t="str">
        <f aca="false">Country_Data!$A$73</f>
        <v>KEN</v>
      </c>
      <c r="B486" s="14" t="str">
        <f aca="false">Country_Data!$E$73</f>
        <v>EMDC</v>
      </c>
      <c r="C486" s="35" t="s">
        <v>484</v>
      </c>
      <c r="D486" s="37" t="n">
        <f aca="false">IF(Country_Data!$CD$73="","",Country_Data!$CD$73)</f>
        <v>0.254860793842693</v>
      </c>
      <c r="E486" s="40" t="n">
        <f aca="false">Country_Data!$BW$73</f>
        <v>375.492</v>
      </c>
      <c r="F486" s="41" t="n">
        <f aca="false">Country_Data!$BX$73</f>
        <v>0.317735131507462</v>
      </c>
      <c r="G486" s="42" t="n">
        <f aca="false">IF(D486="","",D486/SUMIFS($D$5:$D$1369,$B$5:$B$1369,B486,$C$5:$C$1369,C486))</f>
        <v>0.00142323577839177</v>
      </c>
      <c r="H486" s="42" t="n">
        <f aca="false">E486/SUMIFS($E$5:$E$1369,$B$5:$B$1369,B486,$C$5:$C$1369,C486)</f>
        <v>0.00465109884086697</v>
      </c>
      <c r="I486" s="43" t="n">
        <f aca="false">IF(G486="",H486,p_beta_alloc*G486+(1-p_beta_alloc)*H486)*F486^p_phi</f>
        <v>0.00171199043974681</v>
      </c>
      <c r="J486" s="16" t="n">
        <f aca="false">INDEX(Sector_Params!$C$21:$E$21,MATCH(B486,Sector_Params!$C$15:$E$15,0))*I486/SUMIFS($I$5:$I$1369,$B$5:$B$1369,B486,$C$5:$C$1369,C486)</f>
        <v>0.379702062185851</v>
      </c>
      <c r="K486" s="28" t="n">
        <f aca="false">INDEX(Sector_Params!$F$10:$H$10,MATCH(B486,Sector_Params!$C$15:$E$15,0))</f>
        <v>0.24</v>
      </c>
      <c r="L486" s="16" t="n">
        <f aca="false">J486*K486</f>
        <v>0.0911284949246043</v>
      </c>
      <c r="M486" s="44" t="n">
        <f aca="false">Country_Data!$DW$73+Sector_Params!$E$10</f>
        <v>0.09659</v>
      </c>
      <c r="N486" s="44" t="n">
        <f aca="false">Country_Data!$DX$73+Sector_Params!$E$10</f>
        <v>0.14159</v>
      </c>
      <c r="O486" s="11" t="n">
        <f aca="false">IF(p_use_ibrd=1,p_r_ibrd,p_r_wb)</f>
        <v>0.06</v>
      </c>
      <c r="P486" s="45" t="n">
        <f aca="false">Sector_Params!$D$10</f>
        <v>20</v>
      </c>
      <c r="Q486" s="46" t="n">
        <f aca="false">M486/(1-(1+M486)^-P486)</f>
        <v>0.114737646661107</v>
      </c>
      <c r="R486" s="46" t="n">
        <f aca="false">N486/(1-(1+N486)^-P486)</f>
        <v>0.152372072776623</v>
      </c>
      <c r="S486" s="46" t="n">
        <f aca="false">O486/(1-(1+O486)^-P486)</f>
        <v>0.0871845569768514</v>
      </c>
      <c r="T486" s="37" t="n">
        <f aca="false">0*Sector_Params!$I$10</f>
        <v>0</v>
      </c>
      <c r="U486" s="37" t="n">
        <f aca="false">0*Sector_Params!$J$10</f>
        <v>0</v>
      </c>
      <c r="V486" s="37" t="n">
        <f aca="false">1000*p_r_wb/(1-(1+p_r_wb)^-Sector_Params!$D$10)/p_cpt_fuel</f>
        <v>0.871845569768514</v>
      </c>
      <c r="W486" s="16" t="n">
        <f aca="false">T486*L486</f>
        <v>0</v>
      </c>
      <c r="X486" s="16" t="n">
        <f aca="false">U486*L486</f>
        <v>0</v>
      </c>
      <c r="Y486" s="16" t="n">
        <f aca="false">V486*L486</f>
        <v>0.0794499745796888</v>
      </c>
      <c r="Z486" s="16" t="n">
        <f aca="false">Q486*L486</f>
        <v>0.0104558690514178</v>
      </c>
      <c r="AA486" s="16" t="n">
        <f aca="false">R486*L486</f>
        <v>0.0138854376606759</v>
      </c>
      <c r="AB486" s="16" t="n">
        <f aca="false">S486*L486</f>
        <v>0.00794499745796888</v>
      </c>
      <c r="AC486" s="16" t="n">
        <f aca="false">Z486-W486</f>
        <v>0.0104558690514178</v>
      </c>
      <c r="AD486" s="16" t="n">
        <f aca="false">AA486-W486</f>
        <v>0.0138854376606759</v>
      </c>
      <c r="AE486" s="16" t="n">
        <f aca="false">AB486-W486</f>
        <v>0.00794499745796888</v>
      </c>
      <c r="AF486" s="16" t="n">
        <f aca="false">AE486-X486</f>
        <v>0.00794499745796888</v>
      </c>
      <c r="AG486" s="16" t="n">
        <f aca="false">AF486-p_spc_lo*Y486/1000</f>
        <v>0.00397249872898444</v>
      </c>
      <c r="AH486" s="16" t="n">
        <f aca="false">AF486-p_spc_hi*Y486/1000</f>
        <v>0</v>
      </c>
      <c r="AI486" s="16" t="n">
        <f aca="false">Q486*J486</f>
        <v>0.043566121047574</v>
      </c>
      <c r="AJ486" s="16" t="n">
        <f aca="false">S486*J486</f>
        <v>0.0331041560748703</v>
      </c>
      <c r="AK486" s="16" t="n">
        <f aca="false">T486*J486</f>
        <v>0</v>
      </c>
      <c r="AL486" s="16" t="n">
        <f aca="false">U486*J486</f>
        <v>0</v>
      </c>
      <c r="AM486" s="16" t="n">
        <f aca="false">AI486-AJ486</f>
        <v>0.0104619649727037</v>
      </c>
      <c r="AN486" s="16" t="n">
        <f aca="false">J486*Country_Data!$EB$73</f>
        <v>0.434461815371838</v>
      </c>
      <c r="AO486" s="16" t="n">
        <f aca="false">L486*Country_Data!$EB$73</f>
        <v>0.104270835689241</v>
      </c>
    </row>
    <row r="487" customFormat="false" ht="15" hidden="false" customHeight="false" outlineLevel="0" collapsed="false">
      <c r="A487" s="14" t="str">
        <f aca="false">Country_Data!$A$73</f>
        <v>KEN</v>
      </c>
      <c r="B487" s="14" t="str">
        <f aca="false">Country_Data!$E$73</f>
        <v>EMDC</v>
      </c>
      <c r="C487" s="35" t="s">
        <v>488</v>
      </c>
      <c r="D487" s="37" t="n">
        <f aca="false">IF(Country_Data!$CE$73="","",Country_Data!$CE$73)</f>
        <v>96.991</v>
      </c>
      <c r="E487" s="40" t="n">
        <f aca="false">Country_Data!$BW$73</f>
        <v>375.492</v>
      </c>
      <c r="F487" s="41" t="n">
        <f aca="false">Country_Data!$BX$73</f>
        <v>0.317735131507462</v>
      </c>
      <c r="G487" s="42" t="n">
        <f aca="false">IF(D487="","",D487/SUMIFS($D$5:$D$1369,$B$5:$B$1369,B487,$C$5:$C$1369,C487))</f>
        <v>0.00794740460385886</v>
      </c>
      <c r="H487" s="42" t="n">
        <f aca="false">E487/SUMIFS($E$5:$E$1369,$B$5:$B$1369,B487,$C$5:$C$1369,C487)</f>
        <v>0.00465109884086697</v>
      </c>
      <c r="I487" s="43" t="n">
        <f aca="false">IF(G487="",H487,p_beta_alloc*G487+(1-p_beta_alloc)*H487)*F487^p_phi</f>
        <v>0.00355076214999824</v>
      </c>
      <c r="J487" s="16" t="n">
        <f aca="false">INDEX(Sector_Params!$C$22:$E$22,MATCH(B487,Sector_Params!$C$15:$E$15,0))*I487/SUMIFS($I$5:$I$1369,$B$5:$B$1369,B487,$C$5:$C$1369,C487)</f>
        <v>2.14042920858911</v>
      </c>
      <c r="K487" s="28" t="n">
        <f aca="false">INDEX(Sector_Params!$F$11:$H$11,MATCH(B487,Sector_Params!$C$15:$E$15,0))</f>
        <v>0.24</v>
      </c>
      <c r="L487" s="16" t="n">
        <f aca="false">J487*K487</f>
        <v>0.513703010061386</v>
      </c>
      <c r="M487" s="44" t="n">
        <f aca="false">Country_Data!$DW$73+Sector_Params!$E$11</f>
        <v>0.09659</v>
      </c>
      <c r="N487" s="44" t="n">
        <f aca="false">Country_Data!$DX$73+Sector_Params!$E$11</f>
        <v>0.14159</v>
      </c>
      <c r="O487" s="11" t="n">
        <f aca="false">IF(p_use_ibrd=1,p_r_ibrd,p_r_wb)</f>
        <v>0.06</v>
      </c>
      <c r="P487" s="45" t="n">
        <f aca="false">Sector_Params!$D$11</f>
        <v>30</v>
      </c>
      <c r="Q487" s="46" t="n">
        <f aca="false">M487/(1-(1+M487)^-P487)</f>
        <v>0.103073644550227</v>
      </c>
      <c r="R487" s="46" t="n">
        <f aca="false">N487/(1-(1+N487)^-P487)</f>
        <v>0.144306318378222</v>
      </c>
      <c r="S487" s="46" t="n">
        <f aca="false">O487/(1-(1+O487)^-P487)</f>
        <v>0.0726489114900472</v>
      </c>
      <c r="T487" s="37" t="n">
        <f aca="false">0*Sector_Params!$I$11</f>
        <v>0</v>
      </c>
      <c r="U487" s="37" t="n">
        <f aca="false">p_c*Sector_Params!$J$11</f>
        <v>0.129</v>
      </c>
      <c r="V487" s="37" t="n">
        <f aca="false">1000*p_r_wb/(1-(1+p_r_wb)^-Sector_Params!$D$11)/p_cpt_afolu</f>
        <v>1.45297822980094</v>
      </c>
      <c r="W487" s="16" t="n">
        <f aca="false">T487*L487</f>
        <v>0</v>
      </c>
      <c r="X487" s="16" t="n">
        <f aca="false">U487*L487</f>
        <v>0.0662676882979188</v>
      </c>
      <c r="Y487" s="16" t="n">
        <f aca="false">V487*L487</f>
        <v>0.746399290202409</v>
      </c>
      <c r="Z487" s="16" t="n">
        <f aca="false">Q487*L487</f>
        <v>0.0529492414634488</v>
      </c>
      <c r="AA487" s="16" t="n">
        <f aca="false">R487*L487</f>
        <v>0.0741305901217694</v>
      </c>
      <c r="AB487" s="16" t="n">
        <f aca="false">S487*L487</f>
        <v>0.0373199645101204</v>
      </c>
      <c r="AC487" s="16" t="n">
        <f aca="false">Z487-W487</f>
        <v>0.0529492414634488</v>
      </c>
      <c r="AD487" s="16" t="n">
        <f aca="false">AA487-W487</f>
        <v>0.0741305901217694</v>
      </c>
      <c r="AE487" s="16" t="n">
        <f aca="false">AB487-W487</f>
        <v>0.0373199645101204</v>
      </c>
      <c r="AF487" s="16" t="n">
        <f aca="false">AE487-X487</f>
        <v>-0.0289477237877983</v>
      </c>
      <c r="AG487" s="16" t="n">
        <f aca="false">AF487-p_spc_lo*Y487/1000</f>
        <v>-0.0662676882979187</v>
      </c>
      <c r="AH487" s="16" t="n">
        <f aca="false">AF487-p_spc_hi*Y487/1000</f>
        <v>-0.103587652808039</v>
      </c>
      <c r="AI487" s="16" t="n">
        <f aca="false">Q487*J487</f>
        <v>0.220621839431037</v>
      </c>
      <c r="AJ487" s="16" t="n">
        <f aca="false">S487*J487</f>
        <v>0.155499852125502</v>
      </c>
      <c r="AK487" s="16" t="n">
        <f aca="false">T487*J487</f>
        <v>0</v>
      </c>
      <c r="AL487" s="16" t="n">
        <f aca="false">U487*J487</f>
        <v>0.276115367907995</v>
      </c>
      <c r="AM487" s="16" t="n">
        <f aca="false">AI487-AJ487</f>
        <v>0.0651219873055348</v>
      </c>
      <c r="AN487" s="16" t="n">
        <f aca="false">J487*Country_Data!$EB$73</f>
        <v>2.44911695839924</v>
      </c>
      <c r="AO487" s="16" t="n">
        <f aca="false">L487*Country_Data!$EB$73</f>
        <v>0.587788070015817</v>
      </c>
    </row>
    <row r="488" customFormat="false" ht="15" hidden="false" customHeight="false" outlineLevel="0" collapsed="false">
      <c r="A488" s="14" t="str">
        <f aca="false">Country_Data!$A$74</f>
        <v>BGR</v>
      </c>
      <c r="B488" s="14" t="str">
        <f aca="false">Country_Data!$E$74</f>
        <v>EMDC</v>
      </c>
      <c r="C488" s="35" t="s">
        <v>466</v>
      </c>
      <c r="D488" s="37" t="n">
        <f aca="false">IF(Country_Data!$BZ$74="","",Country_Data!$BZ$74)</f>
        <v>37.4967717073956</v>
      </c>
      <c r="E488" s="40" t="n">
        <f aca="false">Country_Data!$BW$74</f>
        <v>252.921</v>
      </c>
      <c r="F488" s="41" t="n">
        <f aca="false">Country_Data!$BX$74</f>
        <v>0.448219009097702</v>
      </c>
      <c r="G488" s="42" t="n">
        <f aca="false">IF(D488="","",D488/SUMIFS($D$5:$D$1369,$B$5:$B$1369,B488,$C$5:$C$1369,C488))</f>
        <v>0.00428071152981526</v>
      </c>
      <c r="H488" s="42" t="n">
        <f aca="false">E488/SUMIFS($E$5:$E$1369,$B$5:$B$1369,B488,$C$5:$C$1369,C488)</f>
        <v>0.00313285121901643</v>
      </c>
      <c r="I488" s="43" t="n">
        <f aca="false">IF(G488="",H488,p_beta_alloc*G488+(1-p_beta_alloc)*H488)*F488^p_phi</f>
        <v>0.00248165901155415</v>
      </c>
      <c r="J488" s="16" t="n">
        <f aca="false">INDEX(Sector_Params!$C$16:$E$16,MATCH(B488,Sector_Params!$C$15:$E$15,0))*I488/SUMIFS($I$5:$I$1369,$B$5:$B$1369,B488,$C$5:$C$1369,C488)</f>
        <v>2.40032351145549</v>
      </c>
      <c r="K488" s="28" t="n">
        <f aca="false">INDEX(Sector_Params!$F$5:$H$5,MATCH(B488,Sector_Params!$C$15:$E$15,0))</f>
        <v>0.24</v>
      </c>
      <c r="L488" s="16" t="n">
        <f aca="false">J488*K488</f>
        <v>0.576077642749318</v>
      </c>
      <c r="M488" s="44" t="n">
        <f aca="false">Country_Data!$DW$74+Sector_Params!$E$5</f>
        <v>0.0911</v>
      </c>
      <c r="N488" s="44" t="n">
        <f aca="false">Country_Data!$DX$74+Sector_Params!$E$5</f>
        <v>0.1361</v>
      </c>
      <c r="O488" s="11" t="n">
        <f aca="false">IF(p_use_ibrd=1,p_r_ibrd,p_r_wb)</f>
        <v>0.06</v>
      </c>
      <c r="P488" s="45" t="n">
        <f aca="false">Sector_Params!$D$5</f>
        <v>25</v>
      </c>
      <c r="Q488" s="46" t="n">
        <f aca="false">M488/(1-(1+M488)^-P488)</f>
        <v>0.102715022977392</v>
      </c>
      <c r="R488" s="46" t="n">
        <f aca="false">N488/(1-(1+N488)^-P488)</f>
        <v>0.141943899464266</v>
      </c>
      <c r="S488" s="46" t="n">
        <f aca="false">O488/(1-(1+O488)^-P488)</f>
        <v>0.078226718212274</v>
      </c>
      <c r="T488" s="37" t="n">
        <f aca="false">IF(AND(p_eng=1,ISNUMBER(Country_Data!$CZ$74)),Country_Data!$CZ$74,Country_Data!$CM$74)*Sector_Params!$I$5</f>
        <v>0.02972791636874</v>
      </c>
      <c r="U488" s="37" t="n">
        <f aca="false">IF(AND(p_eng=1,ISNUMBER(Country_Data!$DA$74)),Country_Data!$DA$74,Country_Data!$CN$74)*Sector_Params!$J$5</f>
        <v>0.0217426131955523</v>
      </c>
      <c r="V488" s="37" t="n">
        <f aca="false">IF(AND(p_eng=1,ISNUMBER(Country_Data!$DB$74)),Country_Data!$DB$74,p_a)</f>
        <v>0.550054592965397</v>
      </c>
      <c r="W488" s="16" t="n">
        <f aca="false">T488*L488</f>
        <v>0.0171255879855526</v>
      </c>
      <c r="X488" s="16" t="n">
        <f aca="false">U488*L488</f>
        <v>0.012525433356904</v>
      </c>
      <c r="Y488" s="16" t="n">
        <f aca="false">V488*L488</f>
        <v>0.316874153298941</v>
      </c>
      <c r="Z488" s="16" t="n">
        <f aca="false">Q488*L488</f>
        <v>0.0591718283117582</v>
      </c>
      <c r="AA488" s="16" t="n">
        <f aca="false">R488*L488</f>
        <v>0.0817707070060205</v>
      </c>
      <c r="AB488" s="16" t="n">
        <f aca="false">S488*L488</f>
        <v>0.0450646634277419</v>
      </c>
      <c r="AC488" s="16" t="n">
        <f aca="false">Z488-W488</f>
        <v>0.0420462403262055</v>
      </c>
      <c r="AD488" s="16" t="n">
        <f aca="false">AA488-W488</f>
        <v>0.0646451190204678</v>
      </c>
      <c r="AE488" s="16" t="n">
        <f aca="false">AB488-W488</f>
        <v>0.0279390754421893</v>
      </c>
      <c r="AF488" s="16" t="n">
        <f aca="false">AE488-X488</f>
        <v>0.0154136420852853</v>
      </c>
      <c r="AG488" s="16" t="n">
        <f aca="false">AF488-p_spc_lo*Y488/1000</f>
        <v>-0.000430065579661743</v>
      </c>
      <c r="AH488" s="16" t="n">
        <f aca="false">AF488-p_spc_hi*Y488/1000</f>
        <v>-0.0162737732446088</v>
      </c>
      <c r="AI488" s="16" t="n">
        <f aca="false">Q488*J488</f>
        <v>0.246549284632326</v>
      </c>
      <c r="AJ488" s="16" t="n">
        <f aca="false">S488*J488</f>
        <v>0.187769430948925</v>
      </c>
      <c r="AK488" s="16" t="n">
        <f aca="false">T488*J488</f>
        <v>0.0713566166064693</v>
      </c>
      <c r="AL488" s="16" t="n">
        <f aca="false">U488*J488</f>
        <v>0.0521893056537666</v>
      </c>
      <c r="AM488" s="16" t="n">
        <f aca="false">AI488-AJ488</f>
        <v>0.058779853683401</v>
      </c>
      <c r="AN488" s="16" t="n">
        <f aca="false">J488*Country_Data!$EB$74</f>
        <v>2.75543986657494</v>
      </c>
      <c r="AO488" s="16" t="n">
        <f aca="false">L488*Country_Data!$EB$74</f>
        <v>0.661305567977985</v>
      </c>
    </row>
    <row r="489" customFormat="false" ht="15" hidden="false" customHeight="false" outlineLevel="0" collapsed="false">
      <c r="A489" s="14" t="str">
        <f aca="false">Country_Data!$A$74</f>
        <v>BGR</v>
      </c>
      <c r="B489" s="14" t="str">
        <f aca="false">Country_Data!$E$74</f>
        <v>EMDC</v>
      </c>
      <c r="C489" s="35" t="s">
        <v>470</v>
      </c>
      <c r="D489" s="37" t="n">
        <f aca="false">IF(Country_Data!$BZ$74="","",Country_Data!$BZ$74)</f>
        <v>37.4967717073956</v>
      </c>
      <c r="E489" s="40" t="n">
        <f aca="false">Country_Data!$BW$74</f>
        <v>252.921</v>
      </c>
      <c r="F489" s="41" t="n">
        <f aca="false">Country_Data!$BX$74</f>
        <v>0.448219009097702</v>
      </c>
      <c r="G489" s="42" t="n">
        <f aca="false">IF(D489="","",D489/SUMIFS($D$5:$D$1369,$B$5:$B$1369,B489,$C$5:$C$1369,C489))</f>
        <v>0.00428071152981526</v>
      </c>
      <c r="H489" s="42" t="n">
        <f aca="false">E489/SUMIFS($E$5:$E$1369,$B$5:$B$1369,B489,$C$5:$C$1369,C489)</f>
        <v>0.00313285121901643</v>
      </c>
      <c r="I489" s="43" t="n">
        <f aca="false">IF(G489="",H489,p_beta_alloc*G489+(1-p_beta_alloc)*H489)*F489^p_phi</f>
        <v>0.00248165901155415</v>
      </c>
      <c r="J489" s="16" t="n">
        <f aca="false">INDEX(Sector_Params!$C$17:$E$17,MATCH(B489,Sector_Params!$C$15:$E$15,0))*I489/SUMIFS($I$5:$I$1369,$B$5:$B$1369,B489,$C$5:$C$1369,C489)</f>
        <v>1.64593612214091</v>
      </c>
      <c r="K489" s="28" t="n">
        <f aca="false">INDEX(Sector_Params!$F$6:$H$6,MATCH(B489,Sector_Params!$C$15:$E$15,0))</f>
        <v>0.24</v>
      </c>
      <c r="L489" s="16" t="n">
        <f aca="false">J489*K489</f>
        <v>0.395024669313818</v>
      </c>
      <c r="M489" s="44" t="n">
        <f aca="false">Country_Data!$DW$74+Sector_Params!$E$6</f>
        <v>0.0911</v>
      </c>
      <c r="N489" s="44" t="n">
        <f aca="false">Country_Data!$DX$74+Sector_Params!$E$6</f>
        <v>0.1361</v>
      </c>
      <c r="O489" s="11" t="n">
        <f aca="false">IF(p_use_ibrd=1,p_r_ibrd,p_r_wb)</f>
        <v>0.06</v>
      </c>
      <c r="P489" s="45" t="n">
        <f aca="false">Sector_Params!$D$6</f>
        <v>40</v>
      </c>
      <c r="Q489" s="46" t="n">
        <f aca="false">M489/(1-(1+M489)^-P489)</f>
        <v>0.0939735816972757</v>
      </c>
      <c r="R489" s="46" t="n">
        <f aca="false">N489/(1-(1+N489)^-P489)</f>
        <v>0.136931459006409</v>
      </c>
      <c r="S489" s="46" t="n">
        <f aca="false">O489/(1-(1+O489)^-P489)</f>
        <v>0.0664615359206755</v>
      </c>
      <c r="T489" s="37" t="n">
        <f aca="false">p_grid_credit*IF(AND(p_eng=1,ISNUMBER(Country_Data!$CZ$74)),Country_Data!$CZ$74,Country_Data!$CM$74)*Sector_Params!$I$6</f>
        <v>0</v>
      </c>
      <c r="U489" s="37" t="n">
        <f aca="false">p_grid_credit*IF(AND(p_eng=1,ISNUMBER(Country_Data!$DA$74)),Country_Data!$DA$74,Country_Data!$CN$74)*Sector_Params!$J$6</f>
        <v>0</v>
      </c>
      <c r="V489" s="37" t="n">
        <f aca="false">p_grid_credit*IF(AND(p_eng=1,ISNUMBER(Country_Data!$DB$74)),Country_Data!$DB$74,p_a)</f>
        <v>0</v>
      </c>
      <c r="W489" s="16" t="n">
        <f aca="false">T489*L489</f>
        <v>0</v>
      </c>
      <c r="X489" s="16" t="n">
        <f aca="false">U489*L489</f>
        <v>0</v>
      </c>
      <c r="Y489" s="16" t="n">
        <f aca="false">V489*L489</f>
        <v>0</v>
      </c>
      <c r="Z489" s="16" t="n">
        <f aca="false">Q489*L489</f>
        <v>0.0371218830342014</v>
      </c>
      <c r="AA489" s="16" t="n">
        <f aca="false">R489*L489</f>
        <v>0.0540913043126653</v>
      </c>
      <c r="AB489" s="16" t="n">
        <f aca="false">S489*L489</f>
        <v>0.0262539462491533</v>
      </c>
      <c r="AC489" s="16" t="n">
        <f aca="false">Z489-W489</f>
        <v>0.0371218830342014</v>
      </c>
      <c r="AD489" s="16" t="n">
        <f aca="false">AA489-W489</f>
        <v>0.0540913043126653</v>
      </c>
      <c r="AE489" s="16" t="n">
        <f aca="false">AB489-W489</f>
        <v>0.0262539462491533</v>
      </c>
      <c r="AF489" s="16" t="n">
        <f aca="false">AE489-X489</f>
        <v>0.0262539462491533</v>
      </c>
      <c r="AG489" s="16" t="n">
        <f aca="false">AF489-p_spc_lo*Y489/1000</f>
        <v>0.0262539462491533</v>
      </c>
      <c r="AH489" s="16" t="n">
        <f aca="false">AF489-p_spc_hi*Y489/1000</f>
        <v>0.0262539462491533</v>
      </c>
      <c r="AI489" s="16" t="n">
        <f aca="false">Q489*J489</f>
        <v>0.154674512642506</v>
      </c>
      <c r="AJ489" s="16" t="n">
        <f aca="false">S489*J489</f>
        <v>0.109391442704805</v>
      </c>
      <c r="AK489" s="16" t="n">
        <f aca="false">T489*J489</f>
        <v>0</v>
      </c>
      <c r="AL489" s="16" t="n">
        <f aca="false">U489*J489</f>
        <v>0</v>
      </c>
      <c r="AM489" s="16" t="n">
        <f aca="false">AI489-AJ489</f>
        <v>0.0452830699377005</v>
      </c>
      <c r="AN489" s="16" t="n">
        <f aca="false">J489*Country_Data!$EB$74</f>
        <v>1.8894444799371</v>
      </c>
      <c r="AO489" s="16" t="n">
        <f aca="false">L489*Country_Data!$EB$74</f>
        <v>0.453466675184904</v>
      </c>
    </row>
    <row r="490" customFormat="false" ht="15" hidden="false" customHeight="false" outlineLevel="0" collapsed="false">
      <c r="A490" s="14" t="str">
        <f aca="false">Country_Data!$A$74</f>
        <v>BGR</v>
      </c>
      <c r="B490" s="14" t="str">
        <f aca="false">Country_Data!$E$74</f>
        <v>EMDC</v>
      </c>
      <c r="C490" s="35" t="s">
        <v>473</v>
      </c>
      <c r="D490" s="37" t="n">
        <f aca="false">IF(Country_Data!$CA$74="","",Country_Data!$CA$74)</f>
        <v>0.148399104320901</v>
      </c>
      <c r="E490" s="40" t="n">
        <f aca="false">Country_Data!$BW$74</f>
        <v>252.921</v>
      </c>
      <c r="F490" s="41" t="n">
        <f aca="false">Country_Data!$BX$74</f>
        <v>0.448219009097702</v>
      </c>
      <c r="G490" s="42" t="n">
        <f aca="false">IF(D490="","",D490/SUMIFS($D$5:$D$1369,$B$5:$B$1369,B490,$C$5:$C$1369,C490))</f>
        <v>0.00342836459214731</v>
      </c>
      <c r="H490" s="42" t="n">
        <f aca="false">E490/SUMIFS($E$5:$E$1369,$B$5:$B$1369,B490,$C$5:$C$1369,C490)</f>
        <v>0.00313285121901643</v>
      </c>
      <c r="I490" s="43" t="n">
        <f aca="false">IF(G490="",H490,p_beta_alloc*G490+(1-p_beta_alloc)*H490)*F490^p_phi</f>
        <v>0.00219633945191764</v>
      </c>
      <c r="J490" s="16" t="n">
        <f aca="false">INDEX(Sector_Params!$C$18:$E$18,MATCH(B490,Sector_Params!$C$15:$E$15,0))*I490/SUMIFS($I$5:$I$1369,$B$5:$B$1369,B490,$C$5:$C$1369,C490)</f>
        <v>0.899349037501774</v>
      </c>
      <c r="K490" s="28" t="n">
        <f aca="false">INDEX(Sector_Params!$F$7:$H$7,MATCH(B490,Sector_Params!$C$15:$E$15,0))</f>
        <v>0.24</v>
      </c>
      <c r="L490" s="16" t="n">
        <f aca="false">J490*K490</f>
        <v>0.215843769000426</v>
      </c>
      <c r="M490" s="44" t="n">
        <f aca="false">Country_Data!$DW$74+Sector_Params!$E$7</f>
        <v>0.0911</v>
      </c>
      <c r="N490" s="44" t="n">
        <f aca="false">Country_Data!$DX$74+Sector_Params!$E$7</f>
        <v>0.1361</v>
      </c>
      <c r="O490" s="11" t="n">
        <f aca="false">IF(p_use_ibrd=1,p_r_ibrd,p_r_wb)</f>
        <v>0.06</v>
      </c>
      <c r="P490" s="45" t="n">
        <f aca="false">Sector_Params!$D$7</f>
        <v>12</v>
      </c>
      <c r="Q490" s="46" t="n">
        <f aca="false">M490/(1-(1+M490)^-P490)</f>
        <v>0.140425467319736</v>
      </c>
      <c r="R490" s="46" t="n">
        <f aca="false">N490/(1-(1+N490)^-P490)</f>
        <v>0.173657295926348</v>
      </c>
      <c r="S490" s="46" t="n">
        <f aca="false">O490/(1-(1+O490)^-P490)</f>
        <v>0.119277029380664</v>
      </c>
      <c r="T490" s="37" t="n">
        <f aca="false">IF(AND(p_eng=1,ISNUMBER(Country_Data!$DE$74)),Country_Data!$DE$74,Country_Data!$CM$74)*Sector_Params!$I$7</f>
        <v>0.172086975</v>
      </c>
      <c r="U490" s="37" t="n">
        <f aca="false">IF(AND(p_eng=1,ISNUMBER(Country_Data!$DF$74)),Country_Data!$DF$74,Country_Data!$CN$74)*Sector_Params!$J$7</f>
        <v>0.0165348</v>
      </c>
      <c r="V490" s="37" t="n">
        <f aca="false">IF(AND(p_eng=1,ISNUMBER(Country_Data!$DG$74)),Country_Data!$DG$74,p_a)</f>
        <v>0.404192559241706</v>
      </c>
      <c r="W490" s="16" t="n">
        <f aca="false">T490*L490</f>
        <v>0.037143901279882</v>
      </c>
      <c r="X490" s="16" t="n">
        <f aca="false">U490*L490</f>
        <v>0.00356893355166824</v>
      </c>
      <c r="Y490" s="16" t="n">
        <f aca="false">V490*L490</f>
        <v>0.0872424453886577</v>
      </c>
      <c r="Z490" s="16" t="n">
        <f aca="false">Q490*L490</f>
        <v>0.030309962129938</v>
      </c>
      <c r="AA490" s="16" t="n">
        <f aca="false">R490*L490</f>
        <v>0.0374828452671651</v>
      </c>
      <c r="AB490" s="16" t="n">
        <f aca="false">S490*L490</f>
        <v>0.0257452035766969</v>
      </c>
      <c r="AC490" s="16" t="n">
        <f aca="false">Z490-W490</f>
        <v>-0.00683393914994403</v>
      </c>
      <c r="AD490" s="16" t="n">
        <f aca="false">AA490-W490</f>
        <v>0.000338943987283125</v>
      </c>
      <c r="AE490" s="16" t="n">
        <f aca="false">AB490-W490</f>
        <v>-0.0113986977031851</v>
      </c>
      <c r="AF490" s="16" t="n">
        <f aca="false">AE490-X490</f>
        <v>-0.0149676312548533</v>
      </c>
      <c r="AG490" s="16" t="n">
        <f aca="false">AF490-p_spc_lo*Y490/1000</f>
        <v>-0.0193297535242862</v>
      </c>
      <c r="AH490" s="16" t="n">
        <f aca="false">AF490-p_spc_hi*Y490/1000</f>
        <v>-0.0236918757937191</v>
      </c>
      <c r="AI490" s="16" t="n">
        <f aca="false">Q490*J490</f>
        <v>0.126291508874742</v>
      </c>
      <c r="AJ490" s="16" t="n">
        <f aca="false">S490*J490</f>
        <v>0.107271681569571</v>
      </c>
      <c r="AK490" s="16" t="n">
        <f aca="false">T490*J490</f>
        <v>0.154766255332842</v>
      </c>
      <c r="AL490" s="16" t="n">
        <f aca="false">U490*J490</f>
        <v>0.0148705564652843</v>
      </c>
      <c r="AM490" s="16" t="n">
        <f aca="false">AI490-AJ490</f>
        <v>0.0190198273051711</v>
      </c>
      <c r="AN490" s="16" t="n">
        <f aca="false">J490*Country_Data!$EB$74</f>
        <v>1.03240341565272</v>
      </c>
      <c r="AO490" s="16" t="n">
        <f aca="false">L490*Country_Data!$EB$74</f>
        <v>0.247776819756653</v>
      </c>
    </row>
    <row r="491" customFormat="false" ht="15" hidden="false" customHeight="false" outlineLevel="0" collapsed="false">
      <c r="A491" s="14" t="str">
        <f aca="false">Country_Data!$A$74</f>
        <v>BGR</v>
      </c>
      <c r="B491" s="14" t="str">
        <f aca="false">Country_Data!$E$74</f>
        <v>EMDC</v>
      </c>
      <c r="C491" s="35" t="s">
        <v>477</v>
      </c>
      <c r="D491" s="37" t="n">
        <f aca="false">IF(Country_Data!$CB$74="","",Country_Data!$CB$74)</f>
        <v>0.103070715575961</v>
      </c>
      <c r="E491" s="40" t="n">
        <f aca="false">Country_Data!$BW$74</f>
        <v>252.921</v>
      </c>
      <c r="F491" s="41" t="n">
        <f aca="false">Country_Data!$BX$74</f>
        <v>0.448219009097702</v>
      </c>
      <c r="G491" s="42" t="n">
        <f aca="false">IF(D491="","",D491/SUMIFS($D$5:$D$1369,$B$5:$B$1369,B491,$C$5:$C$1369,C491))</f>
        <v>0.00325013351247159</v>
      </c>
      <c r="H491" s="42" t="n">
        <f aca="false">E491/SUMIFS($E$5:$E$1369,$B$5:$B$1369,B491,$C$5:$C$1369,C491)</f>
        <v>0.00313285121901643</v>
      </c>
      <c r="I491" s="43" t="n">
        <f aca="false">IF(G491="",H491,p_beta_alloc*G491+(1-p_beta_alloc)*H491)*F491^p_phi</f>
        <v>0.00213667734612566</v>
      </c>
      <c r="J491" s="16" t="n">
        <f aca="false">INDEX(Sector_Params!$C$19:$E$19,MATCH(B491,Sector_Params!$C$15:$E$15,0))*I491/SUMIFS($I$5:$I$1369,$B$5:$B$1369,B491,$C$5:$C$1369,C491)</f>
        <v>0.68771651856119</v>
      </c>
      <c r="K491" s="28" t="n">
        <f aca="false">INDEX(Sector_Params!$F$8:$H$8,MATCH(B491,Sector_Params!$C$15:$E$15,0))</f>
        <v>0.24</v>
      </c>
      <c r="L491" s="16" t="n">
        <f aca="false">J491*K491</f>
        <v>0.165051964454685</v>
      </c>
      <c r="M491" s="44" t="n">
        <f aca="false">Country_Data!$DW$74+Sector_Params!$E$8</f>
        <v>0.0911</v>
      </c>
      <c r="N491" s="44" t="n">
        <f aca="false">Country_Data!$DX$74+Sector_Params!$E$8</f>
        <v>0.1361</v>
      </c>
      <c r="O491" s="11" t="n">
        <f aca="false">IF(p_use_ibrd=1,p_r_ibrd,p_r_wb)</f>
        <v>0.06</v>
      </c>
      <c r="P491" s="45" t="n">
        <f aca="false">Sector_Params!$D$8</f>
        <v>25</v>
      </c>
      <c r="Q491" s="46" t="n">
        <f aca="false">M491/(1-(1+M491)^-P491)</f>
        <v>0.102715022977392</v>
      </c>
      <c r="R491" s="46" t="n">
        <f aca="false">N491/(1-(1+N491)^-P491)</f>
        <v>0.141943899464266</v>
      </c>
      <c r="S491" s="46" t="n">
        <f aca="false">O491/(1-(1+O491)^-P491)</f>
        <v>0.078226718212274</v>
      </c>
      <c r="T491" s="37" t="n">
        <f aca="false">Country_Data!$CM$74*Sector_Params!$I$8</f>
        <v>0.134256688943581</v>
      </c>
      <c r="U491" s="37" t="n">
        <f aca="false">Country_Data!$CN$74*Sector_Params!$J$8</f>
        <v>0.165644912708421</v>
      </c>
      <c r="V491" s="37" t="n">
        <f aca="false">p_a</f>
        <v>0.35</v>
      </c>
      <c r="W491" s="16" t="n">
        <f aca="false">T491*L491</f>
        <v>0.0221593302513197</v>
      </c>
      <c r="X491" s="16" t="n">
        <f aca="false">U491*L491</f>
        <v>0.0273400182444498</v>
      </c>
      <c r="Y491" s="16" t="n">
        <f aca="false">V491*L491</f>
        <v>0.0577681875591399</v>
      </c>
      <c r="Z491" s="16" t="n">
        <f aca="false">Q491*L491</f>
        <v>0.0169533163214267</v>
      </c>
      <c r="AA491" s="16" t="n">
        <f aca="false">R491*L491</f>
        <v>0.0234281194489355</v>
      </c>
      <c r="AB491" s="16" t="n">
        <f aca="false">S491*L491</f>
        <v>0.0129114735137789</v>
      </c>
      <c r="AC491" s="16" t="n">
        <f aca="false">Z491-W491</f>
        <v>-0.00520601392989294</v>
      </c>
      <c r="AD491" s="16" t="n">
        <f aca="false">AA491-W491</f>
        <v>0.00126878919761577</v>
      </c>
      <c r="AE491" s="16" t="n">
        <f aca="false">AB491-W491</f>
        <v>-0.00924785673754074</v>
      </c>
      <c r="AF491" s="16" t="n">
        <f aca="false">AE491-X491</f>
        <v>-0.0365878749819906</v>
      </c>
      <c r="AG491" s="16" t="n">
        <f aca="false">AF491-p_spc_lo*Y491/1000</f>
        <v>-0.0394762843599475</v>
      </c>
      <c r="AH491" s="16" t="n">
        <f aca="false">AF491-p_spc_hi*Y491/1000</f>
        <v>-0.0423646937379045</v>
      </c>
      <c r="AI491" s="16" t="n">
        <f aca="false">Q491*J491</f>
        <v>0.0706388180059448</v>
      </c>
      <c r="AJ491" s="16" t="n">
        <f aca="false">S491*J491</f>
        <v>0.0537978063074122</v>
      </c>
      <c r="AK491" s="16" t="n">
        <f aca="false">T491*J491</f>
        <v>0.092330542713832</v>
      </c>
      <c r="AL491" s="16" t="n">
        <f aca="false">U491*J491</f>
        <v>0.113916742685208</v>
      </c>
      <c r="AM491" s="16" t="n">
        <f aca="false">AI491-AJ491</f>
        <v>0.0168410116985325</v>
      </c>
      <c r="AN491" s="16" t="n">
        <f aca="false">J491*Country_Data!$EB$74</f>
        <v>0.789460880211338</v>
      </c>
      <c r="AO491" s="16" t="n">
        <f aca="false">L491*Country_Data!$EB$74</f>
        <v>0.189470611250721</v>
      </c>
    </row>
    <row r="492" customFormat="false" ht="15" hidden="false" customHeight="false" outlineLevel="0" collapsed="false">
      <c r="A492" s="14" t="str">
        <f aca="false">Country_Data!$A$74</f>
        <v>BGR</v>
      </c>
      <c r="B492" s="14" t="str">
        <f aca="false">Country_Data!$E$74</f>
        <v>EMDC</v>
      </c>
      <c r="C492" s="35" t="s">
        <v>481</v>
      </c>
      <c r="D492" s="37" t="n">
        <f aca="false">IF(Country_Data!$CC$74="","",Country_Data!$CC$74)</f>
        <v>0.203781413863993</v>
      </c>
      <c r="E492" s="40" t="n">
        <f aca="false">Country_Data!$BW$74</f>
        <v>252.921</v>
      </c>
      <c r="F492" s="41" t="n">
        <f aca="false">Country_Data!$BX$74</f>
        <v>0.448219009097702</v>
      </c>
      <c r="G492" s="42" t="n">
        <f aca="false">IF(D492="","",D492/SUMIFS($D$5:$D$1369,$B$5:$B$1369,B492,$C$5:$C$1369,C492))</f>
        <v>0.00291086126015068</v>
      </c>
      <c r="H492" s="42" t="n">
        <f aca="false">E492/SUMIFS($E$5:$E$1369,$B$5:$B$1369,B492,$C$5:$C$1369,C492)</f>
        <v>0.00313285121901643</v>
      </c>
      <c r="I492" s="43" t="n">
        <f aca="false">IF(G492="",H492,p_beta_alloc*G492+(1-p_beta_alloc)*H492)*F492^p_phi</f>
        <v>0.00202310738376511</v>
      </c>
      <c r="J492" s="16" t="n">
        <f aca="false">INDEX(Sector_Params!$C$20:$E$20,MATCH(B492,Sector_Params!$C$15:$E$15,0))*I492/SUMIFS($I$5:$I$1369,$B$5:$B$1369,B492,$C$5:$C$1369,C492)</f>
        <v>0.369257838240393</v>
      </c>
      <c r="K492" s="28" t="n">
        <f aca="false">INDEX(Sector_Params!$F$9:$H$9,MATCH(B492,Sector_Params!$C$15:$E$15,0))</f>
        <v>0.24</v>
      </c>
      <c r="L492" s="16" t="n">
        <f aca="false">J492*K492</f>
        <v>0.0886218811776944</v>
      </c>
      <c r="M492" s="44" t="n">
        <f aca="false">Country_Data!$DW$74+Sector_Params!$E$9</f>
        <v>0.0911</v>
      </c>
      <c r="N492" s="44" t="n">
        <f aca="false">Country_Data!$DX$74+Sector_Params!$E$9</f>
        <v>0.1361</v>
      </c>
      <c r="O492" s="11" t="n">
        <f aca="false">IF(p_use_ibrd=1,p_r_ibrd,p_r_wb)</f>
        <v>0.06</v>
      </c>
      <c r="P492" s="45" t="n">
        <f aca="false">Sector_Params!$D$9</f>
        <v>25</v>
      </c>
      <c r="Q492" s="46" t="n">
        <f aca="false">M492/(1-(1+M492)^-P492)</f>
        <v>0.102715022977392</v>
      </c>
      <c r="R492" s="46" t="n">
        <f aca="false">N492/(1-(1+N492)^-P492)</f>
        <v>0.141943899464266</v>
      </c>
      <c r="S492" s="46" t="n">
        <f aca="false">O492/(1-(1+O492)^-P492)</f>
        <v>0.078226718212274</v>
      </c>
      <c r="T492" s="37" t="n">
        <f aca="false">Country_Data!$CM$74*Sector_Params!$I$9</f>
        <v>0.134256688943581</v>
      </c>
      <c r="U492" s="37" t="n">
        <f aca="false">Country_Data!$CN$74*Sector_Params!$J$9</f>
        <v>0.165644912708421</v>
      </c>
      <c r="V492" s="37" t="n">
        <f aca="false">p_a</f>
        <v>0.35</v>
      </c>
      <c r="W492" s="16" t="n">
        <f aca="false">T492*L492</f>
        <v>0.0118980803348687</v>
      </c>
      <c r="X492" s="16" t="n">
        <f aca="false">U492*L492</f>
        <v>0.0146797637717353</v>
      </c>
      <c r="Y492" s="16" t="n">
        <f aca="false">V492*L492</f>
        <v>0.031017658412193</v>
      </c>
      <c r="Z492" s="16" t="n">
        <f aca="false">Q492*L492</f>
        <v>0.0091027985614666</v>
      </c>
      <c r="AA492" s="16" t="n">
        <f aca="false">R492*L492</f>
        <v>0.0125793353922208</v>
      </c>
      <c r="AB492" s="16" t="n">
        <f aca="false">S492*L492</f>
        <v>0.00693259892632912</v>
      </c>
      <c r="AC492" s="16" t="n">
        <f aca="false">Z492-W492</f>
        <v>-0.0027952817734021</v>
      </c>
      <c r="AD492" s="16" t="n">
        <f aca="false">AA492-W492</f>
        <v>0.000681255057352058</v>
      </c>
      <c r="AE492" s="16" t="n">
        <f aca="false">AB492-W492</f>
        <v>-0.00496548140853958</v>
      </c>
      <c r="AF492" s="16" t="n">
        <f aca="false">AE492-X492</f>
        <v>-0.0196452451802748</v>
      </c>
      <c r="AG492" s="16" t="n">
        <f aca="false">AF492-p_spc_lo*Y492/1000</f>
        <v>-0.0211961281008845</v>
      </c>
      <c r="AH492" s="16" t="n">
        <f aca="false">AF492-p_spc_hi*Y492/1000</f>
        <v>-0.0227470110214941</v>
      </c>
      <c r="AI492" s="16" t="n">
        <f aca="false">Q492*J492</f>
        <v>0.0379283273394442</v>
      </c>
      <c r="AJ492" s="16" t="n">
        <f aca="false">S492*J492</f>
        <v>0.0288858288597047</v>
      </c>
      <c r="AK492" s="16" t="n">
        <f aca="false">T492*J492</f>
        <v>0.0495753347286196</v>
      </c>
      <c r="AL492" s="16" t="n">
        <f aca="false">U492*J492</f>
        <v>0.0611656823822302</v>
      </c>
      <c r="AM492" s="16" t="n">
        <f aca="false">AI492-AJ492</f>
        <v>0.0090424984797395</v>
      </c>
      <c r="AN492" s="16" t="n">
        <f aca="false">J492*Country_Data!$EB$74</f>
        <v>0.423887764993766</v>
      </c>
      <c r="AO492" s="16" t="n">
        <f aca="false">L492*Country_Data!$EB$74</f>
        <v>0.101733063598504</v>
      </c>
    </row>
    <row r="493" customFormat="false" ht="15" hidden="false" customHeight="false" outlineLevel="0" collapsed="false">
      <c r="A493" s="14" t="str">
        <f aca="false">Country_Data!$A$74</f>
        <v>BGR</v>
      </c>
      <c r="B493" s="14" t="str">
        <f aca="false">Country_Data!$E$74</f>
        <v>EMDC</v>
      </c>
      <c r="C493" s="35" t="s">
        <v>484</v>
      </c>
      <c r="D493" s="37" t="n">
        <f aca="false">IF(Country_Data!$CD$74="","",Country_Data!$CD$74)</f>
        <v>0.575196568198346</v>
      </c>
      <c r="E493" s="40" t="n">
        <f aca="false">Country_Data!$BW$74</f>
        <v>252.921</v>
      </c>
      <c r="F493" s="41" t="n">
        <f aca="false">Country_Data!$BX$74</f>
        <v>0.448219009097702</v>
      </c>
      <c r="G493" s="42" t="n">
        <f aca="false">IF(D493="","",D493/SUMIFS($D$5:$D$1369,$B$5:$B$1369,B493,$C$5:$C$1369,C493))</f>
        <v>0.00321210776724385</v>
      </c>
      <c r="H493" s="42" t="n">
        <f aca="false">E493/SUMIFS($E$5:$E$1369,$B$5:$B$1369,B493,$C$5:$C$1369,C493)</f>
        <v>0.00313285121901643</v>
      </c>
      <c r="I493" s="43" t="n">
        <f aca="false">IF(G493="",H493,p_beta_alloc*G493+(1-p_beta_alloc)*H493)*F493^p_phi</f>
        <v>0.0021239483875247</v>
      </c>
      <c r="J493" s="16" t="n">
        <f aca="false">INDEX(Sector_Params!$C$21:$E$21,MATCH(B493,Sector_Params!$C$15:$E$15,0))*I493/SUMIFS($I$5:$I$1369,$B$5:$B$1369,B493,$C$5:$C$1369,C493)</f>
        <v>0.471070143848883</v>
      </c>
      <c r="K493" s="28" t="n">
        <f aca="false">INDEX(Sector_Params!$F$10:$H$10,MATCH(B493,Sector_Params!$C$15:$E$15,0))</f>
        <v>0.24</v>
      </c>
      <c r="L493" s="16" t="n">
        <f aca="false">J493*K493</f>
        <v>0.113056834523732</v>
      </c>
      <c r="M493" s="44" t="n">
        <f aca="false">Country_Data!$DW$74+Sector_Params!$E$10</f>
        <v>0.0911</v>
      </c>
      <c r="N493" s="44" t="n">
        <f aca="false">Country_Data!$DX$74+Sector_Params!$E$10</f>
        <v>0.1361</v>
      </c>
      <c r="O493" s="11" t="n">
        <f aca="false">IF(p_use_ibrd=1,p_r_ibrd,p_r_wb)</f>
        <v>0.06</v>
      </c>
      <c r="P493" s="45" t="n">
        <f aca="false">Sector_Params!$D$10</f>
        <v>20</v>
      </c>
      <c r="Q493" s="46" t="n">
        <f aca="false">M493/(1-(1+M493)^-P493)</f>
        <v>0.110406498796584</v>
      </c>
      <c r="R493" s="46" t="n">
        <f aca="false">N493/(1-(1+N493)^-P493)</f>
        <v>0.147601646204935</v>
      </c>
      <c r="S493" s="46" t="n">
        <f aca="false">O493/(1-(1+O493)^-P493)</f>
        <v>0.0871845569768514</v>
      </c>
      <c r="T493" s="37" t="n">
        <f aca="false">0*Sector_Params!$I$10</f>
        <v>0</v>
      </c>
      <c r="U493" s="37" t="n">
        <f aca="false">0*Sector_Params!$J$10</f>
        <v>0</v>
      </c>
      <c r="V493" s="37" t="n">
        <f aca="false">1000*p_r_wb/(1-(1+p_r_wb)^-Sector_Params!$D$10)/p_cpt_fuel</f>
        <v>0.871845569768514</v>
      </c>
      <c r="W493" s="16" t="n">
        <f aca="false">T493*L493</f>
        <v>0</v>
      </c>
      <c r="X493" s="16" t="n">
        <f aca="false">U493*L493</f>
        <v>0</v>
      </c>
      <c r="Y493" s="16" t="n">
        <f aca="false">V493*L493</f>
        <v>0.0985681003115677</v>
      </c>
      <c r="Z493" s="16" t="n">
        <f aca="false">Q493*L493</f>
        <v>0.01248220926479</v>
      </c>
      <c r="AA493" s="16" t="n">
        <f aca="false">R493*L493</f>
        <v>0.0166873748904218</v>
      </c>
      <c r="AB493" s="16" t="n">
        <f aca="false">S493*L493</f>
        <v>0.00985681003115677</v>
      </c>
      <c r="AC493" s="16" t="n">
        <f aca="false">Z493-W493</f>
        <v>0.01248220926479</v>
      </c>
      <c r="AD493" s="16" t="n">
        <f aca="false">AA493-W493</f>
        <v>0.0166873748904218</v>
      </c>
      <c r="AE493" s="16" t="n">
        <f aca="false">AB493-W493</f>
        <v>0.00985681003115677</v>
      </c>
      <c r="AF493" s="16" t="n">
        <f aca="false">AE493-X493</f>
        <v>0.00985681003115677</v>
      </c>
      <c r="AG493" s="16" t="n">
        <f aca="false">AF493-p_spc_lo*Y493/1000</f>
        <v>0.00492840501557838</v>
      </c>
      <c r="AH493" s="16" t="n">
        <f aca="false">AF493-p_spc_hi*Y493/1000</f>
        <v>0</v>
      </c>
      <c r="AI493" s="16" t="n">
        <f aca="false">Q493*J493</f>
        <v>0.0520092052699583</v>
      </c>
      <c r="AJ493" s="16" t="n">
        <f aca="false">S493*J493</f>
        <v>0.0410700417964865</v>
      </c>
      <c r="AK493" s="16" t="n">
        <f aca="false">T493*J493</f>
        <v>0</v>
      </c>
      <c r="AL493" s="16" t="n">
        <f aca="false">U493*J493</f>
        <v>0</v>
      </c>
      <c r="AM493" s="16" t="n">
        <f aca="false">AI493-AJ493</f>
        <v>0.0109391634734718</v>
      </c>
      <c r="AN493" s="16" t="n">
        <f aca="false">J493*Country_Data!$EB$74</f>
        <v>0.540762713075841</v>
      </c>
      <c r="AO493" s="16" t="n">
        <f aca="false">L493*Country_Data!$EB$74</f>
        <v>0.129783051138202</v>
      </c>
    </row>
    <row r="494" customFormat="false" ht="15" hidden="false" customHeight="false" outlineLevel="0" collapsed="false">
      <c r="A494" s="14" t="str">
        <f aca="false">Country_Data!$A$74</f>
        <v>BGR</v>
      </c>
      <c r="B494" s="14" t="str">
        <f aca="false">Country_Data!$E$74</f>
        <v>EMDC</v>
      </c>
      <c r="C494" s="35" t="s">
        <v>488</v>
      </c>
      <c r="D494" s="37" t="n">
        <f aca="false">IF(Country_Data!$CE$74="","",Country_Data!$CE$74)</f>
        <v>11.882</v>
      </c>
      <c r="E494" s="40" t="n">
        <f aca="false">Country_Data!$BW$74</f>
        <v>252.921</v>
      </c>
      <c r="F494" s="41" t="n">
        <f aca="false">Country_Data!$BX$74</f>
        <v>0.448219009097702</v>
      </c>
      <c r="G494" s="42" t="n">
        <f aca="false">IF(D494="","",D494/SUMIFS($D$5:$D$1369,$B$5:$B$1369,B494,$C$5:$C$1369,C494))</f>
        <v>0.000973606432587055</v>
      </c>
      <c r="H494" s="42" t="n">
        <f aca="false">E494/SUMIFS($E$5:$E$1369,$B$5:$B$1369,B494,$C$5:$C$1369,C494)</f>
        <v>0.00313285121901643</v>
      </c>
      <c r="I494" s="43" t="n">
        <f aca="false">IF(G494="",H494,p_beta_alloc*G494+(1-p_beta_alloc)*H494)*F494^p_phi</f>
        <v>0.00137461946191435</v>
      </c>
      <c r="J494" s="16" t="n">
        <f aca="false">INDEX(Sector_Params!$C$22:$E$22,MATCH(B494,Sector_Params!$C$15:$E$15,0))*I494/SUMIFS($I$5:$I$1369,$B$5:$B$1369,B494,$C$5:$C$1369,C494)</f>
        <v>0.828632142250916</v>
      </c>
      <c r="K494" s="28" t="n">
        <f aca="false">INDEX(Sector_Params!$F$11:$H$11,MATCH(B494,Sector_Params!$C$15:$E$15,0))</f>
        <v>0.24</v>
      </c>
      <c r="L494" s="16" t="n">
        <f aca="false">J494*K494</f>
        <v>0.19887171414022</v>
      </c>
      <c r="M494" s="44" t="n">
        <f aca="false">Country_Data!$DW$74+Sector_Params!$E$11</f>
        <v>0.0911</v>
      </c>
      <c r="N494" s="44" t="n">
        <f aca="false">Country_Data!$DX$74+Sector_Params!$E$11</f>
        <v>0.1361</v>
      </c>
      <c r="O494" s="11" t="n">
        <f aca="false">IF(p_use_ibrd=1,p_r_ibrd,p_r_wb)</f>
        <v>0.06</v>
      </c>
      <c r="P494" s="45" t="n">
        <f aca="false">Sector_Params!$D$11</f>
        <v>30</v>
      </c>
      <c r="Q494" s="46" t="n">
        <f aca="false">M494/(1-(1+M494)^-P494)</f>
        <v>0.0982872099917389</v>
      </c>
      <c r="R494" s="46" t="n">
        <f aca="false">N494/(1-(1+N494)^-P494)</f>
        <v>0.139126303293513</v>
      </c>
      <c r="S494" s="46" t="n">
        <f aca="false">O494/(1-(1+O494)^-P494)</f>
        <v>0.0726489114900472</v>
      </c>
      <c r="T494" s="37" t="n">
        <f aca="false">0*Sector_Params!$I$11</f>
        <v>0</v>
      </c>
      <c r="U494" s="37" t="n">
        <f aca="false">p_c*Sector_Params!$J$11</f>
        <v>0.129</v>
      </c>
      <c r="V494" s="37" t="n">
        <f aca="false">1000*p_r_wb/(1-(1+p_r_wb)^-Sector_Params!$D$11)/p_cpt_afolu</f>
        <v>1.45297822980094</v>
      </c>
      <c r="W494" s="16" t="n">
        <f aca="false">T494*L494</f>
        <v>0</v>
      </c>
      <c r="X494" s="16" t="n">
        <f aca="false">U494*L494</f>
        <v>0.0256544511240884</v>
      </c>
      <c r="Y494" s="16" t="n">
        <f aca="false">V494*L494</f>
        <v>0.288956271168936</v>
      </c>
      <c r="Z494" s="16" t="n">
        <f aca="false">Q494*L494</f>
        <v>0.0195465459291168</v>
      </c>
      <c r="AA494" s="16" t="n">
        <f aca="false">R494*L494</f>
        <v>0.027668286417973</v>
      </c>
      <c r="AB494" s="16" t="n">
        <f aca="false">S494*L494</f>
        <v>0.0144478135584468</v>
      </c>
      <c r="AC494" s="16" t="n">
        <f aca="false">Z494-W494</f>
        <v>0.0195465459291168</v>
      </c>
      <c r="AD494" s="16" t="n">
        <f aca="false">AA494-W494</f>
        <v>0.027668286417973</v>
      </c>
      <c r="AE494" s="16" t="n">
        <f aca="false">AB494-W494</f>
        <v>0.0144478135584468</v>
      </c>
      <c r="AF494" s="16" t="n">
        <f aca="false">AE494-X494</f>
        <v>-0.0112066375656416</v>
      </c>
      <c r="AG494" s="16" t="n">
        <f aca="false">AF494-p_spc_lo*Y494/1000</f>
        <v>-0.0256544511240884</v>
      </c>
      <c r="AH494" s="16" t="n">
        <f aca="false">AF494-p_spc_hi*Y494/1000</f>
        <v>-0.0401022646825351</v>
      </c>
      <c r="AI494" s="16" t="n">
        <f aca="false">Q494*J494</f>
        <v>0.0814439413713202</v>
      </c>
      <c r="AJ494" s="16" t="n">
        <f aca="false">S494*J494</f>
        <v>0.060199223160195</v>
      </c>
      <c r="AK494" s="16" t="n">
        <f aca="false">T494*J494</f>
        <v>0</v>
      </c>
      <c r="AL494" s="16" t="n">
        <f aca="false">U494*J494</f>
        <v>0.106893546350368</v>
      </c>
      <c r="AM494" s="16" t="n">
        <f aca="false">AI494-AJ494</f>
        <v>0.0212447182111252</v>
      </c>
      <c r="AN494" s="16" t="n">
        <f aca="false">J494*Country_Data!$EB$74</f>
        <v>0.951224294803106</v>
      </c>
      <c r="AO494" s="16" t="n">
        <f aca="false">L494*Country_Data!$EB$74</f>
        <v>0.228293830752746</v>
      </c>
    </row>
    <row r="495" customFormat="false" ht="15" hidden="false" customHeight="false" outlineLevel="0" collapsed="false">
      <c r="A495" s="14" t="str">
        <f aca="false">Country_Data!$A$75</f>
        <v>GTM</v>
      </c>
      <c r="B495" s="14" t="str">
        <f aca="false">Country_Data!$E$75</f>
        <v>EMDC</v>
      </c>
      <c r="C495" s="35" t="s">
        <v>466</v>
      </c>
      <c r="D495" s="37" t="n">
        <f aca="false">IF(Country_Data!$BZ$75="","",Country_Data!$BZ$75)</f>
        <v>18.2472668563738</v>
      </c>
      <c r="E495" s="40" t="n">
        <f aca="false">Country_Data!$BW$75</f>
        <v>264.859</v>
      </c>
      <c r="F495" s="41" t="n">
        <f aca="false">Country_Data!$BX$75</f>
        <v>0.427359462959537</v>
      </c>
      <c r="G495" s="42" t="n">
        <f aca="false">IF(D495="","",D495/SUMIFS($D$5:$D$1369,$B$5:$B$1369,B495,$C$5:$C$1369,C495))</f>
        <v>0.00208314695006901</v>
      </c>
      <c r="H495" s="42" t="n">
        <f aca="false">E495/SUMIFS($E$5:$E$1369,$B$5:$B$1369,B495,$C$5:$C$1369,C495)</f>
        <v>0.00328072339195825</v>
      </c>
      <c r="I495" s="43" t="n">
        <f aca="false">IF(G495="",H495,p_beta_alloc*G495+(1-p_beta_alloc)*H495)*F495^p_phi</f>
        <v>0.00175325440262138</v>
      </c>
      <c r="J495" s="16" t="n">
        <f aca="false">INDEX(Sector_Params!$C$16:$E$16,MATCH(B495,Sector_Params!$C$15:$E$15,0))*I495/SUMIFS($I$5:$I$1369,$B$5:$B$1369,B495,$C$5:$C$1369,C495)</f>
        <v>1.69579210704675</v>
      </c>
      <c r="K495" s="28" t="n">
        <f aca="false">INDEX(Sector_Params!$F$5:$H$5,MATCH(B495,Sector_Params!$C$15:$E$15,0))</f>
        <v>0.24</v>
      </c>
      <c r="L495" s="16" t="n">
        <f aca="false">J495*K495</f>
        <v>0.406990105691219</v>
      </c>
      <c r="M495" s="44" t="n">
        <f aca="false">Country_Data!$DW$75+Sector_Params!$E$5</f>
        <v>0.085</v>
      </c>
      <c r="N495" s="44" t="n">
        <f aca="false">Country_Data!$DX$75+Sector_Params!$E$5</f>
        <v>0.13</v>
      </c>
      <c r="O495" s="11" t="n">
        <f aca="false">IF(p_use_ibrd=1,p_r_ibrd,p_r_wb)</f>
        <v>0.06</v>
      </c>
      <c r="P495" s="45" t="n">
        <f aca="false">Sector_Params!$D$5</f>
        <v>25</v>
      </c>
      <c r="Q495" s="46" t="n">
        <f aca="false">M495/(1-(1+M495)^-P495)</f>
        <v>0.0977116824970434</v>
      </c>
      <c r="R495" s="46" t="n">
        <f aca="false">N495/(1-(1+N495)^-P495)</f>
        <v>0.136425927602576</v>
      </c>
      <c r="S495" s="46" t="n">
        <f aca="false">O495/(1-(1+O495)^-P495)</f>
        <v>0.078226718212274</v>
      </c>
      <c r="T495" s="37" t="n">
        <f aca="false">IF(AND(p_eng=1,ISNUMBER(Country_Data!$CZ$75)),Country_Data!$CZ$75,Country_Data!$CM$75)*Sector_Params!$I$5</f>
        <v>0.0541642414194012</v>
      </c>
      <c r="U495" s="37" t="n">
        <f aca="false">IF(AND(p_eng=1,ISNUMBER(Country_Data!$DA$75)),Country_Data!$DA$75,Country_Data!$CN$75)*Sector_Params!$J$5</f>
        <v>0.0212808549769501</v>
      </c>
      <c r="V495" s="37" t="n">
        <f aca="false">IF(AND(p_eng=1,ISNUMBER(Country_Data!$DB$75)),Country_Data!$DB$75,p_a)</f>
        <v>0.640797371984152</v>
      </c>
      <c r="W495" s="16" t="n">
        <f aca="false">T495*L495</f>
        <v>0.0220443103399668</v>
      </c>
      <c r="X495" s="16" t="n">
        <f aca="false">U495*L495</f>
        <v>0.00866109741626843</v>
      </c>
      <c r="Y495" s="16" t="n">
        <f aca="false">V495*L495</f>
        <v>0.260798190150485</v>
      </c>
      <c r="Z495" s="16" t="n">
        <f aca="false">Q495*L495</f>
        <v>0.0397676879867385</v>
      </c>
      <c r="AA495" s="16" t="n">
        <f aca="false">R495*L495</f>
        <v>0.0555240026939949</v>
      </c>
      <c r="AB495" s="16" t="n">
        <f aca="false">S495*L495</f>
        <v>0.0318375003130906</v>
      </c>
      <c r="AC495" s="16" t="n">
        <f aca="false">Z495-W495</f>
        <v>0.0177233776467717</v>
      </c>
      <c r="AD495" s="16" t="n">
        <f aca="false">AA495-W495</f>
        <v>0.0334796923540281</v>
      </c>
      <c r="AE495" s="16" t="n">
        <f aca="false">AB495-W495</f>
        <v>0.00979318997312377</v>
      </c>
      <c r="AF495" s="16" t="n">
        <f aca="false">AE495-X495</f>
        <v>0.00113209255685534</v>
      </c>
      <c r="AG495" s="16" t="n">
        <f aca="false">AF495-p_spc_lo*Y495/1000</f>
        <v>-0.0119078169506689</v>
      </c>
      <c r="AH495" s="16" t="n">
        <f aca="false">AF495-p_spc_hi*Y495/1000</f>
        <v>-0.0249477264581932</v>
      </c>
      <c r="AI495" s="16" t="n">
        <f aca="false">Q495*J495</f>
        <v>0.165698699944744</v>
      </c>
      <c r="AJ495" s="16" t="n">
        <f aca="false">S495*J495</f>
        <v>0.132656251304544</v>
      </c>
      <c r="AK495" s="16" t="n">
        <f aca="false">T495*J495</f>
        <v>0.091851293083195</v>
      </c>
      <c r="AL495" s="16" t="n">
        <f aca="false">U495*J495</f>
        <v>0.0360879059011185</v>
      </c>
      <c r="AM495" s="16" t="n">
        <f aca="false">AI495-AJ495</f>
        <v>0.0330424486401997</v>
      </c>
      <c r="AN495" s="16" t="n">
        <f aca="false">J495*Country_Data!$EB$75</f>
        <v>1.94035532248478</v>
      </c>
      <c r="AO495" s="16" t="n">
        <f aca="false">L495*Country_Data!$EB$75</f>
        <v>0.465685277396347</v>
      </c>
    </row>
    <row r="496" customFormat="false" ht="15" hidden="false" customHeight="false" outlineLevel="0" collapsed="false">
      <c r="A496" s="14" t="str">
        <f aca="false">Country_Data!$A$75</f>
        <v>GTM</v>
      </c>
      <c r="B496" s="14" t="str">
        <f aca="false">Country_Data!$E$75</f>
        <v>EMDC</v>
      </c>
      <c r="C496" s="35" t="s">
        <v>470</v>
      </c>
      <c r="D496" s="37" t="n">
        <f aca="false">IF(Country_Data!$BZ$75="","",Country_Data!$BZ$75)</f>
        <v>18.2472668563738</v>
      </c>
      <c r="E496" s="40" t="n">
        <f aca="false">Country_Data!$BW$75</f>
        <v>264.859</v>
      </c>
      <c r="F496" s="41" t="n">
        <f aca="false">Country_Data!$BX$75</f>
        <v>0.427359462959537</v>
      </c>
      <c r="G496" s="42" t="n">
        <f aca="false">IF(D496="","",D496/SUMIFS($D$5:$D$1369,$B$5:$B$1369,B496,$C$5:$C$1369,C496))</f>
        <v>0.00208314695006901</v>
      </c>
      <c r="H496" s="42" t="n">
        <f aca="false">E496/SUMIFS($E$5:$E$1369,$B$5:$B$1369,B496,$C$5:$C$1369,C496)</f>
        <v>0.00328072339195825</v>
      </c>
      <c r="I496" s="43" t="n">
        <f aca="false">IF(G496="",H496,p_beta_alloc*G496+(1-p_beta_alloc)*H496)*F496^p_phi</f>
        <v>0.00175325440262138</v>
      </c>
      <c r="J496" s="16" t="n">
        <f aca="false">INDEX(Sector_Params!$C$17:$E$17,MATCH(B496,Sector_Params!$C$15:$E$15,0))*I496/SUMIFS($I$5:$I$1369,$B$5:$B$1369,B496,$C$5:$C$1369,C496)</f>
        <v>1.16282887340348</v>
      </c>
      <c r="K496" s="28" t="n">
        <f aca="false">INDEX(Sector_Params!$F$6:$H$6,MATCH(B496,Sector_Params!$C$15:$E$15,0))</f>
        <v>0.24</v>
      </c>
      <c r="L496" s="16" t="n">
        <f aca="false">J496*K496</f>
        <v>0.279078929616836</v>
      </c>
      <c r="M496" s="44" t="n">
        <f aca="false">Country_Data!$DW$75+Sector_Params!$E$6</f>
        <v>0.085</v>
      </c>
      <c r="N496" s="44" t="n">
        <f aca="false">Country_Data!$DX$75+Sector_Params!$E$6</f>
        <v>0.13</v>
      </c>
      <c r="O496" s="11" t="n">
        <f aca="false">IF(p_use_ibrd=1,p_r_ibrd,p_r_wb)</f>
        <v>0.06</v>
      </c>
      <c r="P496" s="45" t="n">
        <f aca="false">Sector_Params!$D$6</f>
        <v>40</v>
      </c>
      <c r="Q496" s="46" t="n">
        <f aca="false">M496/(1-(1+M496)^-P496)</f>
        <v>0.0883820056223836</v>
      </c>
      <c r="R496" s="46" t="n">
        <f aca="false">N496/(1-(1+N496)^-P496)</f>
        <v>0.130986481024002</v>
      </c>
      <c r="S496" s="46" t="n">
        <f aca="false">O496/(1-(1+O496)^-P496)</f>
        <v>0.0664615359206755</v>
      </c>
      <c r="T496" s="37" t="n">
        <f aca="false">p_grid_credit*IF(AND(p_eng=1,ISNUMBER(Country_Data!$CZ$75)),Country_Data!$CZ$75,Country_Data!$CM$75)*Sector_Params!$I$6</f>
        <v>0</v>
      </c>
      <c r="U496" s="37" t="n">
        <f aca="false">p_grid_credit*IF(AND(p_eng=1,ISNUMBER(Country_Data!$DA$75)),Country_Data!$DA$75,Country_Data!$CN$75)*Sector_Params!$J$6</f>
        <v>0</v>
      </c>
      <c r="V496" s="37" t="n">
        <f aca="false">p_grid_credit*IF(AND(p_eng=1,ISNUMBER(Country_Data!$DB$75)),Country_Data!$DB$75,p_a)</f>
        <v>0</v>
      </c>
      <c r="W496" s="16" t="n">
        <f aca="false">T496*L496</f>
        <v>0</v>
      </c>
      <c r="X496" s="16" t="n">
        <f aca="false">U496*L496</f>
        <v>0</v>
      </c>
      <c r="Y496" s="16" t="n">
        <f aca="false">V496*L496</f>
        <v>0</v>
      </c>
      <c r="Z496" s="16" t="n">
        <f aca="false">Q496*L496</f>
        <v>0.024665555526484</v>
      </c>
      <c r="AA496" s="16" t="n">
        <f aca="false">R496*L496</f>
        <v>0.0365555669184544</v>
      </c>
      <c r="AB496" s="16" t="n">
        <f aca="false">S496*L496</f>
        <v>0.018548014305433</v>
      </c>
      <c r="AC496" s="16" t="n">
        <f aca="false">Z496-W496</f>
        <v>0.024665555526484</v>
      </c>
      <c r="AD496" s="16" t="n">
        <f aca="false">AA496-W496</f>
        <v>0.0365555669184544</v>
      </c>
      <c r="AE496" s="16" t="n">
        <f aca="false">AB496-W496</f>
        <v>0.018548014305433</v>
      </c>
      <c r="AF496" s="16" t="n">
        <f aca="false">AE496-X496</f>
        <v>0.018548014305433</v>
      </c>
      <c r="AG496" s="16" t="n">
        <f aca="false">AF496-p_spc_lo*Y496/1000</f>
        <v>0.018548014305433</v>
      </c>
      <c r="AH496" s="16" t="n">
        <f aca="false">AF496-p_spc_hi*Y496/1000</f>
        <v>0.018548014305433</v>
      </c>
      <c r="AI496" s="16" t="n">
        <f aca="false">Q496*J496</f>
        <v>0.102773148027017</v>
      </c>
      <c r="AJ496" s="16" t="n">
        <f aca="false">S496*J496</f>
        <v>0.0772833929393042</v>
      </c>
      <c r="AK496" s="16" t="n">
        <f aca="false">T496*J496</f>
        <v>0</v>
      </c>
      <c r="AL496" s="16" t="n">
        <f aca="false">U496*J496</f>
        <v>0</v>
      </c>
      <c r="AM496" s="16" t="n">
        <f aca="false">AI496-AJ496</f>
        <v>0.0254897550877124</v>
      </c>
      <c r="AN496" s="16" t="n">
        <f aca="false">J496*Country_Data!$EB$75</f>
        <v>1.33052936398956</v>
      </c>
      <c r="AO496" s="16" t="n">
        <f aca="false">L496*Country_Data!$EB$75</f>
        <v>0.319327047357495</v>
      </c>
    </row>
    <row r="497" customFormat="false" ht="15" hidden="false" customHeight="false" outlineLevel="0" collapsed="false">
      <c r="A497" s="14" t="str">
        <f aca="false">Country_Data!$A$75</f>
        <v>GTM</v>
      </c>
      <c r="B497" s="14" t="str">
        <f aca="false">Country_Data!$E$75</f>
        <v>EMDC</v>
      </c>
      <c r="C497" s="35" t="s">
        <v>473</v>
      </c>
      <c r="D497" s="37" t="n">
        <f aca="false">IF(Country_Data!$CA$75="","",Country_Data!$CA$75)</f>
        <v>0.170134019126577</v>
      </c>
      <c r="E497" s="40" t="n">
        <f aca="false">Country_Data!$BW$75</f>
        <v>264.859</v>
      </c>
      <c r="F497" s="41" t="n">
        <f aca="false">Country_Data!$BX$75</f>
        <v>0.427359462959537</v>
      </c>
      <c r="G497" s="42" t="n">
        <f aca="false">IF(D497="","",D497/SUMIFS($D$5:$D$1369,$B$5:$B$1369,B497,$C$5:$C$1369,C497))</f>
        <v>0.00393049169509792</v>
      </c>
      <c r="H497" s="42" t="n">
        <f aca="false">E497/SUMIFS($E$5:$E$1369,$B$5:$B$1369,B497,$C$5:$C$1369,C497)</f>
        <v>0.00328072339195825</v>
      </c>
      <c r="I497" s="43" t="n">
        <f aca="false">IF(G497="",H497,p_beta_alloc*G497+(1-p_beta_alloc)*H497)*F497^p_phi</f>
        <v>0.00235708430544436</v>
      </c>
      <c r="J497" s="16" t="n">
        <f aca="false">INDEX(Sector_Params!$C$18:$E$18,MATCH(B497,Sector_Params!$C$15:$E$15,0))*I497/SUMIFS($I$5:$I$1369,$B$5:$B$1369,B497,$C$5:$C$1369,C497)</f>
        <v>0.965170251602535</v>
      </c>
      <c r="K497" s="28" t="n">
        <f aca="false">INDEX(Sector_Params!$F$7:$H$7,MATCH(B497,Sector_Params!$C$15:$E$15,0))</f>
        <v>0.24</v>
      </c>
      <c r="L497" s="16" t="n">
        <f aca="false">J497*K497</f>
        <v>0.231640860384608</v>
      </c>
      <c r="M497" s="44" t="n">
        <f aca="false">Country_Data!$DW$75+Sector_Params!$E$7</f>
        <v>0.085</v>
      </c>
      <c r="N497" s="44" t="n">
        <f aca="false">Country_Data!$DX$75+Sector_Params!$E$7</f>
        <v>0.13</v>
      </c>
      <c r="O497" s="11" t="n">
        <f aca="false">IF(p_use_ibrd=1,p_r_ibrd,p_r_wb)</f>
        <v>0.06</v>
      </c>
      <c r="P497" s="45" t="n">
        <f aca="false">Sector_Params!$D$7</f>
        <v>12</v>
      </c>
      <c r="Q497" s="46" t="n">
        <f aca="false">M497/(1-(1+M497)^-P497)</f>
        <v>0.13615285806795</v>
      </c>
      <c r="R497" s="46" t="n">
        <f aca="false">N497/(1-(1+N497)^-P497)</f>
        <v>0.168986084694548</v>
      </c>
      <c r="S497" s="46" t="n">
        <f aca="false">O497/(1-(1+O497)^-P497)</f>
        <v>0.119277029380664</v>
      </c>
      <c r="T497" s="37" t="n">
        <f aca="false">IF(AND(p_eng=1,ISNUMBER(Country_Data!$DE$75)),Country_Data!$DE$75,Country_Data!$CM$75)*Sector_Params!$I$7</f>
        <v>0.11160765</v>
      </c>
      <c r="U497" s="37" t="n">
        <f aca="false">IF(AND(p_eng=1,ISNUMBER(Country_Data!$DF$75)),Country_Data!$DF$75,Country_Data!$CN$75)*Sector_Params!$J$7</f>
        <v>0.003859425</v>
      </c>
      <c r="V497" s="37" t="n">
        <f aca="false">IF(AND(p_eng=1,ISNUMBER(Country_Data!$DG$75)),Country_Data!$DG$75,p_a)</f>
        <v>0.382899662127929</v>
      </c>
      <c r="W497" s="16" t="n">
        <f aca="false">T497*L497</f>
        <v>0.0258528920715042</v>
      </c>
      <c r="X497" s="16" t="n">
        <f aca="false">U497*L497</f>
        <v>0.000894000527589867</v>
      </c>
      <c r="Y497" s="16" t="n">
        <f aca="false">V497*L497</f>
        <v>0.0886952071762893</v>
      </c>
      <c r="Z497" s="16" t="n">
        <f aca="false">Q497*L497</f>
        <v>0.0315385651866835</v>
      </c>
      <c r="AA497" s="16" t="n">
        <f aca="false">R497*L497</f>
        <v>0.0391440820516714</v>
      </c>
      <c r="AB497" s="16" t="n">
        <f aca="false">S497*L497</f>
        <v>0.0276294337098571</v>
      </c>
      <c r="AC497" s="16" t="n">
        <f aca="false">Z497-W497</f>
        <v>0.00568567311517928</v>
      </c>
      <c r="AD497" s="16" t="n">
        <f aca="false">AA497-W497</f>
        <v>0.0132911899801672</v>
      </c>
      <c r="AE497" s="16" t="n">
        <f aca="false">AB497-W497</f>
        <v>0.00177654163835288</v>
      </c>
      <c r="AF497" s="16" t="n">
        <f aca="false">AE497-X497</f>
        <v>0.00088254111076301</v>
      </c>
      <c r="AG497" s="16" t="n">
        <f aca="false">AF497-p_spc_lo*Y497/1000</f>
        <v>-0.00355221924805146</v>
      </c>
      <c r="AH497" s="16" t="n">
        <f aca="false">AF497-p_spc_hi*Y497/1000</f>
        <v>-0.00798697960686592</v>
      </c>
      <c r="AI497" s="16" t="n">
        <f aca="false">Q497*J497</f>
        <v>0.131410688277848</v>
      </c>
      <c r="AJ497" s="16" t="n">
        <f aca="false">S497*J497</f>
        <v>0.115122640457738</v>
      </c>
      <c r="AK497" s="16" t="n">
        <f aca="false">T497*J497</f>
        <v>0.107720383631268</v>
      </c>
      <c r="AL497" s="16" t="n">
        <f aca="false">U497*J497</f>
        <v>0.00372500219829111</v>
      </c>
      <c r="AM497" s="16" t="n">
        <f aca="false">AI497-AJ497</f>
        <v>0.01628804782011</v>
      </c>
      <c r="AN497" s="16" t="n">
        <f aca="false">J497*Country_Data!$EB$75</f>
        <v>1.10436487292208</v>
      </c>
      <c r="AO497" s="16" t="n">
        <f aca="false">L497*Country_Data!$EB$75</f>
        <v>0.2650475695013</v>
      </c>
    </row>
    <row r="498" customFormat="false" ht="15" hidden="false" customHeight="false" outlineLevel="0" collapsed="false">
      <c r="A498" s="14" t="str">
        <f aca="false">Country_Data!$A$75</f>
        <v>GTM</v>
      </c>
      <c r="B498" s="14" t="str">
        <f aca="false">Country_Data!$E$75</f>
        <v>EMDC</v>
      </c>
      <c r="C498" s="35" t="s">
        <v>477</v>
      </c>
      <c r="D498" s="37" t="n">
        <f aca="false">IF(Country_Data!$CB$75="","",Country_Data!$CB$75)</f>
        <v>0.0501613284290826</v>
      </c>
      <c r="E498" s="40" t="n">
        <f aca="false">Country_Data!$BW$75</f>
        <v>264.859</v>
      </c>
      <c r="F498" s="41" t="n">
        <f aca="false">Country_Data!$BX$75</f>
        <v>0.427359462959537</v>
      </c>
      <c r="G498" s="42" t="n">
        <f aca="false">IF(D498="","",D498/SUMIFS($D$5:$D$1369,$B$5:$B$1369,B498,$C$5:$C$1369,C498))</f>
        <v>0.00158173942662992</v>
      </c>
      <c r="H498" s="42" t="n">
        <f aca="false">E498/SUMIFS($E$5:$E$1369,$B$5:$B$1369,B498,$C$5:$C$1369,C498)</f>
        <v>0.00328072339195825</v>
      </c>
      <c r="I498" s="43" t="n">
        <f aca="false">IF(G498="",H498,p_beta_alloc*G498+(1-p_beta_alloc)*H498)*F498^p_phi</f>
        <v>0.00158936249399541</v>
      </c>
      <c r="J498" s="16" t="n">
        <f aca="false">INDEX(Sector_Params!$C$19:$E$19,MATCH(B498,Sector_Params!$C$15:$E$15,0))*I498/SUMIFS($I$5:$I$1369,$B$5:$B$1369,B498,$C$5:$C$1369,C498)</f>
        <v>0.511556339137585</v>
      </c>
      <c r="K498" s="28" t="n">
        <f aca="false">INDEX(Sector_Params!$F$8:$H$8,MATCH(B498,Sector_Params!$C$15:$E$15,0))</f>
        <v>0.24</v>
      </c>
      <c r="L498" s="16" t="n">
        <f aca="false">J498*K498</f>
        <v>0.12277352139302</v>
      </c>
      <c r="M498" s="44" t="n">
        <f aca="false">Country_Data!$DW$75+Sector_Params!$E$8</f>
        <v>0.085</v>
      </c>
      <c r="N498" s="44" t="n">
        <f aca="false">Country_Data!$DX$75+Sector_Params!$E$8</f>
        <v>0.13</v>
      </c>
      <c r="O498" s="11" t="n">
        <f aca="false">IF(p_use_ibrd=1,p_r_ibrd,p_r_wb)</f>
        <v>0.06</v>
      </c>
      <c r="P498" s="45" t="n">
        <f aca="false">Sector_Params!$D$8</f>
        <v>25</v>
      </c>
      <c r="Q498" s="46" t="n">
        <f aca="false">M498/(1-(1+M498)^-P498)</f>
        <v>0.0977116824970434</v>
      </c>
      <c r="R498" s="46" t="n">
        <f aca="false">N498/(1-(1+N498)^-P498)</f>
        <v>0.136425927602576</v>
      </c>
      <c r="S498" s="46" t="n">
        <f aca="false">O498/(1-(1+O498)^-P498)</f>
        <v>0.078226718212274</v>
      </c>
      <c r="T498" s="37" t="n">
        <f aca="false">Country_Data!$CM$75*Sector_Params!$I$8</f>
        <v>0.165324128214068</v>
      </c>
      <c r="U498" s="37" t="n">
        <f aca="false">Country_Data!$CN$75*Sector_Params!$J$8</f>
        <v>0.0408445611990956</v>
      </c>
      <c r="V498" s="37" t="n">
        <f aca="false">p_a</f>
        <v>0.35</v>
      </c>
      <c r="W498" s="16" t="n">
        <f aca="false">T498*L498</f>
        <v>0.0202974253920723</v>
      </c>
      <c r="X498" s="16" t="n">
        <f aca="false">U498*L498</f>
        <v>0.00501463060816569</v>
      </c>
      <c r="Y498" s="16" t="n">
        <f aca="false">V498*L498</f>
        <v>0.0429707324875571</v>
      </c>
      <c r="Z498" s="16" t="n">
        <f aca="false">Q498*L498</f>
        <v>0.0119964073413988</v>
      </c>
      <c r="AA498" s="16" t="n">
        <f aca="false">R498*L498</f>
        <v>0.0167494915410775</v>
      </c>
      <c r="AB498" s="16" t="n">
        <f aca="false">S498*L498</f>
        <v>0.00960416966194039</v>
      </c>
      <c r="AC498" s="16" t="n">
        <f aca="false">Z498-W498</f>
        <v>-0.00830101805067353</v>
      </c>
      <c r="AD498" s="16" t="n">
        <f aca="false">AA498-W498</f>
        <v>-0.00354793385099481</v>
      </c>
      <c r="AE498" s="16" t="n">
        <f aca="false">AB498-W498</f>
        <v>-0.0106932557301319</v>
      </c>
      <c r="AF498" s="16" t="n">
        <f aca="false">AE498-X498</f>
        <v>-0.0157078863382976</v>
      </c>
      <c r="AG498" s="16" t="n">
        <f aca="false">AF498-p_spc_lo*Y498/1000</f>
        <v>-0.0178564229626755</v>
      </c>
      <c r="AH498" s="16" t="n">
        <f aca="false">AF498-p_spc_hi*Y498/1000</f>
        <v>-0.0200049595870533</v>
      </c>
      <c r="AI498" s="16" t="n">
        <f aca="false">Q498*J498</f>
        <v>0.0499850305891615</v>
      </c>
      <c r="AJ498" s="16" t="n">
        <f aca="false">S498*J498</f>
        <v>0.0400173735914183</v>
      </c>
      <c r="AK498" s="16" t="n">
        <f aca="false">T498*J498</f>
        <v>0.0845726058003012</v>
      </c>
      <c r="AL498" s="16" t="n">
        <f aca="false">U498*J498</f>
        <v>0.0208942942006904</v>
      </c>
      <c r="AM498" s="16" t="n">
        <f aca="false">AI498-AJ498</f>
        <v>0.00996765699774323</v>
      </c>
      <c r="AN498" s="16" t="n">
        <f aca="false">J498*Country_Data!$EB$75</f>
        <v>0.585331811176475</v>
      </c>
      <c r="AO498" s="16" t="n">
        <f aca="false">L498*Country_Data!$EB$75</f>
        <v>0.140479634682354</v>
      </c>
    </row>
    <row r="499" customFormat="false" ht="15" hidden="false" customHeight="false" outlineLevel="0" collapsed="false">
      <c r="A499" s="14" t="str">
        <f aca="false">Country_Data!$A$75</f>
        <v>GTM</v>
      </c>
      <c r="B499" s="14" t="str">
        <f aca="false">Country_Data!$E$75</f>
        <v>EMDC</v>
      </c>
      <c r="C499" s="35" t="s">
        <v>481</v>
      </c>
      <c r="D499" s="37" t="n">
        <f aca="false">IF(Country_Data!$CC$75="","",Country_Data!$CC$75)</f>
        <v>0.0655669551457633</v>
      </c>
      <c r="E499" s="40" t="n">
        <f aca="false">Country_Data!$BW$75</f>
        <v>264.859</v>
      </c>
      <c r="F499" s="41" t="n">
        <f aca="false">Country_Data!$BX$75</f>
        <v>0.427359462959537</v>
      </c>
      <c r="G499" s="42" t="n">
        <f aca="false">IF(D499="","",D499/SUMIFS($D$5:$D$1369,$B$5:$B$1369,B499,$C$5:$C$1369,C499))</f>
        <v>0.000936573684817107</v>
      </c>
      <c r="H499" s="42" t="n">
        <f aca="false">E499/SUMIFS($E$5:$E$1369,$B$5:$B$1369,B499,$C$5:$C$1369,C499)</f>
        <v>0.00328072339195825</v>
      </c>
      <c r="I499" s="43" t="n">
        <f aca="false">IF(G499="",H499,p_beta_alloc*G499+(1-p_beta_alloc)*H499)*F499^p_phi</f>
        <v>0.00137848124498552</v>
      </c>
      <c r="J499" s="16" t="n">
        <f aca="false">INDEX(Sector_Params!$C$20:$E$20,MATCH(B499,Sector_Params!$C$15:$E$15,0))*I499/SUMIFS($I$5:$I$1369,$B$5:$B$1369,B499,$C$5:$C$1369,C499)</f>
        <v>0.251600586633705</v>
      </c>
      <c r="K499" s="28" t="n">
        <f aca="false">INDEX(Sector_Params!$F$9:$H$9,MATCH(B499,Sector_Params!$C$15:$E$15,0))</f>
        <v>0.24</v>
      </c>
      <c r="L499" s="16" t="n">
        <f aca="false">J499*K499</f>
        <v>0.0603841407920892</v>
      </c>
      <c r="M499" s="44" t="n">
        <f aca="false">Country_Data!$DW$75+Sector_Params!$E$9</f>
        <v>0.085</v>
      </c>
      <c r="N499" s="44" t="n">
        <f aca="false">Country_Data!$DX$75+Sector_Params!$E$9</f>
        <v>0.13</v>
      </c>
      <c r="O499" s="11" t="n">
        <f aca="false">IF(p_use_ibrd=1,p_r_ibrd,p_r_wb)</f>
        <v>0.06</v>
      </c>
      <c r="P499" s="45" t="n">
        <f aca="false">Sector_Params!$D$9</f>
        <v>25</v>
      </c>
      <c r="Q499" s="46" t="n">
        <f aca="false">M499/(1-(1+M499)^-P499)</f>
        <v>0.0977116824970434</v>
      </c>
      <c r="R499" s="46" t="n">
        <f aca="false">N499/(1-(1+N499)^-P499)</f>
        <v>0.136425927602576</v>
      </c>
      <c r="S499" s="46" t="n">
        <f aca="false">O499/(1-(1+O499)^-P499)</f>
        <v>0.078226718212274</v>
      </c>
      <c r="T499" s="37" t="n">
        <f aca="false">Country_Data!$CM$75*Sector_Params!$I$9</f>
        <v>0.165324128214068</v>
      </c>
      <c r="U499" s="37" t="n">
        <f aca="false">Country_Data!$CN$75*Sector_Params!$J$9</f>
        <v>0.0408445611990956</v>
      </c>
      <c r="V499" s="37" t="n">
        <f aca="false">p_a</f>
        <v>0.35</v>
      </c>
      <c r="W499" s="16" t="n">
        <f aca="false">T499*L499</f>
        <v>0.00998295543440767</v>
      </c>
      <c r="X499" s="16" t="n">
        <f aca="false">U499*L499</f>
        <v>0.00246636373403729</v>
      </c>
      <c r="Y499" s="16" t="n">
        <f aca="false">V499*L499</f>
        <v>0.0211344492772312</v>
      </c>
      <c r="Z499" s="16" t="n">
        <f aca="false">Q499*L499</f>
        <v>0.00590023599293338</v>
      </c>
      <c r="AA499" s="16" t="n">
        <f aca="false">R499*L499</f>
        <v>0.0082379624200453</v>
      </c>
      <c r="AB499" s="16" t="n">
        <f aca="false">S499*L499</f>
        <v>0.00472365316623304</v>
      </c>
      <c r="AC499" s="16" t="n">
        <f aca="false">Z499-W499</f>
        <v>-0.00408271944147429</v>
      </c>
      <c r="AD499" s="16" t="n">
        <f aca="false">AA499-W499</f>
        <v>-0.00174499301436237</v>
      </c>
      <c r="AE499" s="16" t="n">
        <f aca="false">AB499-W499</f>
        <v>-0.00525930226817464</v>
      </c>
      <c r="AF499" s="16" t="n">
        <f aca="false">AE499-X499</f>
        <v>-0.00772566600221193</v>
      </c>
      <c r="AG499" s="16" t="n">
        <f aca="false">AF499-p_spc_lo*Y499/1000</f>
        <v>-0.00878238846607349</v>
      </c>
      <c r="AH499" s="16" t="n">
        <f aca="false">AF499-p_spc_hi*Y499/1000</f>
        <v>-0.00983911092993505</v>
      </c>
      <c r="AI499" s="16" t="n">
        <f aca="false">Q499*J499</f>
        <v>0.0245843166372224</v>
      </c>
      <c r="AJ499" s="16" t="n">
        <f aca="false">S499*J499</f>
        <v>0.0196818881926377</v>
      </c>
      <c r="AK499" s="16" t="n">
        <f aca="false">T499*J499</f>
        <v>0.0415956476433653</v>
      </c>
      <c r="AL499" s="16" t="n">
        <f aca="false">U499*J499</f>
        <v>0.0102765155584887</v>
      </c>
      <c r="AM499" s="16" t="n">
        <f aca="false">AI499-AJ499</f>
        <v>0.00490242844458478</v>
      </c>
      <c r="AN499" s="16" t="n">
        <f aca="false">J499*Country_Data!$EB$75</f>
        <v>0.287885841304688</v>
      </c>
      <c r="AO499" s="16" t="n">
        <f aca="false">L499*Country_Data!$EB$75</f>
        <v>0.0690926019131252</v>
      </c>
    </row>
    <row r="500" customFormat="false" ht="15" hidden="false" customHeight="false" outlineLevel="0" collapsed="false">
      <c r="A500" s="14" t="str">
        <f aca="false">Country_Data!$A$75</f>
        <v>GTM</v>
      </c>
      <c r="B500" s="14" t="str">
        <f aca="false">Country_Data!$E$75</f>
        <v>EMDC</v>
      </c>
      <c r="C500" s="35" t="s">
        <v>484</v>
      </c>
      <c r="D500" s="37" t="n">
        <f aca="false">IF(Country_Data!$CD$75="","",Country_Data!$CD$75)</f>
        <v>0.286448916329135</v>
      </c>
      <c r="E500" s="40" t="n">
        <f aca="false">Country_Data!$BW$75</f>
        <v>264.859</v>
      </c>
      <c r="F500" s="41" t="n">
        <f aca="false">Country_Data!$BX$75</f>
        <v>0.427359462959537</v>
      </c>
      <c r="G500" s="42" t="n">
        <f aca="false">IF(D500="","",D500/SUMIFS($D$5:$D$1369,$B$5:$B$1369,B500,$C$5:$C$1369,C500))</f>
        <v>0.00159963539410777</v>
      </c>
      <c r="H500" s="42" t="n">
        <f aca="false">E500/SUMIFS($E$5:$E$1369,$B$5:$B$1369,B500,$C$5:$C$1369,C500)</f>
        <v>0.00328072339195825</v>
      </c>
      <c r="I500" s="43" t="n">
        <f aca="false">IF(G500="",H500,p_beta_alloc*G500+(1-p_beta_alloc)*H500)*F500^p_phi</f>
        <v>0.00159521203579434</v>
      </c>
      <c r="J500" s="16" t="n">
        <f aca="false">INDEX(Sector_Params!$C$21:$E$21,MATCH(B500,Sector_Params!$C$15:$E$15,0))*I500/SUMIFS($I$5:$I$1369,$B$5:$B$1369,B500,$C$5:$C$1369,C500)</f>
        <v>0.35380180026261</v>
      </c>
      <c r="K500" s="28" t="n">
        <f aca="false">INDEX(Sector_Params!$F$10:$H$10,MATCH(B500,Sector_Params!$C$15:$E$15,0))</f>
        <v>0.24</v>
      </c>
      <c r="L500" s="16" t="n">
        <f aca="false">J500*K500</f>
        <v>0.0849124320630264</v>
      </c>
      <c r="M500" s="44" t="n">
        <f aca="false">Country_Data!$DW$75+Sector_Params!$E$10</f>
        <v>0.085</v>
      </c>
      <c r="N500" s="44" t="n">
        <f aca="false">Country_Data!$DX$75+Sector_Params!$E$10</f>
        <v>0.13</v>
      </c>
      <c r="O500" s="11" t="n">
        <f aca="false">IF(p_use_ibrd=1,p_r_ibrd,p_r_wb)</f>
        <v>0.06</v>
      </c>
      <c r="P500" s="45" t="n">
        <f aca="false">Sector_Params!$D$10</f>
        <v>20</v>
      </c>
      <c r="Q500" s="46" t="n">
        <f aca="false">M500/(1-(1+M500)^-P500)</f>
        <v>0.105670974357749</v>
      </c>
      <c r="R500" s="46" t="n">
        <f aca="false">N500/(1-(1+N500)^-P500)</f>
        <v>0.142353788441811</v>
      </c>
      <c r="S500" s="46" t="n">
        <f aca="false">O500/(1-(1+O500)^-P500)</f>
        <v>0.0871845569768514</v>
      </c>
      <c r="T500" s="37" t="n">
        <f aca="false">0*Sector_Params!$I$10</f>
        <v>0</v>
      </c>
      <c r="U500" s="37" t="n">
        <f aca="false">0*Sector_Params!$J$10</f>
        <v>0</v>
      </c>
      <c r="V500" s="37" t="n">
        <f aca="false">1000*p_r_wb/(1-(1+p_r_wb)^-Sector_Params!$D$10)/p_cpt_fuel</f>
        <v>0.871845569768514</v>
      </c>
      <c r="W500" s="16" t="n">
        <f aca="false">T500*L500</f>
        <v>0</v>
      </c>
      <c r="X500" s="16" t="n">
        <f aca="false">U500*L500</f>
        <v>0</v>
      </c>
      <c r="Y500" s="16" t="n">
        <f aca="false">V500*L500</f>
        <v>0.0740305277124195</v>
      </c>
      <c r="Z500" s="16" t="n">
        <f aca="false">Q500*L500</f>
        <v>0.00897277943118616</v>
      </c>
      <c r="AA500" s="16" t="n">
        <f aca="false">R500*L500</f>
        <v>0.0120876063899797</v>
      </c>
      <c r="AB500" s="16" t="n">
        <f aca="false">S500*L500</f>
        <v>0.00740305277124195</v>
      </c>
      <c r="AC500" s="16" t="n">
        <f aca="false">Z500-W500</f>
        <v>0.00897277943118616</v>
      </c>
      <c r="AD500" s="16" t="n">
        <f aca="false">AA500-W500</f>
        <v>0.0120876063899797</v>
      </c>
      <c r="AE500" s="16" t="n">
        <f aca="false">AB500-W500</f>
        <v>0.00740305277124195</v>
      </c>
      <c r="AF500" s="16" t="n">
        <f aca="false">AE500-X500</f>
        <v>0.00740305277124195</v>
      </c>
      <c r="AG500" s="16" t="n">
        <f aca="false">AF500-p_spc_lo*Y500/1000</f>
        <v>0.00370152638562097</v>
      </c>
      <c r="AH500" s="16" t="n">
        <f aca="false">AF500-p_spc_hi*Y500/1000</f>
        <v>0</v>
      </c>
      <c r="AI500" s="16" t="n">
        <f aca="false">Q500*J500</f>
        <v>0.0373865809632757</v>
      </c>
      <c r="AJ500" s="16" t="n">
        <f aca="false">S500*J500</f>
        <v>0.0308460532135081</v>
      </c>
      <c r="AK500" s="16" t="n">
        <f aca="false">T500*J500</f>
        <v>0</v>
      </c>
      <c r="AL500" s="16" t="n">
        <f aca="false">U500*J500</f>
        <v>0</v>
      </c>
      <c r="AM500" s="16" t="n">
        <f aca="false">AI500-AJ500</f>
        <v>0.00654052774976754</v>
      </c>
      <c r="AN500" s="16" t="n">
        <f aca="false">J500*Country_Data!$EB$75</f>
        <v>0.404826277579395</v>
      </c>
      <c r="AO500" s="16" t="n">
        <f aca="false">L500*Country_Data!$EB$75</f>
        <v>0.0971583066190547</v>
      </c>
    </row>
    <row r="501" customFormat="false" ht="15" hidden="false" customHeight="false" outlineLevel="0" collapsed="false">
      <c r="A501" s="14" t="str">
        <f aca="false">Country_Data!$A$75</f>
        <v>GTM</v>
      </c>
      <c r="B501" s="14" t="str">
        <f aca="false">Country_Data!$E$75</f>
        <v>EMDC</v>
      </c>
      <c r="C501" s="35" t="s">
        <v>488</v>
      </c>
      <c r="D501" s="37" t="n">
        <f aca="false">IF(Country_Data!$CE$75="","",Country_Data!$CE$75)</f>
        <v>29.464</v>
      </c>
      <c r="E501" s="40" t="n">
        <f aca="false">Country_Data!$BW$75</f>
        <v>264.859</v>
      </c>
      <c r="F501" s="41" t="n">
        <f aca="false">Country_Data!$BX$75</f>
        <v>0.427359462959537</v>
      </c>
      <c r="G501" s="42" t="n">
        <f aca="false">IF(D501="","",D501/SUMIFS($D$5:$D$1369,$B$5:$B$1369,B501,$C$5:$C$1369,C501))</f>
        <v>0.00241426863573009</v>
      </c>
      <c r="H501" s="42" t="n">
        <f aca="false">E501/SUMIFS($E$5:$E$1369,$B$5:$B$1369,B501,$C$5:$C$1369,C501)</f>
        <v>0.00328072339195825</v>
      </c>
      <c r="I501" s="43" t="n">
        <f aca="false">IF(G501="",H501,p_beta_alloc*G501+(1-p_beta_alloc)*H501)*F501^p_phi</f>
        <v>0.00186148605554558</v>
      </c>
      <c r="J501" s="16" t="n">
        <f aca="false">INDEX(Sector_Params!$C$22:$E$22,MATCH(B501,Sector_Params!$C$15:$E$15,0))*I501/SUMIFS($I$5:$I$1369,$B$5:$B$1369,B501,$C$5:$C$1369,C501)</f>
        <v>1.12211940883538</v>
      </c>
      <c r="K501" s="28" t="n">
        <f aca="false">INDEX(Sector_Params!$F$11:$H$11,MATCH(B501,Sector_Params!$C$15:$E$15,0))</f>
        <v>0.24</v>
      </c>
      <c r="L501" s="16" t="n">
        <f aca="false">J501*K501</f>
        <v>0.269308658120492</v>
      </c>
      <c r="M501" s="44" t="n">
        <f aca="false">Country_Data!$DW$75+Sector_Params!$E$11</f>
        <v>0.085</v>
      </c>
      <c r="N501" s="44" t="n">
        <f aca="false">Country_Data!$DX$75+Sector_Params!$E$11</f>
        <v>0.13</v>
      </c>
      <c r="O501" s="11" t="n">
        <f aca="false">IF(p_use_ibrd=1,p_r_ibrd,p_r_wb)</f>
        <v>0.06</v>
      </c>
      <c r="P501" s="45" t="n">
        <f aca="false">Sector_Params!$D$11</f>
        <v>30</v>
      </c>
      <c r="Q501" s="46" t="n">
        <f aca="false">M501/(1-(1+M501)^-P501)</f>
        <v>0.0930505753112677</v>
      </c>
      <c r="R501" s="46" t="n">
        <f aca="false">N501/(1-(1+N501)^-P501)</f>
        <v>0.133410650331405</v>
      </c>
      <c r="S501" s="46" t="n">
        <f aca="false">O501/(1-(1+O501)^-P501)</f>
        <v>0.0726489114900472</v>
      </c>
      <c r="T501" s="37" t="n">
        <f aca="false">0*Sector_Params!$I$11</f>
        <v>0</v>
      </c>
      <c r="U501" s="37" t="n">
        <f aca="false">p_c*Sector_Params!$J$11</f>
        <v>0.129</v>
      </c>
      <c r="V501" s="37" t="n">
        <f aca="false">1000*p_r_wb/(1-(1+p_r_wb)^-Sector_Params!$D$11)/p_cpt_afolu</f>
        <v>1.45297822980094</v>
      </c>
      <c r="W501" s="16" t="n">
        <f aca="false">T501*L501</f>
        <v>0</v>
      </c>
      <c r="X501" s="16" t="n">
        <f aca="false">U501*L501</f>
        <v>0.0347408168975435</v>
      </c>
      <c r="Y501" s="16" t="n">
        <f aca="false">V501*L501</f>
        <v>0.391299617345981</v>
      </c>
      <c r="Z501" s="16" t="n">
        <f aca="false">Q501*L501</f>
        <v>0.0250593255744173</v>
      </c>
      <c r="AA501" s="16" t="n">
        <f aca="false">R501*L501</f>
        <v>0.0359286432197329</v>
      </c>
      <c r="AB501" s="16" t="n">
        <f aca="false">S501*L501</f>
        <v>0.019564980867299</v>
      </c>
      <c r="AC501" s="16" t="n">
        <f aca="false">Z501-W501</f>
        <v>0.0250593255744173</v>
      </c>
      <c r="AD501" s="16" t="n">
        <f aca="false">AA501-W501</f>
        <v>0.0359286432197329</v>
      </c>
      <c r="AE501" s="16" t="n">
        <f aca="false">AB501-W501</f>
        <v>0.019564980867299</v>
      </c>
      <c r="AF501" s="16" t="n">
        <f aca="false">AE501-X501</f>
        <v>-0.0151758360302445</v>
      </c>
      <c r="AG501" s="16" t="n">
        <f aca="false">AF501-p_spc_lo*Y501/1000</f>
        <v>-0.0347408168975435</v>
      </c>
      <c r="AH501" s="16" t="n">
        <f aca="false">AF501-p_spc_hi*Y501/1000</f>
        <v>-0.0543057977648425</v>
      </c>
      <c r="AI501" s="16" t="n">
        <f aca="false">Q501*J501</f>
        <v>0.104413856560072</v>
      </c>
      <c r="AJ501" s="16" t="n">
        <f aca="false">S501*J501</f>
        <v>0.081520753613746</v>
      </c>
      <c r="AK501" s="16" t="n">
        <f aca="false">T501*J501</f>
        <v>0</v>
      </c>
      <c r="AL501" s="16" t="n">
        <f aca="false">U501*J501</f>
        <v>0.144753403739765</v>
      </c>
      <c r="AM501" s="16" t="n">
        <f aca="false">AI501-AJ501</f>
        <v>0.0228931029463262</v>
      </c>
      <c r="AN501" s="16" t="n">
        <f aca="false">J501*Country_Data!$EB$75</f>
        <v>1.2839488745994</v>
      </c>
      <c r="AO501" s="16" t="n">
        <f aca="false">L501*Country_Data!$EB$75</f>
        <v>0.308147729903856</v>
      </c>
    </row>
    <row r="502" customFormat="false" ht="15" hidden="false" customHeight="false" outlineLevel="0" collapsed="false">
      <c r="A502" s="14" t="str">
        <f aca="false">Country_Data!$A$76</f>
        <v>OMN</v>
      </c>
      <c r="B502" s="14" t="str">
        <f aca="false">Country_Data!$E$76</f>
        <v>EMDC</v>
      </c>
      <c r="C502" s="35" t="s">
        <v>466</v>
      </c>
      <c r="D502" s="37" t="n">
        <f aca="false">IF(Country_Data!$BZ$76="","",Country_Data!$BZ$76)</f>
        <v>43.9312627898394</v>
      </c>
      <c r="E502" s="40" t="n">
        <f aca="false">Country_Data!$BW$76</f>
        <v>220.772</v>
      </c>
      <c r="F502" s="41" t="n">
        <f aca="false">Country_Data!$BX$76</f>
        <v>0.48528345985904</v>
      </c>
      <c r="G502" s="42" t="n">
        <f aca="false">IF(D502="","",D502/SUMIFS($D$5:$D$1369,$B$5:$B$1369,B502,$C$5:$C$1369,C502))</f>
        <v>0.00501528677218681</v>
      </c>
      <c r="H502" s="42" t="n">
        <f aca="false">E502/SUMIFS($E$5:$E$1369,$B$5:$B$1369,B502,$C$5:$C$1369,C502)</f>
        <v>0.00273463187843119</v>
      </c>
      <c r="I502" s="43" t="n">
        <f aca="false">IF(G502="",H502,p_beta_alloc*G502+(1-p_beta_alloc)*H502)*F502^p_phi</f>
        <v>0.00269938538882451</v>
      </c>
      <c r="J502" s="16" t="n">
        <f aca="false">INDEX(Sector_Params!$C$16:$E$16,MATCH(B502,Sector_Params!$C$15:$E$15,0))*I502/SUMIFS($I$5:$I$1369,$B$5:$B$1369,B502,$C$5:$C$1369,C502)</f>
        <v>2.61091398339095</v>
      </c>
      <c r="K502" s="28" t="n">
        <f aca="false">INDEX(Sector_Params!$F$5:$H$5,MATCH(B502,Sector_Params!$C$15:$E$15,0))</f>
        <v>0.24</v>
      </c>
      <c r="L502" s="16" t="n">
        <f aca="false">J502*K502</f>
        <v>0.626619356013828</v>
      </c>
      <c r="M502" s="44" t="n">
        <f aca="false">Country_Data!$DW$76+Sector_Params!$E$5</f>
        <v>0.105</v>
      </c>
      <c r="N502" s="44" t="n">
        <f aca="false">Country_Data!$DX$76+Sector_Params!$E$5</f>
        <v>0.15</v>
      </c>
      <c r="O502" s="11" t="n">
        <f aca="false">IF(p_use_ibrd=1,p_r_ibrd,p_r_wb)</f>
        <v>0.06</v>
      </c>
      <c r="P502" s="45" t="n">
        <f aca="false">Sector_Params!$D$5</f>
        <v>25</v>
      </c>
      <c r="Q502" s="46" t="n">
        <f aca="false">M502/(1-(1+M502)^-P502)</f>
        <v>0.114429319813103</v>
      </c>
      <c r="R502" s="46" t="n">
        <f aca="false">N502/(1-(1+N502)^-P502)</f>
        <v>0.154699402320206</v>
      </c>
      <c r="S502" s="46" t="n">
        <f aca="false">O502/(1-(1+O502)^-P502)</f>
        <v>0.078226718212274</v>
      </c>
      <c r="T502" s="37" t="n">
        <f aca="false">IF(AND(p_eng=1,ISNUMBER(Country_Data!$CZ$76)),Country_Data!$CZ$76,Country_Data!$CM$76)*Sector_Params!$I$5</f>
        <v>0.100383732047589</v>
      </c>
      <c r="U502" s="37" t="n">
        <f aca="false">IF(AND(p_eng=1,ISNUMBER(Country_Data!$DA$76)),Country_Data!$DA$76,Country_Data!$CN$76)*Sector_Params!$J$5</f>
        <v>0.00644878744073152</v>
      </c>
      <c r="V502" s="37" t="n">
        <f aca="false">IF(AND(p_eng=1,ISNUMBER(Country_Data!$DB$76)),Country_Data!$DB$76,p_a)</f>
        <v>0.956721742360597</v>
      </c>
      <c r="W502" s="16" t="n">
        <f aca="false">T502*L502</f>
        <v>0.0629023895299252</v>
      </c>
      <c r="X502" s="16" t="n">
        <f aca="false">U502*L502</f>
        <v>0.00404093503318125</v>
      </c>
      <c r="Y502" s="16" t="n">
        <f aca="false">V502*L502</f>
        <v>0.599500362082425</v>
      </c>
      <c r="Z502" s="16" t="n">
        <f aca="false">Q502*L502</f>
        <v>0.0717036266903872</v>
      </c>
      <c r="AA502" s="16" t="n">
        <f aca="false">R502*L502</f>
        <v>0.0969376398576119</v>
      </c>
      <c r="AB502" s="16" t="n">
        <f aca="false">S502*L502</f>
        <v>0.0490183757892503</v>
      </c>
      <c r="AC502" s="16" t="n">
        <f aca="false">Z502-W502</f>
        <v>0.00880123716046198</v>
      </c>
      <c r="AD502" s="16" t="n">
        <f aca="false">AA502-W502</f>
        <v>0.0340352503276867</v>
      </c>
      <c r="AE502" s="16" t="n">
        <f aca="false">AB502-W502</f>
        <v>-0.0138840137406749</v>
      </c>
      <c r="AF502" s="16" t="n">
        <f aca="false">AE502-X502</f>
        <v>-0.0179249487738562</v>
      </c>
      <c r="AG502" s="16" t="n">
        <f aca="false">AF502-p_spc_lo*Y502/1000</f>
        <v>-0.0478999668779774</v>
      </c>
      <c r="AH502" s="16" t="n">
        <f aca="false">AF502-p_spc_hi*Y502/1000</f>
        <v>-0.0778749849820987</v>
      </c>
      <c r="AI502" s="16" t="n">
        <f aca="false">Q502*J502</f>
        <v>0.298765111209947</v>
      </c>
      <c r="AJ502" s="16" t="n">
        <f aca="false">S502*J502</f>
        <v>0.20424323245521</v>
      </c>
      <c r="AK502" s="16" t="n">
        <f aca="false">T502*J502</f>
        <v>0.262093289708022</v>
      </c>
      <c r="AL502" s="16" t="n">
        <f aca="false">U502*J502</f>
        <v>0.0168372293049219</v>
      </c>
      <c r="AM502" s="16" t="n">
        <f aca="false">AI502-AJ502</f>
        <v>0.094521878754737</v>
      </c>
      <c r="AN502" s="16" t="n">
        <f aca="false">J502*Country_Data!$EB$76</f>
        <v>2.9971861891529</v>
      </c>
      <c r="AO502" s="16" t="n">
        <f aca="false">L502*Country_Data!$EB$76</f>
        <v>0.719324685396696</v>
      </c>
    </row>
    <row r="503" customFormat="false" ht="15" hidden="false" customHeight="false" outlineLevel="0" collapsed="false">
      <c r="A503" s="14" t="str">
        <f aca="false">Country_Data!$A$76</f>
        <v>OMN</v>
      </c>
      <c r="B503" s="14" t="str">
        <f aca="false">Country_Data!$E$76</f>
        <v>EMDC</v>
      </c>
      <c r="C503" s="35" t="s">
        <v>470</v>
      </c>
      <c r="D503" s="37" t="n">
        <f aca="false">IF(Country_Data!$BZ$76="","",Country_Data!$BZ$76)</f>
        <v>43.9312627898394</v>
      </c>
      <c r="E503" s="40" t="n">
        <f aca="false">Country_Data!$BW$76</f>
        <v>220.772</v>
      </c>
      <c r="F503" s="41" t="n">
        <f aca="false">Country_Data!$BX$76</f>
        <v>0.48528345985904</v>
      </c>
      <c r="G503" s="42" t="n">
        <f aca="false">IF(D503="","",D503/SUMIFS($D$5:$D$1369,$B$5:$B$1369,B503,$C$5:$C$1369,C503))</f>
        <v>0.00501528677218681</v>
      </c>
      <c r="H503" s="42" t="n">
        <f aca="false">E503/SUMIFS($E$5:$E$1369,$B$5:$B$1369,B503,$C$5:$C$1369,C503)</f>
        <v>0.00273463187843119</v>
      </c>
      <c r="I503" s="43" t="n">
        <f aca="false">IF(G503="",H503,p_beta_alloc*G503+(1-p_beta_alloc)*H503)*F503^p_phi</f>
        <v>0.00269938538882451</v>
      </c>
      <c r="J503" s="16" t="n">
        <f aca="false">INDEX(Sector_Params!$C$17:$E$17,MATCH(B503,Sector_Params!$C$15:$E$15,0))*I503/SUMIFS($I$5:$I$1369,$B$5:$B$1369,B503,$C$5:$C$1369,C503)</f>
        <v>1.79034101718237</v>
      </c>
      <c r="K503" s="28" t="n">
        <f aca="false">INDEX(Sector_Params!$F$6:$H$6,MATCH(B503,Sector_Params!$C$15:$E$15,0))</f>
        <v>0.24</v>
      </c>
      <c r="L503" s="16" t="n">
        <f aca="false">J503*K503</f>
        <v>0.429681844123768</v>
      </c>
      <c r="M503" s="44" t="n">
        <f aca="false">Country_Data!$DW$76+Sector_Params!$E$6</f>
        <v>0.105</v>
      </c>
      <c r="N503" s="44" t="n">
        <f aca="false">Country_Data!$DX$76+Sector_Params!$E$6</f>
        <v>0.15</v>
      </c>
      <c r="O503" s="11" t="n">
        <f aca="false">IF(p_use_ibrd=1,p_r_ibrd,p_r_wb)</f>
        <v>0.06</v>
      </c>
      <c r="P503" s="45" t="n">
        <f aca="false">Sector_Params!$D$6</f>
        <v>40</v>
      </c>
      <c r="Q503" s="46" t="n">
        <f aca="false">M503/(1-(1+M503)^-P503)</f>
        <v>0.10697140835497</v>
      </c>
      <c r="R503" s="46" t="n">
        <f aca="false">N503/(1-(1+N503)^-P503)</f>
        <v>0.150562085013545</v>
      </c>
      <c r="S503" s="46" t="n">
        <f aca="false">O503/(1-(1+O503)^-P503)</f>
        <v>0.0664615359206755</v>
      </c>
      <c r="T503" s="37" t="n">
        <f aca="false">p_grid_credit*IF(AND(p_eng=1,ISNUMBER(Country_Data!$CZ$76)),Country_Data!$CZ$76,Country_Data!$CM$76)*Sector_Params!$I$6</f>
        <v>0</v>
      </c>
      <c r="U503" s="37" t="n">
        <f aca="false">p_grid_credit*IF(AND(p_eng=1,ISNUMBER(Country_Data!$DA$76)),Country_Data!$DA$76,Country_Data!$CN$76)*Sector_Params!$J$6</f>
        <v>0</v>
      </c>
      <c r="V503" s="37" t="n">
        <f aca="false">p_grid_credit*IF(AND(p_eng=1,ISNUMBER(Country_Data!$DB$76)),Country_Data!$DB$76,p_a)</f>
        <v>0</v>
      </c>
      <c r="W503" s="16" t="n">
        <f aca="false">T503*L503</f>
        <v>0</v>
      </c>
      <c r="X503" s="16" t="n">
        <f aca="false">U503*L503</f>
        <v>0</v>
      </c>
      <c r="Y503" s="16" t="n">
        <f aca="false">V503*L503</f>
        <v>0</v>
      </c>
      <c r="Z503" s="16" t="n">
        <f aca="false">Q503*L503</f>
        <v>0.0459636720104803</v>
      </c>
      <c r="AA503" s="16" t="n">
        <f aca="false">R503*L503</f>
        <v>0.0646937943437395</v>
      </c>
      <c r="AB503" s="16" t="n">
        <f aca="false">S503*L503</f>
        <v>0.0285573153176939</v>
      </c>
      <c r="AC503" s="16" t="n">
        <f aca="false">Z503-W503</f>
        <v>0.0459636720104803</v>
      </c>
      <c r="AD503" s="16" t="n">
        <f aca="false">AA503-W503</f>
        <v>0.0646937943437395</v>
      </c>
      <c r="AE503" s="16" t="n">
        <f aca="false">AB503-W503</f>
        <v>0.0285573153176939</v>
      </c>
      <c r="AF503" s="16" t="n">
        <f aca="false">AE503-X503</f>
        <v>0.0285573153176939</v>
      </c>
      <c r="AG503" s="16" t="n">
        <f aca="false">AF503-p_spc_lo*Y503/1000</f>
        <v>0.0285573153176939</v>
      </c>
      <c r="AH503" s="16" t="n">
        <f aca="false">AF503-p_spc_hi*Y503/1000</f>
        <v>0.0285573153176939</v>
      </c>
      <c r="AI503" s="16" t="n">
        <f aca="false">Q503*J503</f>
        <v>0.191515300043668</v>
      </c>
      <c r="AJ503" s="16" t="n">
        <f aca="false">S503*J503</f>
        <v>0.118988813823725</v>
      </c>
      <c r="AK503" s="16" t="n">
        <f aca="false">T503*J503</f>
        <v>0</v>
      </c>
      <c r="AL503" s="16" t="n">
        <f aca="false">U503*J503</f>
        <v>0</v>
      </c>
      <c r="AM503" s="16" t="n">
        <f aca="false">AI503-AJ503</f>
        <v>0.0725264862199434</v>
      </c>
      <c r="AN503" s="16" t="n">
        <f aca="false">J503*Country_Data!$EB$76</f>
        <v>2.0552133868477</v>
      </c>
      <c r="AO503" s="16" t="n">
        <f aca="false">L503*Country_Data!$EB$76</f>
        <v>0.493251212843449</v>
      </c>
    </row>
    <row r="504" customFormat="false" ht="15" hidden="false" customHeight="false" outlineLevel="0" collapsed="false">
      <c r="A504" s="14" t="str">
        <f aca="false">Country_Data!$A$76</f>
        <v>OMN</v>
      </c>
      <c r="B504" s="14" t="str">
        <f aca="false">Country_Data!$E$76</f>
        <v>EMDC</v>
      </c>
      <c r="C504" s="35" t="s">
        <v>473</v>
      </c>
      <c r="D504" s="37" t="n">
        <f aca="false">IF(Country_Data!$CA$76="","",Country_Data!$CA$76)</f>
        <v>0.207365419910165</v>
      </c>
      <c r="E504" s="40" t="n">
        <f aca="false">Country_Data!$BW$76</f>
        <v>220.772</v>
      </c>
      <c r="F504" s="41" t="n">
        <f aca="false">Country_Data!$BX$76</f>
        <v>0.48528345985904</v>
      </c>
      <c r="G504" s="42" t="n">
        <f aca="false">IF(D504="","",D504/SUMIFS($D$5:$D$1369,$B$5:$B$1369,B504,$C$5:$C$1369,C504))</f>
        <v>0.00479062368003552</v>
      </c>
      <c r="H504" s="42" t="n">
        <f aca="false">E504/SUMIFS($E$5:$E$1369,$B$5:$B$1369,B504,$C$5:$C$1369,C504)</f>
        <v>0.00273463187843119</v>
      </c>
      <c r="I504" s="43" t="n">
        <f aca="false">IF(G504="",H504,p_beta_alloc*G504+(1-p_beta_alloc)*H504)*F504^p_phi</f>
        <v>0.00262113266183453</v>
      </c>
      <c r="J504" s="16" t="n">
        <f aca="false">INDEX(Sector_Params!$C$18:$E$18,MATCH(B504,Sector_Params!$C$15:$E$15,0))*I504/SUMIFS($I$5:$I$1369,$B$5:$B$1369,B504,$C$5:$C$1369,C504)</f>
        <v>1.07329180583956</v>
      </c>
      <c r="K504" s="28" t="n">
        <f aca="false">INDEX(Sector_Params!$F$7:$H$7,MATCH(B504,Sector_Params!$C$15:$E$15,0))</f>
        <v>0.24</v>
      </c>
      <c r="L504" s="16" t="n">
        <f aca="false">J504*K504</f>
        <v>0.257590033401494</v>
      </c>
      <c r="M504" s="44" t="n">
        <f aca="false">Country_Data!$DW$76+Sector_Params!$E$7</f>
        <v>0.105</v>
      </c>
      <c r="N504" s="44" t="n">
        <f aca="false">Country_Data!$DX$76+Sector_Params!$E$7</f>
        <v>0.15</v>
      </c>
      <c r="O504" s="11" t="n">
        <f aca="false">IF(p_use_ibrd=1,p_r_ibrd,p_r_wb)</f>
        <v>0.06</v>
      </c>
      <c r="P504" s="45" t="n">
        <f aca="false">Sector_Params!$D$7</f>
        <v>12</v>
      </c>
      <c r="Q504" s="46" t="n">
        <f aca="false">M504/(1-(1+M504)^-P504)</f>
        <v>0.150376745634766</v>
      </c>
      <c r="R504" s="46" t="n">
        <f aca="false">N504/(1-(1+N504)^-P504)</f>
        <v>0.18448077613084</v>
      </c>
      <c r="S504" s="46" t="n">
        <f aca="false">O504/(1-(1+O504)^-P504)</f>
        <v>0.119277029380664</v>
      </c>
      <c r="T504" s="37" t="n">
        <f aca="false">IF(AND(p_eng=1,ISNUMBER(Country_Data!$DE$76)),Country_Data!$DE$76,Country_Data!$CM$76)*Sector_Params!$I$7</f>
        <v>0.15692706</v>
      </c>
      <c r="U504" s="37" t="n">
        <f aca="false">IF(AND(p_eng=1,ISNUMBER(Country_Data!$DF$76)),Country_Data!$DF$76,Country_Data!$CN$76)*Sector_Params!$J$7</f>
        <v>0.00508635</v>
      </c>
      <c r="V504" s="37" t="n">
        <f aca="false">IF(AND(p_eng=1,ISNUMBER(Country_Data!$DG$76)),Country_Data!$DG$76,p_a)</f>
        <v>0.308767646479939</v>
      </c>
      <c r="W504" s="16" t="n">
        <f aca="false">T504*L504</f>
        <v>0.0404228466269982</v>
      </c>
      <c r="X504" s="16" t="n">
        <f aca="false">U504*L504</f>
        <v>0.00131019306639169</v>
      </c>
      <c r="Y504" s="16" t="n">
        <f aca="false">V504*L504</f>
        <v>0.0795354683700682</v>
      </c>
      <c r="Z504" s="16" t="n">
        <f aca="false">Q504*L504</f>
        <v>0.0387355509308672</v>
      </c>
      <c r="AA504" s="16" t="n">
        <f aca="false">R504*L504</f>
        <v>0.0475204092854764</v>
      </c>
      <c r="AB504" s="16" t="n">
        <f aca="false">S504*L504</f>
        <v>0.0307245739821961</v>
      </c>
      <c r="AC504" s="16" t="n">
        <f aca="false">Z504-W504</f>
        <v>-0.00168729569613098</v>
      </c>
      <c r="AD504" s="16" t="n">
        <f aca="false">AA504-W504</f>
        <v>0.00709756265847823</v>
      </c>
      <c r="AE504" s="16" t="n">
        <f aca="false">AB504-W504</f>
        <v>-0.00969827264480214</v>
      </c>
      <c r="AF504" s="16" t="n">
        <f aca="false">AE504-X504</f>
        <v>-0.0110084657111938</v>
      </c>
      <c r="AG504" s="16" t="n">
        <f aca="false">AF504-p_spc_lo*Y504/1000</f>
        <v>-0.0149852391296972</v>
      </c>
      <c r="AH504" s="16" t="n">
        <f aca="false">AF504-p_spc_hi*Y504/1000</f>
        <v>-0.0189620125482006</v>
      </c>
      <c r="AI504" s="16" t="n">
        <f aca="false">Q504*J504</f>
        <v>0.161398128878613</v>
      </c>
      <c r="AJ504" s="16" t="n">
        <f aca="false">S504*J504</f>
        <v>0.12801905825915</v>
      </c>
      <c r="AK504" s="16" t="n">
        <f aca="false">T504*J504</f>
        <v>0.168428527612492</v>
      </c>
      <c r="AL504" s="16" t="n">
        <f aca="false">U504*J504</f>
        <v>0.00545913777663203</v>
      </c>
      <c r="AM504" s="16" t="n">
        <f aca="false">AI504-AJ504</f>
        <v>0.0333790706194631</v>
      </c>
      <c r="AN504" s="16" t="n">
        <f aca="false">J504*Country_Data!$EB$76</f>
        <v>1.2320801825939</v>
      </c>
      <c r="AO504" s="16" t="n">
        <f aca="false">L504*Country_Data!$EB$76</f>
        <v>0.295699243822536</v>
      </c>
    </row>
    <row r="505" customFormat="false" ht="15" hidden="false" customHeight="false" outlineLevel="0" collapsed="false">
      <c r="A505" s="14" t="str">
        <f aca="false">Country_Data!$A$76</f>
        <v>OMN</v>
      </c>
      <c r="B505" s="14" t="str">
        <f aca="false">Country_Data!$E$76</f>
        <v>EMDC</v>
      </c>
      <c r="C505" s="35" t="s">
        <v>477</v>
      </c>
      <c r="D505" s="37" t="n">
        <f aca="false">IF(Country_Data!$CB$76="","",Country_Data!$CB$76)</f>
        <v>0.408680741573998</v>
      </c>
      <c r="E505" s="40" t="n">
        <f aca="false">Country_Data!$BW$76</f>
        <v>220.772</v>
      </c>
      <c r="F505" s="41" t="n">
        <f aca="false">Country_Data!$BX$76</f>
        <v>0.48528345985904</v>
      </c>
      <c r="G505" s="42" t="n">
        <f aca="false">IF(D505="","",D505/SUMIFS($D$5:$D$1369,$B$5:$B$1369,B505,$C$5:$C$1369,C505))</f>
        <v>0.0128869482148156</v>
      </c>
      <c r="H505" s="42" t="n">
        <f aca="false">E505/SUMIFS($E$5:$E$1369,$B$5:$B$1369,B505,$C$5:$C$1369,C505)</f>
        <v>0.00273463187843119</v>
      </c>
      <c r="I505" s="43" t="n">
        <f aca="false">IF(G505="",H505,p_beta_alloc*G505+(1-p_beta_alloc)*H505)*F505^p_phi</f>
        <v>0.00544117518584528</v>
      </c>
      <c r="J505" s="16" t="n">
        <f aca="false">INDEX(Sector_Params!$C$19:$E$19,MATCH(B505,Sector_Params!$C$15:$E$15,0))*I505/SUMIFS($I$5:$I$1369,$B$5:$B$1369,B505,$C$5:$C$1369,C505)</f>
        <v>1.7513107734662</v>
      </c>
      <c r="K505" s="28" t="n">
        <f aca="false">INDEX(Sector_Params!$F$8:$H$8,MATCH(B505,Sector_Params!$C$15:$E$15,0))</f>
        <v>0.24</v>
      </c>
      <c r="L505" s="16" t="n">
        <f aca="false">J505*K505</f>
        <v>0.420314585631889</v>
      </c>
      <c r="M505" s="44" t="n">
        <f aca="false">Country_Data!$DW$76+Sector_Params!$E$8</f>
        <v>0.105</v>
      </c>
      <c r="N505" s="44" t="n">
        <f aca="false">Country_Data!$DX$76+Sector_Params!$E$8</f>
        <v>0.15</v>
      </c>
      <c r="O505" s="11" t="n">
        <f aca="false">IF(p_use_ibrd=1,p_r_ibrd,p_r_wb)</f>
        <v>0.06</v>
      </c>
      <c r="P505" s="45" t="n">
        <f aca="false">Sector_Params!$D$8</f>
        <v>25</v>
      </c>
      <c r="Q505" s="46" t="n">
        <f aca="false">M505/(1-(1+M505)^-P505)</f>
        <v>0.114429319813103</v>
      </c>
      <c r="R505" s="46" t="n">
        <f aca="false">N505/(1-(1+N505)^-P505)</f>
        <v>0.154699402320206</v>
      </c>
      <c r="S505" s="46" t="n">
        <f aca="false">O505/(1-(1+O505)^-P505)</f>
        <v>0.078226718212274</v>
      </c>
      <c r="T505" s="37" t="n">
        <f aca="false">Country_Data!$CM$76*Sector_Params!$I$8</f>
        <v>0.117244881656385</v>
      </c>
      <c r="U505" s="37" t="n">
        <f aca="false">Country_Data!$CN$76*Sector_Params!$J$8</f>
        <v>0.03225</v>
      </c>
      <c r="V505" s="37" t="n">
        <f aca="false">p_a</f>
        <v>0.35</v>
      </c>
      <c r="W505" s="16" t="n">
        <f aca="false">T505*L505</f>
        <v>0.0492797338508631</v>
      </c>
      <c r="X505" s="16" t="n">
        <f aca="false">U505*L505</f>
        <v>0.0135551453866284</v>
      </c>
      <c r="Y505" s="16" t="n">
        <f aca="false">V505*L505</f>
        <v>0.147110104971161</v>
      </c>
      <c r="Z505" s="16" t="n">
        <f aca="false">Q505*L505</f>
        <v>0.0480963121413834</v>
      </c>
      <c r="AA505" s="16" t="n">
        <f aca="false">R505*L505</f>
        <v>0.0650224151837184</v>
      </c>
      <c r="AB505" s="16" t="n">
        <f aca="false">S505*L505</f>
        <v>0.0328798306507345</v>
      </c>
      <c r="AC505" s="16" t="n">
        <f aca="false">Z505-W505</f>
        <v>-0.00118342170947972</v>
      </c>
      <c r="AD505" s="16" t="n">
        <f aca="false">AA505-W505</f>
        <v>0.0157426813328553</v>
      </c>
      <c r="AE505" s="16" t="n">
        <f aca="false">AB505-W505</f>
        <v>-0.0163999032001287</v>
      </c>
      <c r="AF505" s="16" t="n">
        <f aca="false">AE505-X505</f>
        <v>-0.0299550485867571</v>
      </c>
      <c r="AG505" s="16" t="n">
        <f aca="false">AF505-p_spc_lo*Y505/1000</f>
        <v>-0.0373105538353151</v>
      </c>
      <c r="AH505" s="16" t="n">
        <f aca="false">AF505-p_spc_hi*Y505/1000</f>
        <v>-0.0446660590838732</v>
      </c>
      <c r="AI505" s="16" t="n">
        <f aca="false">Q505*J505</f>
        <v>0.200401300589098</v>
      </c>
      <c r="AJ505" s="16" t="n">
        <f aca="false">S505*J505</f>
        <v>0.13699929437806</v>
      </c>
      <c r="AK505" s="16" t="n">
        <f aca="false">T505*J505</f>
        <v>0.205332224378596</v>
      </c>
      <c r="AL505" s="16" t="n">
        <f aca="false">U505*J505</f>
        <v>0.0564797724442851</v>
      </c>
      <c r="AM505" s="16" t="n">
        <f aca="false">AI505-AJ505</f>
        <v>0.0634020062110373</v>
      </c>
      <c r="AN505" s="16" t="n">
        <f aca="false">J505*Country_Data!$EB$76</f>
        <v>2.01040880570504</v>
      </c>
      <c r="AO505" s="16" t="n">
        <f aca="false">L505*Country_Data!$EB$76</f>
        <v>0.482498113369209</v>
      </c>
    </row>
    <row r="506" customFormat="false" ht="15" hidden="false" customHeight="false" outlineLevel="0" collapsed="false">
      <c r="A506" s="14" t="str">
        <f aca="false">Country_Data!$A$76</f>
        <v>OMN</v>
      </c>
      <c r="B506" s="14" t="str">
        <f aca="false">Country_Data!$E$76</f>
        <v>EMDC</v>
      </c>
      <c r="C506" s="35" t="s">
        <v>481</v>
      </c>
      <c r="D506" s="37" t="n">
        <f aca="false">IF(Country_Data!$CC$76="","",Country_Data!$CC$76)</f>
        <v>0.528646644743972</v>
      </c>
      <c r="E506" s="40" t="n">
        <f aca="false">Country_Data!$BW$76</f>
        <v>220.772</v>
      </c>
      <c r="F506" s="41" t="n">
        <f aca="false">Country_Data!$BX$76</f>
        <v>0.48528345985904</v>
      </c>
      <c r="G506" s="42" t="n">
        <f aca="false">IF(D506="","",D506/SUMIFS($D$5:$D$1369,$B$5:$B$1369,B506,$C$5:$C$1369,C506))</f>
        <v>0.0075513120127869</v>
      </c>
      <c r="H506" s="42" t="n">
        <f aca="false">E506/SUMIFS($E$5:$E$1369,$B$5:$B$1369,B506,$C$5:$C$1369,C506)</f>
        <v>0.00273463187843119</v>
      </c>
      <c r="I506" s="43" t="n">
        <f aca="false">IF(G506="",H506,p_beta_alloc*G506+(1-p_beta_alloc)*H506)*F506^p_phi</f>
        <v>0.00358271201311367</v>
      </c>
      <c r="J506" s="16" t="n">
        <f aca="false">INDEX(Sector_Params!$C$20:$E$20,MATCH(B506,Sector_Params!$C$15:$E$15,0))*I506/SUMIFS($I$5:$I$1369,$B$5:$B$1369,B506,$C$5:$C$1369,C506)</f>
        <v>0.653917089926376</v>
      </c>
      <c r="K506" s="28" t="n">
        <f aca="false">INDEX(Sector_Params!$F$9:$H$9,MATCH(B506,Sector_Params!$C$15:$E$15,0))</f>
        <v>0.24</v>
      </c>
      <c r="L506" s="16" t="n">
        <f aca="false">J506*K506</f>
        <v>0.15694010158233</v>
      </c>
      <c r="M506" s="44" t="n">
        <f aca="false">Country_Data!$DW$76+Sector_Params!$E$9</f>
        <v>0.105</v>
      </c>
      <c r="N506" s="44" t="n">
        <f aca="false">Country_Data!$DX$76+Sector_Params!$E$9</f>
        <v>0.15</v>
      </c>
      <c r="O506" s="11" t="n">
        <f aca="false">IF(p_use_ibrd=1,p_r_ibrd,p_r_wb)</f>
        <v>0.06</v>
      </c>
      <c r="P506" s="45" t="n">
        <f aca="false">Sector_Params!$D$9</f>
        <v>25</v>
      </c>
      <c r="Q506" s="46" t="n">
        <f aca="false">M506/(1-(1+M506)^-P506)</f>
        <v>0.114429319813103</v>
      </c>
      <c r="R506" s="46" t="n">
        <f aca="false">N506/(1-(1+N506)^-P506)</f>
        <v>0.154699402320206</v>
      </c>
      <c r="S506" s="46" t="n">
        <f aca="false">O506/(1-(1+O506)^-P506)</f>
        <v>0.078226718212274</v>
      </c>
      <c r="T506" s="37" t="n">
        <f aca="false">Country_Data!$CM$76*Sector_Params!$I$9</f>
        <v>0.117244881656385</v>
      </c>
      <c r="U506" s="37" t="n">
        <f aca="false">Country_Data!$CN$76*Sector_Params!$J$9</f>
        <v>0.03225</v>
      </c>
      <c r="V506" s="37" t="n">
        <f aca="false">p_a</f>
        <v>0.35</v>
      </c>
      <c r="W506" s="16" t="n">
        <f aca="false">T506*L506</f>
        <v>0.0184004236371613</v>
      </c>
      <c r="X506" s="16" t="n">
        <f aca="false">U506*L506</f>
        <v>0.00506131827603015</v>
      </c>
      <c r="Y506" s="16" t="n">
        <f aca="false">V506*L506</f>
        <v>0.0549290355538156</v>
      </c>
      <c r="Z506" s="16" t="n">
        <f aca="false">Q506*L506</f>
        <v>0.0179585490754654</v>
      </c>
      <c r="AA506" s="16" t="n">
        <f aca="false">R506*L506</f>
        <v>0.024278539914859</v>
      </c>
      <c r="AB506" s="16" t="n">
        <f aca="false">S506*L506</f>
        <v>0.0122769091026866</v>
      </c>
      <c r="AC506" s="16" t="n">
        <f aca="false">Z506-W506</f>
        <v>-0.000441874561695897</v>
      </c>
      <c r="AD506" s="16" t="n">
        <f aca="false">AA506-W506</f>
        <v>0.00587811627769769</v>
      </c>
      <c r="AE506" s="16" t="n">
        <f aca="false">AB506-W506</f>
        <v>-0.00612351453447469</v>
      </c>
      <c r="AF506" s="16" t="n">
        <f aca="false">AE506-X506</f>
        <v>-0.0111848328105048</v>
      </c>
      <c r="AG506" s="16" t="n">
        <f aca="false">AF506-p_spc_lo*Y506/1000</f>
        <v>-0.0139312845881956</v>
      </c>
      <c r="AH506" s="16" t="n">
        <f aca="false">AF506-p_spc_hi*Y506/1000</f>
        <v>-0.0166777363658864</v>
      </c>
      <c r="AI506" s="16" t="n">
        <f aca="false">Q506*J506</f>
        <v>0.0748272878144391</v>
      </c>
      <c r="AJ506" s="16" t="n">
        <f aca="false">S506*J506</f>
        <v>0.0511537879278608</v>
      </c>
      <c r="AK506" s="16" t="n">
        <f aca="false">T506*J506</f>
        <v>0.0766684318215054</v>
      </c>
      <c r="AL506" s="16" t="n">
        <f aca="false">U506*J506</f>
        <v>0.0210888261501256</v>
      </c>
      <c r="AM506" s="16" t="n">
        <f aca="false">AI506-AJ506</f>
        <v>0.0236734998865783</v>
      </c>
      <c r="AN506" s="16" t="n">
        <f aca="false">J506*Country_Data!$EB$76</f>
        <v>0.750660988162059</v>
      </c>
      <c r="AO506" s="16" t="n">
        <f aca="false">L506*Country_Data!$EB$76</f>
        <v>0.180158637158894</v>
      </c>
    </row>
    <row r="507" customFormat="false" ht="15" hidden="false" customHeight="false" outlineLevel="0" collapsed="false">
      <c r="A507" s="14" t="str">
        <f aca="false">Country_Data!$A$76</f>
        <v>OMN</v>
      </c>
      <c r="B507" s="14" t="str">
        <f aca="false">Country_Data!$E$76</f>
        <v>EMDC</v>
      </c>
      <c r="C507" s="35" t="s">
        <v>484</v>
      </c>
      <c r="D507" s="37" t="n">
        <f aca="false">IF(Country_Data!$CD$76="","",Country_Data!$CD$76)</f>
        <v>1.28810673020059</v>
      </c>
      <c r="E507" s="40" t="n">
        <f aca="false">Country_Data!$BW$76</f>
        <v>220.772</v>
      </c>
      <c r="F507" s="41" t="n">
        <f aca="false">Country_Data!$BX$76</f>
        <v>0.48528345985904</v>
      </c>
      <c r="G507" s="42" t="n">
        <f aca="false">IF(D507="","",D507/SUMIFS($D$5:$D$1369,$B$5:$B$1369,B507,$C$5:$C$1369,C507))</f>
        <v>0.00719325855172631</v>
      </c>
      <c r="H507" s="42" t="n">
        <f aca="false">E507/SUMIFS($E$5:$E$1369,$B$5:$B$1369,B507,$C$5:$C$1369,C507)</f>
        <v>0.00273463187843119</v>
      </c>
      <c r="I507" s="43" t="n">
        <f aca="false">IF(G507="",H507,p_beta_alloc*G507+(1-p_beta_alloc)*H507)*F507^p_phi</f>
        <v>0.0034579978935496</v>
      </c>
      <c r="J507" s="16" t="n">
        <f aca="false">INDEX(Sector_Params!$C$21:$E$21,MATCH(B507,Sector_Params!$C$15:$E$15,0))*I507/SUMIFS($I$5:$I$1369,$B$5:$B$1369,B507,$C$5:$C$1369,C507)</f>
        <v>0.766948752008974</v>
      </c>
      <c r="K507" s="28" t="n">
        <f aca="false">INDEX(Sector_Params!$F$10:$H$10,MATCH(B507,Sector_Params!$C$15:$E$15,0))</f>
        <v>0.24</v>
      </c>
      <c r="L507" s="16" t="n">
        <f aca="false">J507*K507</f>
        <v>0.184067700482154</v>
      </c>
      <c r="M507" s="44" t="n">
        <f aca="false">Country_Data!$DW$76+Sector_Params!$E$10</f>
        <v>0.105</v>
      </c>
      <c r="N507" s="44" t="n">
        <f aca="false">Country_Data!$DX$76+Sector_Params!$E$10</f>
        <v>0.15</v>
      </c>
      <c r="O507" s="11" t="n">
        <f aca="false">IF(p_use_ibrd=1,p_r_ibrd,p_r_wb)</f>
        <v>0.06</v>
      </c>
      <c r="P507" s="45" t="n">
        <f aca="false">Sector_Params!$D$10</f>
        <v>20</v>
      </c>
      <c r="Q507" s="46" t="n">
        <f aca="false">M507/(1-(1+M507)^-P507)</f>
        <v>0.121493265267016</v>
      </c>
      <c r="R507" s="46" t="n">
        <f aca="false">N507/(1-(1+N507)^-P507)</f>
        <v>0.159761470405744</v>
      </c>
      <c r="S507" s="46" t="n">
        <f aca="false">O507/(1-(1+O507)^-P507)</f>
        <v>0.0871845569768514</v>
      </c>
      <c r="T507" s="37" t="n">
        <f aca="false">0*Sector_Params!$I$10</f>
        <v>0</v>
      </c>
      <c r="U507" s="37" t="n">
        <f aca="false">0*Sector_Params!$J$10</f>
        <v>0</v>
      </c>
      <c r="V507" s="37" t="n">
        <f aca="false">1000*p_r_wb/(1-(1+p_r_wb)^-Sector_Params!$D$10)/p_cpt_fuel</f>
        <v>0.871845569768514</v>
      </c>
      <c r="W507" s="16" t="n">
        <f aca="false">T507*L507</f>
        <v>0</v>
      </c>
      <c r="X507" s="16" t="n">
        <f aca="false">U507*L507</f>
        <v>0</v>
      </c>
      <c r="Y507" s="16" t="n">
        <f aca="false">V507*L507</f>
        <v>0.160478609202844</v>
      </c>
      <c r="Z507" s="16" t="n">
        <f aca="false">Q507*L507</f>
        <v>0.022362985961768</v>
      </c>
      <c r="AA507" s="16" t="n">
        <f aca="false">R507*L507</f>
        <v>0.0294069264832329</v>
      </c>
      <c r="AB507" s="16" t="n">
        <f aca="false">S507*L507</f>
        <v>0.0160478609202844</v>
      </c>
      <c r="AC507" s="16" t="n">
        <f aca="false">Z507-W507</f>
        <v>0.022362985961768</v>
      </c>
      <c r="AD507" s="16" t="n">
        <f aca="false">AA507-W507</f>
        <v>0.0294069264832329</v>
      </c>
      <c r="AE507" s="16" t="n">
        <f aca="false">AB507-W507</f>
        <v>0.0160478609202844</v>
      </c>
      <c r="AF507" s="16" t="n">
        <f aca="false">AE507-X507</f>
        <v>0.0160478609202844</v>
      </c>
      <c r="AG507" s="16" t="n">
        <f aca="false">AF507-p_spc_lo*Y507/1000</f>
        <v>0.00802393046014218</v>
      </c>
      <c r="AH507" s="16" t="n">
        <f aca="false">AF507-p_spc_hi*Y507/1000</f>
        <v>0</v>
      </c>
      <c r="AI507" s="16" t="n">
        <f aca="false">Q507*J507</f>
        <v>0.0931791081740333</v>
      </c>
      <c r="AJ507" s="16" t="n">
        <f aca="false">S507*J507</f>
        <v>0.0668660871678515</v>
      </c>
      <c r="AK507" s="16" t="n">
        <f aca="false">T507*J507</f>
        <v>0</v>
      </c>
      <c r="AL507" s="16" t="n">
        <f aca="false">U507*J507</f>
        <v>0</v>
      </c>
      <c r="AM507" s="16" t="n">
        <f aca="false">AI507-AJ507</f>
        <v>0.0263130210061818</v>
      </c>
      <c r="AN507" s="16" t="n">
        <f aca="false">J507*Country_Data!$EB$76</f>
        <v>0.880415142717151</v>
      </c>
      <c r="AO507" s="16" t="n">
        <f aca="false">L507*Country_Data!$EB$76</f>
        <v>0.211299634252116</v>
      </c>
    </row>
    <row r="508" customFormat="false" ht="15" hidden="false" customHeight="false" outlineLevel="0" collapsed="false">
      <c r="A508" s="14" t="str">
        <f aca="false">Country_Data!$A$76</f>
        <v>OMN</v>
      </c>
      <c r="B508" s="14" t="str">
        <f aca="false">Country_Data!$E$76</f>
        <v>EMDC</v>
      </c>
      <c r="C508" s="35" t="s">
        <v>488</v>
      </c>
      <c r="D508" s="37" t="n">
        <f aca="false">IF(Country_Data!$CE$76="","",Country_Data!$CE$76)</f>
        <v>48.827</v>
      </c>
      <c r="E508" s="40" t="n">
        <f aca="false">Country_Data!$BW$76</f>
        <v>220.772</v>
      </c>
      <c r="F508" s="41" t="n">
        <f aca="false">Country_Data!$BX$76</f>
        <v>0.48528345985904</v>
      </c>
      <c r="G508" s="42" t="n">
        <f aca="false">IF(D508="","",D508/SUMIFS($D$5:$D$1369,$B$5:$B$1369,B508,$C$5:$C$1369,C508))</f>
        <v>0.00400086528226966</v>
      </c>
      <c r="H508" s="42" t="n">
        <f aca="false">E508/SUMIFS($E$5:$E$1369,$B$5:$B$1369,B508,$C$5:$C$1369,C508)</f>
        <v>0.00273463187843119</v>
      </c>
      <c r="I508" s="43" t="n">
        <f aca="false">IF(G508="",H508,p_beta_alloc*G508+(1-p_beta_alloc)*H508)*F508^p_phi</f>
        <v>0.00234605077056067</v>
      </c>
      <c r="J508" s="16" t="n">
        <f aca="false">INDEX(Sector_Params!$C$22:$E$22,MATCH(B508,Sector_Params!$C$15:$E$15,0))*I508/SUMIFS($I$5:$I$1369,$B$5:$B$1369,B508,$C$5:$C$1369,C508)</f>
        <v>1.41421908368138</v>
      </c>
      <c r="K508" s="28" t="n">
        <f aca="false">INDEX(Sector_Params!$F$11:$H$11,MATCH(B508,Sector_Params!$C$15:$E$15,0))</f>
        <v>0.24</v>
      </c>
      <c r="L508" s="16" t="n">
        <f aca="false">J508*K508</f>
        <v>0.339412580083531</v>
      </c>
      <c r="M508" s="44" t="n">
        <f aca="false">Country_Data!$DW$76+Sector_Params!$E$11</f>
        <v>0.105</v>
      </c>
      <c r="N508" s="44" t="n">
        <f aca="false">Country_Data!$DX$76+Sector_Params!$E$11</f>
        <v>0.15</v>
      </c>
      <c r="O508" s="11" t="n">
        <f aca="false">IF(p_use_ibrd=1,p_r_ibrd,p_r_wb)</f>
        <v>0.06</v>
      </c>
      <c r="P508" s="45" t="n">
        <f aca="false">Sector_Params!$D$11</f>
        <v>30</v>
      </c>
      <c r="Q508" s="46" t="n">
        <f aca="false">M508/(1-(1+M508)^-P508)</f>
        <v>0.110528481529605</v>
      </c>
      <c r="R508" s="46" t="n">
        <f aca="false">N508/(1-(1+N508)^-P508)</f>
        <v>0.152300198192734</v>
      </c>
      <c r="S508" s="46" t="n">
        <f aca="false">O508/(1-(1+O508)^-P508)</f>
        <v>0.0726489114900472</v>
      </c>
      <c r="T508" s="37" t="n">
        <f aca="false">0*Sector_Params!$I$11</f>
        <v>0</v>
      </c>
      <c r="U508" s="37" t="n">
        <f aca="false">p_c*Sector_Params!$J$11</f>
        <v>0.129</v>
      </c>
      <c r="V508" s="37" t="n">
        <f aca="false">1000*p_r_wb/(1-(1+p_r_wb)^-Sector_Params!$D$11)/p_cpt_afolu</f>
        <v>1.45297822980094</v>
      </c>
      <c r="W508" s="16" t="n">
        <f aca="false">T508*L508</f>
        <v>0</v>
      </c>
      <c r="X508" s="16" t="n">
        <f aca="false">U508*L508</f>
        <v>0.0437842228307755</v>
      </c>
      <c r="Y508" s="16" t="n">
        <f aca="false">V508*L508</f>
        <v>0.49315908978194</v>
      </c>
      <c r="Z508" s="16" t="n">
        <f aca="false">Q508*L508</f>
        <v>0.0375147570886782</v>
      </c>
      <c r="AA508" s="16" t="n">
        <f aca="false">R508*L508</f>
        <v>0.051692603215829</v>
      </c>
      <c r="AB508" s="16" t="n">
        <f aca="false">S508*L508</f>
        <v>0.024657954489097</v>
      </c>
      <c r="AC508" s="16" t="n">
        <f aca="false">Z508-W508</f>
        <v>0.0375147570886782</v>
      </c>
      <c r="AD508" s="16" t="n">
        <f aca="false">AA508-W508</f>
        <v>0.051692603215829</v>
      </c>
      <c r="AE508" s="16" t="n">
        <f aca="false">AB508-W508</f>
        <v>0.024657954489097</v>
      </c>
      <c r="AF508" s="16" t="n">
        <f aca="false">AE508-X508</f>
        <v>-0.0191262683416785</v>
      </c>
      <c r="AG508" s="16" t="n">
        <f aca="false">AF508-p_spc_lo*Y508/1000</f>
        <v>-0.0437842228307755</v>
      </c>
      <c r="AH508" s="16" t="n">
        <f aca="false">AF508-p_spc_hi*Y508/1000</f>
        <v>-0.0684421773198724</v>
      </c>
      <c r="AI508" s="16" t="n">
        <f aca="false">Q508*J508</f>
        <v>0.156311487869492</v>
      </c>
      <c r="AJ508" s="16" t="n">
        <f aca="false">S508*J508</f>
        <v>0.102741477037904</v>
      </c>
      <c r="AK508" s="16" t="n">
        <f aca="false">T508*J508</f>
        <v>0</v>
      </c>
      <c r="AL508" s="16" t="n">
        <f aca="false">U508*J508</f>
        <v>0.182434261794898</v>
      </c>
      <c r="AM508" s="16" t="n">
        <f aca="false">AI508-AJ508</f>
        <v>0.0535700108315882</v>
      </c>
      <c r="AN508" s="16" t="n">
        <f aca="false">J508*Country_Data!$EB$76</f>
        <v>1.62344601660958</v>
      </c>
      <c r="AO508" s="16" t="n">
        <f aca="false">L508*Country_Data!$EB$76</f>
        <v>0.3896270439863</v>
      </c>
    </row>
    <row r="509" customFormat="false" ht="15" hidden="false" customHeight="false" outlineLevel="0" collapsed="false">
      <c r="A509" s="14" t="str">
        <f aca="false">Country_Data!$A$77</f>
        <v>LKA</v>
      </c>
      <c r="B509" s="14" t="str">
        <f aca="false">Country_Data!$E$77</f>
        <v>EMDC</v>
      </c>
      <c r="C509" s="35" t="s">
        <v>466</v>
      </c>
      <c r="D509" s="37" t="n">
        <f aca="false">IF(Country_Data!$BZ$77="","",Country_Data!$BZ$77)</f>
        <v>12.7157885463769</v>
      </c>
      <c r="E509" s="40" t="n">
        <f aca="false">Country_Data!$BW$77</f>
        <v>343.101</v>
      </c>
      <c r="F509" s="41" t="n">
        <f aca="false">Country_Data!$BX$77</f>
        <v>0.288439847158708</v>
      </c>
      <c r="G509" s="42" t="n">
        <f aca="false">IF(D509="","",D509/SUMIFS($D$5:$D$1369,$B$5:$B$1369,B509,$C$5:$C$1369,C509))</f>
        <v>0.00145166157411979</v>
      </c>
      <c r="H509" s="42" t="n">
        <f aca="false">E509/SUMIFS($E$5:$E$1369,$B$5:$B$1369,B509,$C$5:$C$1369,C509)</f>
        <v>0.0042498819239832</v>
      </c>
      <c r="I509" s="43" t="n">
        <f aca="false">IF(G509="",H509,p_beta_alloc*G509+(1-p_beta_alloc)*H509)*F509^p_phi</f>
        <v>0.0015310524708375</v>
      </c>
      <c r="J509" s="16" t="n">
        <f aca="false">INDEX(Sector_Params!$C$16:$E$16,MATCH(B509,Sector_Params!$C$15:$E$15,0))*I509/SUMIFS($I$5:$I$1369,$B$5:$B$1369,B509,$C$5:$C$1369,C509)</f>
        <v>1.48087276532072</v>
      </c>
      <c r="K509" s="28" t="n">
        <f aca="false">INDEX(Sector_Params!$F$5:$H$5,MATCH(B509,Sector_Params!$C$15:$E$15,0))</f>
        <v>0.24</v>
      </c>
      <c r="L509" s="16" t="n">
        <f aca="false">J509*K509</f>
        <v>0.355409463676973</v>
      </c>
      <c r="M509" s="44" t="n">
        <f aca="false">Country_Data!$DW$77+Sector_Params!$E$5</f>
        <v>0.12506</v>
      </c>
      <c r="N509" s="44" t="n">
        <f aca="false">Country_Data!$DX$77+Sector_Params!$E$5</f>
        <v>0.17006</v>
      </c>
      <c r="O509" s="11" t="n">
        <f aca="false">IF(p_use_ibrd=1,p_r_ibrd,p_r_wb)</f>
        <v>0.06</v>
      </c>
      <c r="P509" s="45" t="n">
        <f aca="false">Sector_Params!$D$5</f>
        <v>25</v>
      </c>
      <c r="Q509" s="46" t="n">
        <f aca="false">M509/(1-(1+M509)^-P509)</f>
        <v>0.131997004403792</v>
      </c>
      <c r="R509" s="46" t="n">
        <f aca="false">N509/(1-(1+N509)^-P509)</f>
        <v>0.173480160589651</v>
      </c>
      <c r="S509" s="46" t="n">
        <f aca="false">O509/(1-(1+O509)^-P509)</f>
        <v>0.078226718212274</v>
      </c>
      <c r="T509" s="37" t="n">
        <f aca="false">IF(AND(p_eng=1,ISNUMBER(Country_Data!$CZ$77)),Country_Data!$CZ$77,Country_Data!$CM$77)*Sector_Params!$I$5</f>
        <v>0.0644583833493802</v>
      </c>
      <c r="U509" s="37" t="n">
        <f aca="false">IF(AND(p_eng=1,ISNUMBER(Country_Data!$DA$77)),Country_Data!$DA$77,Country_Data!$CN$77)*Sector_Params!$J$5</f>
        <v>0.070643050038754</v>
      </c>
      <c r="V509" s="37" t="n">
        <f aca="false">IF(AND(p_eng=1,ISNUMBER(Country_Data!$DB$77)),Country_Data!$DB$77,p_a)</f>
        <v>0.909574877373015</v>
      </c>
      <c r="W509" s="16" t="n">
        <f aca="false">T509*L509</f>
        <v>0.0229091194556879</v>
      </c>
      <c r="X509" s="16" t="n">
        <f aca="false">U509*L509</f>
        <v>0.0251072085267791</v>
      </c>
      <c r="Y509" s="16" t="n">
        <f aca="false">V509*L509</f>
        <v>0.323271519341192</v>
      </c>
      <c r="Z509" s="16" t="n">
        <f aca="false">Q509*L509</f>
        <v>0.0469129845421188</v>
      </c>
      <c r="AA509" s="16" t="n">
        <f aca="false">R509*L509</f>
        <v>0.0616564908337631</v>
      </c>
      <c r="AB509" s="16" t="n">
        <f aca="false">S509*L509</f>
        <v>0.027802515965034</v>
      </c>
      <c r="AC509" s="16" t="n">
        <f aca="false">Z509-W509</f>
        <v>0.0240038650864309</v>
      </c>
      <c r="AD509" s="16" t="n">
        <f aca="false">AA509-W509</f>
        <v>0.0387473713780752</v>
      </c>
      <c r="AE509" s="16" t="n">
        <f aca="false">AB509-W509</f>
        <v>0.00489339650934604</v>
      </c>
      <c r="AF509" s="16" t="n">
        <f aca="false">AE509-X509</f>
        <v>-0.0202138120174331</v>
      </c>
      <c r="AG509" s="16" t="n">
        <f aca="false">AF509-p_spc_lo*Y509/1000</f>
        <v>-0.0363773879844927</v>
      </c>
      <c r="AH509" s="16" t="n">
        <f aca="false">AF509-p_spc_hi*Y509/1000</f>
        <v>-0.0525409639515522</v>
      </c>
      <c r="AI509" s="16" t="n">
        <f aca="false">Q509*J509</f>
        <v>0.195470768925495</v>
      </c>
      <c r="AJ509" s="16" t="n">
        <f aca="false">S509*J509</f>
        <v>0.115843816520975</v>
      </c>
      <c r="AK509" s="16" t="n">
        <f aca="false">T509*J509</f>
        <v>0.0954546643986997</v>
      </c>
      <c r="AL509" s="16" t="n">
        <f aca="false">U509*J509</f>
        <v>0.10461336886158</v>
      </c>
      <c r="AM509" s="16" t="n">
        <f aca="false">AI509-AJ509</f>
        <v>0.07962695240452</v>
      </c>
      <c r="AN509" s="16" t="n">
        <f aca="false">J509*Country_Data!$EB$77</f>
        <v>1.69996079087502</v>
      </c>
      <c r="AO509" s="16" t="n">
        <f aca="false">L509*Country_Data!$EB$77</f>
        <v>0.407990589810004</v>
      </c>
    </row>
    <row r="510" customFormat="false" ht="15" hidden="false" customHeight="false" outlineLevel="0" collapsed="false">
      <c r="A510" s="14" t="str">
        <f aca="false">Country_Data!$A$77</f>
        <v>LKA</v>
      </c>
      <c r="B510" s="14" t="str">
        <f aca="false">Country_Data!$E$77</f>
        <v>EMDC</v>
      </c>
      <c r="C510" s="35" t="s">
        <v>470</v>
      </c>
      <c r="D510" s="37" t="n">
        <f aca="false">IF(Country_Data!$BZ$77="","",Country_Data!$BZ$77)</f>
        <v>12.7157885463769</v>
      </c>
      <c r="E510" s="40" t="n">
        <f aca="false">Country_Data!$BW$77</f>
        <v>343.101</v>
      </c>
      <c r="F510" s="41" t="n">
        <f aca="false">Country_Data!$BX$77</f>
        <v>0.288439847158708</v>
      </c>
      <c r="G510" s="42" t="n">
        <f aca="false">IF(D510="","",D510/SUMIFS($D$5:$D$1369,$B$5:$B$1369,B510,$C$5:$C$1369,C510))</f>
        <v>0.00145166157411979</v>
      </c>
      <c r="H510" s="42" t="n">
        <f aca="false">E510/SUMIFS($E$5:$E$1369,$B$5:$B$1369,B510,$C$5:$C$1369,C510)</f>
        <v>0.0042498819239832</v>
      </c>
      <c r="I510" s="43" t="n">
        <f aca="false">IF(G510="",H510,p_beta_alloc*G510+(1-p_beta_alloc)*H510)*F510^p_phi</f>
        <v>0.0015310524708375</v>
      </c>
      <c r="J510" s="16" t="n">
        <f aca="false">INDEX(Sector_Params!$C$17:$E$17,MATCH(B510,Sector_Params!$C$15:$E$15,0))*I510/SUMIFS($I$5:$I$1369,$B$5:$B$1369,B510,$C$5:$C$1369,C510)</f>
        <v>1.01545561050564</v>
      </c>
      <c r="K510" s="28" t="n">
        <f aca="false">INDEX(Sector_Params!$F$6:$H$6,MATCH(B510,Sector_Params!$C$15:$E$15,0))</f>
        <v>0.24</v>
      </c>
      <c r="L510" s="16" t="n">
        <f aca="false">J510*K510</f>
        <v>0.243709346521353</v>
      </c>
      <c r="M510" s="44" t="n">
        <f aca="false">Country_Data!$DW$77+Sector_Params!$E$6</f>
        <v>0.12506</v>
      </c>
      <c r="N510" s="44" t="n">
        <f aca="false">Country_Data!$DX$77+Sector_Params!$E$6</f>
        <v>0.17006</v>
      </c>
      <c r="O510" s="11" t="n">
        <f aca="false">IF(p_use_ibrd=1,p_r_ibrd,p_r_wb)</f>
        <v>0.06</v>
      </c>
      <c r="P510" s="45" t="n">
        <f aca="false">Sector_Params!$D$6</f>
        <v>40</v>
      </c>
      <c r="Q510" s="46" t="n">
        <f aca="false">M510/(1-(1+M510)^-P510)</f>
        <v>0.126192415710989</v>
      </c>
      <c r="R510" s="46" t="n">
        <f aca="false">N510/(1-(1+N510)^-P510)</f>
        <v>0.170378485339402</v>
      </c>
      <c r="S510" s="46" t="n">
        <f aca="false">O510/(1-(1+O510)^-P510)</f>
        <v>0.0664615359206755</v>
      </c>
      <c r="T510" s="37" t="n">
        <f aca="false">p_grid_credit*IF(AND(p_eng=1,ISNUMBER(Country_Data!$CZ$77)),Country_Data!$CZ$77,Country_Data!$CM$77)*Sector_Params!$I$6</f>
        <v>0</v>
      </c>
      <c r="U510" s="37" t="n">
        <f aca="false">p_grid_credit*IF(AND(p_eng=1,ISNUMBER(Country_Data!$DA$77)),Country_Data!$DA$77,Country_Data!$CN$77)*Sector_Params!$J$6</f>
        <v>0</v>
      </c>
      <c r="V510" s="37" t="n">
        <f aca="false">p_grid_credit*IF(AND(p_eng=1,ISNUMBER(Country_Data!$DB$77)),Country_Data!$DB$77,p_a)</f>
        <v>0</v>
      </c>
      <c r="W510" s="16" t="n">
        <f aca="false">T510*L510</f>
        <v>0</v>
      </c>
      <c r="X510" s="16" t="n">
        <f aca="false">U510*L510</f>
        <v>0</v>
      </c>
      <c r="Y510" s="16" t="n">
        <f aca="false">V510*L510</f>
        <v>0</v>
      </c>
      <c r="Z510" s="16" t="n">
        <f aca="false">Q510*L510</f>
        <v>0.0307542711688759</v>
      </c>
      <c r="AA510" s="16" t="n">
        <f aca="false">R510*L510</f>
        <v>0.0415228293233635</v>
      </c>
      <c r="AB510" s="16" t="n">
        <f aca="false">S510*L510</f>
        <v>0.0161972974880332</v>
      </c>
      <c r="AC510" s="16" t="n">
        <f aca="false">Z510-W510</f>
        <v>0.0307542711688759</v>
      </c>
      <c r="AD510" s="16" t="n">
        <f aca="false">AA510-W510</f>
        <v>0.0415228293233635</v>
      </c>
      <c r="AE510" s="16" t="n">
        <f aca="false">AB510-W510</f>
        <v>0.0161972974880332</v>
      </c>
      <c r="AF510" s="16" t="n">
        <f aca="false">AE510-X510</f>
        <v>0.0161972974880332</v>
      </c>
      <c r="AG510" s="16" t="n">
        <f aca="false">AF510-p_spc_lo*Y510/1000</f>
        <v>0.0161972974880332</v>
      </c>
      <c r="AH510" s="16" t="n">
        <f aca="false">AF510-p_spc_hi*Y510/1000</f>
        <v>0.0161972974880332</v>
      </c>
      <c r="AI510" s="16" t="n">
        <f aca="false">Q510*J510</f>
        <v>0.128142796536983</v>
      </c>
      <c r="AJ510" s="16" t="n">
        <f aca="false">S510*J510</f>
        <v>0.0674887395334718</v>
      </c>
      <c r="AK510" s="16" t="n">
        <f aca="false">T510*J510</f>
        <v>0</v>
      </c>
      <c r="AL510" s="16" t="n">
        <f aca="false">U510*J510</f>
        <v>0</v>
      </c>
      <c r="AM510" s="16" t="n">
        <f aca="false">AI510-AJ510</f>
        <v>0.0606540570035112</v>
      </c>
      <c r="AN510" s="16" t="n">
        <f aca="false">J510*Country_Data!$EB$77</f>
        <v>1.16568739945716</v>
      </c>
      <c r="AO510" s="16" t="n">
        <f aca="false">L510*Country_Data!$EB$77</f>
        <v>0.279764975869717</v>
      </c>
    </row>
    <row r="511" customFormat="false" ht="15" hidden="false" customHeight="false" outlineLevel="0" collapsed="false">
      <c r="A511" s="14" t="str">
        <f aca="false">Country_Data!$A$77</f>
        <v>LKA</v>
      </c>
      <c r="B511" s="14" t="str">
        <f aca="false">Country_Data!$E$77</f>
        <v>EMDC</v>
      </c>
      <c r="C511" s="35" t="s">
        <v>473</v>
      </c>
      <c r="D511" s="37" t="n">
        <f aca="false">IF(Country_Data!$CA$77="","",Country_Data!$CA$77)</f>
        <v>0.133191564239928</v>
      </c>
      <c r="E511" s="40" t="n">
        <f aca="false">Country_Data!$BW$77</f>
        <v>343.101</v>
      </c>
      <c r="F511" s="41" t="n">
        <f aca="false">Country_Data!$BX$77</f>
        <v>0.288439847158708</v>
      </c>
      <c r="G511" s="42" t="n">
        <f aca="false">IF(D511="","",D511/SUMIFS($D$5:$D$1369,$B$5:$B$1369,B511,$C$5:$C$1369,C511))</f>
        <v>0.0030770350326742</v>
      </c>
      <c r="H511" s="42" t="n">
        <f aca="false">E511/SUMIFS($E$5:$E$1369,$B$5:$B$1369,B511,$C$5:$C$1369,C511)</f>
        <v>0.0042498819239832</v>
      </c>
      <c r="I511" s="43" t="n">
        <f aca="false">IF(G511="",H511,p_beta_alloc*G511+(1-p_beta_alloc)*H511)*F511^p_phi</f>
        <v>0.00196751885061368</v>
      </c>
      <c r="J511" s="16" t="n">
        <f aca="false">INDEX(Sector_Params!$C$18:$E$18,MATCH(B511,Sector_Params!$C$15:$E$15,0))*I511/SUMIFS($I$5:$I$1369,$B$5:$B$1369,B511,$C$5:$C$1369,C511)</f>
        <v>0.805652415441089</v>
      </c>
      <c r="K511" s="28" t="n">
        <f aca="false">INDEX(Sector_Params!$F$7:$H$7,MATCH(B511,Sector_Params!$C$15:$E$15,0))</f>
        <v>0.24</v>
      </c>
      <c r="L511" s="16" t="n">
        <f aca="false">J511*K511</f>
        <v>0.193356579705861</v>
      </c>
      <c r="M511" s="44" t="n">
        <f aca="false">Country_Data!$DW$77+Sector_Params!$E$7</f>
        <v>0.12506</v>
      </c>
      <c r="N511" s="44" t="n">
        <f aca="false">Country_Data!$DX$77+Sector_Params!$E$7</f>
        <v>0.17006</v>
      </c>
      <c r="O511" s="11" t="n">
        <f aca="false">IF(p_use_ibrd=1,p_r_ibrd,p_r_wb)</f>
        <v>0.06</v>
      </c>
      <c r="P511" s="45" t="n">
        <f aca="false">Sector_Params!$D$7</f>
        <v>12</v>
      </c>
      <c r="Q511" s="46" t="n">
        <f aca="false">M511/(1-(1+M511)^-P511)</f>
        <v>0.165239638587905</v>
      </c>
      <c r="R511" s="46" t="n">
        <f aca="false">N511/(1-(1+N511)^-P511)</f>
        <v>0.200514228616821</v>
      </c>
      <c r="S511" s="46" t="n">
        <f aca="false">O511/(1-(1+O511)^-P511)</f>
        <v>0.119277029380664</v>
      </c>
      <c r="T511" s="37" t="n">
        <f aca="false">IF(AND(p_eng=1,ISNUMBER(Country_Data!$DE$77)),Country_Data!$DE$77,Country_Data!$CM$77)*Sector_Params!$I$7</f>
        <v>0.1304784</v>
      </c>
      <c r="U511" s="37" t="n">
        <f aca="false">IF(AND(p_eng=1,ISNUMBER(Country_Data!$DF$77)),Country_Data!$DF$77,Country_Data!$CN$77)*Sector_Params!$J$7</f>
        <v>0.042180525</v>
      </c>
      <c r="V511" s="37" t="n">
        <f aca="false">IF(AND(p_eng=1,ISNUMBER(Country_Data!$DG$77)),Country_Data!$DG$77,p_a)</f>
        <v>0.319830712392988</v>
      </c>
      <c r="W511" s="16" t="n">
        <f aca="false">T511*L511</f>
        <v>0.0252288571494933</v>
      </c>
      <c r="X511" s="16" t="n">
        <f aca="false">U511*L511</f>
        <v>0.00815588204419758</v>
      </c>
      <c r="Y511" s="16" t="n">
        <f aca="false">V511*L511</f>
        <v>0.0618413726331972</v>
      </c>
      <c r="Z511" s="16" t="n">
        <f aca="false">Q511*L511</f>
        <v>0.0319501713491899</v>
      </c>
      <c r="AA511" s="16" t="n">
        <f aca="false">R511*L511</f>
        <v>0.0387707454277076</v>
      </c>
      <c r="AB511" s="16" t="n">
        <f aca="false">S511*L511</f>
        <v>0.0230629984385206</v>
      </c>
      <c r="AC511" s="16" t="n">
        <f aca="false">Z511-W511</f>
        <v>0.00672131419969668</v>
      </c>
      <c r="AD511" s="16" t="n">
        <f aca="false">AA511-W511</f>
        <v>0.0135418882782144</v>
      </c>
      <c r="AE511" s="16" t="n">
        <f aca="false">AB511-W511</f>
        <v>-0.00216585871097262</v>
      </c>
      <c r="AF511" s="16" t="n">
        <f aca="false">AE511-X511</f>
        <v>-0.0103217407551702</v>
      </c>
      <c r="AG511" s="16" t="n">
        <f aca="false">AF511-p_spc_lo*Y511/1000</f>
        <v>-0.0134138093868301</v>
      </c>
      <c r="AH511" s="16" t="n">
        <f aca="false">AF511-p_spc_hi*Y511/1000</f>
        <v>-0.0165058780184899</v>
      </c>
      <c r="AI511" s="16" t="n">
        <f aca="false">Q511*J511</f>
        <v>0.133125713954958</v>
      </c>
      <c r="AJ511" s="16" t="n">
        <f aca="false">S511*J511</f>
        <v>0.0960958268271693</v>
      </c>
      <c r="AK511" s="16" t="n">
        <f aca="false">T511*J511</f>
        <v>0.105120238122889</v>
      </c>
      <c r="AL511" s="16" t="n">
        <f aca="false">U511*J511</f>
        <v>0.0339828418508232</v>
      </c>
      <c r="AM511" s="16" t="n">
        <f aca="false">AI511-AJ511</f>
        <v>0.0370298871277887</v>
      </c>
      <c r="AN511" s="16" t="n">
        <f aca="false">J511*Country_Data!$EB$77</f>
        <v>0.924844827588538</v>
      </c>
      <c r="AO511" s="16" t="n">
        <f aca="false">L511*Country_Data!$EB$77</f>
        <v>0.221962758621249</v>
      </c>
    </row>
    <row r="512" customFormat="false" ht="15" hidden="false" customHeight="false" outlineLevel="0" collapsed="false">
      <c r="A512" s="14" t="str">
        <f aca="false">Country_Data!$A$77</f>
        <v>LKA</v>
      </c>
      <c r="B512" s="14" t="str">
        <f aca="false">Country_Data!$E$77</f>
        <v>EMDC</v>
      </c>
      <c r="C512" s="35" t="s">
        <v>477</v>
      </c>
      <c r="D512" s="37" t="n">
        <f aca="false">IF(Country_Data!$CB$77="","",Country_Data!$CB$77)</f>
        <v>0.0442810016697518</v>
      </c>
      <c r="E512" s="40" t="n">
        <f aca="false">Country_Data!$BW$77</f>
        <v>343.101</v>
      </c>
      <c r="F512" s="41" t="n">
        <f aca="false">Country_Data!$BX$77</f>
        <v>0.288439847158708</v>
      </c>
      <c r="G512" s="42" t="n">
        <f aca="false">IF(D512="","",D512/SUMIFS($D$5:$D$1369,$B$5:$B$1369,B512,$C$5:$C$1369,C512))</f>
        <v>0.00139631481831137</v>
      </c>
      <c r="H512" s="42" t="n">
        <f aca="false">E512/SUMIFS($E$5:$E$1369,$B$5:$B$1369,B512,$C$5:$C$1369,C512)</f>
        <v>0.0042498819239832</v>
      </c>
      <c r="I512" s="43" t="n">
        <f aca="false">IF(G512="",H512,p_beta_alloc*G512+(1-p_beta_alloc)*H512)*F512^p_phi</f>
        <v>0.00151619004152138</v>
      </c>
      <c r="J512" s="16" t="n">
        <f aca="false">INDEX(Sector_Params!$C$19:$E$19,MATCH(B512,Sector_Params!$C$15:$E$15,0))*I512/SUMIFS($I$5:$I$1369,$B$5:$B$1369,B512,$C$5:$C$1369,C512)</f>
        <v>0.488004863590156</v>
      </c>
      <c r="K512" s="28" t="n">
        <f aca="false">INDEX(Sector_Params!$F$8:$H$8,MATCH(B512,Sector_Params!$C$15:$E$15,0))</f>
        <v>0.24</v>
      </c>
      <c r="L512" s="16" t="n">
        <f aca="false">J512*K512</f>
        <v>0.117121167261638</v>
      </c>
      <c r="M512" s="44" t="n">
        <f aca="false">Country_Data!$DW$77+Sector_Params!$E$8</f>
        <v>0.12506</v>
      </c>
      <c r="N512" s="44" t="n">
        <f aca="false">Country_Data!$DX$77+Sector_Params!$E$8</f>
        <v>0.17006</v>
      </c>
      <c r="O512" s="11" t="n">
        <f aca="false">IF(p_use_ibrd=1,p_r_ibrd,p_r_wb)</f>
        <v>0.06</v>
      </c>
      <c r="P512" s="45" t="n">
        <f aca="false">Sector_Params!$D$8</f>
        <v>25</v>
      </c>
      <c r="Q512" s="46" t="n">
        <f aca="false">M512/(1-(1+M512)^-P512)</f>
        <v>0.131997004403792</v>
      </c>
      <c r="R512" s="46" t="n">
        <f aca="false">N512/(1-(1+N512)^-P512)</f>
        <v>0.173480160589651</v>
      </c>
      <c r="S512" s="46" t="n">
        <f aca="false">O512/(1-(1+O512)^-P512)</f>
        <v>0.078226718212274</v>
      </c>
      <c r="T512" s="37" t="n">
        <f aca="false">Country_Data!$CM$77*Sector_Params!$I$8</f>
        <v>0.166924383062871</v>
      </c>
      <c r="U512" s="37" t="n">
        <f aca="false">Country_Data!$CN$77*Sector_Params!$J$8</f>
        <v>0.153331473138225</v>
      </c>
      <c r="V512" s="37" t="n">
        <f aca="false">p_a</f>
        <v>0.35</v>
      </c>
      <c r="W512" s="16" t="n">
        <f aca="false">T512*L512</f>
        <v>0.0195503785887522</v>
      </c>
      <c r="X512" s="16" t="n">
        <f aca="false">U512*L512</f>
        <v>0.0179583611118953</v>
      </c>
      <c r="Y512" s="16" t="n">
        <f aca="false">V512*L512</f>
        <v>0.0409924085415731</v>
      </c>
      <c r="Z512" s="16" t="n">
        <f aca="false">Q512*L512</f>
        <v>0.0154596432308116</v>
      </c>
      <c r="AA512" s="16" t="n">
        <f aca="false">R512*L512</f>
        <v>0.0203181989049963</v>
      </c>
      <c r="AB512" s="16" t="n">
        <f aca="false">S512*L512</f>
        <v>0.00916200454806872</v>
      </c>
      <c r="AC512" s="16" t="n">
        <f aca="false">Z512-W512</f>
        <v>-0.00409073535794056</v>
      </c>
      <c r="AD512" s="16" t="n">
        <f aca="false">AA512-W512</f>
        <v>0.000767820316244089</v>
      </c>
      <c r="AE512" s="16" t="n">
        <f aca="false">AB512-W512</f>
        <v>-0.0103883740406835</v>
      </c>
      <c r="AF512" s="16" t="n">
        <f aca="false">AE512-X512</f>
        <v>-0.0283467351525788</v>
      </c>
      <c r="AG512" s="16" t="n">
        <f aca="false">AF512-p_spc_lo*Y512/1000</f>
        <v>-0.0303963555796574</v>
      </c>
      <c r="AH512" s="16" t="n">
        <f aca="false">AF512-p_spc_hi*Y512/1000</f>
        <v>-0.0324459760067361</v>
      </c>
      <c r="AI512" s="16" t="n">
        <f aca="false">Q512*J512</f>
        <v>0.0644151801283818</v>
      </c>
      <c r="AJ512" s="16" t="n">
        <f aca="false">S512*J512</f>
        <v>0.0381750189502863</v>
      </c>
      <c r="AK512" s="16" t="n">
        <f aca="false">T512*J512</f>
        <v>0.0814599107864675</v>
      </c>
      <c r="AL512" s="16" t="n">
        <f aca="false">U512*J512</f>
        <v>0.074826504632897</v>
      </c>
      <c r="AM512" s="16" t="n">
        <f aca="false">AI512-AJ512</f>
        <v>0.0262401611780955</v>
      </c>
      <c r="AN512" s="16" t="n">
        <f aca="false">J512*Country_Data!$EB$77</f>
        <v>0.560202843408974</v>
      </c>
      <c r="AO512" s="16" t="n">
        <f aca="false">L512*Country_Data!$EB$77</f>
        <v>0.134448682418154</v>
      </c>
    </row>
    <row r="513" customFormat="false" ht="15" hidden="false" customHeight="false" outlineLevel="0" collapsed="false">
      <c r="A513" s="14" t="str">
        <f aca="false">Country_Data!$A$77</f>
        <v>LKA</v>
      </c>
      <c r="B513" s="14" t="str">
        <f aca="false">Country_Data!$E$77</f>
        <v>EMDC</v>
      </c>
      <c r="C513" s="35" t="s">
        <v>481</v>
      </c>
      <c r="D513" s="37" t="n">
        <f aca="false">IF(Country_Data!$CC$77="","",Country_Data!$CC$77)</f>
        <v>0.0378876848406622</v>
      </c>
      <c r="E513" s="40" t="n">
        <f aca="false">Country_Data!$BW$77</f>
        <v>343.101</v>
      </c>
      <c r="F513" s="41" t="n">
        <f aca="false">Country_Data!$BX$77</f>
        <v>0.288439847158708</v>
      </c>
      <c r="G513" s="42" t="n">
        <f aca="false">IF(D513="","",D513/SUMIFS($D$5:$D$1369,$B$5:$B$1369,B513,$C$5:$C$1369,C513))</f>
        <v>0.000541196529891035</v>
      </c>
      <c r="H513" s="42" t="n">
        <f aca="false">E513/SUMIFS($E$5:$E$1369,$B$5:$B$1369,B513,$C$5:$C$1369,C513)</f>
        <v>0.0042498819239832</v>
      </c>
      <c r="I513" s="43" t="n">
        <f aca="false">IF(G513="",H513,p_beta_alloc*G513+(1-p_beta_alloc)*H513)*F513^p_phi</f>
        <v>0.00128656257857562</v>
      </c>
      <c r="J513" s="16" t="n">
        <f aca="false">INDEX(Sector_Params!$C$20:$E$20,MATCH(B513,Sector_Params!$C$15:$E$15,0))*I513/SUMIFS($I$5:$I$1369,$B$5:$B$1369,B513,$C$5:$C$1369,C513)</f>
        <v>0.234823578984564</v>
      </c>
      <c r="K513" s="28" t="n">
        <f aca="false">INDEX(Sector_Params!$F$9:$H$9,MATCH(B513,Sector_Params!$C$15:$E$15,0))</f>
        <v>0.24</v>
      </c>
      <c r="L513" s="16" t="n">
        <f aca="false">J513*K513</f>
        <v>0.0563576589562954</v>
      </c>
      <c r="M513" s="44" t="n">
        <f aca="false">Country_Data!$DW$77+Sector_Params!$E$9</f>
        <v>0.12506</v>
      </c>
      <c r="N513" s="44" t="n">
        <f aca="false">Country_Data!$DX$77+Sector_Params!$E$9</f>
        <v>0.17006</v>
      </c>
      <c r="O513" s="11" t="n">
        <f aca="false">IF(p_use_ibrd=1,p_r_ibrd,p_r_wb)</f>
        <v>0.06</v>
      </c>
      <c r="P513" s="45" t="n">
        <f aca="false">Sector_Params!$D$9</f>
        <v>25</v>
      </c>
      <c r="Q513" s="46" t="n">
        <f aca="false">M513/(1-(1+M513)^-P513)</f>
        <v>0.131997004403792</v>
      </c>
      <c r="R513" s="46" t="n">
        <f aca="false">N513/(1-(1+N513)^-P513)</f>
        <v>0.173480160589651</v>
      </c>
      <c r="S513" s="46" t="n">
        <f aca="false">O513/(1-(1+O513)^-P513)</f>
        <v>0.078226718212274</v>
      </c>
      <c r="T513" s="37" t="n">
        <f aca="false">Country_Data!$CM$77*Sector_Params!$I$9</f>
        <v>0.166924383062871</v>
      </c>
      <c r="U513" s="37" t="n">
        <f aca="false">Country_Data!$CN$77*Sector_Params!$J$9</f>
        <v>0.153331473138225</v>
      </c>
      <c r="V513" s="37" t="n">
        <f aca="false">p_a</f>
        <v>0.35</v>
      </c>
      <c r="W513" s="16" t="n">
        <f aca="false">T513*L513</f>
        <v>0.00940746745214731</v>
      </c>
      <c r="X513" s="16" t="n">
        <f aca="false">U513*L513</f>
        <v>0.00864140287039043</v>
      </c>
      <c r="Y513" s="16" t="n">
        <f aca="false">V513*L513</f>
        <v>0.0197251806347034</v>
      </c>
      <c r="Z513" s="16" t="n">
        <f aca="false">Q513*L513</f>
        <v>0.00743904215744154</v>
      </c>
      <c r="AA513" s="16" t="n">
        <f aca="false">R513*L513</f>
        <v>0.00977693572619493</v>
      </c>
      <c r="AB513" s="16" t="n">
        <f aca="false">S513*L513</f>
        <v>0.00440867470627756</v>
      </c>
      <c r="AC513" s="16" t="n">
        <f aca="false">Z513-W513</f>
        <v>-0.00196842529470577</v>
      </c>
      <c r="AD513" s="16" t="n">
        <f aca="false">AA513-W513</f>
        <v>0.000369468274047616</v>
      </c>
      <c r="AE513" s="16" t="n">
        <f aca="false">AB513-W513</f>
        <v>-0.00499879274586975</v>
      </c>
      <c r="AF513" s="16" t="n">
        <f aca="false">AE513-X513</f>
        <v>-0.0136401956162602</v>
      </c>
      <c r="AG513" s="16" t="n">
        <f aca="false">AF513-p_spc_lo*Y513/1000</f>
        <v>-0.0146264546479954</v>
      </c>
      <c r="AH513" s="16" t="n">
        <f aca="false">AF513-p_spc_hi*Y513/1000</f>
        <v>-0.0156127136797305</v>
      </c>
      <c r="AI513" s="16" t="n">
        <f aca="false">Q513*J513</f>
        <v>0.0309960089893397</v>
      </c>
      <c r="AJ513" s="16" t="n">
        <f aca="false">S513*J513</f>
        <v>0.0183694779428232</v>
      </c>
      <c r="AK513" s="16" t="n">
        <f aca="false">T513*J513</f>
        <v>0.0391977810506138</v>
      </c>
      <c r="AL513" s="16" t="n">
        <f aca="false">U513*J513</f>
        <v>0.0360058452932935</v>
      </c>
      <c r="AM513" s="16" t="n">
        <f aca="false">AI513-AJ513</f>
        <v>0.0126265310465166</v>
      </c>
      <c r="AN513" s="16" t="n">
        <f aca="false">J513*Country_Data!$EB$77</f>
        <v>0.269564601628856</v>
      </c>
      <c r="AO513" s="16" t="n">
        <f aca="false">L513*Country_Data!$EB$77</f>
        <v>0.0646955043909254</v>
      </c>
    </row>
    <row r="514" customFormat="false" ht="15" hidden="false" customHeight="false" outlineLevel="0" collapsed="false">
      <c r="A514" s="14" t="str">
        <f aca="false">Country_Data!$A$77</f>
        <v>LKA</v>
      </c>
      <c r="B514" s="14" t="str">
        <f aca="false">Country_Data!$E$77</f>
        <v>EMDC</v>
      </c>
      <c r="C514" s="35" t="s">
        <v>484</v>
      </c>
      <c r="D514" s="37" t="n">
        <f aca="false">IF(Country_Data!$CD$77="","",Country_Data!$CD$77)</f>
        <v>0.232429445775376</v>
      </c>
      <c r="E514" s="40" t="n">
        <f aca="false">Country_Data!$BW$77</f>
        <v>343.101</v>
      </c>
      <c r="F514" s="41" t="n">
        <f aca="false">Country_Data!$BX$77</f>
        <v>0.288439847158708</v>
      </c>
      <c r="G514" s="42" t="n">
        <f aca="false">IF(D514="","",D514/SUMIFS($D$5:$D$1369,$B$5:$B$1369,B514,$C$5:$C$1369,C514))</f>
        <v>0.00129797093617885</v>
      </c>
      <c r="H514" s="42" t="n">
        <f aca="false">E514/SUMIFS($E$5:$E$1369,$B$5:$B$1369,B514,$C$5:$C$1369,C514)</f>
        <v>0.0042498819239832</v>
      </c>
      <c r="I514" s="43" t="n">
        <f aca="false">IF(G514="",H514,p_beta_alloc*G514+(1-p_beta_alloc)*H514)*F514^p_phi</f>
        <v>0.00148978146570663</v>
      </c>
      <c r="J514" s="16" t="n">
        <f aca="false">INDEX(Sector_Params!$C$21:$E$21,MATCH(B514,Sector_Params!$C$15:$E$15,0))*I514/SUMIFS($I$5:$I$1369,$B$5:$B$1369,B514,$C$5:$C$1369,C514)</f>
        <v>0.330418372440635</v>
      </c>
      <c r="K514" s="28" t="n">
        <f aca="false">INDEX(Sector_Params!$F$10:$H$10,MATCH(B514,Sector_Params!$C$15:$E$15,0))</f>
        <v>0.24</v>
      </c>
      <c r="L514" s="16" t="n">
        <f aca="false">J514*K514</f>
        <v>0.0793004093857523</v>
      </c>
      <c r="M514" s="44" t="n">
        <f aca="false">Country_Data!$DW$77+Sector_Params!$E$10</f>
        <v>0.12506</v>
      </c>
      <c r="N514" s="44" t="n">
        <f aca="false">Country_Data!$DX$77+Sector_Params!$E$10</f>
        <v>0.17006</v>
      </c>
      <c r="O514" s="11" t="n">
        <f aca="false">IF(p_use_ibrd=1,p_r_ibrd,p_r_wb)</f>
        <v>0.06</v>
      </c>
      <c r="P514" s="45" t="n">
        <f aca="false">Sector_Params!$D$10</f>
        <v>20</v>
      </c>
      <c r="Q514" s="46" t="n">
        <f aca="false">M514/(1-(1+M514)^-P514)</f>
        <v>0.138146589633044</v>
      </c>
      <c r="R514" s="46" t="n">
        <f aca="false">N514/(1-(1+N514)^-P514)</f>
        <v>0.177744831090867</v>
      </c>
      <c r="S514" s="46" t="n">
        <f aca="false">O514/(1-(1+O514)^-P514)</f>
        <v>0.0871845569768514</v>
      </c>
      <c r="T514" s="37" t="n">
        <f aca="false">0*Sector_Params!$I$10</f>
        <v>0</v>
      </c>
      <c r="U514" s="37" t="n">
        <f aca="false">0*Sector_Params!$J$10</f>
        <v>0</v>
      </c>
      <c r="V514" s="37" t="n">
        <f aca="false">1000*p_r_wb/(1-(1+p_r_wb)^-Sector_Params!$D$10)/p_cpt_fuel</f>
        <v>0.871845569768514</v>
      </c>
      <c r="W514" s="16" t="n">
        <f aca="false">T514*L514</f>
        <v>0</v>
      </c>
      <c r="X514" s="16" t="n">
        <f aca="false">U514*L514</f>
        <v>0</v>
      </c>
      <c r="Y514" s="16" t="n">
        <f aca="false">V514*L514</f>
        <v>0.0691377106037976</v>
      </c>
      <c r="Z514" s="16" t="n">
        <f aca="false">Q514*L514</f>
        <v>0.0109550811131459</v>
      </c>
      <c r="AA514" s="16" t="n">
        <f aca="false">R514*L514</f>
        <v>0.0140952378717071</v>
      </c>
      <c r="AB514" s="16" t="n">
        <f aca="false">S514*L514</f>
        <v>0.00691377106037976</v>
      </c>
      <c r="AC514" s="16" t="n">
        <f aca="false">Z514-W514</f>
        <v>0.0109550811131459</v>
      </c>
      <c r="AD514" s="16" t="n">
        <f aca="false">AA514-W514</f>
        <v>0.0140952378717071</v>
      </c>
      <c r="AE514" s="16" t="n">
        <f aca="false">AB514-W514</f>
        <v>0.00691377106037976</v>
      </c>
      <c r="AF514" s="16" t="n">
        <f aca="false">AE514-X514</f>
        <v>0.00691377106037976</v>
      </c>
      <c r="AG514" s="16" t="n">
        <f aca="false">AF514-p_spc_lo*Y514/1000</f>
        <v>0.00345688553018988</v>
      </c>
      <c r="AH514" s="16" t="n">
        <f aca="false">AF514-p_spc_hi*Y514/1000</f>
        <v>0</v>
      </c>
      <c r="AI514" s="16" t="n">
        <f aca="false">Q514*J514</f>
        <v>0.0456461713047745</v>
      </c>
      <c r="AJ514" s="16" t="n">
        <f aca="false">S514*J514</f>
        <v>0.028807379418249</v>
      </c>
      <c r="AK514" s="16" t="n">
        <f aca="false">T514*J514</f>
        <v>0</v>
      </c>
      <c r="AL514" s="16" t="n">
        <f aca="false">U514*J514</f>
        <v>0</v>
      </c>
      <c r="AM514" s="16" t="n">
        <f aca="false">AI514-AJ514</f>
        <v>0.0168387918865255</v>
      </c>
      <c r="AN514" s="16" t="n">
        <f aca="false">J514*Country_Data!$EB$77</f>
        <v>0.37930218644555</v>
      </c>
      <c r="AO514" s="16" t="n">
        <f aca="false">L514*Country_Data!$EB$77</f>
        <v>0.0910325247469321</v>
      </c>
    </row>
    <row r="515" customFormat="false" ht="15" hidden="false" customHeight="false" outlineLevel="0" collapsed="false">
      <c r="A515" s="14" t="str">
        <f aca="false">Country_Data!$A$77</f>
        <v>LKA</v>
      </c>
      <c r="B515" s="14" t="str">
        <f aca="false">Country_Data!$E$77</f>
        <v>EMDC</v>
      </c>
      <c r="C515" s="35" t="s">
        <v>488</v>
      </c>
      <c r="D515" s="37" t="n">
        <f aca="false">IF(Country_Data!$CE$77="","",Country_Data!$CE$77)</f>
        <v>21.818</v>
      </c>
      <c r="E515" s="40" t="n">
        <f aca="false">Country_Data!$BW$77</f>
        <v>343.101</v>
      </c>
      <c r="F515" s="41" t="n">
        <f aca="false">Country_Data!$BX$77</f>
        <v>0.288439847158708</v>
      </c>
      <c r="G515" s="42" t="n">
        <f aca="false">IF(D515="","",D515/SUMIFS($D$5:$D$1369,$B$5:$B$1369,B515,$C$5:$C$1369,C515))</f>
        <v>0.00178775838631412</v>
      </c>
      <c r="H515" s="42" t="n">
        <f aca="false">E515/SUMIFS($E$5:$E$1369,$B$5:$B$1369,B515,$C$5:$C$1369,C515)</f>
        <v>0.0042498819239832</v>
      </c>
      <c r="I515" s="43" t="n">
        <f aca="false">IF(G515="",H515,p_beta_alloc*G515+(1-p_beta_alloc)*H515)*F515^p_phi</f>
        <v>0.00162130554966114</v>
      </c>
      <c r="J515" s="16" t="n">
        <f aca="false">INDEX(Sector_Params!$C$22:$E$22,MATCH(B515,Sector_Params!$C$15:$E$15,0))*I515/SUMIFS($I$5:$I$1369,$B$5:$B$1369,B515,$C$5:$C$1369,C515)</f>
        <v>0.977336585201589</v>
      </c>
      <c r="K515" s="28" t="n">
        <f aca="false">INDEX(Sector_Params!$F$11:$H$11,MATCH(B515,Sector_Params!$C$15:$E$15,0))</f>
        <v>0.24</v>
      </c>
      <c r="L515" s="16" t="n">
        <f aca="false">J515*K515</f>
        <v>0.234560780448381</v>
      </c>
      <c r="M515" s="44" t="n">
        <f aca="false">Country_Data!$DW$77+Sector_Params!$E$11</f>
        <v>0.12506</v>
      </c>
      <c r="N515" s="44" t="n">
        <f aca="false">Country_Data!$DX$77+Sector_Params!$E$11</f>
        <v>0.17006</v>
      </c>
      <c r="O515" s="11" t="n">
        <f aca="false">IF(p_use_ibrd=1,p_r_ibrd,p_r_wb)</f>
        <v>0.06</v>
      </c>
      <c r="P515" s="45" t="n">
        <f aca="false">Sector_Params!$D$11</f>
        <v>30</v>
      </c>
      <c r="Q515" s="46" t="n">
        <f aca="false">M515/(1-(1+M515)^-P515)</f>
        <v>0.128815765717206</v>
      </c>
      <c r="R515" s="46" t="n">
        <f aca="false">N515/(1-(1+N515)^-P515)</f>
        <v>0.171602695184806</v>
      </c>
      <c r="S515" s="46" t="n">
        <f aca="false">O515/(1-(1+O515)^-P515)</f>
        <v>0.0726489114900472</v>
      </c>
      <c r="T515" s="37" t="n">
        <f aca="false">0*Sector_Params!$I$11</f>
        <v>0</v>
      </c>
      <c r="U515" s="37" t="n">
        <f aca="false">p_c*Sector_Params!$J$11</f>
        <v>0.129</v>
      </c>
      <c r="V515" s="37" t="n">
        <f aca="false">1000*p_r_wb/(1-(1+p_r_wb)^-Sector_Params!$D$11)/p_cpt_afolu</f>
        <v>1.45297822980094</v>
      </c>
      <c r="W515" s="16" t="n">
        <f aca="false">T515*L515</f>
        <v>0</v>
      </c>
      <c r="X515" s="16" t="n">
        <f aca="false">U515*L515</f>
        <v>0.0302583406778412</v>
      </c>
      <c r="Y515" s="16" t="n">
        <f aca="false">V515*L515</f>
        <v>0.340811707556617</v>
      </c>
      <c r="Z515" s="16" t="n">
        <f aca="false">Q515*L515</f>
        <v>0.0302151265406836</v>
      </c>
      <c r="AA515" s="16" t="n">
        <f aca="false">R515*L515</f>
        <v>0.0402512621095937</v>
      </c>
      <c r="AB515" s="16" t="n">
        <f aca="false">S515*L515</f>
        <v>0.0170405853778309</v>
      </c>
      <c r="AC515" s="16" t="n">
        <f aca="false">Z515-W515</f>
        <v>0.0302151265406836</v>
      </c>
      <c r="AD515" s="16" t="n">
        <f aca="false">AA515-W515</f>
        <v>0.0402512621095937</v>
      </c>
      <c r="AE515" s="16" t="n">
        <f aca="false">AB515-W515</f>
        <v>0.0170405853778309</v>
      </c>
      <c r="AF515" s="16" t="n">
        <f aca="false">AE515-X515</f>
        <v>-0.0132177553000103</v>
      </c>
      <c r="AG515" s="16" t="n">
        <f aca="false">AF515-p_spc_lo*Y515/1000</f>
        <v>-0.0302583406778412</v>
      </c>
      <c r="AH515" s="16" t="n">
        <f aca="false">AF515-p_spc_hi*Y515/1000</f>
        <v>-0.047298926055672</v>
      </c>
      <c r="AI515" s="16" t="n">
        <f aca="false">Q515*J515</f>
        <v>0.125896360586182</v>
      </c>
      <c r="AJ515" s="16" t="n">
        <f aca="false">S515*J515</f>
        <v>0.0710024390742952</v>
      </c>
      <c r="AK515" s="16" t="n">
        <f aca="false">T515*J515</f>
        <v>0</v>
      </c>
      <c r="AL515" s="16" t="n">
        <f aca="false">U515*J515</f>
        <v>0.126076419491005</v>
      </c>
      <c r="AM515" s="16" t="n">
        <f aca="false">AI515-AJ515</f>
        <v>0.0548939215118865</v>
      </c>
      <c r="AN515" s="16" t="n">
        <f aca="false">J515*Country_Data!$EB$77</f>
        <v>1.12192884712182</v>
      </c>
      <c r="AO515" s="16" t="n">
        <f aca="false">L515*Country_Data!$EB$77</f>
        <v>0.269262923309238</v>
      </c>
    </row>
    <row r="516" customFormat="false" ht="15" hidden="false" customHeight="false" outlineLevel="0" collapsed="false">
      <c r="A516" s="14" t="str">
        <f aca="false">Country_Data!$A$78</f>
        <v>CRI</v>
      </c>
      <c r="B516" s="14" t="str">
        <f aca="false">Country_Data!$E$78</f>
        <v>EMDC</v>
      </c>
      <c r="C516" s="35" t="s">
        <v>466</v>
      </c>
      <c r="D516" s="37" t="n">
        <f aca="false">IF(Country_Data!$BZ$78="","",Country_Data!$BZ$78)</f>
        <v>11.0172229257485</v>
      </c>
      <c r="E516" s="40" t="n">
        <f aca="false">Country_Data!$BW$78</f>
        <v>161.489</v>
      </c>
      <c r="F516" s="41" t="n">
        <f aca="false">Country_Data!$BX$78</f>
        <v>0.598988166376657</v>
      </c>
      <c r="G516" s="42" t="n">
        <f aca="false">IF(D516="","",D516/SUMIFS($D$5:$D$1369,$B$5:$B$1369,B516,$C$5:$C$1369,C516))</f>
        <v>0.00125774969570233</v>
      </c>
      <c r="H516" s="42" t="n">
        <f aca="false">E516/SUMIFS($E$5:$E$1369,$B$5:$B$1369,B516,$C$5:$C$1369,C516)</f>
        <v>0.00200031239204235</v>
      </c>
      <c r="I516" s="43" t="n">
        <f aca="false">IF(G516="",H516,p_beta_alloc*G516+(1-p_beta_alloc)*H516)*F516^p_phi</f>
        <v>0.0012607775932388</v>
      </c>
      <c r="J516" s="16" t="n">
        <f aca="false">INDEX(Sector_Params!$C$16:$E$16,MATCH(B516,Sector_Params!$C$15:$E$15,0))*I516/SUMIFS($I$5:$I$1369,$B$5:$B$1369,B516,$C$5:$C$1369,C516)</f>
        <v>1.21945605164835</v>
      </c>
      <c r="K516" s="28" t="n">
        <f aca="false">INDEX(Sector_Params!$F$5:$H$5,MATCH(B516,Sector_Params!$C$15:$E$15,0))</f>
        <v>0.24</v>
      </c>
      <c r="L516" s="16" t="n">
        <f aca="false">J516*K516</f>
        <v>0.292669452395604</v>
      </c>
      <c r="M516" s="44" t="n">
        <f aca="false">Country_Data!$DW$78+Sector_Params!$E$5</f>
        <v>0.0679</v>
      </c>
      <c r="N516" s="44" t="n">
        <f aca="false">Country_Data!$DX$78+Sector_Params!$E$5</f>
        <v>0.1129</v>
      </c>
      <c r="O516" s="11" t="n">
        <f aca="false">IF(p_use_ibrd=1,p_r_ibrd,p_r_wb)</f>
        <v>0.06</v>
      </c>
      <c r="P516" s="45" t="n">
        <f aca="false">Sector_Params!$D$5</f>
        <v>25</v>
      </c>
      <c r="Q516" s="46" t="n">
        <f aca="false">M516/(1-(1+M516)^-P516)</f>
        <v>0.0841934774926742</v>
      </c>
      <c r="R516" s="46" t="n">
        <f aca="false">N516/(1-(1+N516)^-P516)</f>
        <v>0.121262227555583</v>
      </c>
      <c r="S516" s="46" t="n">
        <f aca="false">O516/(1-(1+O516)^-P516)</f>
        <v>0.078226718212274</v>
      </c>
      <c r="T516" s="37" t="n">
        <f aca="false">IF(AND(p_eng=1,ISNUMBER(Country_Data!$CZ$78)),Country_Data!$CZ$78,Country_Data!$CM$78)*Sector_Params!$I$5</f>
        <v>0.216077858518238</v>
      </c>
      <c r="U516" s="37" t="n">
        <f aca="false">IF(AND(p_eng=1,ISNUMBER(Country_Data!$DA$78)),Country_Data!$DA$78,Country_Data!$CN$78)*Sector_Params!$J$5</f>
        <v>0.0909251435678522</v>
      </c>
      <c r="V516" s="37" t="n">
        <f aca="false">IF(AND(p_eng=1,ISNUMBER(Country_Data!$DB$78)),Country_Data!$DB$78,p_a)</f>
        <v>0.35</v>
      </c>
      <c r="W516" s="16" t="n">
        <f aca="false">T516*L516</f>
        <v>0.0632393885273474</v>
      </c>
      <c r="X516" s="16" t="n">
        <f aca="false">U516*L516</f>
        <v>0.026611011976995</v>
      </c>
      <c r="Y516" s="16" t="n">
        <f aca="false">V516*L516</f>
        <v>0.102434308338461</v>
      </c>
      <c r="Z516" s="16" t="n">
        <f aca="false">Q516*L516</f>
        <v>0.0246408589530626</v>
      </c>
      <c r="AA516" s="16" t="n">
        <f aca="false">R516*L516</f>
        <v>0.0354897497349637</v>
      </c>
      <c r="AB516" s="16" t="n">
        <f aca="false">S516*L516</f>
        <v>0.0228945707818914</v>
      </c>
      <c r="AC516" s="16" t="n">
        <f aca="false">Z516-W516</f>
        <v>-0.0385985295742848</v>
      </c>
      <c r="AD516" s="16" t="n">
        <f aca="false">AA516-W516</f>
        <v>-0.0277496387923837</v>
      </c>
      <c r="AE516" s="16" t="n">
        <f aca="false">AB516-W516</f>
        <v>-0.0403448177454559</v>
      </c>
      <c r="AF516" s="16" t="n">
        <f aca="false">AE516-X516</f>
        <v>-0.0669558297224509</v>
      </c>
      <c r="AG516" s="16" t="n">
        <f aca="false">AF516-p_spc_lo*Y516/1000</f>
        <v>-0.072077545139374</v>
      </c>
      <c r="AH516" s="16" t="n">
        <f aca="false">AF516-p_spc_hi*Y516/1000</f>
        <v>-0.077199260556297</v>
      </c>
      <c r="AI516" s="16" t="n">
        <f aca="false">Q516*J516</f>
        <v>0.102670245637761</v>
      </c>
      <c r="AJ516" s="16" t="n">
        <f aca="false">S516*J516</f>
        <v>0.0953940449245477</v>
      </c>
      <c r="AK516" s="16" t="n">
        <f aca="false">T516*J516</f>
        <v>0.263497452197281</v>
      </c>
      <c r="AL516" s="16" t="n">
        <f aca="false">U516*J516</f>
        <v>0.110879216570812</v>
      </c>
      <c r="AM516" s="16" t="n">
        <f aca="false">AI516-AJ516</f>
        <v>0.007276200713213</v>
      </c>
      <c r="AN516" s="16" t="n">
        <f aca="false">J516*Country_Data!$EB$78</f>
        <v>1.39532318290648</v>
      </c>
      <c r="AO516" s="16" t="n">
        <f aca="false">L516*Country_Data!$EB$78</f>
        <v>0.334877563897555</v>
      </c>
    </row>
    <row r="517" customFormat="false" ht="15" hidden="false" customHeight="false" outlineLevel="0" collapsed="false">
      <c r="A517" s="14" t="str">
        <f aca="false">Country_Data!$A$78</f>
        <v>CRI</v>
      </c>
      <c r="B517" s="14" t="str">
        <f aca="false">Country_Data!$E$78</f>
        <v>EMDC</v>
      </c>
      <c r="C517" s="35" t="s">
        <v>470</v>
      </c>
      <c r="D517" s="37" t="n">
        <f aca="false">IF(Country_Data!$BZ$78="","",Country_Data!$BZ$78)</f>
        <v>11.0172229257485</v>
      </c>
      <c r="E517" s="40" t="n">
        <f aca="false">Country_Data!$BW$78</f>
        <v>161.489</v>
      </c>
      <c r="F517" s="41" t="n">
        <f aca="false">Country_Data!$BX$78</f>
        <v>0.598988166376657</v>
      </c>
      <c r="G517" s="42" t="n">
        <f aca="false">IF(D517="","",D517/SUMIFS($D$5:$D$1369,$B$5:$B$1369,B517,$C$5:$C$1369,C517))</f>
        <v>0.00125774969570233</v>
      </c>
      <c r="H517" s="42" t="n">
        <f aca="false">E517/SUMIFS($E$5:$E$1369,$B$5:$B$1369,B517,$C$5:$C$1369,C517)</f>
        <v>0.00200031239204235</v>
      </c>
      <c r="I517" s="43" t="n">
        <f aca="false">IF(G517="",H517,p_beta_alloc*G517+(1-p_beta_alloc)*H517)*F517^p_phi</f>
        <v>0.0012607775932388</v>
      </c>
      <c r="J517" s="16" t="n">
        <f aca="false">INDEX(Sector_Params!$C$17:$E$17,MATCH(B517,Sector_Params!$C$15:$E$15,0))*I517/SUMIFS($I$5:$I$1369,$B$5:$B$1369,B517,$C$5:$C$1369,C517)</f>
        <v>0.836198435416012</v>
      </c>
      <c r="K517" s="28" t="n">
        <f aca="false">INDEX(Sector_Params!$F$6:$H$6,MATCH(B517,Sector_Params!$C$15:$E$15,0))</f>
        <v>0.24</v>
      </c>
      <c r="L517" s="16" t="n">
        <f aca="false">J517*K517</f>
        <v>0.200687624499843</v>
      </c>
      <c r="M517" s="44" t="n">
        <f aca="false">Country_Data!$DW$78+Sector_Params!$E$6</f>
        <v>0.0679</v>
      </c>
      <c r="N517" s="44" t="n">
        <f aca="false">Country_Data!$DX$78+Sector_Params!$E$6</f>
        <v>0.1129</v>
      </c>
      <c r="O517" s="11" t="n">
        <f aca="false">IF(p_use_ibrd=1,p_r_ibrd,p_r_wb)</f>
        <v>0.06</v>
      </c>
      <c r="P517" s="45" t="n">
        <f aca="false">Sector_Params!$D$6</f>
        <v>40</v>
      </c>
      <c r="Q517" s="46" t="n">
        <f aca="false">M517/(1-(1+M517)^-P517)</f>
        <v>0.0731870154120708</v>
      </c>
      <c r="R517" s="46" t="n">
        <f aca="false">N517/(1-(1+N517)^-P517)</f>
        <v>0.114486753792023</v>
      </c>
      <c r="S517" s="46" t="n">
        <f aca="false">O517/(1-(1+O517)^-P517)</f>
        <v>0.0664615359206755</v>
      </c>
      <c r="T517" s="37" t="n">
        <f aca="false">p_grid_credit*IF(AND(p_eng=1,ISNUMBER(Country_Data!$CZ$78)),Country_Data!$CZ$78,Country_Data!$CM$78)*Sector_Params!$I$6</f>
        <v>0</v>
      </c>
      <c r="U517" s="37" t="n">
        <f aca="false">p_grid_credit*IF(AND(p_eng=1,ISNUMBER(Country_Data!$DA$78)),Country_Data!$DA$78,Country_Data!$CN$78)*Sector_Params!$J$6</f>
        <v>0</v>
      </c>
      <c r="V517" s="37" t="n">
        <f aca="false">p_grid_credit*IF(AND(p_eng=1,ISNUMBER(Country_Data!$DB$78)),Country_Data!$DB$78,p_a)</f>
        <v>0</v>
      </c>
      <c r="W517" s="16" t="n">
        <f aca="false">T517*L517</f>
        <v>0</v>
      </c>
      <c r="X517" s="16" t="n">
        <f aca="false">U517*L517</f>
        <v>0</v>
      </c>
      <c r="Y517" s="16" t="n">
        <f aca="false">V517*L517</f>
        <v>0</v>
      </c>
      <c r="Z517" s="16" t="n">
        <f aca="false">Q517*L517</f>
        <v>0.0146877282672819</v>
      </c>
      <c r="AA517" s="16" t="n">
        <f aca="false">R517*L517</f>
        <v>0.0229760746552194</v>
      </c>
      <c r="AB517" s="16" t="n">
        <f aca="false">S517*L517</f>
        <v>0.0133380077645313</v>
      </c>
      <c r="AC517" s="16" t="n">
        <f aca="false">Z517-W517</f>
        <v>0.0146877282672819</v>
      </c>
      <c r="AD517" s="16" t="n">
        <f aca="false">AA517-W517</f>
        <v>0.0229760746552194</v>
      </c>
      <c r="AE517" s="16" t="n">
        <f aca="false">AB517-W517</f>
        <v>0.0133380077645313</v>
      </c>
      <c r="AF517" s="16" t="n">
        <f aca="false">AE517-X517</f>
        <v>0.0133380077645313</v>
      </c>
      <c r="AG517" s="16" t="n">
        <f aca="false">AF517-p_spc_lo*Y517/1000</f>
        <v>0.0133380077645313</v>
      </c>
      <c r="AH517" s="16" t="n">
        <f aca="false">AF517-p_spc_hi*Y517/1000</f>
        <v>0.0133380077645313</v>
      </c>
      <c r="AI517" s="16" t="n">
        <f aca="false">Q517*J517</f>
        <v>0.0611988677803411</v>
      </c>
      <c r="AJ517" s="16" t="n">
        <f aca="false">S517*J517</f>
        <v>0.0555750323522139</v>
      </c>
      <c r="AK517" s="16" t="n">
        <f aca="false">T517*J517</f>
        <v>0</v>
      </c>
      <c r="AL517" s="16" t="n">
        <f aca="false">U517*J517</f>
        <v>0</v>
      </c>
      <c r="AM517" s="16" t="n">
        <f aca="false">AI517-AJ517</f>
        <v>0.00562383542812724</v>
      </c>
      <c r="AN517" s="16" t="n">
        <f aca="false">J517*Country_Data!$EB$78</f>
        <v>0.9567930397073</v>
      </c>
      <c r="AO517" s="16" t="n">
        <f aca="false">L517*Country_Data!$EB$78</f>
        <v>0.229630329529752</v>
      </c>
    </row>
    <row r="518" customFormat="false" ht="15" hidden="false" customHeight="false" outlineLevel="0" collapsed="false">
      <c r="A518" s="14" t="str">
        <f aca="false">Country_Data!$A$78</f>
        <v>CRI</v>
      </c>
      <c r="B518" s="14" t="str">
        <f aca="false">Country_Data!$E$78</f>
        <v>EMDC</v>
      </c>
      <c r="C518" s="35" t="s">
        <v>473</v>
      </c>
      <c r="D518" s="37" t="n">
        <f aca="false">IF(Country_Data!$CA$78="","",Country_Data!$CA$78)</f>
        <v>0.081092681966102</v>
      </c>
      <c r="E518" s="40" t="n">
        <f aca="false">Country_Data!$BW$78</f>
        <v>161.489</v>
      </c>
      <c r="F518" s="41" t="n">
        <f aca="false">Country_Data!$BX$78</f>
        <v>0.598988166376657</v>
      </c>
      <c r="G518" s="42" t="n">
        <f aca="false">IF(D518="","",D518/SUMIFS($D$5:$D$1369,$B$5:$B$1369,B518,$C$5:$C$1369,C518))</f>
        <v>0.00187342963292866</v>
      </c>
      <c r="H518" s="42" t="n">
        <f aca="false">E518/SUMIFS($E$5:$E$1369,$B$5:$B$1369,B518,$C$5:$C$1369,C518)</f>
        <v>0.00200031239204235</v>
      </c>
      <c r="I518" s="43" t="n">
        <f aca="false">IF(G518="",H518,p_beta_alloc*G518+(1-p_beta_alloc)*H518)*F518^p_phi</f>
        <v>0.00149902826144475</v>
      </c>
      <c r="J518" s="16" t="n">
        <f aca="false">INDEX(Sector_Params!$C$18:$E$18,MATCH(B518,Sector_Params!$C$15:$E$15,0))*I518/SUMIFS($I$5:$I$1369,$B$5:$B$1369,B518,$C$5:$C$1369,C518)</f>
        <v>0.613816604232652</v>
      </c>
      <c r="K518" s="28" t="n">
        <f aca="false">INDEX(Sector_Params!$F$7:$H$7,MATCH(B518,Sector_Params!$C$15:$E$15,0))</f>
        <v>0.24</v>
      </c>
      <c r="L518" s="16" t="n">
        <f aca="false">J518*K518</f>
        <v>0.147315985015837</v>
      </c>
      <c r="M518" s="44" t="n">
        <f aca="false">Country_Data!$DW$78+Sector_Params!$E$7</f>
        <v>0.0679</v>
      </c>
      <c r="N518" s="44" t="n">
        <f aca="false">Country_Data!$DX$78+Sector_Params!$E$7</f>
        <v>0.1129</v>
      </c>
      <c r="O518" s="11" t="n">
        <f aca="false">IF(p_use_ibrd=1,p_r_ibrd,p_r_wb)</f>
        <v>0.06</v>
      </c>
      <c r="P518" s="45" t="n">
        <f aca="false">Sector_Params!$D$7</f>
        <v>12</v>
      </c>
      <c r="Q518" s="46" t="n">
        <f aca="false">M518/(1-(1+M518)^-P518)</f>
        <v>0.12449662648427</v>
      </c>
      <c r="R518" s="46" t="n">
        <f aca="false">N518/(1-(1+N518)^-P518)</f>
        <v>0.156161319419297</v>
      </c>
      <c r="S518" s="46" t="n">
        <f aca="false">O518/(1-(1+O518)^-P518)</f>
        <v>0.119277029380664</v>
      </c>
      <c r="T518" s="37" t="n">
        <f aca="false">IF(AND(p_eng=1,ISNUMBER(Country_Data!$DE$78)),Country_Data!$DE$78,Country_Data!$CM$78)*Sector_Params!$I$7</f>
        <v>0.216077858518238</v>
      </c>
      <c r="U518" s="37" t="n">
        <f aca="false">IF(AND(p_eng=1,ISNUMBER(Country_Data!$DF$78)),Country_Data!$DF$78,Country_Data!$CN$78)*Sector_Params!$J$7</f>
        <v>0.0909251435678522</v>
      </c>
      <c r="V518" s="37" t="n">
        <f aca="false">IF(AND(p_eng=1,ISNUMBER(Country_Data!$DG$78)),Country_Data!$DG$78,p_a)</f>
        <v>0.35</v>
      </c>
      <c r="W518" s="16" t="n">
        <f aca="false">T518*L518</f>
        <v>0.0318317225677267</v>
      </c>
      <c r="X518" s="16" t="n">
        <f aca="false">U518*L518</f>
        <v>0.0133947270874045</v>
      </c>
      <c r="Y518" s="16" t="n">
        <f aca="false">V518*L518</f>
        <v>0.0515605947555428</v>
      </c>
      <c r="Z518" s="16" t="n">
        <f aca="false">Q518*L518</f>
        <v>0.0183403431616789</v>
      </c>
      <c r="AA518" s="16" t="n">
        <f aca="false">R518*L518</f>
        <v>0.0230050585916264</v>
      </c>
      <c r="AB518" s="16" t="n">
        <f aca="false">S518*L518</f>
        <v>0.0175714130729753</v>
      </c>
      <c r="AC518" s="16" t="n">
        <f aca="false">Z518-W518</f>
        <v>-0.0134913794060478</v>
      </c>
      <c r="AD518" s="16" t="n">
        <f aca="false">AA518-W518</f>
        <v>-0.00882666397610033</v>
      </c>
      <c r="AE518" s="16" t="n">
        <f aca="false">AB518-W518</f>
        <v>-0.0142603094947514</v>
      </c>
      <c r="AF518" s="16" t="n">
        <f aca="false">AE518-X518</f>
        <v>-0.0276550365821559</v>
      </c>
      <c r="AG518" s="16" t="n">
        <f aca="false">AF518-p_spc_lo*Y518/1000</f>
        <v>-0.030233066319933</v>
      </c>
      <c r="AH518" s="16" t="n">
        <f aca="false">AF518-p_spc_hi*Y518/1000</f>
        <v>-0.0328110960577102</v>
      </c>
      <c r="AI518" s="16" t="n">
        <f aca="false">Q518*J518</f>
        <v>0.0764180965069954</v>
      </c>
      <c r="AJ518" s="16" t="n">
        <f aca="false">S518*J518</f>
        <v>0.0732142211373972</v>
      </c>
      <c r="AK518" s="16" t="n">
        <f aca="false">T518*J518</f>
        <v>0.132632177365528</v>
      </c>
      <c r="AL518" s="16" t="n">
        <f aca="false">U518*J518</f>
        <v>0.0558113628641854</v>
      </c>
      <c r="AM518" s="16" t="n">
        <f aca="false">AI518-AJ518</f>
        <v>0.00320387536959817</v>
      </c>
      <c r="AN518" s="16" t="n">
        <f aca="false">J518*Country_Data!$EB$78</f>
        <v>0.702339815183212</v>
      </c>
      <c r="AO518" s="16" t="n">
        <f aca="false">L518*Country_Data!$EB$78</f>
        <v>0.168561555643971</v>
      </c>
    </row>
    <row r="519" customFormat="false" ht="15" hidden="false" customHeight="false" outlineLevel="0" collapsed="false">
      <c r="A519" s="14" t="str">
        <f aca="false">Country_Data!$A$78</f>
        <v>CRI</v>
      </c>
      <c r="B519" s="14" t="str">
        <f aca="false">Country_Data!$E$78</f>
        <v>EMDC</v>
      </c>
      <c r="C519" s="35" t="s">
        <v>477</v>
      </c>
      <c r="D519" s="37" t="n">
        <f aca="false">IF(Country_Data!$CB$78="","",Country_Data!$CB$78)</f>
        <v>0.0261154260183808</v>
      </c>
      <c r="E519" s="40" t="n">
        <f aca="false">Country_Data!$BW$78</f>
        <v>161.489</v>
      </c>
      <c r="F519" s="41" t="n">
        <f aca="false">Country_Data!$BX$78</f>
        <v>0.598988166376657</v>
      </c>
      <c r="G519" s="42" t="n">
        <f aca="false">IF(D519="","",D519/SUMIFS($D$5:$D$1369,$B$5:$B$1369,B519,$C$5:$C$1369,C519))</f>
        <v>0.000823498903840039</v>
      </c>
      <c r="H519" s="42" t="n">
        <f aca="false">E519/SUMIFS($E$5:$E$1369,$B$5:$B$1369,B519,$C$5:$C$1369,C519)</f>
        <v>0.00200031239204235</v>
      </c>
      <c r="I519" s="43" t="n">
        <f aca="false">IF(G519="",H519,p_beta_alloc*G519+(1-p_beta_alloc)*H519)*F519^p_phi</f>
        <v>0.00109273485694915</v>
      </c>
      <c r="J519" s="16" t="n">
        <f aca="false">INDEX(Sector_Params!$C$19:$E$19,MATCH(B519,Sector_Params!$C$15:$E$15,0))*I519/SUMIFS($I$5:$I$1369,$B$5:$B$1369,B519,$C$5:$C$1369,C519)</f>
        <v>0.35171047837156</v>
      </c>
      <c r="K519" s="28" t="n">
        <f aca="false">INDEX(Sector_Params!$F$8:$H$8,MATCH(B519,Sector_Params!$C$15:$E$15,0))</f>
        <v>0.24</v>
      </c>
      <c r="L519" s="16" t="n">
        <f aca="false">J519*K519</f>
        <v>0.0844105148091743</v>
      </c>
      <c r="M519" s="44" t="n">
        <f aca="false">Country_Data!$DW$78+Sector_Params!$E$8</f>
        <v>0.0679</v>
      </c>
      <c r="N519" s="44" t="n">
        <f aca="false">Country_Data!$DX$78+Sector_Params!$E$8</f>
        <v>0.1129</v>
      </c>
      <c r="O519" s="11" t="n">
        <f aca="false">IF(p_use_ibrd=1,p_r_ibrd,p_r_wb)</f>
        <v>0.06</v>
      </c>
      <c r="P519" s="45" t="n">
        <f aca="false">Sector_Params!$D$8</f>
        <v>25</v>
      </c>
      <c r="Q519" s="46" t="n">
        <f aca="false">M519/(1-(1+M519)^-P519)</f>
        <v>0.0841934774926742</v>
      </c>
      <c r="R519" s="46" t="n">
        <f aca="false">N519/(1-(1+N519)^-P519)</f>
        <v>0.121262227555583</v>
      </c>
      <c r="S519" s="46" t="n">
        <f aca="false">O519/(1-(1+O519)^-P519)</f>
        <v>0.078226718212274</v>
      </c>
      <c r="T519" s="37" t="n">
        <f aca="false">Country_Data!$CM$78*Sector_Params!$I$8</f>
        <v>0.216077858518238</v>
      </c>
      <c r="U519" s="37" t="n">
        <f aca="false">Country_Data!$CN$78*Sector_Params!$J$8</f>
        <v>0.0909251435678522</v>
      </c>
      <c r="V519" s="37" t="n">
        <f aca="false">p_a</f>
        <v>0.35</v>
      </c>
      <c r="W519" s="16" t="n">
        <f aca="false">T519*L519</f>
        <v>0.0182392432763884</v>
      </c>
      <c r="X519" s="16" t="n">
        <f aca="false">U519*L519</f>
        <v>0.00767503817766049</v>
      </c>
      <c r="Y519" s="16" t="n">
        <f aca="false">V519*L519</f>
        <v>0.029543680183211</v>
      </c>
      <c r="Z519" s="16" t="n">
        <f aca="false">Q519*L519</f>
        <v>0.00710681477873126</v>
      </c>
      <c r="AA519" s="16" t="n">
        <f aca="false">R519*L519</f>
        <v>0.010235807054874</v>
      </c>
      <c r="AB519" s="16" t="n">
        <f aca="false">S519*L519</f>
        <v>0.00660315755613026</v>
      </c>
      <c r="AC519" s="16" t="n">
        <f aca="false">Z519-W519</f>
        <v>-0.0111324284976571</v>
      </c>
      <c r="AD519" s="16" t="n">
        <f aca="false">AA519-W519</f>
        <v>-0.00800343622151434</v>
      </c>
      <c r="AE519" s="16" t="n">
        <f aca="false">AB519-W519</f>
        <v>-0.0116360857202581</v>
      </c>
      <c r="AF519" s="16" t="n">
        <f aca="false">AE519-X519</f>
        <v>-0.0193111238979186</v>
      </c>
      <c r="AG519" s="16" t="n">
        <f aca="false">AF519-p_spc_lo*Y519/1000</f>
        <v>-0.0207883079070791</v>
      </c>
      <c r="AH519" s="16" t="n">
        <f aca="false">AF519-p_spc_hi*Y519/1000</f>
        <v>-0.0222654919162397</v>
      </c>
      <c r="AI519" s="16" t="n">
        <f aca="false">Q519*J519</f>
        <v>0.0296117282447136</v>
      </c>
      <c r="AJ519" s="16" t="n">
        <f aca="false">S519*J519</f>
        <v>0.0275131564838761</v>
      </c>
      <c r="AK519" s="16" t="n">
        <f aca="false">T519*J519</f>
        <v>0.0759968469849515</v>
      </c>
      <c r="AL519" s="16" t="n">
        <f aca="false">U519*J519</f>
        <v>0.031979325740252</v>
      </c>
      <c r="AM519" s="16" t="n">
        <f aca="false">AI519-AJ519</f>
        <v>0.0020985717608375</v>
      </c>
      <c r="AN519" s="16" t="n">
        <f aca="false">J519*Country_Data!$EB$78</f>
        <v>0.402433350082288</v>
      </c>
      <c r="AO519" s="16" t="n">
        <f aca="false">L519*Country_Data!$EB$78</f>
        <v>0.0965840040197492</v>
      </c>
    </row>
    <row r="520" customFormat="false" ht="15" hidden="false" customHeight="false" outlineLevel="0" collapsed="false">
      <c r="A520" s="14" t="str">
        <f aca="false">Country_Data!$A$78</f>
        <v>CRI</v>
      </c>
      <c r="B520" s="14" t="str">
        <f aca="false">Country_Data!$E$78</f>
        <v>EMDC</v>
      </c>
      <c r="C520" s="35" t="s">
        <v>481</v>
      </c>
      <c r="D520" s="37" t="n">
        <f aca="false">IF(Country_Data!$CC$78="","",Country_Data!$CC$78)</f>
        <v>0.0317266866241666</v>
      </c>
      <c r="E520" s="40" t="n">
        <f aca="false">Country_Data!$BW$78</f>
        <v>161.489</v>
      </c>
      <c r="F520" s="41" t="n">
        <f aca="false">Country_Data!$BX$78</f>
        <v>0.598988166376657</v>
      </c>
      <c r="G520" s="42" t="n">
        <f aca="false">IF(D520="","",D520/SUMIFS($D$5:$D$1369,$B$5:$B$1369,B520,$C$5:$C$1369,C520))</f>
        <v>0.000453191393935782</v>
      </c>
      <c r="H520" s="42" t="n">
        <f aca="false">E520/SUMIFS($E$5:$E$1369,$B$5:$B$1369,B520,$C$5:$C$1369,C520)</f>
        <v>0.00200031239204235</v>
      </c>
      <c r="I520" s="43" t="n">
        <f aca="false">IF(G520="",H520,p_beta_alloc*G520+(1-p_beta_alloc)*H520)*F520^p_phi</f>
        <v>0.000949436356637723</v>
      </c>
      <c r="J520" s="16" t="n">
        <f aca="false">INDEX(Sector_Params!$C$20:$E$20,MATCH(B520,Sector_Params!$C$15:$E$15,0))*I520/SUMIFS($I$5:$I$1369,$B$5:$B$1369,B520,$C$5:$C$1369,C520)</f>
        <v>0.173291254538561</v>
      </c>
      <c r="K520" s="28" t="n">
        <f aca="false">INDEX(Sector_Params!$F$9:$H$9,MATCH(B520,Sector_Params!$C$15:$E$15,0))</f>
        <v>0.24</v>
      </c>
      <c r="L520" s="16" t="n">
        <f aca="false">J520*K520</f>
        <v>0.0415899010892546</v>
      </c>
      <c r="M520" s="44" t="n">
        <f aca="false">Country_Data!$DW$78+Sector_Params!$E$9</f>
        <v>0.0679</v>
      </c>
      <c r="N520" s="44" t="n">
        <f aca="false">Country_Data!$DX$78+Sector_Params!$E$9</f>
        <v>0.1129</v>
      </c>
      <c r="O520" s="11" t="n">
        <f aca="false">IF(p_use_ibrd=1,p_r_ibrd,p_r_wb)</f>
        <v>0.06</v>
      </c>
      <c r="P520" s="45" t="n">
        <f aca="false">Sector_Params!$D$9</f>
        <v>25</v>
      </c>
      <c r="Q520" s="46" t="n">
        <f aca="false">M520/(1-(1+M520)^-P520)</f>
        <v>0.0841934774926742</v>
      </c>
      <c r="R520" s="46" t="n">
        <f aca="false">N520/(1-(1+N520)^-P520)</f>
        <v>0.121262227555583</v>
      </c>
      <c r="S520" s="46" t="n">
        <f aca="false">O520/(1-(1+O520)^-P520)</f>
        <v>0.078226718212274</v>
      </c>
      <c r="T520" s="37" t="n">
        <f aca="false">Country_Data!$CM$78*Sector_Params!$I$9</f>
        <v>0.216077858518238</v>
      </c>
      <c r="U520" s="37" t="n">
        <f aca="false">Country_Data!$CN$78*Sector_Params!$J$9</f>
        <v>0.0909251435678522</v>
      </c>
      <c r="V520" s="37" t="n">
        <f aca="false">p_a</f>
        <v>0.35</v>
      </c>
      <c r="W520" s="16" t="n">
        <f aca="false">T520*L520</f>
        <v>0.00898665676335144</v>
      </c>
      <c r="X520" s="16" t="n">
        <f aca="false">U520*L520</f>
        <v>0.00378156772751324</v>
      </c>
      <c r="Y520" s="16" t="n">
        <f aca="false">V520*L520</f>
        <v>0.0145564653812391</v>
      </c>
      <c r="Z520" s="16" t="n">
        <f aca="false">Q520*L520</f>
        <v>0.0035015984012807</v>
      </c>
      <c r="AA520" s="16" t="n">
        <f aca="false">R520*L520</f>
        <v>0.00504328404989939</v>
      </c>
      <c r="AB520" s="16" t="n">
        <f aca="false">S520*L520</f>
        <v>0.00325344147298546</v>
      </c>
      <c r="AC520" s="16" t="n">
        <f aca="false">Z520-W520</f>
        <v>-0.00548505836207074</v>
      </c>
      <c r="AD520" s="16" t="n">
        <f aca="false">AA520-W520</f>
        <v>-0.00394337271345205</v>
      </c>
      <c r="AE520" s="16" t="n">
        <f aca="false">AB520-W520</f>
        <v>-0.00573321529036598</v>
      </c>
      <c r="AF520" s="16" t="n">
        <f aca="false">AE520-X520</f>
        <v>-0.00951478301787922</v>
      </c>
      <c r="AG520" s="16" t="n">
        <f aca="false">AF520-p_spc_lo*Y520/1000</f>
        <v>-0.0102426062869412</v>
      </c>
      <c r="AH520" s="16" t="n">
        <f aca="false">AF520-p_spc_hi*Y520/1000</f>
        <v>-0.0109704295560031</v>
      </c>
      <c r="AI520" s="16" t="n">
        <f aca="false">Q520*J520</f>
        <v>0.0145899933386696</v>
      </c>
      <c r="AJ520" s="16" t="n">
        <f aca="false">S520*J520</f>
        <v>0.0135560061374394</v>
      </c>
      <c r="AK520" s="16" t="n">
        <f aca="false">T520*J520</f>
        <v>0.037444403180631</v>
      </c>
      <c r="AL520" s="16" t="n">
        <f aca="false">U520*J520</f>
        <v>0.0157565321979718</v>
      </c>
      <c r="AM520" s="16" t="n">
        <f aca="false">AI520-AJ520</f>
        <v>0.00103398720123015</v>
      </c>
      <c r="AN520" s="16" t="n">
        <f aca="false">J520*Country_Data!$EB$78</f>
        <v>0.198282918458408</v>
      </c>
      <c r="AO520" s="16" t="n">
        <f aca="false">L520*Country_Data!$EB$78</f>
        <v>0.0475879004300178</v>
      </c>
    </row>
    <row r="521" customFormat="false" ht="15" hidden="false" customHeight="false" outlineLevel="0" collapsed="false">
      <c r="A521" s="14" t="str">
        <f aca="false">Country_Data!$A$78</f>
        <v>CRI</v>
      </c>
      <c r="B521" s="14" t="str">
        <f aca="false">Country_Data!$E$78</f>
        <v>EMDC</v>
      </c>
      <c r="C521" s="35" t="s">
        <v>484</v>
      </c>
      <c r="D521" s="37" t="n">
        <f aca="false">IF(Country_Data!$CD$78="","",Country_Data!$CD$78)</f>
        <v>0.0992727920759549</v>
      </c>
      <c r="E521" s="40" t="n">
        <f aca="false">Country_Data!$BW$78</f>
        <v>161.489</v>
      </c>
      <c r="F521" s="41" t="n">
        <f aca="false">Country_Data!$BX$78</f>
        <v>0.598988166376657</v>
      </c>
      <c r="G521" s="42" t="n">
        <f aca="false">IF(D521="","",D521/SUMIFS($D$5:$D$1369,$B$5:$B$1369,B521,$C$5:$C$1369,C521))</f>
        <v>0.000554375537221912</v>
      </c>
      <c r="H521" s="42" t="n">
        <f aca="false">E521/SUMIFS($E$5:$E$1369,$B$5:$B$1369,B521,$C$5:$C$1369,C521)</f>
        <v>0.00200031239204235</v>
      </c>
      <c r="I521" s="43" t="n">
        <f aca="false">IF(G521="",H521,p_beta_alloc*G521+(1-p_beta_alloc)*H521)*F521^p_phi</f>
        <v>0.000988591749386707</v>
      </c>
      <c r="J521" s="16" t="n">
        <f aca="false">INDEX(Sector_Params!$C$21:$E$21,MATCH(B521,Sector_Params!$C$15:$E$15,0))*I521/SUMIFS($I$5:$I$1369,$B$5:$B$1369,B521,$C$5:$C$1369,C521)</f>
        <v>0.219259592336021</v>
      </c>
      <c r="K521" s="28" t="n">
        <f aca="false">INDEX(Sector_Params!$F$10:$H$10,MATCH(B521,Sector_Params!$C$15:$E$15,0))</f>
        <v>0.24</v>
      </c>
      <c r="L521" s="16" t="n">
        <f aca="false">J521*K521</f>
        <v>0.0526223021606449</v>
      </c>
      <c r="M521" s="44" t="n">
        <f aca="false">Country_Data!$DW$78+Sector_Params!$E$10</f>
        <v>0.0679</v>
      </c>
      <c r="N521" s="44" t="n">
        <f aca="false">Country_Data!$DX$78+Sector_Params!$E$10</f>
        <v>0.1129</v>
      </c>
      <c r="O521" s="11" t="n">
        <f aca="false">IF(p_use_ibrd=1,p_r_ibrd,p_r_wb)</f>
        <v>0.06</v>
      </c>
      <c r="P521" s="45" t="n">
        <f aca="false">Sector_Params!$D$10</f>
        <v>20</v>
      </c>
      <c r="Q521" s="46" t="n">
        <f aca="false">M521/(1-(1+M521)^-P521)</f>
        <v>0.0928578282688666</v>
      </c>
      <c r="R521" s="46" t="n">
        <f aca="false">N521/(1-(1+N521)^-P521)</f>
        <v>0.127964969204898</v>
      </c>
      <c r="S521" s="46" t="n">
        <f aca="false">O521/(1-(1+O521)^-P521)</f>
        <v>0.0871845569768514</v>
      </c>
      <c r="T521" s="37" t="n">
        <f aca="false">0*Sector_Params!$I$10</f>
        <v>0</v>
      </c>
      <c r="U521" s="37" t="n">
        <f aca="false">0*Sector_Params!$J$10</f>
        <v>0</v>
      </c>
      <c r="V521" s="37" t="n">
        <f aca="false">1000*p_r_wb/(1-(1+p_r_wb)^-Sector_Params!$D$10)/p_cpt_fuel</f>
        <v>0.871845569768514</v>
      </c>
      <c r="W521" s="16" t="n">
        <f aca="false">T521*L521</f>
        <v>0</v>
      </c>
      <c r="X521" s="16" t="n">
        <f aca="false">U521*L521</f>
        <v>0</v>
      </c>
      <c r="Y521" s="16" t="n">
        <f aca="false">V521*L521</f>
        <v>0.0458785210097784</v>
      </c>
      <c r="Z521" s="16" t="n">
        <f aca="false">Q521*L521</f>
        <v>0.00488639269714558</v>
      </c>
      <c r="AA521" s="16" t="n">
        <f aca="false">R521*L521</f>
        <v>0.00673381127547777</v>
      </c>
      <c r="AB521" s="16" t="n">
        <f aca="false">S521*L521</f>
        <v>0.00458785210097784</v>
      </c>
      <c r="AC521" s="16" t="n">
        <f aca="false">Z521-W521</f>
        <v>0.00488639269714558</v>
      </c>
      <c r="AD521" s="16" t="n">
        <f aca="false">AA521-W521</f>
        <v>0.00673381127547777</v>
      </c>
      <c r="AE521" s="16" t="n">
        <f aca="false">AB521-W521</f>
        <v>0.00458785210097784</v>
      </c>
      <c r="AF521" s="16" t="n">
        <f aca="false">AE521-X521</f>
        <v>0.00458785210097784</v>
      </c>
      <c r="AG521" s="16" t="n">
        <f aca="false">AF521-p_spc_lo*Y521/1000</f>
        <v>0.00229392605048892</v>
      </c>
      <c r="AH521" s="16" t="n">
        <f aca="false">AF521-p_spc_hi*Y521/1000</f>
        <v>0</v>
      </c>
      <c r="AI521" s="16" t="n">
        <f aca="false">Q521*J521</f>
        <v>0.0203599695714399</v>
      </c>
      <c r="AJ521" s="16" t="n">
        <f aca="false">S521*J521</f>
        <v>0.019116050420741</v>
      </c>
      <c r="AK521" s="16" t="n">
        <f aca="false">T521*J521</f>
        <v>0</v>
      </c>
      <c r="AL521" s="16" t="n">
        <f aca="false">U521*J521</f>
        <v>0</v>
      </c>
      <c r="AM521" s="16" t="n">
        <f aca="false">AI521-AJ521</f>
        <v>0.00124391915069891</v>
      </c>
      <c r="AN521" s="16" t="n">
        <f aca="false">J521*Country_Data!$EB$78</f>
        <v>0.250880703611692</v>
      </c>
      <c r="AO521" s="16" t="n">
        <f aca="false">L521*Country_Data!$EB$78</f>
        <v>0.060211368866806</v>
      </c>
    </row>
    <row r="522" customFormat="false" ht="15" hidden="false" customHeight="false" outlineLevel="0" collapsed="false">
      <c r="A522" s="14" t="str">
        <f aca="false">Country_Data!$A$78</f>
        <v>CRI</v>
      </c>
      <c r="B522" s="14" t="str">
        <f aca="false">Country_Data!$E$78</f>
        <v>EMDC</v>
      </c>
      <c r="C522" s="35" t="s">
        <v>488</v>
      </c>
      <c r="D522" s="37" t="n">
        <f aca="false">IF(Country_Data!$CE$78="","",Country_Data!$CE$78)</f>
        <v>8.158</v>
      </c>
      <c r="E522" s="40" t="n">
        <f aca="false">Country_Data!$BW$78</f>
        <v>161.489</v>
      </c>
      <c r="F522" s="41" t="n">
        <f aca="false">Country_Data!$BX$78</f>
        <v>0.598988166376657</v>
      </c>
      <c r="G522" s="42" t="n">
        <f aca="false">IF(D522="","",D522/SUMIFS($D$5:$D$1369,$B$5:$B$1369,B522,$C$5:$C$1369,C522))</f>
        <v>0.000668463329157144</v>
      </c>
      <c r="H522" s="42" t="n">
        <f aca="false">E522/SUMIFS($E$5:$E$1369,$B$5:$B$1369,B522,$C$5:$C$1369,C522)</f>
        <v>0.00200031239204235</v>
      </c>
      <c r="I522" s="43" t="n">
        <f aca="false">IF(G522="",H522,p_beta_alloc*G522+(1-p_beta_alloc)*H522)*F522^p_phi</f>
        <v>0.00103274048807253</v>
      </c>
      <c r="J522" s="16" t="n">
        <f aca="false">INDEX(Sector_Params!$C$22:$E$22,MATCH(B522,Sector_Params!$C$15:$E$15,0))*I522/SUMIFS($I$5:$I$1369,$B$5:$B$1369,B522,$C$5:$C$1369,C522)</f>
        <v>0.6225446290634</v>
      </c>
      <c r="K522" s="28" t="n">
        <f aca="false">INDEX(Sector_Params!$F$11:$H$11,MATCH(B522,Sector_Params!$C$15:$E$15,0))</f>
        <v>0.24</v>
      </c>
      <c r="L522" s="16" t="n">
        <f aca="false">J522*K522</f>
        <v>0.149410710975216</v>
      </c>
      <c r="M522" s="44" t="n">
        <f aca="false">Country_Data!$DW$78+Sector_Params!$E$11</f>
        <v>0.0679</v>
      </c>
      <c r="N522" s="44" t="n">
        <f aca="false">Country_Data!$DX$78+Sector_Params!$E$11</f>
        <v>0.1129</v>
      </c>
      <c r="O522" s="11" t="n">
        <f aca="false">IF(p_use_ibrd=1,p_r_ibrd,p_r_wb)</f>
        <v>0.06</v>
      </c>
      <c r="P522" s="45" t="n">
        <f aca="false">Sector_Params!$D$11</f>
        <v>30</v>
      </c>
      <c r="Q522" s="46" t="n">
        <f aca="false">M522/(1-(1+M522)^-P522)</f>
        <v>0.0788931366894773</v>
      </c>
      <c r="R522" s="46" t="n">
        <f aca="false">N522/(1-(1+N522)^-P522)</f>
        <v>0.117652440268207</v>
      </c>
      <c r="S522" s="46" t="n">
        <f aca="false">O522/(1-(1+O522)^-P522)</f>
        <v>0.0726489114900472</v>
      </c>
      <c r="T522" s="37" t="n">
        <f aca="false">0*Sector_Params!$I$11</f>
        <v>0</v>
      </c>
      <c r="U522" s="37" t="n">
        <f aca="false">p_c*Sector_Params!$J$11</f>
        <v>0.129</v>
      </c>
      <c r="V522" s="37" t="n">
        <f aca="false">1000*p_r_wb/(1-(1+p_r_wb)^-Sector_Params!$D$11)/p_cpt_afolu</f>
        <v>1.45297822980094</v>
      </c>
      <c r="W522" s="16" t="n">
        <f aca="false">T522*L522</f>
        <v>0</v>
      </c>
      <c r="X522" s="16" t="n">
        <f aca="false">U522*L522</f>
        <v>0.0192739817158029</v>
      </c>
      <c r="Y522" s="16" t="n">
        <f aca="false">V522*L522</f>
        <v>0.21709051034607</v>
      </c>
      <c r="Z522" s="16" t="n">
        <f aca="false">Q522*L522</f>
        <v>0.0117874796438397</v>
      </c>
      <c r="AA522" s="16" t="n">
        <f aca="false">R522*L522</f>
        <v>0.017578534748442</v>
      </c>
      <c r="AB522" s="16" t="n">
        <f aca="false">S522*L522</f>
        <v>0.0108545255173035</v>
      </c>
      <c r="AC522" s="16" t="n">
        <f aca="false">Z522-W522</f>
        <v>0.0117874796438397</v>
      </c>
      <c r="AD522" s="16" t="n">
        <f aca="false">AA522-W522</f>
        <v>0.017578534748442</v>
      </c>
      <c r="AE522" s="16" t="n">
        <f aca="false">AB522-W522</f>
        <v>0.0108545255173035</v>
      </c>
      <c r="AF522" s="16" t="n">
        <f aca="false">AE522-X522</f>
        <v>-0.00841945619849938</v>
      </c>
      <c r="AG522" s="16" t="n">
        <f aca="false">AF522-p_spc_lo*Y522/1000</f>
        <v>-0.0192739817158029</v>
      </c>
      <c r="AH522" s="16" t="n">
        <f aca="false">AF522-p_spc_hi*Y522/1000</f>
        <v>-0.0301285072331064</v>
      </c>
      <c r="AI522" s="16" t="n">
        <f aca="false">Q522*J522</f>
        <v>0.0491144985159988</v>
      </c>
      <c r="AJ522" s="16" t="n">
        <f aca="false">S522*J522</f>
        <v>0.0452271896554312</v>
      </c>
      <c r="AK522" s="16" t="n">
        <f aca="false">T522*J522</f>
        <v>0</v>
      </c>
      <c r="AL522" s="16" t="n">
        <f aca="false">U522*J522</f>
        <v>0.0803082571491786</v>
      </c>
      <c r="AM522" s="16" t="n">
        <f aca="false">AI522-AJ522</f>
        <v>0.00388730886056751</v>
      </c>
      <c r="AN522" s="16" t="n">
        <f aca="false">J522*Country_Data!$EB$78</f>
        <v>0.712326575567782</v>
      </c>
      <c r="AO522" s="16" t="n">
        <f aca="false">L522*Country_Data!$EB$78</f>
        <v>0.170958378136268</v>
      </c>
    </row>
    <row r="523" customFormat="false" ht="15" hidden="false" customHeight="false" outlineLevel="0" collapsed="false">
      <c r="A523" s="14" t="str">
        <f aca="false">Country_Data!$A$79</f>
        <v>LUX</v>
      </c>
      <c r="B523" s="14" t="str">
        <f aca="false">Country_Data!$E$79</f>
        <v>AE</v>
      </c>
      <c r="C523" s="35" t="s">
        <v>466</v>
      </c>
      <c r="D523" s="37" t="n">
        <f aca="false">IF(Country_Data!$BZ$79="","",Country_Data!$BZ$79)</f>
        <v>5.84329314167112</v>
      </c>
      <c r="E523" s="40" t="n">
        <f aca="false">Country_Data!$BW$79</f>
        <v>100.798</v>
      </c>
      <c r="F523" s="41" t="n">
        <f aca="false">Country_Data!$BX$79</f>
        <v>0.925137403519911</v>
      </c>
      <c r="G523" s="42" t="n">
        <f aca="false">IF(D523="","",D523/SUMIFS($D$5:$D$1369,$B$5:$B$1369,B523,$C$5:$C$1369,C523))</f>
        <v>0.000597143933577943</v>
      </c>
      <c r="H523" s="42" t="n">
        <f aca="false">E523/SUMIFS($E$5:$E$1369,$B$5:$B$1369,B523,$C$5:$C$1369,C523)</f>
        <v>0.00127778652963419</v>
      </c>
      <c r="I523" s="43" t="n">
        <f aca="false">IF(G523="",H523,p_beta_alloc*G523+(1-p_beta_alloc)*H523)*F523^p_phi</f>
        <v>0.00090169215189559</v>
      </c>
      <c r="J523" s="16" t="n">
        <f aca="false">INDEX(Sector_Params!$C$16:$E$16,MATCH(B523,Sector_Params!$C$15:$E$15,0))*I523/SUMIFS($I$5:$I$1369,$B$5:$B$1369,B523,$C$5:$C$1369,C523)</f>
        <v>0.808777573224099</v>
      </c>
      <c r="K523" s="28" t="n">
        <f aca="false">INDEX(Sector_Params!$F$5:$H$5,MATCH(B523,Sector_Params!$C$15:$E$15,0))</f>
        <v>0.38</v>
      </c>
      <c r="L523" s="16" t="n">
        <f aca="false">J523*K523</f>
        <v>0.307335477825158</v>
      </c>
      <c r="M523" s="44" t="n">
        <f aca="false">Country_Data!$DW$79+Sector_Params!$E$5</f>
        <v>0.055</v>
      </c>
      <c r="N523" s="44" t="n">
        <f aca="false">Country_Data!$DX$79+Sector_Params!$E$5</f>
        <v>0.07</v>
      </c>
      <c r="O523" s="11" t="n">
        <f aca="false">IF(p_use_ibrd=1,p_r_ibrd,p_r_wb)</f>
        <v>0.06</v>
      </c>
      <c r="P523" s="45" t="n">
        <f aca="false">Sector_Params!$D$5</f>
        <v>25</v>
      </c>
      <c r="Q523" s="46" t="n">
        <f aca="false">M523/(1-(1+M523)^-P523)</f>
        <v>0.0745493529464385</v>
      </c>
      <c r="R523" s="46" t="n">
        <f aca="false">N523/(1-(1+N523)^-P523)</f>
        <v>0.0858105172206656</v>
      </c>
      <c r="S523" s="46" t="n">
        <f aca="false">O523/(1-(1+O523)^-P523)</f>
        <v>0.078226718212274</v>
      </c>
      <c r="T523" s="37" t="n">
        <f aca="false">IF(AND(p_eng=1,ISNUMBER(Country_Data!$CZ$79)),Country_Data!$CZ$79,Country_Data!$CM$79)*Sector_Params!$I$5</f>
        <v>0.0132328164581593</v>
      </c>
      <c r="U523" s="37" t="n">
        <f aca="false">IF(AND(p_eng=1,ISNUMBER(Country_Data!$DA$79)),Country_Data!$DA$79,Country_Data!$CN$79)*Sector_Params!$J$5</f>
        <v>0.00608721637357729</v>
      </c>
      <c r="V523" s="37" t="n">
        <f aca="false">IF(AND(p_eng=1,ISNUMBER(Country_Data!$DB$79)),Country_Data!$DB$79,p_a)</f>
        <v>0.122736386428454</v>
      </c>
      <c r="W523" s="16" t="n">
        <f aca="false">T523*L523</f>
        <v>0.00406691396914099</v>
      </c>
      <c r="X523" s="16" t="n">
        <f aca="false">U523*L523</f>
        <v>0.0018708175527985</v>
      </c>
      <c r="Y523" s="16" t="n">
        <f aca="false">V523*L523</f>
        <v>0.037721245969522</v>
      </c>
      <c r="Z523" s="16" t="n">
        <f aca="false">Q523*L523</f>
        <v>0.02291166100935</v>
      </c>
      <c r="AA523" s="16" t="n">
        <f aca="false">R523*L523</f>
        <v>0.0263726163124372</v>
      </c>
      <c r="AB523" s="16" t="n">
        <f aca="false">S523*L523</f>
        <v>0.0240418458204632</v>
      </c>
      <c r="AC523" s="16" t="n">
        <f aca="false">Z523-W523</f>
        <v>0.018844747040209</v>
      </c>
      <c r="AD523" s="16" t="n">
        <f aca="false">AA523-W523</f>
        <v>0.0223057023432962</v>
      </c>
      <c r="AE523" s="16" t="n">
        <f aca="false">AB523-W523</f>
        <v>0.0199749318513222</v>
      </c>
      <c r="AF523" s="16" t="n">
        <f aca="false">AE523-X523</f>
        <v>0.0181041142985237</v>
      </c>
      <c r="AG523" s="16" t="n">
        <f aca="false">AF523-p_spc_lo*Y523/1000</f>
        <v>0.0162180520000476</v>
      </c>
      <c r="AH523" s="16" t="n">
        <f aca="false">AF523-p_spc_hi*Y523/1000</f>
        <v>0.0143319897015715</v>
      </c>
      <c r="AI523" s="16" t="n">
        <f aca="false">Q523*J523</f>
        <v>0.0602938447614474</v>
      </c>
      <c r="AJ523" s="16" t="n">
        <f aca="false">S523*J523</f>
        <v>0.0632680153170084</v>
      </c>
      <c r="AK523" s="16" t="n">
        <f aca="false">T523*J523</f>
        <v>0.01070240518195</v>
      </c>
      <c r="AL523" s="16" t="n">
        <f aca="false">U523*J523</f>
        <v>0.00492320408631185</v>
      </c>
      <c r="AM523" s="16" t="n">
        <f aca="false">AI523-AJ523</f>
        <v>-0.00297417055556098</v>
      </c>
      <c r="AN523" s="16" t="n">
        <f aca="false">J523*Country_Data!$EB$79</f>
        <v>0.845033119610007</v>
      </c>
      <c r="AO523" s="16" t="n">
        <f aca="false">L523*Country_Data!$EB$79</f>
        <v>0.321112585451803</v>
      </c>
    </row>
    <row r="524" customFormat="false" ht="15" hidden="false" customHeight="false" outlineLevel="0" collapsed="false">
      <c r="A524" s="14" t="str">
        <f aca="false">Country_Data!$A$79</f>
        <v>LUX</v>
      </c>
      <c r="B524" s="14" t="str">
        <f aca="false">Country_Data!$E$79</f>
        <v>AE</v>
      </c>
      <c r="C524" s="35" t="s">
        <v>470</v>
      </c>
      <c r="D524" s="37" t="n">
        <f aca="false">IF(Country_Data!$BZ$79="","",Country_Data!$BZ$79)</f>
        <v>5.84329314167112</v>
      </c>
      <c r="E524" s="40" t="n">
        <f aca="false">Country_Data!$BW$79</f>
        <v>100.798</v>
      </c>
      <c r="F524" s="41" t="n">
        <f aca="false">Country_Data!$BX$79</f>
        <v>0.925137403519911</v>
      </c>
      <c r="G524" s="42" t="n">
        <f aca="false">IF(D524="","",D524/SUMIFS($D$5:$D$1369,$B$5:$B$1369,B524,$C$5:$C$1369,C524))</f>
        <v>0.000597143933577943</v>
      </c>
      <c r="H524" s="42" t="n">
        <f aca="false">E524/SUMIFS($E$5:$E$1369,$B$5:$B$1369,B524,$C$5:$C$1369,C524)</f>
        <v>0.00127778652963419</v>
      </c>
      <c r="I524" s="43" t="n">
        <f aca="false">IF(G524="",H524,p_beta_alloc*G524+(1-p_beta_alloc)*H524)*F524^p_phi</f>
        <v>0.00090169215189559</v>
      </c>
      <c r="J524" s="16" t="n">
        <f aca="false">INDEX(Sector_Params!$C$17:$E$17,MATCH(B524,Sector_Params!$C$15:$E$15,0))*I524/SUMIFS($I$5:$I$1369,$B$5:$B$1369,B524,$C$5:$C$1369,C524)</f>
        <v>0.554590335925097</v>
      </c>
      <c r="K524" s="28" t="n">
        <f aca="false">INDEX(Sector_Params!$F$6:$H$6,MATCH(B524,Sector_Params!$C$15:$E$15,0))</f>
        <v>0.38</v>
      </c>
      <c r="L524" s="16" t="n">
        <f aca="false">J524*K524</f>
        <v>0.210744327651537</v>
      </c>
      <c r="M524" s="44" t="n">
        <f aca="false">Country_Data!$DW$79+Sector_Params!$E$6</f>
        <v>0.055</v>
      </c>
      <c r="N524" s="44" t="n">
        <f aca="false">Country_Data!$DX$79+Sector_Params!$E$6</f>
        <v>0.07</v>
      </c>
      <c r="O524" s="11" t="n">
        <f aca="false">IF(p_use_ibrd=1,p_r_ibrd,p_r_wb)</f>
        <v>0.06</v>
      </c>
      <c r="P524" s="45" t="n">
        <f aca="false">Sector_Params!$D$6</f>
        <v>40</v>
      </c>
      <c r="Q524" s="46" t="n">
        <f aca="false">M524/(1-(1+M524)^-P524)</f>
        <v>0.062320343360638</v>
      </c>
      <c r="R524" s="46" t="n">
        <f aca="false">N524/(1-(1+N524)^-P524)</f>
        <v>0.0750091388736103</v>
      </c>
      <c r="S524" s="46" t="n">
        <f aca="false">O524/(1-(1+O524)^-P524)</f>
        <v>0.0664615359206755</v>
      </c>
      <c r="T524" s="37" t="n">
        <f aca="false">p_grid_credit*IF(AND(p_eng=1,ISNUMBER(Country_Data!$CZ$79)),Country_Data!$CZ$79,Country_Data!$CM$79)*Sector_Params!$I$6</f>
        <v>0</v>
      </c>
      <c r="U524" s="37" t="n">
        <f aca="false">p_grid_credit*IF(AND(p_eng=1,ISNUMBER(Country_Data!$DA$79)),Country_Data!$DA$79,Country_Data!$CN$79)*Sector_Params!$J$6</f>
        <v>0</v>
      </c>
      <c r="V524" s="37" t="n">
        <f aca="false">p_grid_credit*IF(AND(p_eng=1,ISNUMBER(Country_Data!$DB$79)),Country_Data!$DB$79,p_a)</f>
        <v>0</v>
      </c>
      <c r="W524" s="16" t="n">
        <f aca="false">T524*L524</f>
        <v>0</v>
      </c>
      <c r="X524" s="16" t="n">
        <f aca="false">U524*L524</f>
        <v>0</v>
      </c>
      <c r="Y524" s="16" t="n">
        <f aca="false">V524*L524</f>
        <v>0</v>
      </c>
      <c r="Z524" s="16" t="n">
        <f aca="false">Q524*L524</f>
        <v>0.0131336588605506</v>
      </c>
      <c r="AA524" s="16" t="n">
        <f aca="false">R524*L524</f>
        <v>0.0158077505396398</v>
      </c>
      <c r="AB524" s="16" t="n">
        <f aca="false">S524*L524</f>
        <v>0.0140063917022912</v>
      </c>
      <c r="AC524" s="16" t="n">
        <f aca="false">Z524-W524</f>
        <v>0.0131336588605506</v>
      </c>
      <c r="AD524" s="16" t="n">
        <f aca="false">AA524-W524</f>
        <v>0.0158077505396398</v>
      </c>
      <c r="AE524" s="16" t="n">
        <f aca="false">AB524-W524</f>
        <v>0.0140063917022912</v>
      </c>
      <c r="AF524" s="16" t="n">
        <f aca="false">AE524-X524</f>
        <v>0.0140063917022912</v>
      </c>
      <c r="AG524" s="16" t="n">
        <f aca="false">AF524-p_spc_lo*Y524/1000</f>
        <v>0.0140063917022912</v>
      </c>
      <c r="AH524" s="16" t="n">
        <f aca="false">AF524-p_spc_hi*Y524/1000</f>
        <v>0.0140063917022912</v>
      </c>
      <c r="AI524" s="16" t="n">
        <f aca="false">Q524*J524</f>
        <v>0.0345622601593436</v>
      </c>
      <c r="AJ524" s="16" t="n">
        <f aca="false">S524*J524</f>
        <v>0.0368589255323453</v>
      </c>
      <c r="AK524" s="16" t="n">
        <f aca="false">T524*J524</f>
        <v>0</v>
      </c>
      <c r="AL524" s="16" t="n">
        <f aca="false">U524*J524</f>
        <v>0</v>
      </c>
      <c r="AM524" s="16" t="n">
        <f aca="false">AI524-AJ524</f>
        <v>-0.00229666537300173</v>
      </c>
      <c r="AN524" s="16" t="n">
        <f aca="false">J524*Country_Data!$EB$79</f>
        <v>0.579451282018291</v>
      </c>
      <c r="AO524" s="16" t="n">
        <f aca="false">L524*Country_Data!$EB$79</f>
        <v>0.220191487166951</v>
      </c>
    </row>
    <row r="525" customFormat="false" ht="15" hidden="false" customHeight="false" outlineLevel="0" collapsed="false">
      <c r="A525" s="14" t="str">
        <f aca="false">Country_Data!$A$79</f>
        <v>LUX</v>
      </c>
      <c r="B525" s="14" t="str">
        <f aca="false">Country_Data!$E$79</f>
        <v>AE</v>
      </c>
      <c r="C525" s="35" t="s">
        <v>473</v>
      </c>
      <c r="D525" s="37" t="n">
        <f aca="false">IF(Country_Data!$CA$79="","",Country_Data!$CA$79)</f>
        <v>0.0718452140813769</v>
      </c>
      <c r="E525" s="40" t="n">
        <f aca="false">Country_Data!$BW$79</f>
        <v>100.798</v>
      </c>
      <c r="F525" s="41" t="n">
        <f aca="false">Country_Data!$BX$79</f>
        <v>0.925137403519911</v>
      </c>
      <c r="G525" s="42" t="n">
        <f aca="false">IF(D525="","",D525/SUMIFS($D$5:$D$1369,$B$5:$B$1369,B525,$C$5:$C$1369,C525))</f>
        <v>0.0014064397517542</v>
      </c>
      <c r="H525" s="42" t="n">
        <f aca="false">E525/SUMIFS($E$5:$E$1369,$B$5:$B$1369,B525,$C$5:$C$1369,C525)</f>
        <v>0.00127778652963419</v>
      </c>
      <c r="I525" s="43" t="n">
        <f aca="false">IF(G525="",H525,p_beta_alloc*G525+(1-p_beta_alloc)*H525)*F525^p_phi</f>
        <v>0.00129089895296344</v>
      </c>
      <c r="J525" s="16" t="n">
        <f aca="false">INDEX(Sector_Params!$C$18:$E$18,MATCH(B525,Sector_Params!$C$15:$E$15,0))*I525/SUMIFS($I$5:$I$1369,$B$5:$B$1369,B525,$C$5:$C$1369,C525)</f>
        <v>0.486479350684411</v>
      </c>
      <c r="K525" s="28" t="n">
        <f aca="false">INDEX(Sector_Params!$F$7:$H$7,MATCH(B525,Sector_Params!$C$15:$E$15,0))</f>
        <v>0.38</v>
      </c>
      <c r="L525" s="16" t="n">
        <f aca="false">J525*K525</f>
        <v>0.184862153260076</v>
      </c>
      <c r="M525" s="44" t="n">
        <f aca="false">Country_Data!$DW$79+Sector_Params!$E$7</f>
        <v>0.055</v>
      </c>
      <c r="N525" s="44" t="n">
        <f aca="false">Country_Data!$DX$79+Sector_Params!$E$7</f>
        <v>0.07</v>
      </c>
      <c r="O525" s="11" t="n">
        <f aca="false">IF(p_use_ibrd=1,p_r_ibrd,p_r_wb)</f>
        <v>0.06</v>
      </c>
      <c r="P525" s="45" t="n">
        <f aca="false">Sector_Params!$D$7</f>
        <v>12</v>
      </c>
      <c r="Q525" s="46" t="n">
        <f aca="false">M525/(1-(1+M525)^-P525)</f>
        <v>0.116029231191614</v>
      </c>
      <c r="R525" s="46" t="n">
        <f aca="false">N525/(1-(1+N525)^-P525)</f>
        <v>0.12590198865502</v>
      </c>
      <c r="S525" s="46" t="n">
        <f aca="false">O525/(1-(1+O525)^-P525)</f>
        <v>0.119277029380664</v>
      </c>
      <c r="T525" s="37" t="n">
        <f aca="false">IF(AND(p_eng=1,ISNUMBER(Country_Data!$DE$79)),Country_Data!$DE$79,Country_Data!$CM$79)*Sector_Params!$I$7</f>
        <v>0.03340746</v>
      </c>
      <c r="U525" s="37" t="n">
        <f aca="false">IF(AND(p_eng=1,ISNUMBER(Country_Data!$DF$79)),Country_Data!$DF$79,Country_Data!$CN$79)*Sector_Params!$J$7</f>
        <v>0.001468125</v>
      </c>
      <c r="V525" s="37" t="n">
        <f aca="false">IF(AND(p_eng=1,ISNUMBER(Country_Data!$DG$79)),Country_Data!$DG$79,p_a)</f>
        <v>0.504463266233766</v>
      </c>
      <c r="W525" s="16" t="n">
        <f aca="false">T525*L525</f>
        <v>0.00617577499054987</v>
      </c>
      <c r="X525" s="16" t="n">
        <f aca="false">U525*L525</f>
        <v>0.00027140074875495</v>
      </c>
      <c r="Y525" s="16" t="n">
        <f aca="false">V525*L525</f>
        <v>0.0932561656365852</v>
      </c>
      <c r="Z525" s="16" t="n">
        <f aca="false">Q525*L525</f>
        <v>0.0214494135191931</v>
      </c>
      <c r="AA525" s="16" t="n">
        <f aca="false">R525*L525</f>
        <v>0.0232745127224928</v>
      </c>
      <c r="AB525" s="16" t="n">
        <f aca="false">S525*L525</f>
        <v>0.0220498084857749</v>
      </c>
      <c r="AC525" s="16" t="n">
        <f aca="false">Z525-W525</f>
        <v>0.0152736385286432</v>
      </c>
      <c r="AD525" s="16" t="n">
        <f aca="false">AA525-W525</f>
        <v>0.0170987377319429</v>
      </c>
      <c r="AE525" s="16" t="n">
        <f aca="false">AB525-W525</f>
        <v>0.015874033495225</v>
      </c>
      <c r="AF525" s="16" t="n">
        <f aca="false">AE525-X525</f>
        <v>0.01560263274647</v>
      </c>
      <c r="AG525" s="16" t="n">
        <f aca="false">AF525-p_spc_lo*Y525/1000</f>
        <v>0.0109398244646408</v>
      </c>
      <c r="AH525" s="16" t="n">
        <f aca="false">AF525-p_spc_hi*Y525/1000</f>
        <v>0.00627701618281151</v>
      </c>
      <c r="AI525" s="16" t="n">
        <f aca="false">Q525*J525</f>
        <v>0.056445825050508</v>
      </c>
      <c r="AJ525" s="16" t="n">
        <f aca="false">S525*J525</f>
        <v>0.0580258118046707</v>
      </c>
      <c r="AK525" s="16" t="n">
        <f aca="false">T525*J525</f>
        <v>0.0162520394488155</v>
      </c>
      <c r="AL525" s="16" t="n">
        <f aca="false">U525*J525</f>
        <v>0.000714212496723552</v>
      </c>
      <c r="AM525" s="16" t="n">
        <f aca="false">AI525-AJ525</f>
        <v>-0.00157998675416263</v>
      </c>
      <c r="AN525" s="16" t="n">
        <f aca="false">J525*Country_Data!$EB$79</f>
        <v>0.508287045715092</v>
      </c>
      <c r="AO525" s="16" t="n">
        <f aca="false">L525*Country_Data!$EB$79</f>
        <v>0.193149077371735</v>
      </c>
    </row>
    <row r="526" customFormat="false" ht="15" hidden="false" customHeight="false" outlineLevel="0" collapsed="false">
      <c r="A526" s="14" t="str">
        <f aca="false">Country_Data!$A$79</f>
        <v>LUX</v>
      </c>
      <c r="B526" s="14" t="str">
        <f aca="false">Country_Data!$E$79</f>
        <v>AE</v>
      </c>
      <c r="C526" s="35" t="s">
        <v>477</v>
      </c>
      <c r="D526" s="37" t="n">
        <f aca="false">IF(Country_Data!$CB$79="","",Country_Data!$CB$79)</f>
        <v>0.0190084087322074</v>
      </c>
      <c r="E526" s="40" t="n">
        <f aca="false">Country_Data!$BW$79</f>
        <v>100.798</v>
      </c>
      <c r="F526" s="41" t="n">
        <f aca="false">Country_Data!$BX$79</f>
        <v>0.925137403519911</v>
      </c>
      <c r="G526" s="42" t="n">
        <f aca="false">IF(D526="","",D526/SUMIFS($D$5:$D$1369,$B$5:$B$1369,B526,$C$5:$C$1369,C526))</f>
        <v>0.000488803266424305</v>
      </c>
      <c r="H526" s="42" t="n">
        <f aca="false">E526/SUMIFS($E$5:$E$1369,$B$5:$B$1369,B526,$C$5:$C$1369,C526)</f>
        <v>0.00127778652963419</v>
      </c>
      <c r="I526" s="43" t="n">
        <f aca="false">IF(G526="",H526,p_beta_alloc*G526+(1-p_beta_alloc)*H526)*F526^p_phi</f>
        <v>0.000849588923951762</v>
      </c>
      <c r="J526" s="16" t="n">
        <f aca="false">INDEX(Sector_Params!$C$19:$E$19,MATCH(B526,Sector_Params!$C$15:$E$15,0))*I526/SUMIFS($I$5:$I$1369,$B$5:$B$1369,B526,$C$5:$C$1369,C526)</f>
        <v>0.249742541225835</v>
      </c>
      <c r="K526" s="28" t="n">
        <f aca="false">INDEX(Sector_Params!$F$8:$H$8,MATCH(B526,Sector_Params!$C$15:$E$15,0))</f>
        <v>0.38</v>
      </c>
      <c r="L526" s="16" t="n">
        <f aca="false">J526*K526</f>
        <v>0.0949021656658173</v>
      </c>
      <c r="M526" s="44" t="n">
        <f aca="false">Country_Data!$DW$79+Sector_Params!$E$8</f>
        <v>0.055</v>
      </c>
      <c r="N526" s="44" t="n">
        <f aca="false">Country_Data!$DX$79+Sector_Params!$E$8</f>
        <v>0.07</v>
      </c>
      <c r="O526" s="11" t="n">
        <f aca="false">IF(p_use_ibrd=1,p_r_ibrd,p_r_wb)</f>
        <v>0.06</v>
      </c>
      <c r="P526" s="45" t="n">
        <f aca="false">Sector_Params!$D$8</f>
        <v>25</v>
      </c>
      <c r="Q526" s="46" t="n">
        <f aca="false">M526/(1-(1+M526)^-P526)</f>
        <v>0.0745493529464385</v>
      </c>
      <c r="R526" s="46" t="n">
        <f aca="false">N526/(1-(1+N526)^-P526)</f>
        <v>0.0858105172206656</v>
      </c>
      <c r="S526" s="46" t="n">
        <f aca="false">O526/(1-(1+O526)^-P526)</f>
        <v>0.078226718212274</v>
      </c>
      <c r="T526" s="37" t="n">
        <f aca="false">Country_Data!$CM$79*Sector_Params!$I$8</f>
        <v>0.247992065020798</v>
      </c>
      <c r="U526" s="37" t="n">
        <f aca="false">Country_Data!$CN$79*Sector_Params!$J$8</f>
        <v>0.03225</v>
      </c>
      <c r="V526" s="37" t="n">
        <f aca="false">p_a</f>
        <v>0.35</v>
      </c>
      <c r="W526" s="16" t="n">
        <f aca="false">T526*L526</f>
        <v>0.0235349840384119</v>
      </c>
      <c r="X526" s="16" t="n">
        <f aca="false">U526*L526</f>
        <v>0.00306059484272261</v>
      </c>
      <c r="Y526" s="16" t="n">
        <f aca="false">V526*L526</f>
        <v>0.033215757983036</v>
      </c>
      <c r="Z526" s="16" t="n">
        <f aca="false">Q526*L526</f>
        <v>0.00707489504360239</v>
      </c>
      <c r="AA526" s="16" t="n">
        <f aca="false">R526*L526</f>
        <v>0.00814360392114507</v>
      </c>
      <c r="AB526" s="16" t="n">
        <f aca="false">S526*L526</f>
        <v>0.00742388497127443</v>
      </c>
      <c r="AC526" s="16" t="n">
        <f aca="false">Z526-W526</f>
        <v>-0.0164600889948095</v>
      </c>
      <c r="AD526" s="16" t="n">
        <f aca="false">AA526-W526</f>
        <v>-0.0153913801172668</v>
      </c>
      <c r="AE526" s="16" t="n">
        <f aca="false">AB526-W526</f>
        <v>-0.0161110990671374</v>
      </c>
      <c r="AF526" s="16" t="n">
        <f aca="false">AE526-X526</f>
        <v>-0.01917169390986</v>
      </c>
      <c r="AG526" s="16" t="n">
        <f aca="false">AF526-p_spc_lo*Y526/1000</f>
        <v>-0.0208324818090118</v>
      </c>
      <c r="AH526" s="16" t="n">
        <f aca="false">AF526-p_spc_hi*Y526/1000</f>
        <v>-0.0224932697081636</v>
      </c>
      <c r="AI526" s="16" t="n">
        <f aca="false">Q526*J526</f>
        <v>0.0186181448515852</v>
      </c>
      <c r="AJ526" s="16" t="n">
        <f aca="false">S526*J526</f>
        <v>0.0195365393980906</v>
      </c>
      <c r="AK526" s="16" t="n">
        <f aca="false">T526*J526</f>
        <v>0.0619341685221365</v>
      </c>
      <c r="AL526" s="16" t="n">
        <f aca="false">U526*J526</f>
        <v>0.00805419695453318</v>
      </c>
      <c r="AM526" s="16" t="n">
        <f aca="false">AI526-AJ526</f>
        <v>-0.000918394546505358</v>
      </c>
      <c r="AN526" s="16" t="n">
        <f aca="false">J526*Country_Data!$EB$79</f>
        <v>0.260937896522165</v>
      </c>
      <c r="AO526" s="16" t="n">
        <f aca="false">L526*Country_Data!$EB$79</f>
        <v>0.0991564006784229</v>
      </c>
    </row>
    <row r="527" customFormat="false" ht="15" hidden="false" customHeight="false" outlineLevel="0" collapsed="false">
      <c r="A527" s="14" t="str">
        <f aca="false">Country_Data!$A$79</f>
        <v>LUX</v>
      </c>
      <c r="B527" s="14" t="str">
        <f aca="false">Country_Data!$E$79</f>
        <v>AE</v>
      </c>
      <c r="C527" s="35" t="s">
        <v>481</v>
      </c>
      <c r="D527" s="37" t="n">
        <f aca="false">IF(Country_Data!$CC$79="","",Country_Data!$CC$79)</f>
        <v>0.0312583404469103</v>
      </c>
      <c r="E527" s="40" t="n">
        <f aca="false">Country_Data!$BW$79</f>
        <v>100.798</v>
      </c>
      <c r="F527" s="41" t="n">
        <f aca="false">Country_Data!$BX$79</f>
        <v>0.925137403519911</v>
      </c>
      <c r="G527" s="42" t="n">
        <f aca="false">IF(D527="","",D527/SUMIFS($D$5:$D$1369,$B$5:$B$1369,B527,$C$5:$C$1369,C527))</f>
        <v>0.000569147580896609</v>
      </c>
      <c r="H527" s="42" t="n">
        <f aca="false">E527/SUMIFS($E$5:$E$1369,$B$5:$B$1369,B527,$C$5:$C$1369,C527)</f>
        <v>0.00127778652963419</v>
      </c>
      <c r="I527" s="43" t="n">
        <f aca="false">IF(G527="",H527,p_beta_alloc*G527+(1-p_beta_alloc)*H527)*F527^p_phi</f>
        <v>0.000888228137101563</v>
      </c>
      <c r="J527" s="16" t="n">
        <f aca="false">INDEX(Sector_Params!$C$20:$E$20,MATCH(B527,Sector_Params!$C$15:$E$15,0))*I527/SUMIFS($I$5:$I$1369,$B$5:$B$1369,B527,$C$5:$C$1369,C527)</f>
        <v>0.150836549998827</v>
      </c>
      <c r="K527" s="28" t="n">
        <f aca="false">INDEX(Sector_Params!$F$9:$H$9,MATCH(B527,Sector_Params!$C$15:$E$15,0))</f>
        <v>0.38</v>
      </c>
      <c r="L527" s="16" t="n">
        <f aca="false">J527*K527</f>
        <v>0.0573178889995542</v>
      </c>
      <c r="M527" s="44" t="n">
        <f aca="false">Country_Data!$DW$79+Sector_Params!$E$9</f>
        <v>0.055</v>
      </c>
      <c r="N527" s="44" t="n">
        <f aca="false">Country_Data!$DX$79+Sector_Params!$E$9</f>
        <v>0.07</v>
      </c>
      <c r="O527" s="11" t="n">
        <f aca="false">IF(p_use_ibrd=1,p_r_ibrd,p_r_wb)</f>
        <v>0.06</v>
      </c>
      <c r="P527" s="45" t="n">
        <f aca="false">Sector_Params!$D$9</f>
        <v>25</v>
      </c>
      <c r="Q527" s="46" t="n">
        <f aca="false">M527/(1-(1+M527)^-P527)</f>
        <v>0.0745493529464385</v>
      </c>
      <c r="R527" s="46" t="n">
        <f aca="false">N527/(1-(1+N527)^-P527)</f>
        <v>0.0858105172206656</v>
      </c>
      <c r="S527" s="46" t="n">
        <f aca="false">O527/(1-(1+O527)^-P527)</f>
        <v>0.078226718212274</v>
      </c>
      <c r="T527" s="37" t="n">
        <f aca="false">Country_Data!$CM$79*Sector_Params!$I$9</f>
        <v>0.247992065020798</v>
      </c>
      <c r="U527" s="37" t="n">
        <f aca="false">Country_Data!$CN$79*Sector_Params!$J$9</f>
        <v>0.03225</v>
      </c>
      <c r="V527" s="37" t="n">
        <f aca="false">p_a</f>
        <v>0.35</v>
      </c>
      <c r="W527" s="16" t="n">
        <f aca="false">T527*L527</f>
        <v>0.0142143816556323</v>
      </c>
      <c r="X527" s="16" t="n">
        <f aca="false">U527*L527</f>
        <v>0.00184850192023562</v>
      </c>
      <c r="Y527" s="16" t="n">
        <f aca="false">V527*L527</f>
        <v>0.020061261149844</v>
      </c>
      <c r="Z527" s="16" t="n">
        <f aca="false">Q527*L527</f>
        <v>0.00427301153717255</v>
      </c>
      <c r="AA527" s="16" t="n">
        <f aca="false">R527*L527</f>
        <v>0.00491847770104845</v>
      </c>
      <c r="AB527" s="16" t="n">
        <f aca="false">S527*L527</f>
        <v>0.00448379035129053</v>
      </c>
      <c r="AC527" s="16" t="n">
        <f aca="false">Z527-W527</f>
        <v>-0.00994137011845975</v>
      </c>
      <c r="AD527" s="16" t="n">
        <f aca="false">AA527-W527</f>
        <v>-0.00929590395458386</v>
      </c>
      <c r="AE527" s="16" t="n">
        <f aca="false">AB527-W527</f>
        <v>-0.00973059130434178</v>
      </c>
      <c r="AF527" s="16" t="n">
        <f aca="false">AE527-X527</f>
        <v>-0.0115790932245774</v>
      </c>
      <c r="AG527" s="16" t="n">
        <f aca="false">AF527-p_spc_lo*Y527/1000</f>
        <v>-0.0125821562820696</v>
      </c>
      <c r="AH527" s="16" t="n">
        <f aca="false">AF527-p_spc_hi*Y527/1000</f>
        <v>-0.0135852193395618</v>
      </c>
      <c r="AI527" s="16" t="n">
        <f aca="false">Q527*J527</f>
        <v>0.0112447672030857</v>
      </c>
      <c r="AJ527" s="16" t="n">
        <f aca="false">S527*J527</f>
        <v>0.0117994482928698</v>
      </c>
      <c r="AK527" s="16" t="n">
        <f aca="false">T527*J527</f>
        <v>0.0374062675148219</v>
      </c>
      <c r="AL527" s="16" t="n">
        <f aca="false">U527*J527</f>
        <v>0.00486447873746217</v>
      </c>
      <c r="AM527" s="16" t="n">
        <f aca="false">AI527-AJ527</f>
        <v>-0.000554681089784135</v>
      </c>
      <c r="AN527" s="16" t="n">
        <f aca="false">J527*Country_Data!$EB$79</f>
        <v>0.15759818844705</v>
      </c>
      <c r="AO527" s="16" t="n">
        <f aca="false">L527*Country_Data!$EB$79</f>
        <v>0.0598873116098791</v>
      </c>
    </row>
    <row r="528" customFormat="false" ht="15" hidden="false" customHeight="false" outlineLevel="0" collapsed="false">
      <c r="A528" s="14" t="str">
        <f aca="false">Country_Data!$A$79</f>
        <v>LUX</v>
      </c>
      <c r="B528" s="14" t="str">
        <f aca="false">Country_Data!$E$79</f>
        <v>AE</v>
      </c>
      <c r="C528" s="35" t="s">
        <v>484</v>
      </c>
      <c r="D528" s="37" t="n">
        <f aca="false">IF(Country_Data!$CD$79="","",Country_Data!$CD$79)</f>
        <v>0.103792276031499</v>
      </c>
      <c r="E528" s="40" t="n">
        <f aca="false">Country_Data!$BW$79</f>
        <v>100.798</v>
      </c>
      <c r="F528" s="41" t="n">
        <f aca="false">Country_Data!$BX$79</f>
        <v>0.925137403519911</v>
      </c>
      <c r="G528" s="42" t="n">
        <f aca="false">IF(D528="","",D528/SUMIFS($D$5:$D$1369,$B$5:$B$1369,B528,$C$5:$C$1369,C528))</f>
        <v>0.000702247393576993</v>
      </c>
      <c r="H528" s="42" t="n">
        <f aca="false">E528/SUMIFS($E$5:$E$1369,$B$5:$B$1369,B528,$C$5:$C$1369,C528)</f>
        <v>0.00127778652963419</v>
      </c>
      <c r="I528" s="43" t="n">
        <f aca="false">IF(G528="",H528,p_beta_alloc*G528+(1-p_beta_alloc)*H528)*F528^p_phi</f>
        <v>0.000952238541149863</v>
      </c>
      <c r="J528" s="16" t="n">
        <f aca="false">INDEX(Sector_Params!$C$21:$E$21,MATCH(B528,Sector_Params!$C$15:$E$15,0))*I528/SUMIFS($I$5:$I$1369,$B$5:$B$1369,B528,$C$5:$C$1369,C528)</f>
        <v>0.194018351115607</v>
      </c>
      <c r="K528" s="28" t="n">
        <f aca="false">INDEX(Sector_Params!$F$10:$H$10,MATCH(B528,Sector_Params!$C$15:$E$15,0))</f>
        <v>0.38</v>
      </c>
      <c r="L528" s="16" t="n">
        <f aca="false">J528*K528</f>
        <v>0.0737269734239307</v>
      </c>
      <c r="M528" s="44" t="n">
        <f aca="false">Country_Data!$DW$79+Sector_Params!$E$10</f>
        <v>0.055</v>
      </c>
      <c r="N528" s="44" t="n">
        <f aca="false">Country_Data!$DX$79+Sector_Params!$E$10</f>
        <v>0.07</v>
      </c>
      <c r="O528" s="11" t="n">
        <f aca="false">IF(p_use_ibrd=1,p_r_ibrd,p_r_wb)</f>
        <v>0.06</v>
      </c>
      <c r="P528" s="45" t="n">
        <f aca="false">Sector_Params!$D$10</f>
        <v>20</v>
      </c>
      <c r="Q528" s="46" t="n">
        <f aca="false">M528/(1-(1+M528)^-P528)</f>
        <v>0.0836793300349332</v>
      </c>
      <c r="R528" s="46" t="n">
        <f aca="false">N528/(1-(1+N528)^-P528)</f>
        <v>0.0943929257432557</v>
      </c>
      <c r="S528" s="46" t="n">
        <f aca="false">O528/(1-(1+O528)^-P528)</f>
        <v>0.0871845569768514</v>
      </c>
      <c r="T528" s="37" t="n">
        <f aca="false">0*Sector_Params!$I$10</f>
        <v>0</v>
      </c>
      <c r="U528" s="37" t="n">
        <f aca="false">0*Sector_Params!$J$10</f>
        <v>0</v>
      </c>
      <c r="V528" s="37" t="n">
        <f aca="false">1000*p_r_wb/(1-(1+p_r_wb)^-Sector_Params!$D$10)/p_cpt_fuel</f>
        <v>0.871845569768514</v>
      </c>
      <c r="W528" s="16" t="n">
        <f aca="false">T528*L528</f>
        <v>0</v>
      </c>
      <c r="X528" s="16" t="n">
        <f aca="false">U528*L528</f>
        <v>0</v>
      </c>
      <c r="Y528" s="16" t="n">
        <f aca="false">V528*L528</f>
        <v>0.064278535152095</v>
      </c>
      <c r="Z528" s="16" t="n">
        <f aca="false">Q528*L528</f>
        <v>0.00616942374161785</v>
      </c>
      <c r="AA528" s="16" t="n">
        <f aca="false">R528*L528</f>
        <v>0.00695930472768008</v>
      </c>
      <c r="AB528" s="16" t="n">
        <f aca="false">S528*L528</f>
        <v>0.0064278535152095</v>
      </c>
      <c r="AC528" s="16" t="n">
        <f aca="false">Z528-W528</f>
        <v>0.00616942374161785</v>
      </c>
      <c r="AD528" s="16" t="n">
        <f aca="false">AA528-W528</f>
        <v>0.00695930472768008</v>
      </c>
      <c r="AE528" s="16" t="n">
        <f aca="false">AB528-W528</f>
        <v>0.0064278535152095</v>
      </c>
      <c r="AF528" s="16" t="n">
        <f aca="false">AE528-X528</f>
        <v>0.0064278535152095</v>
      </c>
      <c r="AG528" s="16" t="n">
        <f aca="false">AF528-p_spc_lo*Y528/1000</f>
        <v>0.00321392675760475</v>
      </c>
      <c r="AH528" s="16" t="n">
        <f aca="false">AF528-p_spc_hi*Y528/1000</f>
        <v>0</v>
      </c>
      <c r="AI528" s="16" t="n">
        <f aca="false">Q528*J528</f>
        <v>0.0162353256358364</v>
      </c>
      <c r="AJ528" s="16" t="n">
        <f aca="false">S528*J528</f>
        <v>0.0169154039873934</v>
      </c>
      <c r="AK528" s="16" t="n">
        <f aca="false">T528*J528</f>
        <v>0</v>
      </c>
      <c r="AL528" s="16" t="n">
        <f aca="false">U528*J528</f>
        <v>0</v>
      </c>
      <c r="AM528" s="16" t="n">
        <f aca="false">AI528-AJ528</f>
        <v>-0.000680078351556968</v>
      </c>
      <c r="AN528" s="16" t="n">
        <f aca="false">J528*Country_Data!$EB$79</f>
        <v>0.202715725475962</v>
      </c>
      <c r="AO528" s="16" t="n">
        <f aca="false">L528*Country_Data!$EB$79</f>
        <v>0.0770319756808656</v>
      </c>
    </row>
    <row r="529" customFormat="false" ht="15" hidden="false" customHeight="false" outlineLevel="0" collapsed="false">
      <c r="A529" s="14" t="str">
        <f aca="false">Country_Data!$A$79</f>
        <v>LUX</v>
      </c>
      <c r="B529" s="14" t="str">
        <f aca="false">Country_Data!$E$79</f>
        <v>AE</v>
      </c>
      <c r="C529" s="35" t="s">
        <v>488</v>
      </c>
      <c r="D529" s="37" t="n">
        <f aca="false">IF(Country_Data!$CE$79="","",Country_Data!$CE$79)</f>
        <v>1.006</v>
      </c>
      <c r="E529" s="40" t="n">
        <f aca="false">Country_Data!$BW$79</f>
        <v>100.798</v>
      </c>
      <c r="F529" s="41" t="n">
        <f aca="false">Country_Data!$BX$79</f>
        <v>0.925137403519911</v>
      </c>
      <c r="G529" s="42" t="n">
        <f aca="false">IF(D529="","",D529/SUMIFS($D$5:$D$1369,$B$5:$B$1369,B529,$C$5:$C$1369,C529))</f>
        <v>0.000383929314262554</v>
      </c>
      <c r="H529" s="42" t="n">
        <f aca="false">E529/SUMIFS($E$5:$E$1369,$B$5:$B$1369,B529,$C$5:$C$1369,C529)</f>
        <v>0.00127778652963419</v>
      </c>
      <c r="I529" s="43" t="n">
        <f aca="false">IF(G529="",H529,p_beta_alloc*G529+(1-p_beta_alloc)*H529)*F529^p_phi</f>
        <v>0.000799152909679256</v>
      </c>
      <c r="J529" s="16" t="n">
        <f aca="false">INDEX(Sector_Params!$C$22:$E$22,MATCH(B529,Sector_Params!$C$15:$E$15,0))*I529/SUMIFS($I$5:$I$1369,$B$5:$B$1369,B529,$C$5:$C$1369,C529)</f>
        <v>0.0309652754050052</v>
      </c>
      <c r="K529" s="28" t="n">
        <f aca="false">INDEX(Sector_Params!$F$11:$H$11,MATCH(B529,Sector_Params!$C$15:$E$15,0))</f>
        <v>0.38</v>
      </c>
      <c r="L529" s="16" t="n">
        <f aca="false">J529*K529</f>
        <v>0.011766804653902</v>
      </c>
      <c r="M529" s="44" t="n">
        <f aca="false">Country_Data!$DW$79+Sector_Params!$E$11</f>
        <v>0.055</v>
      </c>
      <c r="N529" s="44" t="n">
        <f aca="false">Country_Data!$DX$79+Sector_Params!$E$11</f>
        <v>0.07</v>
      </c>
      <c r="O529" s="11" t="n">
        <f aca="false">IF(p_use_ibrd=1,p_r_ibrd,p_r_wb)</f>
        <v>0.06</v>
      </c>
      <c r="P529" s="45" t="n">
        <f aca="false">Sector_Params!$D$11</f>
        <v>30</v>
      </c>
      <c r="Q529" s="46" t="n">
        <f aca="false">M529/(1-(1+M529)^-P529)</f>
        <v>0.0688053896793896</v>
      </c>
      <c r="R529" s="46" t="n">
        <f aca="false">N529/(1-(1+N529)^-P529)</f>
        <v>0.0805864035111112</v>
      </c>
      <c r="S529" s="46" t="n">
        <f aca="false">O529/(1-(1+O529)^-P529)</f>
        <v>0.0726489114900472</v>
      </c>
      <c r="T529" s="37" t="n">
        <f aca="false">0*Sector_Params!$I$11</f>
        <v>0</v>
      </c>
      <c r="U529" s="37" t="n">
        <f aca="false">p_c*Sector_Params!$J$11</f>
        <v>0.129</v>
      </c>
      <c r="V529" s="37" t="n">
        <f aca="false">1000*p_r_wb/(1-(1+p_r_wb)^-Sector_Params!$D$11)/p_cpt_afolu</f>
        <v>1.45297822980094</v>
      </c>
      <c r="W529" s="16" t="n">
        <f aca="false">T529*L529</f>
        <v>0</v>
      </c>
      <c r="X529" s="16" t="n">
        <f aca="false">U529*L529</f>
        <v>0.00151791780035335</v>
      </c>
      <c r="Y529" s="16" t="n">
        <f aca="false">V529*L529</f>
        <v>0.01709691099644</v>
      </c>
      <c r="Z529" s="16" t="n">
        <f aca="false">Q529*L529</f>
        <v>0.00080961957949298</v>
      </c>
      <c r="AA529" s="16" t="n">
        <f aca="false">R529*L529</f>
        <v>0.000948244467875765</v>
      </c>
      <c r="AB529" s="16" t="n">
        <f aca="false">S529*L529</f>
        <v>0.000854845549822</v>
      </c>
      <c r="AC529" s="16" t="n">
        <f aca="false">Z529-W529</f>
        <v>0.00080961957949298</v>
      </c>
      <c r="AD529" s="16" t="n">
        <f aca="false">AA529-W529</f>
        <v>0.000948244467875765</v>
      </c>
      <c r="AE529" s="16" t="n">
        <f aca="false">AB529-W529</f>
        <v>0.000854845549822</v>
      </c>
      <c r="AF529" s="16" t="n">
        <f aca="false">AE529-X529</f>
        <v>-0.000663072250531354</v>
      </c>
      <c r="AG529" s="16" t="n">
        <f aca="false">AF529-p_spc_lo*Y529/1000</f>
        <v>-0.00151791780035335</v>
      </c>
      <c r="AH529" s="16" t="n">
        <f aca="false">AF529-p_spc_hi*Y529/1000</f>
        <v>-0.00237276335017535</v>
      </c>
      <c r="AI529" s="16" t="n">
        <f aca="false">Q529*J529</f>
        <v>0.002130577840771</v>
      </c>
      <c r="AJ529" s="16" t="n">
        <f aca="false">S529*J529</f>
        <v>0.00224959355216316</v>
      </c>
      <c r="AK529" s="16" t="n">
        <f aca="false">T529*J529</f>
        <v>0</v>
      </c>
      <c r="AL529" s="16" t="n">
        <f aca="false">U529*J529</f>
        <v>0.00399452052724567</v>
      </c>
      <c r="AM529" s="16" t="n">
        <f aca="false">AI529-AJ529</f>
        <v>-0.000119015711392157</v>
      </c>
      <c r="AN529" s="16" t="n">
        <f aca="false">J529*Country_Data!$EB$79</f>
        <v>0.0323533739576433</v>
      </c>
      <c r="AO529" s="16" t="n">
        <f aca="false">L529*Country_Data!$EB$79</f>
        <v>0.0122942821039045</v>
      </c>
    </row>
    <row r="530" customFormat="false" ht="15" hidden="false" customHeight="false" outlineLevel="0" collapsed="false">
      <c r="A530" s="14" t="str">
        <f aca="false">Country_Data!$A$80</f>
        <v>HRV</v>
      </c>
      <c r="B530" s="14" t="str">
        <f aca="false">Country_Data!$E$80</f>
        <v>AE</v>
      </c>
      <c r="C530" s="35" t="s">
        <v>466</v>
      </c>
      <c r="D530" s="37" t="n">
        <f aca="false">IF(Country_Data!$BZ$80="","",Country_Data!$BZ$80)</f>
        <v>20.3279875993455</v>
      </c>
      <c r="E530" s="40" t="n">
        <f aca="false">Country_Data!$BW$80</f>
        <v>188.412</v>
      </c>
      <c r="F530" s="41" t="n">
        <f aca="false">Country_Data!$BX$80</f>
        <v>0.493360295522578</v>
      </c>
      <c r="G530" s="42" t="n">
        <f aca="false">IF(D530="","",D530/SUMIFS($D$5:$D$1369,$B$5:$B$1369,B530,$C$5:$C$1369,C530))</f>
        <v>0.00207737900230097</v>
      </c>
      <c r="H530" s="42" t="n">
        <f aca="false">E530/SUMIFS($E$5:$E$1369,$B$5:$B$1369,B530,$C$5:$C$1369,C530)</f>
        <v>0.00238844337805747</v>
      </c>
      <c r="I530" s="43" t="n">
        <f aca="false">IF(G530="",H530,p_beta_alloc*G530+(1-p_beta_alloc)*H530)*F530^p_phi</f>
        <v>0.00156838813424258</v>
      </c>
      <c r="J530" s="16" t="n">
        <f aca="false">INDEX(Sector_Params!$C$16:$E$16,MATCH(B530,Sector_Params!$C$15:$E$15,0))*I530/SUMIFS($I$5:$I$1369,$B$5:$B$1369,B530,$C$5:$C$1369,C530)</f>
        <v>1.40677408184104</v>
      </c>
      <c r="K530" s="28" t="n">
        <f aca="false">INDEX(Sector_Params!$F$5:$H$5,MATCH(B530,Sector_Params!$C$15:$E$15,0))</f>
        <v>0.38</v>
      </c>
      <c r="L530" s="16" t="n">
        <f aca="false">J530*K530</f>
        <v>0.534574151099595</v>
      </c>
      <c r="M530" s="44" t="n">
        <f aca="false">Country_Data!$DW$80+Sector_Params!$E$5</f>
        <v>0.06638</v>
      </c>
      <c r="N530" s="44" t="n">
        <f aca="false">Country_Data!$DX$80+Sector_Params!$E$5</f>
        <v>0.08138</v>
      </c>
      <c r="O530" s="11" t="n">
        <f aca="false">IF(p_use_ibrd=1,p_r_ibrd,p_r_wb)</f>
        <v>0.06</v>
      </c>
      <c r="P530" s="45" t="n">
        <f aca="false">Sector_Params!$D$5</f>
        <v>25</v>
      </c>
      <c r="Q530" s="46" t="n">
        <f aca="false">M530/(1-(1+M530)^-P530)</f>
        <v>0.0830310079543994</v>
      </c>
      <c r="R530" s="46" t="n">
        <f aca="false">N530/(1-(1+N530)^-P530)</f>
        <v>0.0947855201761475</v>
      </c>
      <c r="S530" s="46" t="n">
        <f aca="false">O530/(1-(1+O530)^-P530)</f>
        <v>0.078226718212274</v>
      </c>
      <c r="T530" s="37" t="n">
        <f aca="false">IF(AND(p_eng=1,ISNUMBER(Country_Data!$CZ$80)),Country_Data!$CZ$80,Country_Data!$CM$80)*Sector_Params!$I$5</f>
        <v>0.0427185756624282</v>
      </c>
      <c r="U530" s="37" t="n">
        <f aca="false">IF(AND(p_eng=1,ISNUMBER(Country_Data!$DA$80)),Country_Data!$DA$80,Country_Data!$CN$80)*Sector_Params!$J$5</f>
        <v>0.000867739372512695</v>
      </c>
      <c r="V530" s="37" t="n">
        <f aca="false">IF(AND(p_eng=1,ISNUMBER(Country_Data!$DB$80)),Country_Data!$DB$80,p_a)</f>
        <v>0.28775450184208</v>
      </c>
      <c r="W530" s="16" t="n">
        <f aca="false">T530*L530</f>
        <v>0.0228362463209263</v>
      </c>
      <c r="X530" s="16" t="n">
        <f aca="false">U530*L530</f>
        <v>0.000463871038436669</v>
      </c>
      <c r="Y530" s="16" t="n">
        <f aca="false">V530*L530</f>
        <v>0.153826118547317</v>
      </c>
      <c r="Z530" s="16" t="n">
        <f aca="false">Q530*L530</f>
        <v>0.0443862305921668</v>
      </c>
      <c r="AA530" s="16" t="n">
        <f aca="false">R530*L530</f>
        <v>0.0506698889846976</v>
      </c>
      <c r="AB530" s="16" t="n">
        <f aca="false">S530*L530</f>
        <v>0.0418179814816336</v>
      </c>
      <c r="AC530" s="16" t="n">
        <f aca="false">Z530-W530</f>
        <v>0.0215499842712404</v>
      </c>
      <c r="AD530" s="16" t="n">
        <f aca="false">AA530-W530</f>
        <v>0.0278336426637712</v>
      </c>
      <c r="AE530" s="16" t="n">
        <f aca="false">AB530-W530</f>
        <v>0.0189817351607072</v>
      </c>
      <c r="AF530" s="16" t="n">
        <f aca="false">AE530-X530</f>
        <v>0.0185178641222705</v>
      </c>
      <c r="AG530" s="16" t="n">
        <f aca="false">AF530-p_spc_lo*Y530/1000</f>
        <v>0.0108265581949047</v>
      </c>
      <c r="AH530" s="16" t="n">
        <f aca="false">AF530-p_spc_hi*Y530/1000</f>
        <v>0.00313525226753886</v>
      </c>
      <c r="AI530" s="16" t="n">
        <f aca="false">Q530*J530</f>
        <v>0.116805869979386</v>
      </c>
      <c r="AJ530" s="16" t="n">
        <f aca="false">S530*J530</f>
        <v>0.110047319688509</v>
      </c>
      <c r="AK530" s="16" t="n">
        <f aca="false">T530*J530</f>
        <v>0.0600953850550693</v>
      </c>
      <c r="AL530" s="16" t="n">
        <f aca="false">U530*J530</f>
        <v>0.00122071325904386</v>
      </c>
      <c r="AM530" s="16" t="n">
        <f aca="false">AI530-AJ530</f>
        <v>0.00675855029087688</v>
      </c>
      <c r="AN530" s="16" t="n">
        <f aca="false">J530*Country_Data!$EB$80</f>
        <v>1.4698363682684</v>
      </c>
      <c r="AO530" s="16" t="n">
        <f aca="false">L530*Country_Data!$EB$80</f>
        <v>0.55853781994199</v>
      </c>
    </row>
    <row r="531" customFormat="false" ht="15" hidden="false" customHeight="false" outlineLevel="0" collapsed="false">
      <c r="A531" s="14" t="str">
        <f aca="false">Country_Data!$A$80</f>
        <v>HRV</v>
      </c>
      <c r="B531" s="14" t="str">
        <f aca="false">Country_Data!$E$80</f>
        <v>AE</v>
      </c>
      <c r="C531" s="35" t="s">
        <v>470</v>
      </c>
      <c r="D531" s="37" t="n">
        <f aca="false">IF(Country_Data!$BZ$80="","",Country_Data!$BZ$80)</f>
        <v>20.3279875993455</v>
      </c>
      <c r="E531" s="40" t="n">
        <f aca="false">Country_Data!$BW$80</f>
        <v>188.412</v>
      </c>
      <c r="F531" s="41" t="n">
        <f aca="false">Country_Data!$BX$80</f>
        <v>0.493360295522578</v>
      </c>
      <c r="G531" s="42" t="n">
        <f aca="false">IF(D531="","",D531/SUMIFS($D$5:$D$1369,$B$5:$B$1369,B531,$C$5:$C$1369,C531))</f>
        <v>0.00207737900230097</v>
      </c>
      <c r="H531" s="42" t="n">
        <f aca="false">E531/SUMIFS($E$5:$E$1369,$B$5:$B$1369,B531,$C$5:$C$1369,C531)</f>
        <v>0.00238844337805747</v>
      </c>
      <c r="I531" s="43" t="n">
        <f aca="false">IF(G531="",H531,p_beta_alloc*G531+(1-p_beta_alloc)*H531)*F531^p_phi</f>
        <v>0.00156838813424258</v>
      </c>
      <c r="J531" s="16" t="n">
        <f aca="false">INDEX(Sector_Params!$C$17:$E$17,MATCH(B531,Sector_Params!$C$15:$E$15,0))*I531/SUMIFS($I$5:$I$1369,$B$5:$B$1369,B531,$C$5:$C$1369,C531)</f>
        <v>0.964645084690998</v>
      </c>
      <c r="K531" s="28" t="n">
        <f aca="false">INDEX(Sector_Params!$F$6:$H$6,MATCH(B531,Sector_Params!$C$15:$E$15,0))</f>
        <v>0.38</v>
      </c>
      <c r="L531" s="16" t="n">
        <f aca="false">J531*K531</f>
        <v>0.366565132182579</v>
      </c>
      <c r="M531" s="44" t="n">
        <f aca="false">Country_Data!$DW$80+Sector_Params!$E$6</f>
        <v>0.06638</v>
      </c>
      <c r="N531" s="44" t="n">
        <f aca="false">Country_Data!$DX$80+Sector_Params!$E$6</f>
        <v>0.08138</v>
      </c>
      <c r="O531" s="11" t="n">
        <f aca="false">IF(p_use_ibrd=1,p_r_ibrd,p_r_wb)</f>
        <v>0.06</v>
      </c>
      <c r="P531" s="45" t="n">
        <f aca="false">Sector_Params!$D$6</f>
        <v>40</v>
      </c>
      <c r="Q531" s="46" t="n">
        <f aca="false">M531/(1-(1+M531)^-P531)</f>
        <v>0.0718767883152941</v>
      </c>
      <c r="R531" s="46" t="n">
        <f aca="false">N531/(1-(1+N531)^-P531)</f>
        <v>0.0851022695424944</v>
      </c>
      <c r="S531" s="46" t="n">
        <f aca="false">O531/(1-(1+O531)^-P531)</f>
        <v>0.0664615359206755</v>
      </c>
      <c r="T531" s="37" t="n">
        <f aca="false">p_grid_credit*IF(AND(p_eng=1,ISNUMBER(Country_Data!$CZ$80)),Country_Data!$CZ$80,Country_Data!$CM$80)*Sector_Params!$I$6</f>
        <v>0</v>
      </c>
      <c r="U531" s="37" t="n">
        <f aca="false">p_grid_credit*IF(AND(p_eng=1,ISNUMBER(Country_Data!$DA$80)),Country_Data!$DA$80,Country_Data!$CN$80)*Sector_Params!$J$6</f>
        <v>0</v>
      </c>
      <c r="V531" s="37" t="n">
        <f aca="false">p_grid_credit*IF(AND(p_eng=1,ISNUMBER(Country_Data!$DB$80)),Country_Data!$DB$80,p_a)</f>
        <v>0</v>
      </c>
      <c r="W531" s="16" t="n">
        <f aca="false">T531*L531</f>
        <v>0</v>
      </c>
      <c r="X531" s="16" t="n">
        <f aca="false">U531*L531</f>
        <v>0</v>
      </c>
      <c r="Y531" s="16" t="n">
        <f aca="false">V531*L531</f>
        <v>0</v>
      </c>
      <c r="Z531" s="16" t="n">
        <f aca="false">Q531*L531</f>
        <v>0.026347524409655</v>
      </c>
      <c r="AA531" s="16" t="n">
        <f aca="false">R531*L531</f>
        <v>0.031195524683882</v>
      </c>
      <c r="AB531" s="16" t="n">
        <f aca="false">S531*L531</f>
        <v>0.0243624816998197</v>
      </c>
      <c r="AC531" s="16" t="n">
        <f aca="false">Z531-W531</f>
        <v>0.026347524409655</v>
      </c>
      <c r="AD531" s="16" t="n">
        <f aca="false">AA531-W531</f>
        <v>0.031195524683882</v>
      </c>
      <c r="AE531" s="16" t="n">
        <f aca="false">AB531-W531</f>
        <v>0.0243624816998197</v>
      </c>
      <c r="AF531" s="16" t="n">
        <f aca="false">AE531-X531</f>
        <v>0.0243624816998197</v>
      </c>
      <c r="AG531" s="16" t="n">
        <f aca="false">AF531-p_spc_lo*Y531/1000</f>
        <v>0.0243624816998197</v>
      </c>
      <c r="AH531" s="16" t="n">
        <f aca="false">AF531-p_spc_hi*Y531/1000</f>
        <v>0.0243624816998197</v>
      </c>
      <c r="AI531" s="16" t="n">
        <f aca="false">Q531*J531</f>
        <v>0.0693355905517238</v>
      </c>
      <c r="AJ531" s="16" t="n">
        <f aca="false">S531*J531</f>
        <v>0.0641117939468938</v>
      </c>
      <c r="AK531" s="16" t="n">
        <f aca="false">T531*J531</f>
        <v>0</v>
      </c>
      <c r="AL531" s="16" t="n">
        <f aca="false">U531*J531</f>
        <v>0</v>
      </c>
      <c r="AM531" s="16" t="n">
        <f aca="false">AI531-AJ531</f>
        <v>0.00522379660482997</v>
      </c>
      <c r="AN531" s="16" t="n">
        <f aca="false">J531*Country_Data!$EB$80</f>
        <v>1.00788779538404</v>
      </c>
      <c r="AO531" s="16" t="n">
        <f aca="false">L531*Country_Data!$EB$80</f>
        <v>0.382997362245936</v>
      </c>
    </row>
    <row r="532" customFormat="false" ht="15" hidden="false" customHeight="false" outlineLevel="0" collapsed="false">
      <c r="A532" s="14" t="str">
        <f aca="false">Country_Data!$A$80</f>
        <v>HRV</v>
      </c>
      <c r="B532" s="14" t="str">
        <f aca="false">Country_Data!$E$80</f>
        <v>AE</v>
      </c>
      <c r="C532" s="35" t="s">
        <v>473</v>
      </c>
      <c r="D532" s="37" t="n">
        <f aca="false">IF(Country_Data!$CA$80="","",Country_Data!$CA$80)</f>
        <v>0.107285506060391</v>
      </c>
      <c r="E532" s="40" t="n">
        <f aca="false">Country_Data!$BW$80</f>
        <v>188.412</v>
      </c>
      <c r="F532" s="41" t="n">
        <f aca="false">Country_Data!$BX$80</f>
        <v>0.493360295522578</v>
      </c>
      <c r="G532" s="42" t="n">
        <f aca="false">IF(D532="","",D532/SUMIFS($D$5:$D$1369,$B$5:$B$1369,B532,$C$5:$C$1369,C532))</f>
        <v>0.00210021784247857</v>
      </c>
      <c r="H532" s="42" t="n">
        <f aca="false">E532/SUMIFS($E$5:$E$1369,$B$5:$B$1369,B532,$C$5:$C$1369,C532)</f>
        <v>0.00238844337805747</v>
      </c>
      <c r="I532" s="43" t="n">
        <f aca="false">IF(G532="",H532,p_beta_alloc*G532+(1-p_beta_alloc)*H532)*F532^p_phi</f>
        <v>0.00157640909049287</v>
      </c>
      <c r="J532" s="16" t="n">
        <f aca="false">INDEX(Sector_Params!$C$18:$E$18,MATCH(B532,Sector_Params!$C$15:$E$15,0))*I532/SUMIFS($I$5:$I$1369,$B$5:$B$1369,B532,$C$5:$C$1369,C532)</f>
        <v>0.594074748449886</v>
      </c>
      <c r="K532" s="28" t="n">
        <f aca="false">INDEX(Sector_Params!$F$7:$H$7,MATCH(B532,Sector_Params!$C$15:$E$15,0))</f>
        <v>0.38</v>
      </c>
      <c r="L532" s="16" t="n">
        <f aca="false">J532*K532</f>
        <v>0.225748404410957</v>
      </c>
      <c r="M532" s="44" t="n">
        <f aca="false">Country_Data!$DW$80+Sector_Params!$E$7</f>
        <v>0.06638</v>
      </c>
      <c r="N532" s="44" t="n">
        <f aca="false">Country_Data!$DX$80+Sector_Params!$E$7</f>
        <v>0.08138</v>
      </c>
      <c r="O532" s="11" t="n">
        <f aca="false">IF(p_use_ibrd=1,p_r_ibrd,p_r_wb)</f>
        <v>0.06</v>
      </c>
      <c r="P532" s="45" t="n">
        <f aca="false">Sector_Params!$D$7</f>
        <v>12</v>
      </c>
      <c r="Q532" s="46" t="n">
        <f aca="false">M532/(1-(1+M532)^-P532)</f>
        <v>0.123484064380484</v>
      </c>
      <c r="R532" s="46" t="n">
        <f aca="false">N532/(1-(1+N532)^-P532)</f>
        <v>0.133645348540818</v>
      </c>
      <c r="S532" s="46" t="n">
        <f aca="false">O532/(1-(1+O532)^-P532)</f>
        <v>0.119277029380664</v>
      </c>
      <c r="T532" s="37" t="n">
        <f aca="false">IF(AND(p_eng=1,ISNUMBER(Country_Data!$DE$80)),Country_Data!$DE$80,Country_Data!$CM$80)*Sector_Params!$I$7</f>
        <v>0.1550421</v>
      </c>
      <c r="U532" s="37" t="n">
        <f aca="false">IF(AND(p_eng=1,ISNUMBER(Country_Data!$DF$80)),Country_Data!$DF$80,Country_Data!$CN$80)*Sector_Params!$J$7</f>
        <v>0.0081333</v>
      </c>
      <c r="V532" s="37" t="n">
        <f aca="false">IF(AND(p_eng=1,ISNUMBER(Country_Data!$DG$80)),Country_Data!$DG$80,p_a)</f>
        <v>0.465741576294278</v>
      </c>
      <c r="W532" s="16" t="n">
        <f aca="false">T532*L532</f>
        <v>0.035000506691524</v>
      </c>
      <c r="X532" s="16" t="n">
        <f aca="false">U532*L532</f>
        <v>0.00183607949759563</v>
      </c>
      <c r="Y532" s="16" t="n">
        <f aca="false">V532*L532</f>
        <v>0.105140417716277</v>
      </c>
      <c r="Z532" s="16" t="n">
        <f aca="false">Q532*L532</f>
        <v>0.0278763305040741</v>
      </c>
      <c r="AA532" s="16" t="n">
        <f aca="false">R532*L532</f>
        <v>0.0301702241900359</v>
      </c>
      <c r="AB532" s="16" t="n">
        <f aca="false">S532*L532</f>
        <v>0.0269265990655636</v>
      </c>
      <c r="AC532" s="16" t="n">
        <f aca="false">Z532-W532</f>
        <v>-0.00712417618744991</v>
      </c>
      <c r="AD532" s="16" t="n">
        <f aca="false">AA532-W532</f>
        <v>-0.00483028250148806</v>
      </c>
      <c r="AE532" s="16" t="n">
        <f aca="false">AB532-W532</f>
        <v>-0.00807390762596038</v>
      </c>
      <c r="AF532" s="16" t="n">
        <f aca="false">AE532-X532</f>
        <v>-0.00990998712355602</v>
      </c>
      <c r="AG532" s="16" t="n">
        <f aca="false">AF532-p_spc_lo*Y532/1000</f>
        <v>-0.0151670080093699</v>
      </c>
      <c r="AH532" s="16" t="n">
        <f aca="false">AF532-p_spc_hi*Y532/1000</f>
        <v>-0.0204240288951837</v>
      </c>
      <c r="AI532" s="16" t="n">
        <f aca="false">Q532*J532</f>
        <v>0.0733587644844054</v>
      </c>
      <c r="AJ532" s="16" t="n">
        <f aca="false">S532*J532</f>
        <v>0.0708594712251673</v>
      </c>
      <c r="AK532" s="16" t="n">
        <f aca="false">T532*J532</f>
        <v>0.092106596556642</v>
      </c>
      <c r="AL532" s="16" t="n">
        <f aca="false">U532*J532</f>
        <v>0.00483178815156746</v>
      </c>
      <c r="AM532" s="16" t="n">
        <f aca="false">AI532-AJ532</f>
        <v>0.00249929325923809</v>
      </c>
      <c r="AN532" s="16" t="n">
        <f aca="false">J532*Country_Data!$EB$80</f>
        <v>0.620705685449363</v>
      </c>
      <c r="AO532" s="16" t="n">
        <f aca="false">L532*Country_Data!$EB$80</f>
        <v>0.235868160470758</v>
      </c>
    </row>
    <row r="533" customFormat="false" ht="15" hidden="false" customHeight="false" outlineLevel="0" collapsed="false">
      <c r="A533" s="14" t="str">
        <f aca="false">Country_Data!$A$80</f>
        <v>HRV</v>
      </c>
      <c r="B533" s="14" t="str">
        <f aca="false">Country_Data!$E$80</f>
        <v>AE</v>
      </c>
      <c r="C533" s="35" t="s">
        <v>477</v>
      </c>
      <c r="D533" s="37" t="n">
        <f aca="false">IF(Country_Data!$CB$80="","",Country_Data!$CB$80)</f>
        <v>0.0829760230185016</v>
      </c>
      <c r="E533" s="40" t="n">
        <f aca="false">Country_Data!$BW$80</f>
        <v>188.412</v>
      </c>
      <c r="F533" s="41" t="n">
        <f aca="false">Country_Data!$BX$80</f>
        <v>0.493360295522578</v>
      </c>
      <c r="G533" s="42" t="n">
        <f aca="false">IF(D533="","",D533/SUMIFS($D$5:$D$1369,$B$5:$B$1369,B533,$C$5:$C$1369,C533))</f>
        <v>0.0021337373189803</v>
      </c>
      <c r="H533" s="42" t="n">
        <f aca="false">E533/SUMIFS($E$5:$E$1369,$B$5:$B$1369,B533,$C$5:$C$1369,C533)</f>
        <v>0.00238844337805747</v>
      </c>
      <c r="I533" s="43" t="n">
        <f aca="false">IF(G533="",H533,p_beta_alloc*G533+(1-p_beta_alloc)*H533)*F533^p_phi</f>
        <v>0.00158818106544704</v>
      </c>
      <c r="J533" s="16" t="n">
        <f aca="false">INDEX(Sector_Params!$C$19:$E$19,MATCH(B533,Sector_Params!$C$15:$E$15,0))*I533/SUMIFS($I$5:$I$1369,$B$5:$B$1369,B533,$C$5:$C$1369,C533)</f>
        <v>0.466856810428495</v>
      </c>
      <c r="K533" s="28" t="n">
        <f aca="false">INDEX(Sector_Params!$F$8:$H$8,MATCH(B533,Sector_Params!$C$15:$E$15,0))</f>
        <v>0.38</v>
      </c>
      <c r="L533" s="16" t="n">
        <f aca="false">J533*K533</f>
        <v>0.177405587962828</v>
      </c>
      <c r="M533" s="44" t="n">
        <f aca="false">Country_Data!$DW$80+Sector_Params!$E$8</f>
        <v>0.06638</v>
      </c>
      <c r="N533" s="44" t="n">
        <f aca="false">Country_Data!$DX$80+Sector_Params!$E$8</f>
        <v>0.08138</v>
      </c>
      <c r="O533" s="11" t="n">
        <f aca="false">IF(p_use_ibrd=1,p_r_ibrd,p_r_wb)</f>
        <v>0.06</v>
      </c>
      <c r="P533" s="45" t="n">
        <f aca="false">Sector_Params!$D$8</f>
        <v>25</v>
      </c>
      <c r="Q533" s="46" t="n">
        <f aca="false">M533/(1-(1+M533)^-P533)</f>
        <v>0.0830310079543994</v>
      </c>
      <c r="R533" s="46" t="n">
        <f aca="false">N533/(1-(1+N533)^-P533)</f>
        <v>0.0947855201761475</v>
      </c>
      <c r="S533" s="46" t="n">
        <f aca="false">O533/(1-(1+O533)^-P533)</f>
        <v>0.078226718212274</v>
      </c>
      <c r="T533" s="37" t="n">
        <f aca="false">Country_Data!$CM$80*Sector_Params!$I$8</f>
        <v>0.209463108898044</v>
      </c>
      <c r="U533" s="37" t="n">
        <f aca="false">Country_Data!$CN$80*Sector_Params!$J$8</f>
        <v>0.0596587023061295</v>
      </c>
      <c r="V533" s="37" t="n">
        <f aca="false">p_a</f>
        <v>0.35</v>
      </c>
      <c r="W533" s="16" t="n">
        <f aca="false">T533*L533</f>
        <v>0.0371599259905794</v>
      </c>
      <c r="X533" s="16" t="n">
        <f aca="false">U533*L533</f>
        <v>0.0105837871597182</v>
      </c>
      <c r="Y533" s="16" t="n">
        <f aca="false">V533*L533</f>
        <v>0.0620919557869898</v>
      </c>
      <c r="Z533" s="16" t="n">
        <f aca="false">Q533*L533</f>
        <v>0.0147301647852965</v>
      </c>
      <c r="AA533" s="16" t="n">
        <f aca="false">R533*L533</f>
        <v>0.016815480937212</v>
      </c>
      <c r="AB533" s="16" t="n">
        <f aca="false">S533*L533</f>
        <v>0.0138778569388509</v>
      </c>
      <c r="AC533" s="16" t="n">
        <f aca="false">Z533-W533</f>
        <v>-0.0224297612052829</v>
      </c>
      <c r="AD533" s="16" t="n">
        <f aca="false">AA533-W533</f>
        <v>-0.0203444450533675</v>
      </c>
      <c r="AE533" s="16" t="n">
        <f aca="false">AB533-W533</f>
        <v>-0.0232820690517285</v>
      </c>
      <c r="AF533" s="16" t="n">
        <f aca="false">AE533-X533</f>
        <v>-0.0338658562114467</v>
      </c>
      <c r="AG533" s="16" t="n">
        <f aca="false">AF533-p_spc_lo*Y533/1000</f>
        <v>-0.0369704540007962</v>
      </c>
      <c r="AH533" s="16" t="n">
        <f aca="false">AF533-p_spc_hi*Y533/1000</f>
        <v>-0.0400750517901457</v>
      </c>
      <c r="AI533" s="16" t="n">
        <f aca="false">Q533*J533</f>
        <v>0.0387635915402539</v>
      </c>
      <c r="AJ533" s="16" t="n">
        <f aca="false">S533*J533</f>
        <v>0.0365206761548709</v>
      </c>
      <c r="AK533" s="16" t="n">
        <f aca="false">T533*J533</f>
        <v>0.0977892789225774</v>
      </c>
      <c r="AL533" s="16" t="n">
        <f aca="false">U533*J533</f>
        <v>0.0278520714729427</v>
      </c>
      <c r="AM533" s="16" t="n">
        <f aca="false">AI533-AJ533</f>
        <v>0.00224291538538304</v>
      </c>
      <c r="AN533" s="16" t="n">
        <f aca="false">J533*Country_Data!$EB$80</f>
        <v>0.487784874344255</v>
      </c>
      <c r="AO533" s="16" t="n">
        <f aca="false">L533*Country_Data!$EB$80</f>
        <v>0.185358252250817</v>
      </c>
    </row>
    <row r="534" customFormat="false" ht="15" hidden="false" customHeight="false" outlineLevel="0" collapsed="false">
      <c r="A534" s="14" t="str">
        <f aca="false">Country_Data!$A$80</f>
        <v>HRV</v>
      </c>
      <c r="B534" s="14" t="str">
        <f aca="false">Country_Data!$E$80</f>
        <v>AE</v>
      </c>
      <c r="C534" s="35" t="s">
        <v>481</v>
      </c>
      <c r="D534" s="37" t="n">
        <f aca="false">IF(Country_Data!$CC$80="","",Country_Data!$CC$80)</f>
        <v>0.0900166762435738</v>
      </c>
      <c r="E534" s="40" t="n">
        <f aca="false">Country_Data!$BW$80</f>
        <v>188.412</v>
      </c>
      <c r="F534" s="41" t="n">
        <f aca="false">Country_Data!$BX$80</f>
        <v>0.493360295522578</v>
      </c>
      <c r="G534" s="42" t="n">
        <f aca="false">IF(D534="","",D534/SUMIFS($D$5:$D$1369,$B$5:$B$1369,B534,$C$5:$C$1369,C534))</f>
        <v>0.00163901131000214</v>
      </c>
      <c r="H534" s="42" t="n">
        <f aca="false">E534/SUMIFS($E$5:$E$1369,$B$5:$B$1369,B534,$C$5:$C$1369,C534)</f>
        <v>0.00238844337805747</v>
      </c>
      <c r="I534" s="43" t="n">
        <f aca="false">IF(G534="",H534,p_beta_alloc*G534+(1-p_beta_alloc)*H534)*F534^p_phi</f>
        <v>0.0014144342533044</v>
      </c>
      <c r="J534" s="16" t="n">
        <f aca="false">INDEX(Sector_Params!$C$20:$E$20,MATCH(B534,Sector_Params!$C$15:$E$15,0))*I534/SUMIFS($I$5:$I$1369,$B$5:$B$1369,B534,$C$5:$C$1369,C534)</f>
        <v>0.240195479130839</v>
      </c>
      <c r="K534" s="28" t="n">
        <f aca="false">INDEX(Sector_Params!$F$9:$H$9,MATCH(B534,Sector_Params!$C$15:$E$15,0))</f>
        <v>0.38</v>
      </c>
      <c r="L534" s="16" t="n">
        <f aca="false">J534*K534</f>
        <v>0.0912742820697187</v>
      </c>
      <c r="M534" s="44" t="n">
        <f aca="false">Country_Data!$DW$80+Sector_Params!$E$9</f>
        <v>0.06638</v>
      </c>
      <c r="N534" s="44" t="n">
        <f aca="false">Country_Data!$DX$80+Sector_Params!$E$9</f>
        <v>0.08138</v>
      </c>
      <c r="O534" s="11" t="n">
        <f aca="false">IF(p_use_ibrd=1,p_r_ibrd,p_r_wb)</f>
        <v>0.06</v>
      </c>
      <c r="P534" s="45" t="n">
        <f aca="false">Sector_Params!$D$9</f>
        <v>25</v>
      </c>
      <c r="Q534" s="46" t="n">
        <f aca="false">M534/(1-(1+M534)^-P534)</f>
        <v>0.0830310079543994</v>
      </c>
      <c r="R534" s="46" t="n">
        <f aca="false">N534/(1-(1+N534)^-P534)</f>
        <v>0.0947855201761475</v>
      </c>
      <c r="S534" s="46" t="n">
        <f aca="false">O534/(1-(1+O534)^-P534)</f>
        <v>0.078226718212274</v>
      </c>
      <c r="T534" s="37" t="n">
        <f aca="false">Country_Data!$CM$80*Sector_Params!$I$9</f>
        <v>0.209463108898044</v>
      </c>
      <c r="U534" s="37" t="n">
        <f aca="false">Country_Data!$CN$80*Sector_Params!$J$9</f>
        <v>0.0596587023061295</v>
      </c>
      <c r="V534" s="37" t="n">
        <f aca="false">p_a</f>
        <v>0.35</v>
      </c>
      <c r="W534" s="16" t="n">
        <f aca="false">T534*L534</f>
        <v>0.0191185948847603</v>
      </c>
      <c r="X534" s="16" t="n">
        <f aca="false">U534*L534</f>
        <v>0.00544530522220304</v>
      </c>
      <c r="Y534" s="16" t="n">
        <f aca="false">V534*L534</f>
        <v>0.0319459987244015</v>
      </c>
      <c r="Z534" s="16" t="n">
        <f aca="false">Q534*L534</f>
        <v>0.00757859564056291</v>
      </c>
      <c r="AA534" s="16" t="n">
        <f aca="false">R534*L534</f>
        <v>0.0086514803046827</v>
      </c>
      <c r="AB534" s="16" t="n">
        <f aca="false">S534*L534</f>
        <v>0.00714008754349549</v>
      </c>
      <c r="AC534" s="16" t="n">
        <f aca="false">Z534-W534</f>
        <v>-0.0115399992441974</v>
      </c>
      <c r="AD534" s="16" t="n">
        <f aca="false">AA534-W534</f>
        <v>-0.0104671145800776</v>
      </c>
      <c r="AE534" s="16" t="n">
        <f aca="false">AB534-W534</f>
        <v>-0.0119785073412648</v>
      </c>
      <c r="AF534" s="16" t="n">
        <f aca="false">AE534-X534</f>
        <v>-0.0174238125634678</v>
      </c>
      <c r="AG534" s="16" t="n">
        <f aca="false">AF534-p_spc_lo*Y534/1000</f>
        <v>-0.0190211124996879</v>
      </c>
      <c r="AH534" s="16" t="n">
        <f aca="false">AF534-p_spc_hi*Y534/1000</f>
        <v>-0.020618412435908</v>
      </c>
      <c r="AI534" s="16" t="n">
        <f aca="false">Q534*J534</f>
        <v>0.0199436727383234</v>
      </c>
      <c r="AJ534" s="16" t="n">
        <f aca="false">S534*J534</f>
        <v>0.0187897040618302</v>
      </c>
      <c r="AK534" s="16" t="n">
        <f aca="false">T534*J534</f>
        <v>0.0503120918020008</v>
      </c>
      <c r="AL534" s="16" t="n">
        <f aca="false">U534*J534</f>
        <v>0.0143297505847448</v>
      </c>
      <c r="AM534" s="16" t="n">
        <f aca="false">AI534-AJ534</f>
        <v>0.0011539686764932</v>
      </c>
      <c r="AN534" s="16" t="n">
        <f aca="false">J534*Country_Data!$EB$80</f>
        <v>0.250962862678083</v>
      </c>
      <c r="AO534" s="16" t="n">
        <f aca="false">L534*Country_Data!$EB$80</f>
        <v>0.0953658878176716</v>
      </c>
    </row>
    <row r="535" customFormat="false" ht="15" hidden="false" customHeight="false" outlineLevel="0" collapsed="false">
      <c r="A535" s="14" t="str">
        <f aca="false">Country_Data!$A$80</f>
        <v>HRV</v>
      </c>
      <c r="B535" s="14" t="str">
        <f aca="false">Country_Data!$E$80</f>
        <v>AE</v>
      </c>
      <c r="C535" s="35" t="s">
        <v>484</v>
      </c>
      <c r="D535" s="37" t="n">
        <f aca="false">IF(Country_Data!$CD$80="","",Country_Data!$CD$80)</f>
        <v>0.238794244224383</v>
      </c>
      <c r="E535" s="40" t="n">
        <f aca="false">Country_Data!$BW$80</f>
        <v>188.412</v>
      </c>
      <c r="F535" s="41" t="n">
        <f aca="false">Country_Data!$BX$80</f>
        <v>0.493360295522578</v>
      </c>
      <c r="G535" s="42" t="n">
        <f aca="false">IF(D535="","",D535/SUMIFS($D$5:$D$1369,$B$5:$B$1369,B535,$C$5:$C$1369,C535))</f>
        <v>0.00161565621276934</v>
      </c>
      <c r="H535" s="42" t="n">
        <f aca="false">E535/SUMIFS($E$5:$E$1369,$B$5:$B$1369,B535,$C$5:$C$1369,C535)</f>
        <v>0.00238844337805747</v>
      </c>
      <c r="I535" s="43" t="n">
        <f aca="false">IF(G535="",H535,p_beta_alloc*G535+(1-p_beta_alloc)*H535)*F535^p_phi</f>
        <v>0.00140623198858041</v>
      </c>
      <c r="J535" s="16" t="n">
        <f aca="false">INDEX(Sector_Params!$C$21:$E$21,MATCH(B535,Sector_Params!$C$15:$E$15,0))*I535/SUMIFS($I$5:$I$1369,$B$5:$B$1369,B535,$C$5:$C$1369,C535)</f>
        <v>0.286519396054831</v>
      </c>
      <c r="K535" s="28" t="n">
        <f aca="false">INDEX(Sector_Params!$F$10:$H$10,MATCH(B535,Sector_Params!$C$15:$E$15,0))</f>
        <v>0.38</v>
      </c>
      <c r="L535" s="16" t="n">
        <f aca="false">J535*K535</f>
        <v>0.108877370500836</v>
      </c>
      <c r="M535" s="44" t="n">
        <f aca="false">Country_Data!$DW$80+Sector_Params!$E$10</f>
        <v>0.06638</v>
      </c>
      <c r="N535" s="44" t="n">
        <f aca="false">Country_Data!$DX$80+Sector_Params!$E$10</f>
        <v>0.08138</v>
      </c>
      <c r="O535" s="11" t="n">
        <f aca="false">IF(p_use_ibrd=1,p_r_ibrd,p_r_wb)</f>
        <v>0.06</v>
      </c>
      <c r="P535" s="45" t="n">
        <f aca="false">Sector_Params!$D$10</f>
        <v>20</v>
      </c>
      <c r="Q535" s="46" t="n">
        <f aca="false">M535/(1-(1+M535)^-P535)</f>
        <v>0.0917536967809578</v>
      </c>
      <c r="R535" s="46" t="n">
        <f aca="false">N535/(1-(1+N535)^-P535)</f>
        <v>0.102900403880542</v>
      </c>
      <c r="S535" s="46" t="n">
        <f aca="false">O535/(1-(1+O535)^-P535)</f>
        <v>0.0871845569768514</v>
      </c>
      <c r="T535" s="37" t="n">
        <f aca="false">0*Sector_Params!$I$10</f>
        <v>0</v>
      </c>
      <c r="U535" s="37" t="n">
        <f aca="false">0*Sector_Params!$J$10</f>
        <v>0</v>
      </c>
      <c r="V535" s="37" t="n">
        <f aca="false">1000*p_r_wb/(1-(1+p_r_wb)^-Sector_Params!$D$10)/p_cpt_fuel</f>
        <v>0.871845569768514</v>
      </c>
      <c r="W535" s="16" t="n">
        <f aca="false">T535*L535</f>
        <v>0</v>
      </c>
      <c r="X535" s="16" t="n">
        <f aca="false">U535*L535</f>
        <v>0</v>
      </c>
      <c r="Y535" s="16" t="n">
        <f aca="false">V535*L535</f>
        <v>0.0949242531191989</v>
      </c>
      <c r="Z535" s="16" t="n">
        <f aca="false">Q535*L535</f>
        <v>0.00998990123924169</v>
      </c>
      <c r="AA535" s="16" t="n">
        <f aca="false">R535*L535</f>
        <v>0.0112035253979874</v>
      </c>
      <c r="AB535" s="16" t="n">
        <f aca="false">S535*L535</f>
        <v>0.00949242531191988</v>
      </c>
      <c r="AC535" s="16" t="n">
        <f aca="false">Z535-W535</f>
        <v>0.00998990123924169</v>
      </c>
      <c r="AD535" s="16" t="n">
        <f aca="false">AA535-W535</f>
        <v>0.0112035253979874</v>
      </c>
      <c r="AE535" s="16" t="n">
        <f aca="false">AB535-W535</f>
        <v>0.00949242531191988</v>
      </c>
      <c r="AF535" s="16" t="n">
        <f aca="false">AE535-X535</f>
        <v>0.00949242531191988</v>
      </c>
      <c r="AG535" s="16" t="n">
        <f aca="false">AF535-p_spc_lo*Y535/1000</f>
        <v>0.00474621265595994</v>
      </c>
      <c r="AH535" s="16" t="n">
        <f aca="false">AF535-p_spc_hi*Y535/1000</f>
        <v>0</v>
      </c>
      <c r="AI535" s="16" t="n">
        <f aca="false">Q535*J535</f>
        <v>0.0262892137874781</v>
      </c>
      <c r="AJ535" s="16" t="n">
        <f aca="false">S535*J535</f>
        <v>0.0249800666103155</v>
      </c>
      <c r="AK535" s="16" t="n">
        <f aca="false">T535*J535</f>
        <v>0</v>
      </c>
      <c r="AL535" s="16" t="n">
        <f aca="false">U535*J535</f>
        <v>0</v>
      </c>
      <c r="AM535" s="16" t="n">
        <f aca="false">AI535-AJ535</f>
        <v>0.00130914717716264</v>
      </c>
      <c r="AN535" s="16" t="n">
        <f aca="false">J535*Country_Data!$EB$80</f>
        <v>0.299363368981427</v>
      </c>
      <c r="AO535" s="16" t="n">
        <f aca="false">L535*Country_Data!$EB$80</f>
        <v>0.113758080212942</v>
      </c>
    </row>
    <row r="536" customFormat="false" ht="15" hidden="false" customHeight="false" outlineLevel="0" collapsed="false">
      <c r="A536" s="14" t="str">
        <f aca="false">Country_Data!$A$80</f>
        <v>HRV</v>
      </c>
      <c r="B536" s="14" t="str">
        <f aca="false">Country_Data!$E$80</f>
        <v>AE</v>
      </c>
      <c r="C536" s="35" t="s">
        <v>488</v>
      </c>
      <c r="D536" s="37" t="n">
        <f aca="false">IF(Country_Data!$CE$80="","",Country_Data!$CE$80)</f>
        <v>7.582</v>
      </c>
      <c r="E536" s="40" t="n">
        <f aca="false">Country_Data!$BW$80</f>
        <v>188.412</v>
      </c>
      <c r="F536" s="41" t="n">
        <f aca="false">Country_Data!$BX$80</f>
        <v>0.493360295522578</v>
      </c>
      <c r="G536" s="42" t="n">
        <f aca="false">IF(D536="","",D536/SUMIFS($D$5:$D$1369,$B$5:$B$1369,B536,$C$5:$C$1369,C536))</f>
        <v>0.00289359051763289</v>
      </c>
      <c r="H536" s="42" t="n">
        <f aca="false">E536/SUMIFS($E$5:$E$1369,$B$5:$B$1369,B536,$C$5:$C$1369,C536)</f>
        <v>0.00238844337805747</v>
      </c>
      <c r="I536" s="43" t="n">
        <f aca="false">IF(G536="",H536,p_beta_alloc*G536+(1-p_beta_alloc)*H536)*F536^p_phi</f>
        <v>0.00185504003094789</v>
      </c>
      <c r="J536" s="16" t="n">
        <f aca="false">INDEX(Sector_Params!$C$22:$E$22,MATCH(B536,Sector_Params!$C$15:$E$15,0))*I536/SUMIFS($I$5:$I$1369,$B$5:$B$1369,B536,$C$5:$C$1369,C536)</f>
        <v>0.0718783911688005</v>
      </c>
      <c r="K536" s="28" t="n">
        <f aca="false">INDEX(Sector_Params!$F$11:$H$11,MATCH(B536,Sector_Params!$C$15:$E$15,0))</f>
        <v>0.38</v>
      </c>
      <c r="L536" s="16" t="n">
        <f aca="false">J536*K536</f>
        <v>0.0273137886441442</v>
      </c>
      <c r="M536" s="44" t="n">
        <f aca="false">Country_Data!$DW$80+Sector_Params!$E$11</f>
        <v>0.06638</v>
      </c>
      <c r="N536" s="44" t="n">
        <f aca="false">Country_Data!$DX$80+Sector_Params!$E$11</f>
        <v>0.08138</v>
      </c>
      <c r="O536" s="11" t="n">
        <f aca="false">IF(p_use_ibrd=1,p_r_ibrd,p_r_wb)</f>
        <v>0.06</v>
      </c>
      <c r="P536" s="45" t="n">
        <f aca="false">Sector_Params!$D$11</f>
        <v>30</v>
      </c>
      <c r="Q536" s="46" t="n">
        <f aca="false">M536/(1-(1+M536)^-P536)</f>
        <v>0.0776760739969684</v>
      </c>
      <c r="R536" s="46" t="n">
        <f aca="false">N536/(1-(1+N536)^-P536)</f>
        <v>0.0899865174139645</v>
      </c>
      <c r="S536" s="46" t="n">
        <f aca="false">O536/(1-(1+O536)^-P536)</f>
        <v>0.0726489114900472</v>
      </c>
      <c r="T536" s="37" t="n">
        <f aca="false">0*Sector_Params!$I$11</f>
        <v>0</v>
      </c>
      <c r="U536" s="37" t="n">
        <f aca="false">p_c*Sector_Params!$J$11</f>
        <v>0.129</v>
      </c>
      <c r="V536" s="37" t="n">
        <f aca="false">1000*p_r_wb/(1-(1+p_r_wb)^-Sector_Params!$D$11)/p_cpt_afolu</f>
        <v>1.45297822980094</v>
      </c>
      <c r="W536" s="16" t="n">
        <f aca="false">T536*L536</f>
        <v>0</v>
      </c>
      <c r="X536" s="16" t="n">
        <f aca="false">U536*L536</f>
        <v>0.0035234787350946</v>
      </c>
      <c r="Y536" s="16" t="n">
        <f aca="false">V536*L536</f>
        <v>0.0396863402733257</v>
      </c>
      <c r="Z536" s="16" t="n">
        <f aca="false">Q536*L536</f>
        <v>0.0021216278678601</v>
      </c>
      <c r="AA536" s="16" t="n">
        <f aca="false">R536*L536</f>
        <v>0.00245787271746763</v>
      </c>
      <c r="AB536" s="16" t="n">
        <f aca="false">S536*L536</f>
        <v>0.00198431701366629</v>
      </c>
      <c r="AC536" s="16" t="n">
        <f aca="false">Z536-W536</f>
        <v>0.0021216278678601</v>
      </c>
      <c r="AD536" s="16" t="n">
        <f aca="false">AA536-W536</f>
        <v>0.00245787271746763</v>
      </c>
      <c r="AE536" s="16" t="n">
        <f aca="false">AB536-W536</f>
        <v>0.00198431701366629</v>
      </c>
      <c r="AF536" s="16" t="n">
        <f aca="false">AE536-X536</f>
        <v>-0.00153916172142831</v>
      </c>
      <c r="AG536" s="16" t="n">
        <f aca="false">AF536-p_spc_lo*Y536/1000</f>
        <v>-0.0035234787350946</v>
      </c>
      <c r="AH536" s="16" t="n">
        <f aca="false">AF536-p_spc_hi*Y536/1000</f>
        <v>-0.00550779574876089</v>
      </c>
      <c r="AI536" s="16" t="n">
        <f aca="false">Q536*J536</f>
        <v>0.00558323123121079</v>
      </c>
      <c r="AJ536" s="16" t="n">
        <f aca="false">S536*J536</f>
        <v>0.00522188687806918</v>
      </c>
      <c r="AK536" s="16" t="n">
        <f aca="false">T536*J536</f>
        <v>0</v>
      </c>
      <c r="AL536" s="16" t="n">
        <f aca="false">U536*J536</f>
        <v>0.00927231246077526</v>
      </c>
      <c r="AM536" s="16" t="n">
        <f aca="false">AI536-AJ536</f>
        <v>0.000361344353141609</v>
      </c>
      <c r="AN536" s="16" t="n">
        <f aca="false">J536*Country_Data!$EB$80</f>
        <v>0.0751005259453329</v>
      </c>
      <c r="AO536" s="16" t="n">
        <f aca="false">L536*Country_Data!$EB$80</f>
        <v>0.0285381998592265</v>
      </c>
    </row>
    <row r="537" customFormat="false" ht="15" hidden="false" customHeight="false" outlineLevel="0" collapsed="false">
      <c r="A537" s="14" t="str">
        <f aca="false">Country_Data!$A$81</f>
        <v>SRB</v>
      </c>
      <c r="B537" s="14" t="str">
        <f aca="false">Country_Data!$E$81</f>
        <v>EMDC</v>
      </c>
      <c r="C537" s="35" t="s">
        <v>466</v>
      </c>
      <c r="D537" s="37" t="n">
        <f aca="false">IF(Country_Data!$BZ$81="","",Country_Data!$BZ$81)</f>
        <v>34.1600828054507</v>
      </c>
      <c r="E537" s="40" t="n">
        <f aca="false">Country_Data!$BW$81</f>
        <v>203.96</v>
      </c>
      <c r="F537" s="41" t="n">
        <f aca="false">Country_Data!$BX$81</f>
        <v>0.441694449892136</v>
      </c>
      <c r="G537" s="42" t="n">
        <f aca="false">IF(D537="","",D537/SUMIFS($D$5:$D$1369,$B$5:$B$1369,B537,$C$5:$C$1369,C537))</f>
        <v>0.00389978799950652</v>
      </c>
      <c r="H537" s="42" t="n">
        <f aca="false">E537/SUMIFS($E$5:$E$1369,$B$5:$B$1369,B537,$C$5:$C$1369,C537)</f>
        <v>0.00252638703243539</v>
      </c>
      <c r="I537" s="43" t="n">
        <f aca="false">IF(G537="",H537,p_beta_alloc*G537+(1-p_beta_alloc)*H537)*F537^p_phi</f>
        <v>0.00213542108118027</v>
      </c>
      <c r="J537" s="16" t="n">
        <f aca="false">INDEX(Sector_Params!$C$16:$E$16,MATCH(B537,Sector_Params!$C$15:$E$15,0))*I537/SUMIFS($I$5:$I$1369,$B$5:$B$1369,B537,$C$5:$C$1369,C537)</f>
        <v>2.06543340730954</v>
      </c>
      <c r="K537" s="28" t="n">
        <f aca="false">INDEX(Sector_Params!$F$5:$H$5,MATCH(B537,Sector_Params!$C$15:$E$15,0))</f>
        <v>0.24</v>
      </c>
      <c r="L537" s="16" t="n">
        <f aca="false">J537*K537</f>
        <v>0.495704017754289</v>
      </c>
      <c r="M537" s="44" t="n">
        <f aca="false">Country_Data!$DW$81+Sector_Params!$E$5</f>
        <v>0.105</v>
      </c>
      <c r="N537" s="44" t="n">
        <f aca="false">Country_Data!$DX$81+Sector_Params!$E$5</f>
        <v>0.15</v>
      </c>
      <c r="O537" s="11" t="n">
        <f aca="false">IF(p_use_ibrd=1,p_r_ibrd,p_r_wb)</f>
        <v>0.06</v>
      </c>
      <c r="P537" s="45" t="n">
        <f aca="false">Sector_Params!$D$5</f>
        <v>25</v>
      </c>
      <c r="Q537" s="46" t="n">
        <f aca="false">M537/(1-(1+M537)^-P537)</f>
        <v>0.114429319813103</v>
      </c>
      <c r="R537" s="46" t="n">
        <f aca="false">N537/(1-(1+N537)^-P537)</f>
        <v>0.154699402320206</v>
      </c>
      <c r="S537" s="46" t="n">
        <f aca="false">O537/(1-(1+O537)^-P537)</f>
        <v>0.078226718212274</v>
      </c>
      <c r="T537" s="37" t="n">
        <f aca="false">IF(AND(p_eng=1,ISNUMBER(Country_Data!$CZ$81)),Country_Data!$CZ$81,Country_Data!$CM$81)*Sector_Params!$I$5</f>
        <v>0.0404391940246267</v>
      </c>
      <c r="U537" s="37" t="n">
        <f aca="false">IF(AND(p_eng=1,ISNUMBER(Country_Data!$DA$81)),Country_Data!$DA$81,Country_Data!$CN$81)*Sector_Params!$J$5</f>
        <v>0.0200275518378896</v>
      </c>
      <c r="V537" s="37" t="n">
        <f aca="false">IF(AND(p_eng=1,ISNUMBER(Country_Data!$DB$81)),Country_Data!$DB$81,p_a)</f>
        <v>1.48780969829974</v>
      </c>
      <c r="W537" s="16" t="n">
        <f aca="false">T537*L537</f>
        <v>0.0200458709527527</v>
      </c>
      <c r="X537" s="16" t="n">
        <f aca="false">U537*L537</f>
        <v>0.00992773791182416</v>
      </c>
      <c r="Y537" s="16" t="n">
        <f aca="false">V537*L537</f>
        <v>0.737513245100979</v>
      </c>
      <c r="Z537" s="16" t="n">
        <f aca="false">Q537*L537</f>
        <v>0.0567230735802458</v>
      </c>
      <c r="AA537" s="16" t="n">
        <f aca="false">R537*L537</f>
        <v>0.0766851152743136</v>
      </c>
      <c r="AB537" s="16" t="n">
        <f aca="false">S537*L537</f>
        <v>0.0387772985135568</v>
      </c>
      <c r="AC537" s="16" t="n">
        <f aca="false">Z537-W537</f>
        <v>0.0366772026274931</v>
      </c>
      <c r="AD537" s="16" t="n">
        <f aca="false">AA537-W537</f>
        <v>0.0566392443215609</v>
      </c>
      <c r="AE537" s="16" t="n">
        <f aca="false">AB537-W537</f>
        <v>0.0187314275608041</v>
      </c>
      <c r="AF537" s="16" t="n">
        <f aca="false">AE537-X537</f>
        <v>0.00880368964897997</v>
      </c>
      <c r="AG537" s="16" t="n">
        <f aca="false">AF537-p_spc_lo*Y537/1000</f>
        <v>-0.028071972606069</v>
      </c>
      <c r="AH537" s="16" t="n">
        <f aca="false">AF537-p_spc_hi*Y537/1000</f>
        <v>-0.0649476348611179</v>
      </c>
      <c r="AI537" s="16" t="n">
        <f aca="false">Q537*J537</f>
        <v>0.236346139917691</v>
      </c>
      <c r="AJ537" s="16" t="n">
        <f aca="false">S537*J537</f>
        <v>0.16157207713982</v>
      </c>
      <c r="AK537" s="16" t="n">
        <f aca="false">T537*J537</f>
        <v>0.0835244623031363</v>
      </c>
      <c r="AL537" s="16" t="n">
        <f aca="false">U537*J537</f>
        <v>0.0413655746326007</v>
      </c>
      <c r="AM537" s="16" t="n">
        <f aca="false">AI537-AJ537</f>
        <v>0.0747740627778708</v>
      </c>
      <c r="AN537" s="16" t="n">
        <f aca="false">J537*Country_Data!$EB$81</f>
        <v>2.52014897915133</v>
      </c>
      <c r="AO537" s="16" t="n">
        <f aca="false">L537*Country_Data!$EB$81</f>
        <v>0.604835754996319</v>
      </c>
    </row>
    <row r="538" customFormat="false" ht="15" hidden="false" customHeight="false" outlineLevel="0" collapsed="false">
      <c r="A538" s="14" t="str">
        <f aca="false">Country_Data!$A$81</f>
        <v>SRB</v>
      </c>
      <c r="B538" s="14" t="str">
        <f aca="false">Country_Data!$E$81</f>
        <v>EMDC</v>
      </c>
      <c r="C538" s="35" t="s">
        <v>470</v>
      </c>
      <c r="D538" s="37" t="n">
        <f aca="false">IF(Country_Data!$BZ$81="","",Country_Data!$BZ$81)</f>
        <v>34.1600828054507</v>
      </c>
      <c r="E538" s="40" t="n">
        <f aca="false">Country_Data!$BW$81</f>
        <v>203.96</v>
      </c>
      <c r="F538" s="41" t="n">
        <f aca="false">Country_Data!$BX$81</f>
        <v>0.441694449892136</v>
      </c>
      <c r="G538" s="42" t="n">
        <f aca="false">IF(D538="","",D538/SUMIFS($D$5:$D$1369,$B$5:$B$1369,B538,$C$5:$C$1369,C538))</f>
        <v>0.00389978799950652</v>
      </c>
      <c r="H538" s="42" t="n">
        <f aca="false">E538/SUMIFS($E$5:$E$1369,$B$5:$B$1369,B538,$C$5:$C$1369,C538)</f>
        <v>0.00252638703243539</v>
      </c>
      <c r="I538" s="43" t="n">
        <f aca="false">IF(G538="",H538,p_beta_alloc*G538+(1-p_beta_alloc)*H538)*F538^p_phi</f>
        <v>0.00213542108118027</v>
      </c>
      <c r="J538" s="16" t="n">
        <f aca="false">INDEX(Sector_Params!$C$17:$E$17,MATCH(B538,Sector_Params!$C$15:$E$15,0))*I538/SUMIFS($I$5:$I$1369,$B$5:$B$1369,B538,$C$5:$C$1369,C538)</f>
        <v>1.41629719358368</v>
      </c>
      <c r="K538" s="28" t="n">
        <f aca="false">INDEX(Sector_Params!$F$6:$H$6,MATCH(B538,Sector_Params!$C$15:$E$15,0))</f>
        <v>0.24</v>
      </c>
      <c r="L538" s="16" t="n">
        <f aca="false">J538*K538</f>
        <v>0.339911326460084</v>
      </c>
      <c r="M538" s="44" t="n">
        <f aca="false">Country_Data!$DW$81+Sector_Params!$E$6</f>
        <v>0.105</v>
      </c>
      <c r="N538" s="44" t="n">
        <f aca="false">Country_Data!$DX$81+Sector_Params!$E$6</f>
        <v>0.15</v>
      </c>
      <c r="O538" s="11" t="n">
        <f aca="false">IF(p_use_ibrd=1,p_r_ibrd,p_r_wb)</f>
        <v>0.06</v>
      </c>
      <c r="P538" s="45" t="n">
        <f aca="false">Sector_Params!$D$6</f>
        <v>40</v>
      </c>
      <c r="Q538" s="46" t="n">
        <f aca="false">M538/(1-(1+M538)^-P538)</f>
        <v>0.10697140835497</v>
      </c>
      <c r="R538" s="46" t="n">
        <f aca="false">N538/(1-(1+N538)^-P538)</f>
        <v>0.150562085013545</v>
      </c>
      <c r="S538" s="46" t="n">
        <f aca="false">O538/(1-(1+O538)^-P538)</f>
        <v>0.0664615359206755</v>
      </c>
      <c r="T538" s="37" t="n">
        <f aca="false">p_grid_credit*IF(AND(p_eng=1,ISNUMBER(Country_Data!$CZ$81)),Country_Data!$CZ$81,Country_Data!$CM$81)*Sector_Params!$I$6</f>
        <v>0</v>
      </c>
      <c r="U538" s="37" t="n">
        <f aca="false">p_grid_credit*IF(AND(p_eng=1,ISNUMBER(Country_Data!$DA$81)),Country_Data!$DA$81,Country_Data!$CN$81)*Sector_Params!$J$6</f>
        <v>0</v>
      </c>
      <c r="V538" s="37" t="n">
        <f aca="false">p_grid_credit*IF(AND(p_eng=1,ISNUMBER(Country_Data!$DB$81)),Country_Data!$DB$81,p_a)</f>
        <v>0</v>
      </c>
      <c r="W538" s="16" t="n">
        <f aca="false">T538*L538</f>
        <v>0</v>
      </c>
      <c r="X538" s="16" t="n">
        <f aca="false">U538*L538</f>
        <v>0</v>
      </c>
      <c r="Y538" s="16" t="n">
        <f aca="false">V538*L538</f>
        <v>0</v>
      </c>
      <c r="Z538" s="16" t="n">
        <f aca="false">Q538*L538</f>
        <v>0.0363607933072413</v>
      </c>
      <c r="AA538" s="16" t="n">
        <f aca="false">R538*L538</f>
        <v>0.05117775803155</v>
      </c>
      <c r="AB538" s="16" t="n">
        <f aca="false">S538*L538</f>
        <v>0.0225910288333713</v>
      </c>
      <c r="AC538" s="16" t="n">
        <f aca="false">Z538-W538</f>
        <v>0.0363607933072413</v>
      </c>
      <c r="AD538" s="16" t="n">
        <f aca="false">AA538-W538</f>
        <v>0.05117775803155</v>
      </c>
      <c r="AE538" s="16" t="n">
        <f aca="false">AB538-W538</f>
        <v>0.0225910288333713</v>
      </c>
      <c r="AF538" s="16" t="n">
        <f aca="false">AE538-X538</f>
        <v>0.0225910288333713</v>
      </c>
      <c r="AG538" s="16" t="n">
        <f aca="false">AF538-p_spc_lo*Y538/1000</f>
        <v>0.0225910288333713</v>
      </c>
      <c r="AH538" s="16" t="n">
        <f aca="false">AF538-p_spc_hi*Y538/1000</f>
        <v>0.0225910288333713</v>
      </c>
      <c r="AI538" s="16" t="n">
        <f aca="false">Q538*J538</f>
        <v>0.151503305446839</v>
      </c>
      <c r="AJ538" s="16" t="n">
        <f aca="false">S538*J538</f>
        <v>0.0941292868057139</v>
      </c>
      <c r="AK538" s="16" t="n">
        <f aca="false">T538*J538</f>
        <v>0</v>
      </c>
      <c r="AL538" s="16" t="n">
        <f aca="false">U538*J538</f>
        <v>0</v>
      </c>
      <c r="AM538" s="16" t="n">
        <f aca="false">AI538-AJ538</f>
        <v>0.0573740186411248</v>
      </c>
      <c r="AN538" s="16" t="n">
        <f aca="false">J538*Country_Data!$EB$81</f>
        <v>1.72810215713234</v>
      </c>
      <c r="AO538" s="16" t="n">
        <f aca="false">L538*Country_Data!$EB$81</f>
        <v>0.414744517711761</v>
      </c>
    </row>
    <row r="539" customFormat="false" ht="15" hidden="false" customHeight="false" outlineLevel="0" collapsed="false">
      <c r="A539" s="14" t="str">
        <f aca="false">Country_Data!$A$81</f>
        <v>SRB</v>
      </c>
      <c r="B539" s="14" t="str">
        <f aca="false">Country_Data!$E$81</f>
        <v>EMDC</v>
      </c>
      <c r="C539" s="35" t="s">
        <v>473</v>
      </c>
      <c r="D539" s="37" t="n">
        <f aca="false">IF(Country_Data!$CA$81="","",Country_Data!$CA$81)</f>
        <v>0.133333630637037</v>
      </c>
      <c r="E539" s="40" t="n">
        <f aca="false">Country_Data!$BW$81</f>
        <v>203.96</v>
      </c>
      <c r="F539" s="41" t="n">
        <f aca="false">Country_Data!$BX$81</f>
        <v>0.441694449892136</v>
      </c>
      <c r="G539" s="42" t="n">
        <f aca="false">IF(D539="","",D539/SUMIFS($D$5:$D$1369,$B$5:$B$1369,B539,$C$5:$C$1369,C539))</f>
        <v>0.00308031709699534</v>
      </c>
      <c r="H539" s="42" t="n">
        <f aca="false">E539/SUMIFS($E$5:$E$1369,$B$5:$B$1369,B539,$C$5:$C$1369,C539)</f>
        <v>0.00252638703243539</v>
      </c>
      <c r="I539" s="43" t="n">
        <f aca="false">IF(G539="",H539,p_beta_alloc*G539+(1-p_beta_alloc)*H539)*F539^p_phi</f>
        <v>0.00186311050265757</v>
      </c>
      <c r="J539" s="16" t="n">
        <f aca="false">INDEX(Sector_Params!$C$18:$E$18,MATCH(B539,Sector_Params!$C$15:$E$15,0))*I539/SUMIFS($I$5:$I$1369,$B$5:$B$1369,B539,$C$5:$C$1369,C539)</f>
        <v>0.762899667381363</v>
      </c>
      <c r="K539" s="28" t="n">
        <f aca="false">INDEX(Sector_Params!$F$7:$H$7,MATCH(B539,Sector_Params!$C$15:$E$15,0))</f>
        <v>0.24</v>
      </c>
      <c r="L539" s="16" t="n">
        <f aca="false">J539*K539</f>
        <v>0.183095920171527</v>
      </c>
      <c r="M539" s="44" t="n">
        <f aca="false">Country_Data!$DW$81+Sector_Params!$E$7</f>
        <v>0.105</v>
      </c>
      <c r="N539" s="44" t="n">
        <f aca="false">Country_Data!$DX$81+Sector_Params!$E$7</f>
        <v>0.15</v>
      </c>
      <c r="O539" s="11" t="n">
        <f aca="false">IF(p_use_ibrd=1,p_r_ibrd,p_r_wb)</f>
        <v>0.06</v>
      </c>
      <c r="P539" s="45" t="n">
        <f aca="false">Sector_Params!$D$7</f>
        <v>12</v>
      </c>
      <c r="Q539" s="46" t="n">
        <f aca="false">M539/(1-(1+M539)^-P539)</f>
        <v>0.150376745634766</v>
      </c>
      <c r="R539" s="46" t="n">
        <f aca="false">N539/(1-(1+N539)^-P539)</f>
        <v>0.18448077613084</v>
      </c>
      <c r="S539" s="46" t="n">
        <f aca="false">O539/(1-(1+O539)^-P539)</f>
        <v>0.119277029380664</v>
      </c>
      <c r="T539" s="37" t="n">
        <f aca="false">IF(AND(p_eng=1,ISNUMBER(Country_Data!$DE$81)),Country_Data!$DE$81,Country_Data!$CM$81)*Sector_Params!$I$7</f>
        <v>0.178708725</v>
      </c>
      <c r="U539" s="37" t="n">
        <f aca="false">IF(AND(p_eng=1,ISNUMBER(Country_Data!$DF$81)),Country_Data!$DF$81,Country_Data!$CN$81)*Sector_Params!$J$7</f>
        <v>0.00963225</v>
      </c>
      <c r="V539" s="37" t="n">
        <f aca="false">IF(AND(p_eng=1,ISNUMBER(Country_Data!$DG$81)),Country_Data!$DG$81,p_a)</f>
        <v>0.184147248841014</v>
      </c>
      <c r="W539" s="16" t="n">
        <f aca="false">T539*L539</f>
        <v>0.0327208384465554</v>
      </c>
      <c r="X539" s="16" t="n">
        <f aca="false">U539*L539</f>
        <v>0.00176362567707219</v>
      </c>
      <c r="Y539" s="16" t="n">
        <f aca="false">V539*L539</f>
        <v>0.0337166099736007</v>
      </c>
      <c r="Z539" s="16" t="n">
        <f aca="false">Q539*L539</f>
        <v>0.0275333686143971</v>
      </c>
      <c r="AA539" s="16" t="n">
        <f aca="false">R539*L539</f>
        <v>0.0337776774596336</v>
      </c>
      <c r="AB539" s="16" t="n">
        <f aca="false">S539*L539</f>
        <v>0.0218391374497789</v>
      </c>
      <c r="AC539" s="16" t="n">
        <f aca="false">Z539-W539</f>
        <v>-0.00518746983215829</v>
      </c>
      <c r="AD539" s="16" t="n">
        <f aca="false">AA539-W539</f>
        <v>0.00105683901307817</v>
      </c>
      <c r="AE539" s="16" t="n">
        <f aca="false">AB539-W539</f>
        <v>-0.0108817009967765</v>
      </c>
      <c r="AF539" s="16" t="n">
        <f aca="false">AE539-X539</f>
        <v>-0.0126453266738487</v>
      </c>
      <c r="AG539" s="16" t="n">
        <f aca="false">AF539-p_spc_lo*Y539/1000</f>
        <v>-0.0143311571725288</v>
      </c>
      <c r="AH539" s="16" t="n">
        <f aca="false">AF539-p_spc_hi*Y539/1000</f>
        <v>-0.0160169876712088</v>
      </c>
      <c r="AI539" s="16" t="n">
        <f aca="false">Q539*J539</f>
        <v>0.114722369226655</v>
      </c>
      <c r="AJ539" s="16" t="n">
        <f aca="false">S539*J539</f>
        <v>0.0909964060407453</v>
      </c>
      <c r="AK539" s="16" t="n">
        <f aca="false">T539*J539</f>
        <v>0.136336826860647</v>
      </c>
      <c r="AL539" s="16" t="n">
        <f aca="false">U539*J539</f>
        <v>0.00734844032113413</v>
      </c>
      <c r="AM539" s="16" t="n">
        <f aca="false">AI539-AJ539</f>
        <v>0.0237259631859093</v>
      </c>
      <c r="AN539" s="16" t="n">
        <f aca="false">J539*Country_Data!$EB$81</f>
        <v>0.930855873223461</v>
      </c>
      <c r="AO539" s="16" t="n">
        <f aca="false">L539*Country_Data!$EB$81</f>
        <v>0.223405409573631</v>
      </c>
    </row>
    <row r="540" customFormat="false" ht="15" hidden="false" customHeight="false" outlineLevel="0" collapsed="false">
      <c r="A540" s="14" t="str">
        <f aca="false">Country_Data!$A$81</f>
        <v>SRB</v>
      </c>
      <c r="B540" s="14" t="str">
        <f aca="false">Country_Data!$E$81</f>
        <v>EMDC</v>
      </c>
      <c r="C540" s="35" t="s">
        <v>477</v>
      </c>
      <c r="D540" s="37" t="n">
        <f aca="false">IF(Country_Data!$CB$81="","",Country_Data!$CB$81)</f>
        <v>0.108213948944624</v>
      </c>
      <c r="E540" s="40" t="n">
        <f aca="false">Country_Data!$BW$81</f>
        <v>203.96</v>
      </c>
      <c r="F540" s="41" t="n">
        <f aca="false">Country_Data!$BX$81</f>
        <v>0.441694449892136</v>
      </c>
      <c r="G540" s="42" t="n">
        <f aca="false">IF(D540="","",D540/SUMIFS($D$5:$D$1369,$B$5:$B$1369,B540,$C$5:$C$1369,C540))</f>
        <v>0.00341231532173279</v>
      </c>
      <c r="H540" s="42" t="n">
        <f aca="false">E540/SUMIFS($E$5:$E$1369,$B$5:$B$1369,B540,$C$5:$C$1369,C540)</f>
        <v>0.00252638703243539</v>
      </c>
      <c r="I540" s="43" t="n">
        <f aca="false">IF(G540="",H540,p_beta_alloc*G540+(1-p_beta_alloc)*H540)*F540^p_phi</f>
        <v>0.0019734336738278</v>
      </c>
      <c r="J540" s="16" t="n">
        <f aca="false">INDEX(Sector_Params!$C$19:$E$19,MATCH(B540,Sector_Params!$C$15:$E$15,0))*I540/SUMIFS($I$5:$I$1369,$B$5:$B$1369,B540,$C$5:$C$1369,C540)</f>
        <v>0.635174486329045</v>
      </c>
      <c r="K540" s="28" t="n">
        <f aca="false">INDEX(Sector_Params!$F$8:$H$8,MATCH(B540,Sector_Params!$C$15:$E$15,0))</f>
        <v>0.24</v>
      </c>
      <c r="L540" s="16" t="n">
        <f aca="false">J540*K540</f>
        <v>0.152441876718971</v>
      </c>
      <c r="M540" s="44" t="n">
        <f aca="false">Country_Data!$DW$81+Sector_Params!$E$8</f>
        <v>0.105</v>
      </c>
      <c r="N540" s="44" t="n">
        <f aca="false">Country_Data!$DX$81+Sector_Params!$E$8</f>
        <v>0.15</v>
      </c>
      <c r="O540" s="11" t="n">
        <f aca="false">IF(p_use_ibrd=1,p_r_ibrd,p_r_wb)</f>
        <v>0.06</v>
      </c>
      <c r="P540" s="45" t="n">
        <f aca="false">Sector_Params!$D$8</f>
        <v>25</v>
      </c>
      <c r="Q540" s="46" t="n">
        <f aca="false">M540/(1-(1+M540)^-P540)</f>
        <v>0.114429319813103</v>
      </c>
      <c r="R540" s="46" t="n">
        <f aca="false">N540/(1-(1+N540)^-P540)</f>
        <v>0.154699402320206</v>
      </c>
      <c r="S540" s="46" t="n">
        <f aca="false">O540/(1-(1+O540)^-P540)</f>
        <v>0.078226718212274</v>
      </c>
      <c r="T540" s="37" t="n">
        <f aca="false">Country_Data!$CM$81*Sector_Params!$I$8</f>
        <v>0.0848735807032926</v>
      </c>
      <c r="U540" s="37" t="n">
        <f aca="false">Country_Data!$CN$81*Sector_Params!$J$8</f>
        <v>0.229627867093964</v>
      </c>
      <c r="V540" s="37" t="n">
        <f aca="false">p_a</f>
        <v>0.35</v>
      </c>
      <c r="W540" s="16" t="n">
        <f aca="false">T540*L540</f>
        <v>0.0129382879262689</v>
      </c>
      <c r="X540" s="16" t="n">
        <f aca="false">U540*L540</f>
        <v>0.0350049030067782</v>
      </c>
      <c r="Y540" s="16" t="n">
        <f aca="false">V540*L540</f>
        <v>0.0533546568516398</v>
      </c>
      <c r="Z540" s="16" t="n">
        <f aca="false">Q540*L540</f>
        <v>0.0174438202639848</v>
      </c>
      <c r="AA540" s="16" t="n">
        <f aca="false">R540*L540</f>
        <v>0.0235826672169954</v>
      </c>
      <c r="AB540" s="16" t="n">
        <f aca="false">S540*L540</f>
        <v>0.0119250277338451</v>
      </c>
      <c r="AC540" s="16" t="n">
        <f aca="false">Z540-W540</f>
        <v>0.00450553233771583</v>
      </c>
      <c r="AD540" s="16" t="n">
        <f aca="false">AA540-W540</f>
        <v>0.0106443792907264</v>
      </c>
      <c r="AE540" s="16" t="n">
        <f aca="false">AB540-W540</f>
        <v>-0.00101326019242382</v>
      </c>
      <c r="AF540" s="16" t="n">
        <f aca="false">AE540-X540</f>
        <v>-0.036018163199202</v>
      </c>
      <c r="AG540" s="16" t="n">
        <f aca="false">AF540-p_spc_lo*Y540/1000</f>
        <v>-0.038685896041784</v>
      </c>
      <c r="AH540" s="16" t="n">
        <f aca="false">AF540-p_spc_hi*Y540/1000</f>
        <v>-0.041353628884366</v>
      </c>
      <c r="AI540" s="16" t="n">
        <f aca="false">Q540*J540</f>
        <v>0.0726825844332699</v>
      </c>
      <c r="AJ540" s="16" t="n">
        <f aca="false">S540*J540</f>
        <v>0.049687615557688</v>
      </c>
      <c r="AK540" s="16" t="n">
        <f aca="false">T540*J540</f>
        <v>0.0539095330261206</v>
      </c>
      <c r="AL540" s="16" t="n">
        <f aca="false">U540*J540</f>
        <v>0.145853762528242</v>
      </c>
      <c r="AM540" s="16" t="n">
        <f aca="false">AI540-AJ540</f>
        <v>0.0229949688755819</v>
      </c>
      <c r="AN540" s="16" t="n">
        <f aca="false">J540*Country_Data!$EB$81</f>
        <v>0.775011349985982</v>
      </c>
      <c r="AO540" s="16" t="n">
        <f aca="false">L540*Country_Data!$EB$81</f>
        <v>0.186002723996636</v>
      </c>
    </row>
    <row r="541" customFormat="false" ht="15" hidden="false" customHeight="false" outlineLevel="0" collapsed="false">
      <c r="A541" s="14" t="str">
        <f aca="false">Country_Data!$A$81</f>
        <v>SRB</v>
      </c>
      <c r="B541" s="14" t="str">
        <f aca="false">Country_Data!$E$81</f>
        <v>EMDC</v>
      </c>
      <c r="C541" s="35" t="s">
        <v>481</v>
      </c>
      <c r="D541" s="37" t="n">
        <f aca="false">IF(Country_Data!$CC$81="","",Country_Data!$CC$81)</f>
        <v>0.161925822716493</v>
      </c>
      <c r="E541" s="40" t="n">
        <f aca="false">Country_Data!$BW$81</f>
        <v>203.96</v>
      </c>
      <c r="F541" s="41" t="n">
        <f aca="false">Country_Data!$BX$81</f>
        <v>0.441694449892136</v>
      </c>
      <c r="G541" s="42" t="n">
        <f aca="false">IF(D541="","",D541/SUMIFS($D$5:$D$1369,$B$5:$B$1369,B541,$C$5:$C$1369,C541))</f>
        <v>0.00231298623081519</v>
      </c>
      <c r="H541" s="42" t="n">
        <f aca="false">E541/SUMIFS($E$5:$E$1369,$B$5:$B$1369,B541,$C$5:$C$1369,C541)</f>
        <v>0.00252638703243539</v>
      </c>
      <c r="I541" s="43" t="n">
        <f aca="false">IF(G541="",H541,p_beta_alloc*G541+(1-p_beta_alloc)*H541)*F541^p_phi</f>
        <v>0.00160812608350672</v>
      </c>
      <c r="J541" s="16" t="n">
        <f aca="false">INDEX(Sector_Params!$C$20:$E$20,MATCH(B541,Sector_Params!$C$15:$E$15,0))*I541/SUMIFS($I$5:$I$1369,$B$5:$B$1369,B541,$C$5:$C$1369,C541)</f>
        <v>0.293515394179703</v>
      </c>
      <c r="K541" s="28" t="n">
        <f aca="false">INDEX(Sector_Params!$F$9:$H$9,MATCH(B541,Sector_Params!$C$15:$E$15,0))</f>
        <v>0.24</v>
      </c>
      <c r="L541" s="16" t="n">
        <f aca="false">J541*K541</f>
        <v>0.0704436946031287</v>
      </c>
      <c r="M541" s="44" t="n">
        <f aca="false">Country_Data!$DW$81+Sector_Params!$E$9</f>
        <v>0.105</v>
      </c>
      <c r="N541" s="44" t="n">
        <f aca="false">Country_Data!$DX$81+Sector_Params!$E$9</f>
        <v>0.15</v>
      </c>
      <c r="O541" s="11" t="n">
        <f aca="false">IF(p_use_ibrd=1,p_r_ibrd,p_r_wb)</f>
        <v>0.06</v>
      </c>
      <c r="P541" s="45" t="n">
        <f aca="false">Sector_Params!$D$9</f>
        <v>25</v>
      </c>
      <c r="Q541" s="46" t="n">
        <f aca="false">M541/(1-(1+M541)^-P541)</f>
        <v>0.114429319813103</v>
      </c>
      <c r="R541" s="46" t="n">
        <f aca="false">N541/(1-(1+N541)^-P541)</f>
        <v>0.154699402320206</v>
      </c>
      <c r="S541" s="46" t="n">
        <f aca="false">O541/(1-(1+O541)^-P541)</f>
        <v>0.078226718212274</v>
      </c>
      <c r="T541" s="37" t="n">
        <f aca="false">Country_Data!$CM$81*Sector_Params!$I$9</f>
        <v>0.0848735807032926</v>
      </c>
      <c r="U541" s="37" t="n">
        <f aca="false">Country_Data!$CN$81*Sector_Params!$J$9</f>
        <v>0.229627867093964</v>
      </c>
      <c r="V541" s="37" t="n">
        <f aca="false">p_a</f>
        <v>0.35</v>
      </c>
      <c r="W541" s="16" t="n">
        <f aca="false">T541*L541</f>
        <v>0.00597880859893674</v>
      </c>
      <c r="X541" s="16" t="n">
        <f aca="false">U541*L541</f>
        <v>0.016175835341935</v>
      </c>
      <c r="Y541" s="16" t="n">
        <f aca="false">V541*L541</f>
        <v>0.024655293111095</v>
      </c>
      <c r="Z541" s="16" t="n">
        <f aca="false">Q541*L541</f>
        <v>0.008060824058558</v>
      </c>
      <c r="AA541" s="16" t="n">
        <f aca="false">R541*L541</f>
        <v>0.0108975974523312</v>
      </c>
      <c r="AB541" s="16" t="n">
        <f aca="false">S541*L541</f>
        <v>0.00551057904755043</v>
      </c>
      <c r="AC541" s="16" t="n">
        <f aca="false">Z541-W541</f>
        <v>0.00208201545962125</v>
      </c>
      <c r="AD541" s="16" t="n">
        <f aca="false">AA541-W541</f>
        <v>0.00491878885339442</v>
      </c>
      <c r="AE541" s="16" t="n">
        <f aca="false">AB541-W541</f>
        <v>-0.00046822955138631</v>
      </c>
      <c r="AF541" s="16" t="n">
        <f aca="false">AE541-X541</f>
        <v>-0.0166440648933213</v>
      </c>
      <c r="AG541" s="16" t="n">
        <f aca="false">AF541-p_spc_lo*Y541/1000</f>
        <v>-0.0178768295488761</v>
      </c>
      <c r="AH541" s="16" t="n">
        <f aca="false">AF541-p_spc_hi*Y541/1000</f>
        <v>-0.0191095942044308</v>
      </c>
      <c r="AI541" s="16" t="n">
        <f aca="false">Q541*J541</f>
        <v>0.0335867669106583</v>
      </c>
      <c r="AJ541" s="16" t="n">
        <f aca="false">S541*J541</f>
        <v>0.0229607460314601</v>
      </c>
      <c r="AK541" s="16" t="n">
        <f aca="false">T541*J541</f>
        <v>0.0249117024955698</v>
      </c>
      <c r="AL541" s="16" t="n">
        <f aca="false">U541*J541</f>
        <v>0.0673993139247292</v>
      </c>
      <c r="AM541" s="16" t="n">
        <f aca="false">AI541-AJ541</f>
        <v>0.0106260208791982</v>
      </c>
      <c r="AN541" s="16" t="n">
        <f aca="false">J541*Country_Data!$EB$81</f>
        <v>0.358134287161901</v>
      </c>
      <c r="AO541" s="16" t="n">
        <f aca="false">L541*Country_Data!$EB$81</f>
        <v>0.0859522289188563</v>
      </c>
    </row>
    <row r="542" customFormat="false" ht="15" hidden="false" customHeight="false" outlineLevel="0" collapsed="false">
      <c r="A542" s="14" t="str">
        <f aca="false">Country_Data!$A$81</f>
        <v>SRB</v>
      </c>
      <c r="B542" s="14" t="str">
        <f aca="false">Country_Data!$E$81</f>
        <v>EMDC</v>
      </c>
      <c r="C542" s="35" t="s">
        <v>484</v>
      </c>
      <c r="D542" s="37" t="n">
        <f aca="false">IF(Country_Data!$CD$81="","",Country_Data!$CD$81)</f>
        <v>0.482055444135678</v>
      </c>
      <c r="E542" s="40" t="n">
        <f aca="false">Country_Data!$BW$81</f>
        <v>203.96</v>
      </c>
      <c r="F542" s="41" t="n">
        <f aca="false">Country_Data!$BX$81</f>
        <v>0.441694449892136</v>
      </c>
      <c r="G542" s="42" t="n">
        <f aca="false">IF(D542="","",D542/SUMIFS($D$5:$D$1369,$B$5:$B$1369,B542,$C$5:$C$1369,C542))</f>
        <v>0.00269197370422498</v>
      </c>
      <c r="H542" s="42" t="n">
        <f aca="false">E542/SUMIFS($E$5:$E$1369,$B$5:$B$1369,B542,$C$5:$C$1369,C542)</f>
        <v>0.00252638703243539</v>
      </c>
      <c r="I542" s="43" t="n">
        <f aca="false">IF(G542="",H542,p_beta_alloc*G542+(1-p_beta_alloc)*H542)*F542^p_phi</f>
        <v>0.00173406380481058</v>
      </c>
      <c r="J542" s="16" t="n">
        <f aca="false">INDEX(Sector_Params!$C$21:$E$21,MATCH(B542,Sector_Params!$C$15:$E$15,0))*I542/SUMIFS($I$5:$I$1369,$B$5:$B$1369,B542,$C$5:$C$1369,C542)</f>
        <v>0.384597709988261</v>
      </c>
      <c r="K542" s="28" t="n">
        <f aca="false">INDEX(Sector_Params!$F$10:$H$10,MATCH(B542,Sector_Params!$C$15:$E$15,0))</f>
        <v>0.24</v>
      </c>
      <c r="L542" s="16" t="n">
        <f aca="false">J542*K542</f>
        <v>0.0923034503971827</v>
      </c>
      <c r="M542" s="44" t="n">
        <f aca="false">Country_Data!$DW$81+Sector_Params!$E$10</f>
        <v>0.105</v>
      </c>
      <c r="N542" s="44" t="n">
        <f aca="false">Country_Data!$DX$81+Sector_Params!$E$10</f>
        <v>0.15</v>
      </c>
      <c r="O542" s="11" t="n">
        <f aca="false">IF(p_use_ibrd=1,p_r_ibrd,p_r_wb)</f>
        <v>0.06</v>
      </c>
      <c r="P542" s="45" t="n">
        <f aca="false">Sector_Params!$D$10</f>
        <v>20</v>
      </c>
      <c r="Q542" s="46" t="n">
        <f aca="false">M542/(1-(1+M542)^-P542)</f>
        <v>0.121493265267016</v>
      </c>
      <c r="R542" s="46" t="n">
        <f aca="false">N542/(1-(1+N542)^-P542)</f>
        <v>0.159761470405744</v>
      </c>
      <c r="S542" s="46" t="n">
        <f aca="false">O542/(1-(1+O542)^-P542)</f>
        <v>0.0871845569768514</v>
      </c>
      <c r="T542" s="37" t="n">
        <f aca="false">0*Sector_Params!$I$10</f>
        <v>0</v>
      </c>
      <c r="U542" s="37" t="n">
        <f aca="false">0*Sector_Params!$J$10</f>
        <v>0</v>
      </c>
      <c r="V542" s="37" t="n">
        <f aca="false">1000*p_r_wb/(1-(1+p_r_wb)^-Sector_Params!$D$10)/p_cpt_fuel</f>
        <v>0.871845569768514</v>
      </c>
      <c r="W542" s="16" t="n">
        <f aca="false">T542*L542</f>
        <v>0</v>
      </c>
      <c r="X542" s="16" t="n">
        <f aca="false">U542*L542</f>
        <v>0</v>
      </c>
      <c r="Y542" s="16" t="n">
        <f aca="false">V542*L542</f>
        <v>0.0804743543031316</v>
      </c>
      <c r="Z542" s="16" t="n">
        <f aca="false">Q542*L542</f>
        <v>0.0112142475841658</v>
      </c>
      <c r="AA542" s="16" t="n">
        <f aca="false">R542*L542</f>
        <v>0.0147465349589776</v>
      </c>
      <c r="AB542" s="16" t="n">
        <f aca="false">S542*L542</f>
        <v>0.00804743543031316</v>
      </c>
      <c r="AC542" s="16" t="n">
        <f aca="false">Z542-W542</f>
        <v>0.0112142475841658</v>
      </c>
      <c r="AD542" s="16" t="n">
        <f aca="false">AA542-W542</f>
        <v>0.0147465349589776</v>
      </c>
      <c r="AE542" s="16" t="n">
        <f aca="false">AB542-W542</f>
        <v>0.00804743543031316</v>
      </c>
      <c r="AF542" s="16" t="n">
        <f aca="false">AE542-X542</f>
        <v>0.00804743543031316</v>
      </c>
      <c r="AG542" s="16" t="n">
        <f aca="false">AF542-p_spc_lo*Y542/1000</f>
        <v>0.00402371771515658</v>
      </c>
      <c r="AH542" s="16" t="n">
        <f aca="false">AF542-p_spc_hi*Y542/1000</f>
        <v>0</v>
      </c>
      <c r="AI542" s="16" t="n">
        <f aca="false">Q542*J542</f>
        <v>0.0467260316006908</v>
      </c>
      <c r="AJ542" s="16" t="n">
        <f aca="false">S542*J542</f>
        <v>0.0335309809596381</v>
      </c>
      <c r="AK542" s="16" t="n">
        <f aca="false">T542*J542</f>
        <v>0</v>
      </c>
      <c r="AL542" s="16" t="n">
        <f aca="false">U542*J542</f>
        <v>0</v>
      </c>
      <c r="AM542" s="16" t="n">
        <f aca="false">AI542-AJ542</f>
        <v>0.0131950506410527</v>
      </c>
      <c r="AN542" s="16" t="n">
        <f aca="false">J542*Country_Data!$EB$81</f>
        <v>0.469268833737615</v>
      </c>
      <c r="AO542" s="16" t="n">
        <f aca="false">L542*Country_Data!$EB$81</f>
        <v>0.112624520097028</v>
      </c>
    </row>
    <row r="543" customFormat="false" ht="15" hidden="false" customHeight="false" outlineLevel="0" collapsed="false">
      <c r="A543" s="14" t="str">
        <f aca="false">Country_Data!$A$81</f>
        <v>SRB</v>
      </c>
      <c r="B543" s="14" t="str">
        <f aca="false">Country_Data!$E$81</f>
        <v>EMDC</v>
      </c>
      <c r="C543" s="35" t="s">
        <v>488</v>
      </c>
      <c r="D543" s="37" t="n">
        <f aca="false">IF(Country_Data!$CE$81="","",Country_Data!$CE$81)</f>
        <v>13.475</v>
      </c>
      <c r="E543" s="40" t="n">
        <f aca="false">Country_Data!$BW$81</f>
        <v>203.96</v>
      </c>
      <c r="F543" s="41" t="n">
        <f aca="false">Country_Data!$BX$81</f>
        <v>0.441694449892136</v>
      </c>
      <c r="G543" s="42" t="n">
        <f aca="false">IF(D543="","",D543/SUMIFS($D$5:$D$1369,$B$5:$B$1369,B543,$C$5:$C$1369,C543))</f>
        <v>0.00110413622951612</v>
      </c>
      <c r="H543" s="42" t="n">
        <f aca="false">E543/SUMIFS($E$5:$E$1369,$B$5:$B$1369,B543,$C$5:$C$1369,C543)</f>
        <v>0.00252638703243539</v>
      </c>
      <c r="I543" s="43" t="n">
        <f aca="false">IF(G543="",H543,p_beta_alloc*G543+(1-p_beta_alloc)*H543)*F543^p_phi</f>
        <v>0.00120642464152487</v>
      </c>
      <c r="J543" s="16" t="n">
        <f aca="false">INDEX(Sector_Params!$C$22:$E$22,MATCH(B543,Sector_Params!$C$15:$E$15,0))*I543/SUMIFS($I$5:$I$1369,$B$5:$B$1369,B543,$C$5:$C$1369,C543)</f>
        <v>0.72724289366517</v>
      </c>
      <c r="K543" s="28" t="n">
        <f aca="false">INDEX(Sector_Params!$F$11:$H$11,MATCH(B543,Sector_Params!$C$15:$E$15,0))</f>
        <v>0.24</v>
      </c>
      <c r="L543" s="16" t="n">
        <f aca="false">J543*K543</f>
        <v>0.174538294479641</v>
      </c>
      <c r="M543" s="44" t="n">
        <f aca="false">Country_Data!$DW$81+Sector_Params!$E$11</f>
        <v>0.105</v>
      </c>
      <c r="N543" s="44" t="n">
        <f aca="false">Country_Data!$DX$81+Sector_Params!$E$11</f>
        <v>0.15</v>
      </c>
      <c r="O543" s="11" t="n">
        <f aca="false">IF(p_use_ibrd=1,p_r_ibrd,p_r_wb)</f>
        <v>0.06</v>
      </c>
      <c r="P543" s="45" t="n">
        <f aca="false">Sector_Params!$D$11</f>
        <v>30</v>
      </c>
      <c r="Q543" s="46" t="n">
        <f aca="false">M543/(1-(1+M543)^-P543)</f>
        <v>0.110528481529605</v>
      </c>
      <c r="R543" s="46" t="n">
        <f aca="false">N543/(1-(1+N543)^-P543)</f>
        <v>0.152300198192734</v>
      </c>
      <c r="S543" s="46" t="n">
        <f aca="false">O543/(1-(1+O543)^-P543)</f>
        <v>0.0726489114900472</v>
      </c>
      <c r="T543" s="37" t="n">
        <f aca="false">0*Sector_Params!$I$11</f>
        <v>0</v>
      </c>
      <c r="U543" s="37" t="n">
        <f aca="false">p_c*Sector_Params!$J$11</f>
        <v>0.129</v>
      </c>
      <c r="V543" s="37" t="n">
        <f aca="false">1000*p_r_wb/(1-(1+p_r_wb)^-Sector_Params!$D$11)/p_cpt_afolu</f>
        <v>1.45297822980094</v>
      </c>
      <c r="W543" s="16" t="n">
        <f aca="false">T543*L543</f>
        <v>0</v>
      </c>
      <c r="X543" s="16" t="n">
        <f aca="false">U543*L543</f>
        <v>0.0225154399878737</v>
      </c>
      <c r="Y543" s="16" t="n">
        <f aca="false">V543*L543</f>
        <v>0.253600342145505</v>
      </c>
      <c r="Z543" s="16" t="n">
        <f aca="false">Q543*L543</f>
        <v>0.0192914526576018</v>
      </c>
      <c r="AA543" s="16" t="n">
        <f aca="false">R543*L543</f>
        <v>0.0265822168414711</v>
      </c>
      <c r="AB543" s="16" t="n">
        <f aca="false">S543*L543</f>
        <v>0.0126800171072752</v>
      </c>
      <c r="AC543" s="16" t="n">
        <f aca="false">Z543-W543</f>
        <v>0.0192914526576018</v>
      </c>
      <c r="AD543" s="16" t="n">
        <f aca="false">AA543-W543</f>
        <v>0.0265822168414711</v>
      </c>
      <c r="AE543" s="16" t="n">
        <f aca="false">AB543-W543</f>
        <v>0.0126800171072752</v>
      </c>
      <c r="AF543" s="16" t="n">
        <f aca="false">AE543-X543</f>
        <v>-0.00983542288059845</v>
      </c>
      <c r="AG543" s="16" t="n">
        <f aca="false">AF543-p_spc_lo*Y543/1000</f>
        <v>-0.0225154399878737</v>
      </c>
      <c r="AH543" s="16" t="n">
        <f aca="false">AF543-p_spc_hi*Y543/1000</f>
        <v>-0.0351954570951489</v>
      </c>
      <c r="AI543" s="16" t="n">
        <f aca="false">Q543*J543</f>
        <v>0.0803810527400074</v>
      </c>
      <c r="AJ543" s="16" t="n">
        <f aca="false">S543*J543</f>
        <v>0.0528334046136468</v>
      </c>
      <c r="AK543" s="16" t="n">
        <f aca="false">T543*J543</f>
        <v>0</v>
      </c>
      <c r="AL543" s="16" t="n">
        <f aca="false">U543*J543</f>
        <v>0.093814333282807</v>
      </c>
      <c r="AM543" s="16" t="n">
        <f aca="false">AI543-AJ543</f>
        <v>0.0275476481263606</v>
      </c>
      <c r="AN543" s="16" t="n">
        <f aca="false">J543*Country_Data!$EB$81</f>
        <v>0.887349081107735</v>
      </c>
      <c r="AO543" s="16" t="n">
        <f aca="false">L543*Country_Data!$EB$81</f>
        <v>0.212963779465856</v>
      </c>
    </row>
    <row r="544" customFormat="false" ht="15" hidden="false" customHeight="false" outlineLevel="0" collapsed="false">
      <c r="A544" s="14" t="str">
        <f aca="false">Country_Data!$A$82</f>
        <v>CIV</v>
      </c>
      <c r="B544" s="14" t="str">
        <f aca="false">Country_Data!$E$82</f>
        <v>EMDC</v>
      </c>
      <c r="C544" s="35" t="s">
        <v>466</v>
      </c>
      <c r="D544" s="37" t="n">
        <f aca="false">IF(Country_Data!$BZ$82="","",Country_Data!$BZ$82)</f>
        <v>10.9828074380646</v>
      </c>
      <c r="E544" s="40" t="n">
        <f aca="false">Country_Data!$BW$82</f>
        <v>245.266</v>
      </c>
      <c r="F544" s="41" t="n">
        <f aca="false">Country_Data!$BX$82</f>
        <v>0.355255110777686</v>
      </c>
      <c r="G544" s="42" t="n">
        <f aca="false">IF(D544="","",D544/SUMIFS($D$5:$D$1369,$B$5:$B$1369,B544,$C$5:$C$1369,C544))</f>
        <v>0.0012538207501365</v>
      </c>
      <c r="H544" s="42" t="n">
        <f aca="false">E544/SUMIFS($E$5:$E$1369,$B$5:$B$1369,B544,$C$5:$C$1369,C544)</f>
        <v>0.00303803119188712</v>
      </c>
      <c r="I544" s="43" t="n">
        <f aca="false">IF(G544="",H544,p_beta_alloc*G544+(1-p_beta_alloc)*H544)*F544^p_phi</f>
        <v>0.00127904228688032</v>
      </c>
      <c r="J544" s="16" t="n">
        <f aca="false">INDEX(Sector_Params!$C$16:$E$16,MATCH(B544,Sector_Params!$C$15:$E$15,0))*I544/SUMIFS($I$5:$I$1369,$B$5:$B$1369,B544,$C$5:$C$1369,C544)</f>
        <v>1.23712212638834</v>
      </c>
      <c r="K544" s="28" t="n">
        <f aca="false">INDEX(Sector_Params!$F$5:$H$5,MATCH(B544,Sector_Params!$C$15:$E$15,0))</f>
        <v>0.24</v>
      </c>
      <c r="L544" s="16" t="n">
        <f aca="false">J544*K544</f>
        <v>0.2969093103332</v>
      </c>
      <c r="M544" s="44" t="n">
        <f aca="false">Country_Data!$DW$82+Sector_Params!$E$5</f>
        <v>0.105</v>
      </c>
      <c r="N544" s="44" t="n">
        <f aca="false">Country_Data!$DX$82+Sector_Params!$E$5</f>
        <v>0.15</v>
      </c>
      <c r="O544" s="11" t="n">
        <f aca="false">IF(p_use_ibrd=1,p_r_ibrd,p_r_wb)</f>
        <v>0.06</v>
      </c>
      <c r="P544" s="45" t="n">
        <f aca="false">Sector_Params!$D$5</f>
        <v>25</v>
      </c>
      <c r="Q544" s="46" t="n">
        <f aca="false">M544/(1-(1+M544)^-P544)</f>
        <v>0.114429319813103</v>
      </c>
      <c r="R544" s="46" t="n">
        <f aca="false">N544/(1-(1+N544)^-P544)</f>
        <v>0.154699402320206</v>
      </c>
      <c r="S544" s="46" t="n">
        <f aca="false">O544/(1-(1+O544)^-P544)</f>
        <v>0.078226718212274</v>
      </c>
      <c r="T544" s="37" t="n">
        <f aca="false">IF(AND(p_eng=1,ISNUMBER(Country_Data!$CZ$82)),Country_Data!$CZ$82,Country_Data!$CM$82)*Sector_Params!$I$5</f>
        <v>0.0617653759160328</v>
      </c>
      <c r="U544" s="37" t="n">
        <f aca="false">IF(AND(p_eng=1,ISNUMBER(Country_Data!$DA$82)),Country_Data!$DA$82,Country_Data!$CN$82)*Sector_Params!$J$5</f>
        <v>0.000104221337068023</v>
      </c>
      <c r="V544" s="37" t="n">
        <f aca="false">IF(AND(p_eng=1,ISNUMBER(Country_Data!$DB$82)),Country_Data!$DB$82,p_a)</f>
        <v>0.689958197483218</v>
      </c>
      <c r="W544" s="16" t="n">
        <f aca="false">T544*L544</f>
        <v>0.0183387151657002</v>
      </c>
      <c r="X544" s="16" t="n">
        <f aca="false">U544*L544</f>
        <v>3.09442853108708E-005</v>
      </c>
      <c r="Y544" s="16" t="n">
        <f aca="false">V544*L544</f>
        <v>0.20485501257348</v>
      </c>
      <c r="Z544" s="16" t="n">
        <f aca="false">Q544*L544</f>
        <v>0.0339751304276057</v>
      </c>
      <c r="AA544" s="16" t="n">
        <f aca="false">R544*L544</f>
        <v>0.0459316928518508</v>
      </c>
      <c r="AB544" s="16" t="n">
        <f aca="false">S544*L544</f>
        <v>0.0232262409540359</v>
      </c>
      <c r="AC544" s="16" t="n">
        <f aca="false">Z544-W544</f>
        <v>0.0156364152619056</v>
      </c>
      <c r="AD544" s="16" t="n">
        <f aca="false">AA544-W544</f>
        <v>0.0275929776861506</v>
      </c>
      <c r="AE544" s="16" t="n">
        <f aca="false">AB544-W544</f>
        <v>0.00488752578833571</v>
      </c>
      <c r="AF544" s="16" t="n">
        <f aca="false">AE544-X544</f>
        <v>0.00485658150302484</v>
      </c>
      <c r="AG544" s="16" t="n">
        <f aca="false">AF544-p_spc_lo*Y544/1000</f>
        <v>-0.00538616912564917</v>
      </c>
      <c r="AH544" s="16" t="n">
        <f aca="false">AF544-p_spc_hi*Y544/1000</f>
        <v>-0.0156289197543232</v>
      </c>
      <c r="AI544" s="16" t="n">
        <f aca="false">Q544*J544</f>
        <v>0.141563043448357</v>
      </c>
      <c r="AJ544" s="16" t="n">
        <f aca="false">S544*J544</f>
        <v>0.0967760039751494</v>
      </c>
      <c r="AK544" s="16" t="n">
        <f aca="false">T544*J544</f>
        <v>0.0764113131904173</v>
      </c>
      <c r="AL544" s="16" t="n">
        <f aca="false">U544*J544</f>
        <v>0.000128934522128628</v>
      </c>
      <c r="AM544" s="16" t="n">
        <f aca="false">AI544-AJ544</f>
        <v>0.0447870394732078</v>
      </c>
      <c r="AN544" s="16" t="n">
        <f aca="false">J544*Country_Data!$EB$82</f>
        <v>1.45944552301464</v>
      </c>
      <c r="AO544" s="16" t="n">
        <f aca="false">L544*Country_Data!$EB$82</f>
        <v>0.350266925523515</v>
      </c>
    </row>
    <row r="545" customFormat="false" ht="15" hidden="false" customHeight="false" outlineLevel="0" collapsed="false">
      <c r="A545" s="14" t="str">
        <f aca="false">Country_Data!$A$82</f>
        <v>CIV</v>
      </c>
      <c r="B545" s="14" t="str">
        <f aca="false">Country_Data!$E$82</f>
        <v>EMDC</v>
      </c>
      <c r="C545" s="35" t="s">
        <v>470</v>
      </c>
      <c r="D545" s="37" t="n">
        <f aca="false">IF(Country_Data!$BZ$82="","",Country_Data!$BZ$82)</f>
        <v>10.9828074380646</v>
      </c>
      <c r="E545" s="40" t="n">
        <f aca="false">Country_Data!$BW$82</f>
        <v>245.266</v>
      </c>
      <c r="F545" s="41" t="n">
        <f aca="false">Country_Data!$BX$82</f>
        <v>0.355255110777686</v>
      </c>
      <c r="G545" s="42" t="n">
        <f aca="false">IF(D545="","",D545/SUMIFS($D$5:$D$1369,$B$5:$B$1369,B545,$C$5:$C$1369,C545))</f>
        <v>0.0012538207501365</v>
      </c>
      <c r="H545" s="42" t="n">
        <f aca="false">E545/SUMIFS($E$5:$E$1369,$B$5:$B$1369,B545,$C$5:$C$1369,C545)</f>
        <v>0.00303803119188712</v>
      </c>
      <c r="I545" s="43" t="n">
        <f aca="false">IF(G545="",H545,p_beta_alloc*G545+(1-p_beta_alloc)*H545)*F545^p_phi</f>
        <v>0.00127904228688032</v>
      </c>
      <c r="J545" s="16" t="n">
        <f aca="false">INDEX(Sector_Params!$C$17:$E$17,MATCH(B545,Sector_Params!$C$15:$E$15,0))*I545/SUMIFS($I$5:$I$1369,$B$5:$B$1369,B545,$C$5:$C$1369,C545)</f>
        <v>0.848312315237715</v>
      </c>
      <c r="K545" s="28" t="n">
        <f aca="false">INDEX(Sector_Params!$F$6:$H$6,MATCH(B545,Sector_Params!$C$15:$E$15,0))</f>
        <v>0.24</v>
      </c>
      <c r="L545" s="16" t="n">
        <f aca="false">J545*K545</f>
        <v>0.203594955657052</v>
      </c>
      <c r="M545" s="44" t="n">
        <f aca="false">Country_Data!$DW$82+Sector_Params!$E$6</f>
        <v>0.105</v>
      </c>
      <c r="N545" s="44" t="n">
        <f aca="false">Country_Data!$DX$82+Sector_Params!$E$6</f>
        <v>0.15</v>
      </c>
      <c r="O545" s="11" t="n">
        <f aca="false">IF(p_use_ibrd=1,p_r_ibrd,p_r_wb)</f>
        <v>0.06</v>
      </c>
      <c r="P545" s="45" t="n">
        <f aca="false">Sector_Params!$D$6</f>
        <v>40</v>
      </c>
      <c r="Q545" s="46" t="n">
        <f aca="false">M545/(1-(1+M545)^-P545)</f>
        <v>0.10697140835497</v>
      </c>
      <c r="R545" s="46" t="n">
        <f aca="false">N545/(1-(1+N545)^-P545)</f>
        <v>0.150562085013545</v>
      </c>
      <c r="S545" s="46" t="n">
        <f aca="false">O545/(1-(1+O545)^-P545)</f>
        <v>0.0664615359206755</v>
      </c>
      <c r="T545" s="37" t="n">
        <f aca="false">p_grid_credit*IF(AND(p_eng=1,ISNUMBER(Country_Data!$CZ$82)),Country_Data!$CZ$82,Country_Data!$CM$82)*Sector_Params!$I$6</f>
        <v>0</v>
      </c>
      <c r="U545" s="37" t="n">
        <f aca="false">p_grid_credit*IF(AND(p_eng=1,ISNUMBER(Country_Data!$DA$82)),Country_Data!$DA$82,Country_Data!$CN$82)*Sector_Params!$J$6</f>
        <v>0</v>
      </c>
      <c r="V545" s="37" t="n">
        <f aca="false">p_grid_credit*IF(AND(p_eng=1,ISNUMBER(Country_Data!$DB$82)),Country_Data!$DB$82,p_a)</f>
        <v>0</v>
      </c>
      <c r="W545" s="16" t="n">
        <f aca="false">T545*L545</f>
        <v>0</v>
      </c>
      <c r="X545" s="16" t="n">
        <f aca="false">U545*L545</f>
        <v>0</v>
      </c>
      <c r="Y545" s="16" t="n">
        <f aca="false">V545*L545</f>
        <v>0</v>
      </c>
      <c r="Z545" s="16" t="n">
        <f aca="false">Q545*L545</f>
        <v>0.0217788391406026</v>
      </c>
      <c r="AA545" s="16" t="n">
        <f aca="false">R545*L545</f>
        <v>0.0306536810219659</v>
      </c>
      <c r="AB545" s="16" t="n">
        <f aca="false">S545*L545</f>
        <v>0.0135312334586695</v>
      </c>
      <c r="AC545" s="16" t="n">
        <f aca="false">Z545-W545</f>
        <v>0.0217788391406026</v>
      </c>
      <c r="AD545" s="16" t="n">
        <f aca="false">AA545-W545</f>
        <v>0.0306536810219659</v>
      </c>
      <c r="AE545" s="16" t="n">
        <f aca="false">AB545-W545</f>
        <v>0.0135312334586695</v>
      </c>
      <c r="AF545" s="16" t="n">
        <f aca="false">AE545-X545</f>
        <v>0.0135312334586695</v>
      </c>
      <c r="AG545" s="16" t="n">
        <f aca="false">AF545-p_spc_lo*Y545/1000</f>
        <v>0.0135312334586695</v>
      </c>
      <c r="AH545" s="16" t="n">
        <f aca="false">AF545-p_spc_hi*Y545/1000</f>
        <v>0.0135312334586695</v>
      </c>
      <c r="AI545" s="16" t="n">
        <f aca="false">Q545*J545</f>
        <v>0.090745163085844</v>
      </c>
      <c r="AJ545" s="16" t="n">
        <f aca="false">S545*J545</f>
        <v>0.0563801394111228</v>
      </c>
      <c r="AK545" s="16" t="n">
        <f aca="false">T545*J545</f>
        <v>0</v>
      </c>
      <c r="AL545" s="16" t="n">
        <f aca="false">U545*J545</f>
        <v>0</v>
      </c>
      <c r="AM545" s="16" t="n">
        <f aca="false">AI545-AJ545</f>
        <v>0.0343650236747212</v>
      </c>
      <c r="AN545" s="16" t="n">
        <f aca="false">J545*Country_Data!$EB$82</f>
        <v>1.0007626443529</v>
      </c>
      <c r="AO545" s="16" t="n">
        <f aca="false">L545*Country_Data!$EB$82</f>
        <v>0.240183034644696</v>
      </c>
    </row>
    <row r="546" customFormat="false" ht="15" hidden="false" customHeight="false" outlineLevel="0" collapsed="false">
      <c r="A546" s="14" t="str">
        <f aca="false">Country_Data!$A$82</f>
        <v>CIV</v>
      </c>
      <c r="B546" s="14" t="str">
        <f aca="false">Country_Data!$E$82</f>
        <v>EMDC</v>
      </c>
      <c r="C546" s="35" t="s">
        <v>473</v>
      </c>
      <c r="D546" s="37" t="n">
        <f aca="false">IF(Country_Data!$CA$82="","",Country_Data!$CA$82)</f>
        <v>0.1073579347672</v>
      </c>
      <c r="E546" s="40" t="n">
        <f aca="false">Country_Data!$BW$82</f>
        <v>245.266</v>
      </c>
      <c r="F546" s="41" t="n">
        <f aca="false">Country_Data!$BX$82</f>
        <v>0.355255110777686</v>
      </c>
      <c r="G546" s="42" t="n">
        <f aca="false">IF(D546="","",D546/SUMIFS($D$5:$D$1369,$B$5:$B$1369,B546,$C$5:$C$1369,C546))</f>
        <v>0.0024802180843762</v>
      </c>
      <c r="H546" s="42" t="n">
        <f aca="false">E546/SUMIFS($E$5:$E$1369,$B$5:$B$1369,B546,$C$5:$C$1369,C546)</f>
        <v>0.00303803119188712</v>
      </c>
      <c r="I546" s="43" t="n">
        <f aca="false">IF(G546="",H546,p_beta_alloc*G546+(1-p_beta_alloc)*H546)*F546^p_phi</f>
        <v>0.00164452881162522</v>
      </c>
      <c r="J546" s="16" t="n">
        <f aca="false">INDEX(Sector_Params!$C$18:$E$18,MATCH(B546,Sector_Params!$C$15:$E$15,0))*I546/SUMIFS($I$5:$I$1369,$B$5:$B$1369,B546,$C$5:$C$1369,C546)</f>
        <v>0.673395636811855</v>
      </c>
      <c r="K546" s="28" t="n">
        <f aca="false">INDEX(Sector_Params!$F$7:$H$7,MATCH(B546,Sector_Params!$C$15:$E$15,0))</f>
        <v>0.24</v>
      </c>
      <c r="L546" s="16" t="n">
        <f aca="false">J546*K546</f>
        <v>0.161614952834845</v>
      </c>
      <c r="M546" s="44" t="n">
        <f aca="false">Country_Data!$DW$82+Sector_Params!$E$7</f>
        <v>0.105</v>
      </c>
      <c r="N546" s="44" t="n">
        <f aca="false">Country_Data!$DX$82+Sector_Params!$E$7</f>
        <v>0.15</v>
      </c>
      <c r="O546" s="11" t="n">
        <f aca="false">IF(p_use_ibrd=1,p_r_ibrd,p_r_wb)</f>
        <v>0.06</v>
      </c>
      <c r="P546" s="45" t="n">
        <f aca="false">Sector_Params!$D$7</f>
        <v>12</v>
      </c>
      <c r="Q546" s="46" t="n">
        <f aca="false">M546/(1-(1+M546)^-P546)</f>
        <v>0.150376745634766</v>
      </c>
      <c r="R546" s="46" t="n">
        <f aca="false">N546/(1-(1+N546)^-P546)</f>
        <v>0.18448077613084</v>
      </c>
      <c r="S546" s="46" t="n">
        <f aca="false">O546/(1-(1+O546)^-P546)</f>
        <v>0.119277029380664</v>
      </c>
      <c r="T546" s="37" t="n">
        <f aca="false">IF(AND(p_eng=1,ISNUMBER(Country_Data!$DE$82)),Country_Data!$DE$82,Country_Data!$CM$82)*Sector_Params!$I$7</f>
        <v>0.12918816</v>
      </c>
      <c r="U546" s="37" t="n">
        <f aca="false">IF(AND(p_eng=1,ISNUMBER(Country_Data!$DF$82)),Country_Data!$DF$82,Country_Data!$CN$82)*Sector_Params!$J$7</f>
        <v>0.00757125</v>
      </c>
      <c r="V546" s="37" t="n">
        <f aca="false">IF(AND(p_eng=1,ISNUMBER(Country_Data!$DG$82)),Country_Data!$DG$82,p_a)</f>
        <v>0.371364018072289</v>
      </c>
      <c r="W546" s="16" t="n">
        <f aca="false">T546*L546</f>
        <v>0.0208787383852204</v>
      </c>
      <c r="X546" s="16" t="n">
        <f aca="false">U546*L546</f>
        <v>0.00122362721165082</v>
      </c>
      <c r="Y546" s="16" t="n">
        <f aca="false">V546*L546</f>
        <v>0.0600179782653116</v>
      </c>
      <c r="Z546" s="16" t="n">
        <f aca="false">Q546*L546</f>
        <v>0.0243031306532202</v>
      </c>
      <c r="AA546" s="16" t="n">
        <f aca="false">R546*L546</f>
        <v>0.0298148519333213</v>
      </c>
      <c r="AB546" s="16" t="n">
        <f aca="false">S546*L546</f>
        <v>0.0192769514776364</v>
      </c>
      <c r="AC546" s="16" t="n">
        <f aca="false">Z546-W546</f>
        <v>0.00342439226799973</v>
      </c>
      <c r="AD546" s="16" t="n">
        <f aca="false">AA546-W546</f>
        <v>0.00893611354810082</v>
      </c>
      <c r="AE546" s="16" t="n">
        <f aca="false">AB546-W546</f>
        <v>-0.00160178690758405</v>
      </c>
      <c r="AF546" s="16" t="n">
        <f aca="false">AE546-X546</f>
        <v>-0.00282541411923487</v>
      </c>
      <c r="AG546" s="16" t="n">
        <f aca="false">AF546-p_spc_lo*Y546/1000</f>
        <v>-0.00582631303250045</v>
      </c>
      <c r="AH546" s="16" t="n">
        <f aca="false">AF546-p_spc_hi*Y546/1000</f>
        <v>-0.00882721194576603</v>
      </c>
      <c r="AI546" s="16" t="n">
        <f aca="false">Q546*J546</f>
        <v>0.101263044388417</v>
      </c>
      <c r="AJ546" s="16" t="n">
        <f aca="false">S546*J546</f>
        <v>0.0803206311568182</v>
      </c>
      <c r="AK546" s="16" t="n">
        <f aca="false">T546*J546</f>
        <v>0.0869947432717518</v>
      </c>
      <c r="AL546" s="16" t="n">
        <f aca="false">U546*J546</f>
        <v>0.00509844671521175</v>
      </c>
      <c r="AM546" s="16" t="n">
        <f aca="false">AI546-AJ546</f>
        <v>0.0209424132315991</v>
      </c>
      <c r="AN546" s="16" t="n">
        <f aca="false">J546*Country_Data!$EB$82</f>
        <v>0.794411664296884</v>
      </c>
      <c r="AO546" s="16" t="n">
        <f aca="false">L546*Country_Data!$EB$82</f>
        <v>0.190658799431252</v>
      </c>
    </row>
    <row r="547" customFormat="false" ht="15" hidden="false" customHeight="false" outlineLevel="0" collapsed="false">
      <c r="A547" s="14" t="str">
        <f aca="false">Country_Data!$A$82</f>
        <v>CIV</v>
      </c>
      <c r="B547" s="14" t="str">
        <f aca="false">Country_Data!$E$82</f>
        <v>EMDC</v>
      </c>
      <c r="C547" s="35" t="s">
        <v>477</v>
      </c>
      <c r="D547" s="37" t="n">
        <f aca="false">IF(Country_Data!$CB$82="","",Country_Data!$CB$82)</f>
        <v>0.0522805943494392</v>
      </c>
      <c r="E547" s="40" t="n">
        <f aca="false">Country_Data!$BW$82</f>
        <v>245.266</v>
      </c>
      <c r="F547" s="41" t="n">
        <f aca="false">Country_Data!$BX$82</f>
        <v>0.355255110777686</v>
      </c>
      <c r="G547" s="42" t="n">
        <f aca="false">IF(D547="","",D547/SUMIFS($D$5:$D$1369,$B$5:$B$1369,B547,$C$5:$C$1369,C547))</f>
        <v>0.00164856633426416</v>
      </c>
      <c r="H547" s="42" t="n">
        <f aca="false">E547/SUMIFS($E$5:$E$1369,$B$5:$B$1369,B547,$C$5:$C$1369,C547)</f>
        <v>0.00303803119188712</v>
      </c>
      <c r="I547" s="43" t="n">
        <f aca="false">IF(G547="",H547,p_beta_alloc*G547+(1-p_beta_alloc)*H547)*F547^p_phi</f>
        <v>0.00139668294678167</v>
      </c>
      <c r="J547" s="16" t="n">
        <f aca="false">INDEX(Sector_Params!$C$19:$E$19,MATCH(B547,Sector_Params!$C$15:$E$15,0))*I547/SUMIFS($I$5:$I$1369,$B$5:$B$1369,B547,$C$5:$C$1369,C547)</f>
        <v>0.449539999774016</v>
      </c>
      <c r="K547" s="28" t="n">
        <f aca="false">INDEX(Sector_Params!$F$8:$H$8,MATCH(B547,Sector_Params!$C$15:$E$15,0))</f>
        <v>0.24</v>
      </c>
      <c r="L547" s="16" t="n">
        <f aca="false">J547*K547</f>
        <v>0.107889599945764</v>
      </c>
      <c r="M547" s="44" t="n">
        <f aca="false">Country_Data!$DW$82+Sector_Params!$E$8</f>
        <v>0.105</v>
      </c>
      <c r="N547" s="44" t="n">
        <f aca="false">Country_Data!$DX$82+Sector_Params!$E$8</f>
        <v>0.15</v>
      </c>
      <c r="O547" s="11" t="n">
        <f aca="false">IF(p_use_ibrd=1,p_r_ibrd,p_r_wb)</f>
        <v>0.06</v>
      </c>
      <c r="P547" s="45" t="n">
        <f aca="false">Sector_Params!$D$8</f>
        <v>25</v>
      </c>
      <c r="Q547" s="46" t="n">
        <f aca="false">M547/(1-(1+M547)^-P547)</f>
        <v>0.114429319813103</v>
      </c>
      <c r="R547" s="46" t="n">
        <f aca="false">N547/(1-(1+N547)^-P547)</f>
        <v>0.154699402320206</v>
      </c>
      <c r="S547" s="46" t="n">
        <f aca="false">O547/(1-(1+O547)^-P547)</f>
        <v>0.078226718212274</v>
      </c>
      <c r="T547" s="37" t="n">
        <f aca="false">Country_Data!$CM$82*Sector_Params!$I$8</f>
        <v>0.200720270581604</v>
      </c>
      <c r="U547" s="37" t="n">
        <f aca="false">Country_Data!$CN$82*Sector_Params!$J$8</f>
        <v>0.03225</v>
      </c>
      <c r="V547" s="37" t="n">
        <f aca="false">p_a</f>
        <v>0.35</v>
      </c>
      <c r="W547" s="16" t="n">
        <f aca="false">T547*L547</f>
        <v>0.0216556296940547</v>
      </c>
      <c r="X547" s="16" t="n">
        <f aca="false">U547*L547</f>
        <v>0.00347943959825088</v>
      </c>
      <c r="Y547" s="16" t="n">
        <f aca="false">V547*L547</f>
        <v>0.0377613599810173</v>
      </c>
      <c r="Z547" s="16" t="n">
        <f aca="false">Q547*L547</f>
        <v>0.0123457335367016</v>
      </c>
      <c r="AA547" s="16" t="n">
        <f aca="false">R547*L547</f>
        <v>0.0166904566281758</v>
      </c>
      <c r="AB547" s="16" t="n">
        <f aca="false">S547*L547</f>
        <v>0.00843984933299223</v>
      </c>
      <c r="AC547" s="16" t="n">
        <f aca="false">Z547-W547</f>
        <v>-0.00930989615735315</v>
      </c>
      <c r="AD547" s="16" t="n">
        <f aca="false">AA547-W547</f>
        <v>-0.00496517306587889</v>
      </c>
      <c r="AE547" s="16" t="n">
        <f aca="false">AB547-W547</f>
        <v>-0.0132157803610625</v>
      </c>
      <c r="AF547" s="16" t="n">
        <f aca="false">AE547-X547</f>
        <v>-0.0166952199593134</v>
      </c>
      <c r="AG547" s="16" t="n">
        <f aca="false">AF547-p_spc_lo*Y547/1000</f>
        <v>-0.0185832879583642</v>
      </c>
      <c r="AH547" s="16" t="n">
        <f aca="false">AF547-p_spc_hi*Y547/1000</f>
        <v>-0.0204713559574151</v>
      </c>
      <c r="AI547" s="16" t="n">
        <f aca="false">Q547*J547</f>
        <v>0.0514405564029232</v>
      </c>
      <c r="AJ547" s="16" t="n">
        <f aca="false">S547*J547</f>
        <v>0.0351660388874676</v>
      </c>
      <c r="AK547" s="16" t="n">
        <f aca="false">T547*J547</f>
        <v>0.0902317903918947</v>
      </c>
      <c r="AL547" s="16" t="n">
        <f aca="false">U547*J547</f>
        <v>0.014497664992712</v>
      </c>
      <c r="AM547" s="16" t="n">
        <f aca="false">AI547-AJ547</f>
        <v>0.0162745175154556</v>
      </c>
      <c r="AN547" s="16" t="n">
        <f aca="false">J547*Country_Data!$EB$82</f>
        <v>0.530326898284129</v>
      </c>
      <c r="AO547" s="16" t="n">
        <f aca="false">L547*Country_Data!$EB$82</f>
        <v>0.127278455588191</v>
      </c>
    </row>
    <row r="548" customFormat="false" ht="15" hidden="false" customHeight="false" outlineLevel="0" collapsed="false">
      <c r="A548" s="14" t="str">
        <f aca="false">Country_Data!$A$82</f>
        <v>CIV</v>
      </c>
      <c r="B548" s="14" t="str">
        <f aca="false">Country_Data!$E$82</f>
        <v>EMDC</v>
      </c>
      <c r="C548" s="35" t="s">
        <v>481</v>
      </c>
      <c r="D548" s="37" t="n">
        <f aca="false">IF(Country_Data!$CC$82="","",Country_Data!$CC$82)</f>
        <v>0.0329066683847259</v>
      </c>
      <c r="E548" s="40" t="n">
        <f aca="false">Country_Data!$BW$82</f>
        <v>245.266</v>
      </c>
      <c r="F548" s="41" t="n">
        <f aca="false">Country_Data!$BX$82</f>
        <v>0.355255110777686</v>
      </c>
      <c r="G548" s="42" t="n">
        <f aca="false">IF(D548="","",D548/SUMIFS($D$5:$D$1369,$B$5:$B$1369,B548,$C$5:$C$1369,C548))</f>
        <v>0.000470046528706751</v>
      </c>
      <c r="H548" s="42" t="n">
        <f aca="false">E548/SUMIFS($E$5:$E$1369,$B$5:$B$1369,B548,$C$5:$C$1369,C548)</f>
        <v>0.00303803119188712</v>
      </c>
      <c r="I548" s="43" t="n">
        <f aca="false">IF(G548="",H548,p_beta_alloc*G548+(1-p_beta_alloc)*H548)*F548^p_phi</f>
        <v>0.00104546471101859</v>
      </c>
      <c r="J548" s="16" t="n">
        <f aca="false">INDEX(Sector_Params!$C$20:$E$20,MATCH(B548,Sector_Params!$C$15:$E$15,0))*I548/SUMIFS($I$5:$I$1369,$B$5:$B$1369,B548,$C$5:$C$1369,C548)</f>
        <v>0.190818363002012</v>
      </c>
      <c r="K548" s="28" t="n">
        <f aca="false">INDEX(Sector_Params!$F$9:$H$9,MATCH(B548,Sector_Params!$C$15:$E$15,0))</f>
        <v>0.24</v>
      </c>
      <c r="L548" s="16" t="n">
        <f aca="false">J548*K548</f>
        <v>0.045796407120483</v>
      </c>
      <c r="M548" s="44" t="n">
        <f aca="false">Country_Data!$DW$82+Sector_Params!$E$9</f>
        <v>0.105</v>
      </c>
      <c r="N548" s="44" t="n">
        <f aca="false">Country_Data!$DX$82+Sector_Params!$E$9</f>
        <v>0.15</v>
      </c>
      <c r="O548" s="11" t="n">
        <f aca="false">IF(p_use_ibrd=1,p_r_ibrd,p_r_wb)</f>
        <v>0.06</v>
      </c>
      <c r="P548" s="45" t="n">
        <f aca="false">Sector_Params!$D$9</f>
        <v>25</v>
      </c>
      <c r="Q548" s="46" t="n">
        <f aca="false">M548/(1-(1+M548)^-P548)</f>
        <v>0.114429319813103</v>
      </c>
      <c r="R548" s="46" t="n">
        <f aca="false">N548/(1-(1+N548)^-P548)</f>
        <v>0.154699402320206</v>
      </c>
      <c r="S548" s="46" t="n">
        <f aca="false">O548/(1-(1+O548)^-P548)</f>
        <v>0.078226718212274</v>
      </c>
      <c r="T548" s="37" t="n">
        <f aca="false">Country_Data!$CM$82*Sector_Params!$I$9</f>
        <v>0.200720270581604</v>
      </c>
      <c r="U548" s="37" t="n">
        <f aca="false">Country_Data!$CN$82*Sector_Params!$J$9</f>
        <v>0.03225</v>
      </c>
      <c r="V548" s="37" t="n">
        <f aca="false">p_a</f>
        <v>0.35</v>
      </c>
      <c r="W548" s="16" t="n">
        <f aca="false">T548*L548</f>
        <v>0.00919226722888865</v>
      </c>
      <c r="X548" s="16" t="n">
        <f aca="false">U548*L548</f>
        <v>0.00147693412963558</v>
      </c>
      <c r="Y548" s="16" t="n">
        <f aca="false">V548*L548</f>
        <v>0.016028742492169</v>
      </c>
      <c r="Z548" s="16" t="n">
        <f aca="false">Q548*L548</f>
        <v>0.00524045171668083</v>
      </c>
      <c r="AA548" s="16" t="n">
        <f aca="false">R548*L548</f>
        <v>0.00708467680995156</v>
      </c>
      <c r="AB548" s="16" t="n">
        <f aca="false">S548*L548</f>
        <v>0.0035825026349486</v>
      </c>
      <c r="AC548" s="16" t="n">
        <f aca="false">Z548-W548</f>
        <v>-0.00395181551220782</v>
      </c>
      <c r="AD548" s="16" t="n">
        <f aca="false">AA548-W548</f>
        <v>-0.00210759041893708</v>
      </c>
      <c r="AE548" s="16" t="n">
        <f aca="false">AB548-W548</f>
        <v>-0.00560976459394005</v>
      </c>
      <c r="AF548" s="16" t="n">
        <f aca="false">AE548-X548</f>
        <v>-0.00708669872357562</v>
      </c>
      <c r="AG548" s="16" t="n">
        <f aca="false">AF548-p_spc_lo*Y548/1000</f>
        <v>-0.00788813584818408</v>
      </c>
      <c r="AH548" s="16" t="n">
        <f aca="false">AF548-p_spc_hi*Y548/1000</f>
        <v>-0.00868957297279253</v>
      </c>
      <c r="AI548" s="16" t="n">
        <f aca="false">Q548*J548</f>
        <v>0.0218352154861701</v>
      </c>
      <c r="AJ548" s="16" t="n">
        <f aca="false">S548*J548</f>
        <v>0.0149270943122858</v>
      </c>
      <c r="AK548" s="16" t="n">
        <f aca="false">T548*J548</f>
        <v>0.0383011134537027</v>
      </c>
      <c r="AL548" s="16" t="n">
        <f aca="false">U548*J548</f>
        <v>0.0061538922068149</v>
      </c>
      <c r="AM548" s="16" t="n">
        <f aca="false">AI548-AJ548</f>
        <v>0.00690812117388429</v>
      </c>
      <c r="AN548" s="16" t="n">
        <f aca="false">J548*Country_Data!$EB$82</f>
        <v>0.225110358671939</v>
      </c>
      <c r="AO548" s="16" t="n">
        <f aca="false">L548*Country_Data!$EB$82</f>
        <v>0.0540264860812654</v>
      </c>
    </row>
    <row r="549" customFormat="false" ht="15" hidden="false" customHeight="false" outlineLevel="0" collapsed="false">
      <c r="A549" s="14" t="str">
        <f aca="false">Country_Data!$A$82</f>
        <v>CIV</v>
      </c>
      <c r="B549" s="14" t="str">
        <f aca="false">Country_Data!$E$82</f>
        <v>EMDC</v>
      </c>
      <c r="C549" s="35" t="s">
        <v>484</v>
      </c>
      <c r="D549" s="37" t="n">
        <f aca="false">IF(Country_Data!$CD$82="","",Country_Data!$CD$82)</f>
        <v>0.225972737873259</v>
      </c>
      <c r="E549" s="40" t="n">
        <f aca="false">Country_Data!$BW$82</f>
        <v>245.266</v>
      </c>
      <c r="F549" s="41" t="n">
        <f aca="false">Country_Data!$BX$82</f>
        <v>0.355255110777686</v>
      </c>
      <c r="G549" s="42" t="n">
        <f aca="false">IF(D549="","",D549/SUMIFS($D$5:$D$1369,$B$5:$B$1369,B549,$C$5:$C$1369,C549))</f>
        <v>0.00126191432049323</v>
      </c>
      <c r="H549" s="42" t="n">
        <f aca="false">E549/SUMIFS($E$5:$E$1369,$B$5:$B$1369,B549,$C$5:$C$1369,C549)</f>
        <v>0.00303803119188712</v>
      </c>
      <c r="I549" s="43" t="n">
        <f aca="false">IF(G549="",H549,p_beta_alloc*G549+(1-p_beta_alloc)*H549)*F549^p_phi</f>
        <v>0.00128145430362226</v>
      </c>
      <c r="J549" s="16" t="n">
        <f aca="false">INDEX(Sector_Params!$C$21:$E$21,MATCH(B549,Sector_Params!$C$15:$E$15,0))*I549/SUMIFS($I$5:$I$1369,$B$5:$B$1369,B549,$C$5:$C$1369,C549)</f>
        <v>0.284213527357236</v>
      </c>
      <c r="K549" s="28" t="n">
        <f aca="false">INDEX(Sector_Params!$F$10:$H$10,MATCH(B549,Sector_Params!$C$15:$E$15,0))</f>
        <v>0.24</v>
      </c>
      <c r="L549" s="16" t="n">
        <f aca="false">J549*K549</f>
        <v>0.0682112465657367</v>
      </c>
      <c r="M549" s="44" t="n">
        <f aca="false">Country_Data!$DW$82+Sector_Params!$E$10</f>
        <v>0.105</v>
      </c>
      <c r="N549" s="44" t="n">
        <f aca="false">Country_Data!$DX$82+Sector_Params!$E$10</f>
        <v>0.15</v>
      </c>
      <c r="O549" s="11" t="n">
        <f aca="false">IF(p_use_ibrd=1,p_r_ibrd,p_r_wb)</f>
        <v>0.06</v>
      </c>
      <c r="P549" s="45" t="n">
        <f aca="false">Sector_Params!$D$10</f>
        <v>20</v>
      </c>
      <c r="Q549" s="46" t="n">
        <f aca="false">M549/(1-(1+M549)^-P549)</f>
        <v>0.121493265267016</v>
      </c>
      <c r="R549" s="46" t="n">
        <f aca="false">N549/(1-(1+N549)^-P549)</f>
        <v>0.159761470405744</v>
      </c>
      <c r="S549" s="46" t="n">
        <f aca="false">O549/(1-(1+O549)^-P549)</f>
        <v>0.0871845569768514</v>
      </c>
      <c r="T549" s="37" t="n">
        <f aca="false">0*Sector_Params!$I$10</f>
        <v>0</v>
      </c>
      <c r="U549" s="37" t="n">
        <f aca="false">0*Sector_Params!$J$10</f>
        <v>0</v>
      </c>
      <c r="V549" s="37" t="n">
        <f aca="false">1000*p_r_wb/(1-(1+p_r_wb)^-Sector_Params!$D$10)/p_cpt_fuel</f>
        <v>0.871845569768514</v>
      </c>
      <c r="W549" s="16" t="n">
        <f aca="false">T549*L549</f>
        <v>0</v>
      </c>
      <c r="X549" s="16" t="n">
        <f aca="false">U549*L549</f>
        <v>0</v>
      </c>
      <c r="Y549" s="16" t="n">
        <f aca="false">V549*L549</f>
        <v>0.0594696731267253</v>
      </c>
      <c r="Z549" s="16" t="n">
        <f aca="false">Q549*L549</f>
        <v>0.00828720707320489</v>
      </c>
      <c r="AA549" s="16" t="n">
        <f aca="false">R549*L549</f>
        <v>0.0108975290495508</v>
      </c>
      <c r="AB549" s="16" t="n">
        <f aca="false">S549*L549</f>
        <v>0.00594696731267253</v>
      </c>
      <c r="AC549" s="16" t="n">
        <f aca="false">Z549-W549</f>
        <v>0.00828720707320489</v>
      </c>
      <c r="AD549" s="16" t="n">
        <f aca="false">AA549-W549</f>
        <v>0.0108975290495508</v>
      </c>
      <c r="AE549" s="16" t="n">
        <f aca="false">AB549-W549</f>
        <v>0.00594696731267253</v>
      </c>
      <c r="AF549" s="16" t="n">
        <f aca="false">AE549-X549</f>
        <v>0.00594696731267253</v>
      </c>
      <c r="AG549" s="16" t="n">
        <f aca="false">AF549-p_spc_lo*Y549/1000</f>
        <v>0.00297348365633626</v>
      </c>
      <c r="AH549" s="16" t="n">
        <f aca="false">AF549-p_spc_hi*Y549/1000</f>
        <v>0</v>
      </c>
      <c r="AI549" s="16" t="n">
        <f aca="false">Q549*J549</f>
        <v>0.0345300294716871</v>
      </c>
      <c r="AJ549" s="16" t="n">
        <f aca="false">S549*J549</f>
        <v>0.0247790304694689</v>
      </c>
      <c r="AK549" s="16" t="n">
        <f aca="false">T549*J549</f>
        <v>0</v>
      </c>
      <c r="AL549" s="16" t="n">
        <f aca="false">U549*J549</f>
        <v>0</v>
      </c>
      <c r="AM549" s="16" t="n">
        <f aca="false">AI549-AJ549</f>
        <v>0.00975099900221818</v>
      </c>
      <c r="AN549" s="16" t="n">
        <f aca="false">J549*Country_Data!$EB$82</f>
        <v>0.335289581548971</v>
      </c>
      <c r="AO549" s="16" t="n">
        <f aca="false">L549*Country_Data!$EB$82</f>
        <v>0.0804694995717531</v>
      </c>
    </row>
    <row r="550" customFormat="false" ht="15" hidden="false" customHeight="false" outlineLevel="0" collapsed="false">
      <c r="A550" s="14" t="str">
        <f aca="false">Country_Data!$A$82</f>
        <v>CIV</v>
      </c>
      <c r="B550" s="14" t="str">
        <f aca="false">Country_Data!$E$82</f>
        <v>EMDC</v>
      </c>
      <c r="C550" s="35" t="s">
        <v>488</v>
      </c>
      <c r="D550" s="37" t="n">
        <f aca="false">IF(Country_Data!$CE$82="","",Country_Data!$CE$82)</f>
        <v>22.572</v>
      </c>
      <c r="E550" s="40" t="n">
        <f aca="false">Country_Data!$BW$82</f>
        <v>245.266</v>
      </c>
      <c r="F550" s="41" t="n">
        <f aca="false">Country_Data!$BX$82</f>
        <v>0.355255110777686</v>
      </c>
      <c r="G550" s="42" t="n">
        <f aca="false">IF(D550="","",D550/SUMIFS($D$5:$D$1369,$B$5:$B$1369,B550,$C$5:$C$1369,C550))</f>
        <v>0.0018495408514017</v>
      </c>
      <c r="H550" s="42" t="n">
        <f aca="false">E550/SUMIFS($E$5:$E$1369,$B$5:$B$1369,B550,$C$5:$C$1369,C550)</f>
        <v>0.00303803119188712</v>
      </c>
      <c r="I550" s="43" t="n">
        <f aca="false">IF(G550="",H550,p_beta_alloc*G550+(1-p_beta_alloc)*H550)*F550^p_phi</f>
        <v>0.00145657664989089</v>
      </c>
      <c r="J550" s="16" t="n">
        <f aca="false">INDEX(Sector_Params!$C$22:$E$22,MATCH(B550,Sector_Params!$C$15:$E$15,0))*I550/SUMIFS($I$5:$I$1369,$B$5:$B$1369,B550,$C$5:$C$1369,C550)</f>
        <v>0.878036622638007</v>
      </c>
      <c r="K550" s="28" t="n">
        <f aca="false">INDEX(Sector_Params!$F$11:$H$11,MATCH(B550,Sector_Params!$C$15:$E$15,0))</f>
        <v>0.24</v>
      </c>
      <c r="L550" s="16" t="n">
        <f aca="false">J550*K550</f>
        <v>0.210728789433122</v>
      </c>
      <c r="M550" s="44" t="n">
        <f aca="false">Country_Data!$DW$82+Sector_Params!$E$11</f>
        <v>0.105</v>
      </c>
      <c r="N550" s="44" t="n">
        <f aca="false">Country_Data!$DX$82+Sector_Params!$E$11</f>
        <v>0.15</v>
      </c>
      <c r="O550" s="11" t="n">
        <f aca="false">IF(p_use_ibrd=1,p_r_ibrd,p_r_wb)</f>
        <v>0.06</v>
      </c>
      <c r="P550" s="45" t="n">
        <f aca="false">Sector_Params!$D$11</f>
        <v>30</v>
      </c>
      <c r="Q550" s="46" t="n">
        <f aca="false">M550/(1-(1+M550)^-P550)</f>
        <v>0.110528481529605</v>
      </c>
      <c r="R550" s="46" t="n">
        <f aca="false">N550/(1-(1+N550)^-P550)</f>
        <v>0.152300198192734</v>
      </c>
      <c r="S550" s="46" t="n">
        <f aca="false">O550/(1-(1+O550)^-P550)</f>
        <v>0.0726489114900472</v>
      </c>
      <c r="T550" s="37" t="n">
        <f aca="false">0*Sector_Params!$I$11</f>
        <v>0</v>
      </c>
      <c r="U550" s="37" t="n">
        <f aca="false">p_c*Sector_Params!$J$11</f>
        <v>0.129</v>
      </c>
      <c r="V550" s="37" t="n">
        <f aca="false">1000*p_r_wb/(1-(1+p_r_wb)^-Sector_Params!$D$11)/p_cpt_afolu</f>
        <v>1.45297822980094</v>
      </c>
      <c r="W550" s="16" t="n">
        <f aca="false">T550*L550</f>
        <v>0</v>
      </c>
      <c r="X550" s="16" t="n">
        <f aca="false">U550*L550</f>
        <v>0.0271840138368727</v>
      </c>
      <c r="Y550" s="16" t="n">
        <f aca="false">V550*L550</f>
        <v>0.306184343438633</v>
      </c>
      <c r="Z550" s="16" t="n">
        <f aca="false">Q550*L550</f>
        <v>0.0232915331106148</v>
      </c>
      <c r="AA550" s="16" t="n">
        <f aca="false">R550*L550</f>
        <v>0.0320940363955794</v>
      </c>
      <c r="AB550" s="16" t="n">
        <f aca="false">S550*L550</f>
        <v>0.0153092171719317</v>
      </c>
      <c r="AC550" s="16" t="n">
        <f aca="false">Z550-W550</f>
        <v>0.0232915331106148</v>
      </c>
      <c r="AD550" s="16" t="n">
        <f aca="false">AA550-W550</f>
        <v>0.0320940363955794</v>
      </c>
      <c r="AE550" s="16" t="n">
        <f aca="false">AB550-W550</f>
        <v>0.0153092171719317</v>
      </c>
      <c r="AF550" s="16" t="n">
        <f aca="false">AE550-X550</f>
        <v>-0.011874796664941</v>
      </c>
      <c r="AG550" s="16" t="n">
        <f aca="false">AF550-p_spc_lo*Y550/1000</f>
        <v>-0.0271840138368727</v>
      </c>
      <c r="AH550" s="16" t="n">
        <f aca="false">AF550-p_spc_hi*Y550/1000</f>
        <v>-0.0424932310088043</v>
      </c>
      <c r="AI550" s="16" t="n">
        <f aca="false">Q550*J550</f>
        <v>0.0970480546275618</v>
      </c>
      <c r="AJ550" s="16" t="n">
        <f aca="false">S550*J550</f>
        <v>0.0637884048830485</v>
      </c>
      <c r="AK550" s="16" t="n">
        <f aca="false">T550*J550</f>
        <v>0</v>
      </c>
      <c r="AL550" s="16" t="n">
        <f aca="false">U550*J550</f>
        <v>0.113266724320303</v>
      </c>
      <c r="AM550" s="16" t="n">
        <f aca="false">AI550-AJ550</f>
        <v>0.0332596497445133</v>
      </c>
      <c r="AN550" s="16" t="n">
        <f aca="false">J550*Country_Data!$EB$82</f>
        <v>1.03582871134397</v>
      </c>
      <c r="AO550" s="16" t="n">
        <f aca="false">L550*Country_Data!$EB$82</f>
        <v>0.248598890722552</v>
      </c>
    </row>
    <row r="551" customFormat="false" ht="15" hidden="false" customHeight="false" outlineLevel="0" collapsed="false">
      <c r="A551" s="14" t="str">
        <f aca="false">Country_Data!$A$83</f>
        <v>PAN</v>
      </c>
      <c r="B551" s="14" t="str">
        <f aca="false">Country_Data!$E$83</f>
        <v>EMDC</v>
      </c>
      <c r="C551" s="35" t="s">
        <v>466</v>
      </c>
      <c r="D551" s="37" t="n">
        <f aca="false">IF(Country_Data!$BZ$83="","",Country_Data!$BZ$83)</f>
        <v>13.4952344648833</v>
      </c>
      <c r="E551" s="40" t="n">
        <f aca="false">Country_Data!$BW$83</f>
        <v>187.078</v>
      </c>
      <c r="F551" s="41" t="n">
        <f aca="false">Country_Data!$BX$83</f>
        <v>0.462502271779686</v>
      </c>
      <c r="G551" s="42" t="n">
        <f aca="false">IF(D551="","",D551/SUMIFS($D$5:$D$1369,$B$5:$B$1369,B551,$C$5:$C$1369,C551))</f>
        <v>0.00154064478462801</v>
      </c>
      <c r="H551" s="42" t="n">
        <f aca="false">E551/SUMIFS($E$5:$E$1369,$B$5:$B$1369,B551,$C$5:$C$1369,C551)</f>
        <v>0.00231727511891521</v>
      </c>
      <c r="I551" s="43" t="n">
        <f aca="false">IF(G551="",H551,p_beta_alloc*G551+(1-p_beta_alloc)*H551)*F551^p_phi</f>
        <v>0.00131183781666066</v>
      </c>
      <c r="J551" s="16" t="n">
        <f aca="false">INDEX(Sector_Params!$C$16:$E$16,MATCH(B551,Sector_Params!$C$15:$E$15,0))*I551/SUMIFS($I$5:$I$1369,$B$5:$B$1369,B551,$C$5:$C$1369,C551)</f>
        <v>1.26884279423025</v>
      </c>
      <c r="K551" s="28" t="n">
        <f aca="false">INDEX(Sector_Params!$F$5:$H$5,MATCH(B551,Sector_Params!$C$15:$E$15,0))</f>
        <v>0.24</v>
      </c>
      <c r="L551" s="16" t="n">
        <f aca="false">J551*K551</f>
        <v>0.304522270615259</v>
      </c>
      <c r="M551" s="44" t="n">
        <f aca="false">Country_Data!$DW$83+Sector_Params!$E$5</f>
        <v>0.105</v>
      </c>
      <c r="N551" s="44" t="n">
        <f aca="false">Country_Data!$DX$83+Sector_Params!$E$5</f>
        <v>0.15</v>
      </c>
      <c r="O551" s="11" t="n">
        <f aca="false">IF(p_use_ibrd=1,p_r_ibrd,p_r_wb)</f>
        <v>0.06</v>
      </c>
      <c r="P551" s="45" t="n">
        <f aca="false">Sector_Params!$D$5</f>
        <v>25</v>
      </c>
      <c r="Q551" s="46" t="n">
        <f aca="false">M551/(1-(1+M551)^-P551)</f>
        <v>0.114429319813103</v>
      </c>
      <c r="R551" s="46" t="n">
        <f aca="false">N551/(1-(1+N551)^-P551)</f>
        <v>0.154699402320206</v>
      </c>
      <c r="S551" s="46" t="n">
        <f aca="false">O551/(1-(1+O551)^-P551)</f>
        <v>0.078226718212274</v>
      </c>
      <c r="T551" s="37" t="n">
        <f aca="false">IF(AND(p_eng=1,ISNUMBER(Country_Data!$CZ$83)),Country_Data!$CZ$83,Country_Data!$CM$83)*Sector_Params!$I$5</f>
        <v>0.0386497831562624</v>
      </c>
      <c r="U551" s="37" t="n">
        <f aca="false">IF(AND(p_eng=1,ISNUMBER(Country_Data!$DA$83)),Country_Data!$DA$83,Country_Data!$CN$83)*Sector_Params!$J$5</f>
        <v>0.00645001806330735</v>
      </c>
      <c r="V551" s="37" t="n">
        <f aca="false">IF(AND(p_eng=1,ISNUMBER(Country_Data!$DB$83)),Country_Data!$DB$83,p_a)</f>
        <v>0.422182782539835</v>
      </c>
      <c r="W551" s="16" t="n">
        <f aca="false">T551*L551</f>
        <v>0.0117697197255324</v>
      </c>
      <c r="X551" s="16" t="n">
        <f aca="false">U551*L551</f>
        <v>0.00196417414614779</v>
      </c>
      <c r="Y551" s="16" t="n">
        <f aca="false">V551*L551</f>
        <v>0.128564059553699</v>
      </c>
      <c r="Z551" s="16" t="n">
        <f aca="false">Q551*L551</f>
        <v>0.0348462762944459</v>
      </c>
      <c r="AA551" s="16" t="n">
        <f aca="false">R551*L551</f>
        <v>0.0471094132573727</v>
      </c>
      <c r="AB551" s="16" t="n">
        <f aca="false">S551*L551</f>
        <v>0.0238217778527817</v>
      </c>
      <c r="AC551" s="16" t="n">
        <f aca="false">Z551-W551</f>
        <v>0.0230765565689134</v>
      </c>
      <c r="AD551" s="16" t="n">
        <f aca="false">AA551-W551</f>
        <v>0.0353396935318403</v>
      </c>
      <c r="AE551" s="16" t="n">
        <f aca="false">AB551-W551</f>
        <v>0.0120520581272493</v>
      </c>
      <c r="AF551" s="16" t="n">
        <f aca="false">AE551-X551</f>
        <v>0.0100878839811015</v>
      </c>
      <c r="AG551" s="16" t="n">
        <f aca="false">AF551-p_spc_lo*Y551/1000</f>
        <v>0.00365968100341656</v>
      </c>
      <c r="AH551" s="16" t="n">
        <f aca="false">AF551-p_spc_hi*Y551/1000</f>
        <v>-0.00276852197426836</v>
      </c>
      <c r="AI551" s="16" t="n">
        <f aca="false">Q551*J551</f>
        <v>0.145192817893524</v>
      </c>
      <c r="AJ551" s="16" t="n">
        <f aca="false">S551*J551</f>
        <v>0.0992574077199237</v>
      </c>
      <c r="AK551" s="16" t="n">
        <f aca="false">T551*J551</f>
        <v>0.049040498856385</v>
      </c>
      <c r="AL551" s="16" t="n">
        <f aca="false">U551*J551</f>
        <v>0.00818405894228245</v>
      </c>
      <c r="AM551" s="16" t="n">
        <f aca="false">AI551-AJ551</f>
        <v>0.0459354101736007</v>
      </c>
      <c r="AN551" s="16" t="n">
        <f aca="false">J551*Country_Data!$EB$83</f>
        <v>1.45656200214376</v>
      </c>
      <c r="AO551" s="16" t="n">
        <f aca="false">L551*Country_Data!$EB$83</f>
        <v>0.349574880514503</v>
      </c>
    </row>
    <row r="552" customFormat="false" ht="15" hidden="false" customHeight="false" outlineLevel="0" collapsed="false">
      <c r="A552" s="14" t="str">
        <f aca="false">Country_Data!$A$83</f>
        <v>PAN</v>
      </c>
      <c r="B552" s="14" t="str">
        <f aca="false">Country_Data!$E$83</f>
        <v>EMDC</v>
      </c>
      <c r="C552" s="35" t="s">
        <v>470</v>
      </c>
      <c r="D552" s="37" t="n">
        <f aca="false">IF(Country_Data!$BZ$83="","",Country_Data!$BZ$83)</f>
        <v>13.4952344648833</v>
      </c>
      <c r="E552" s="40" t="n">
        <f aca="false">Country_Data!$BW$83</f>
        <v>187.078</v>
      </c>
      <c r="F552" s="41" t="n">
        <f aca="false">Country_Data!$BX$83</f>
        <v>0.462502271779686</v>
      </c>
      <c r="G552" s="42" t="n">
        <f aca="false">IF(D552="","",D552/SUMIFS($D$5:$D$1369,$B$5:$B$1369,B552,$C$5:$C$1369,C552))</f>
        <v>0.00154064478462801</v>
      </c>
      <c r="H552" s="42" t="n">
        <f aca="false">E552/SUMIFS($E$5:$E$1369,$B$5:$B$1369,B552,$C$5:$C$1369,C552)</f>
        <v>0.00231727511891521</v>
      </c>
      <c r="I552" s="43" t="n">
        <f aca="false">IF(G552="",H552,p_beta_alloc*G552+(1-p_beta_alloc)*H552)*F552^p_phi</f>
        <v>0.00131183781666066</v>
      </c>
      <c r="J552" s="16" t="n">
        <f aca="false">INDEX(Sector_Params!$C$17:$E$17,MATCH(B552,Sector_Params!$C$15:$E$15,0))*I552/SUMIFS($I$5:$I$1369,$B$5:$B$1369,B552,$C$5:$C$1369,C552)</f>
        <v>0.870063630329311</v>
      </c>
      <c r="K552" s="28" t="n">
        <f aca="false">INDEX(Sector_Params!$F$6:$H$6,MATCH(B552,Sector_Params!$C$15:$E$15,0))</f>
        <v>0.24</v>
      </c>
      <c r="L552" s="16" t="n">
        <f aca="false">J552*K552</f>
        <v>0.208815271279035</v>
      </c>
      <c r="M552" s="44" t="n">
        <f aca="false">Country_Data!$DW$83+Sector_Params!$E$6</f>
        <v>0.105</v>
      </c>
      <c r="N552" s="44" t="n">
        <f aca="false">Country_Data!$DX$83+Sector_Params!$E$6</f>
        <v>0.15</v>
      </c>
      <c r="O552" s="11" t="n">
        <f aca="false">IF(p_use_ibrd=1,p_r_ibrd,p_r_wb)</f>
        <v>0.06</v>
      </c>
      <c r="P552" s="45" t="n">
        <f aca="false">Sector_Params!$D$6</f>
        <v>40</v>
      </c>
      <c r="Q552" s="46" t="n">
        <f aca="false">M552/(1-(1+M552)^-P552)</f>
        <v>0.10697140835497</v>
      </c>
      <c r="R552" s="46" t="n">
        <f aca="false">N552/(1-(1+N552)^-P552)</f>
        <v>0.150562085013545</v>
      </c>
      <c r="S552" s="46" t="n">
        <f aca="false">O552/(1-(1+O552)^-P552)</f>
        <v>0.0664615359206755</v>
      </c>
      <c r="T552" s="37" t="n">
        <f aca="false">p_grid_credit*IF(AND(p_eng=1,ISNUMBER(Country_Data!$CZ$83)),Country_Data!$CZ$83,Country_Data!$CM$83)*Sector_Params!$I$6</f>
        <v>0</v>
      </c>
      <c r="U552" s="37" t="n">
        <f aca="false">p_grid_credit*IF(AND(p_eng=1,ISNUMBER(Country_Data!$DA$83)),Country_Data!$DA$83,Country_Data!$CN$83)*Sector_Params!$J$6</f>
        <v>0</v>
      </c>
      <c r="V552" s="37" t="n">
        <f aca="false">p_grid_credit*IF(AND(p_eng=1,ISNUMBER(Country_Data!$DB$83)),Country_Data!$DB$83,p_a)</f>
        <v>0</v>
      </c>
      <c r="W552" s="16" t="n">
        <f aca="false">T552*L552</f>
        <v>0</v>
      </c>
      <c r="X552" s="16" t="n">
        <f aca="false">U552*L552</f>
        <v>0</v>
      </c>
      <c r="Y552" s="16" t="n">
        <f aca="false">V552*L552</f>
        <v>0</v>
      </c>
      <c r="Z552" s="16" t="n">
        <f aca="false">Q552*L552</f>
        <v>0.0223372636547435</v>
      </c>
      <c r="AA552" s="16" t="n">
        <f aca="false">R552*L552</f>
        <v>0.0314396626264405</v>
      </c>
      <c r="AB552" s="16" t="n">
        <f aca="false">S552*L552</f>
        <v>0.0138781836528972</v>
      </c>
      <c r="AC552" s="16" t="n">
        <f aca="false">Z552-W552</f>
        <v>0.0223372636547435</v>
      </c>
      <c r="AD552" s="16" t="n">
        <f aca="false">AA552-W552</f>
        <v>0.0314396626264405</v>
      </c>
      <c r="AE552" s="16" t="n">
        <f aca="false">AB552-W552</f>
        <v>0.0138781836528972</v>
      </c>
      <c r="AF552" s="16" t="n">
        <f aca="false">AE552-X552</f>
        <v>0.0138781836528972</v>
      </c>
      <c r="AG552" s="16" t="n">
        <f aca="false">AF552-p_spc_lo*Y552/1000</f>
        <v>0.0138781836528972</v>
      </c>
      <c r="AH552" s="16" t="n">
        <f aca="false">AF552-p_spc_hi*Y552/1000</f>
        <v>0.0138781836528972</v>
      </c>
      <c r="AI552" s="16" t="n">
        <f aca="false">Q552*J552</f>
        <v>0.0930719318947647</v>
      </c>
      <c r="AJ552" s="16" t="n">
        <f aca="false">S552*J552</f>
        <v>0.0578257652204048</v>
      </c>
      <c r="AK552" s="16" t="n">
        <f aca="false">T552*J552</f>
        <v>0</v>
      </c>
      <c r="AL552" s="16" t="n">
        <f aca="false">U552*J552</f>
        <v>0</v>
      </c>
      <c r="AM552" s="16" t="n">
        <f aca="false">AI552-AJ552</f>
        <v>0.0352461666743599</v>
      </c>
      <c r="AN552" s="16" t="n">
        <f aca="false">J552*Country_Data!$EB$83</f>
        <v>0.998785372898579</v>
      </c>
      <c r="AO552" s="16" t="n">
        <f aca="false">L552*Country_Data!$EB$83</f>
        <v>0.239708489495659</v>
      </c>
    </row>
    <row r="553" customFormat="false" ht="15" hidden="false" customHeight="false" outlineLevel="0" collapsed="false">
      <c r="A553" s="14" t="str">
        <f aca="false">Country_Data!$A$83</f>
        <v>PAN</v>
      </c>
      <c r="B553" s="14" t="str">
        <f aca="false">Country_Data!$E$83</f>
        <v>EMDC</v>
      </c>
      <c r="C553" s="35" t="s">
        <v>473</v>
      </c>
      <c r="D553" s="37" t="n">
        <f aca="false">IF(Country_Data!$CA$83="","",Country_Data!$CA$83)</f>
        <v>0.107804319805417</v>
      </c>
      <c r="E553" s="40" t="n">
        <f aca="false">Country_Data!$BW$83</f>
        <v>187.078</v>
      </c>
      <c r="F553" s="41" t="n">
        <f aca="false">Country_Data!$BX$83</f>
        <v>0.462502271779686</v>
      </c>
      <c r="G553" s="42" t="n">
        <f aca="false">IF(D553="","",D553/SUMIFS($D$5:$D$1369,$B$5:$B$1369,B553,$C$5:$C$1369,C553))</f>
        <v>0.00249053061736953</v>
      </c>
      <c r="H553" s="42" t="n">
        <f aca="false">E553/SUMIFS($E$5:$E$1369,$B$5:$B$1369,B553,$C$5:$C$1369,C553)</f>
        <v>0.00231727511891521</v>
      </c>
      <c r="I553" s="43" t="n">
        <f aca="false">IF(G553="",H553,p_beta_alloc*G553+(1-p_beta_alloc)*H553)*F553^p_phi</f>
        <v>0.00163483471344851</v>
      </c>
      <c r="J553" s="16" t="n">
        <f aca="false">INDEX(Sector_Params!$C$18:$E$18,MATCH(B553,Sector_Params!$C$15:$E$15,0))*I553/SUMIFS($I$5:$I$1369,$B$5:$B$1369,B553,$C$5:$C$1369,C553)</f>
        <v>0.669426132982626</v>
      </c>
      <c r="K553" s="28" t="n">
        <f aca="false">INDEX(Sector_Params!$F$7:$H$7,MATCH(B553,Sector_Params!$C$15:$E$15,0))</f>
        <v>0.24</v>
      </c>
      <c r="L553" s="16" t="n">
        <f aca="false">J553*K553</f>
        <v>0.16066227191583</v>
      </c>
      <c r="M553" s="44" t="n">
        <f aca="false">Country_Data!$DW$83+Sector_Params!$E$7</f>
        <v>0.105</v>
      </c>
      <c r="N553" s="44" t="n">
        <f aca="false">Country_Data!$DX$83+Sector_Params!$E$7</f>
        <v>0.15</v>
      </c>
      <c r="O553" s="11" t="n">
        <f aca="false">IF(p_use_ibrd=1,p_r_ibrd,p_r_wb)</f>
        <v>0.06</v>
      </c>
      <c r="P553" s="45" t="n">
        <f aca="false">Sector_Params!$D$7</f>
        <v>12</v>
      </c>
      <c r="Q553" s="46" t="n">
        <f aca="false">M553/(1-(1+M553)^-P553)</f>
        <v>0.150376745634766</v>
      </c>
      <c r="R553" s="46" t="n">
        <f aca="false">N553/(1-(1+N553)^-P553)</f>
        <v>0.18448077613084</v>
      </c>
      <c r="S553" s="46" t="n">
        <f aca="false">O553/(1-(1+O553)^-P553)</f>
        <v>0.119277029380664</v>
      </c>
      <c r="T553" s="37" t="n">
        <f aca="false">IF(AND(p_eng=1,ISNUMBER(Country_Data!$DE$83)),Country_Data!$DE$83,Country_Data!$CM$83)*Sector_Params!$I$7</f>
        <v>0.13623714</v>
      </c>
      <c r="U553" s="37" t="n">
        <f aca="false">IF(AND(p_eng=1,ISNUMBER(Country_Data!$DF$83)),Country_Data!$DF$83,Country_Data!$CN$83)*Sector_Params!$J$7</f>
        <v>0.011056275</v>
      </c>
      <c r="V553" s="37" t="n">
        <f aca="false">IF(AND(p_eng=1,ISNUMBER(Country_Data!$DG$83)),Country_Data!$DG$83,p_a)</f>
        <v>0.434197826135518</v>
      </c>
      <c r="W553" s="16" t="n">
        <f aca="false">T553*L553</f>
        <v>0.021888168431715</v>
      </c>
      <c r="X553" s="16" t="n">
        <f aca="false">U553*L553</f>
        <v>0.0017763262604262</v>
      </c>
      <c r="Y553" s="16" t="n">
        <f aca="false">V553*L553</f>
        <v>0.0697592092078469</v>
      </c>
      <c r="Z553" s="16" t="n">
        <f aca="false">Q553*L553</f>
        <v>0.0241598695969904</v>
      </c>
      <c r="AA553" s="16" t="n">
        <f aca="false">R553*L553</f>
        <v>0.0296391006179763</v>
      </c>
      <c r="AB553" s="16" t="n">
        <f aca="false">S553*L553</f>
        <v>0.0191633185276686</v>
      </c>
      <c r="AC553" s="16" t="n">
        <f aca="false">Z553-W553</f>
        <v>0.00227170116527533</v>
      </c>
      <c r="AD553" s="16" t="n">
        <f aca="false">AA553-W553</f>
        <v>0.00775093218626131</v>
      </c>
      <c r="AE553" s="16" t="n">
        <f aca="false">AB553-W553</f>
        <v>-0.00272484990404639</v>
      </c>
      <c r="AF553" s="16" t="n">
        <f aca="false">AE553-X553</f>
        <v>-0.00450117616447259</v>
      </c>
      <c r="AG553" s="16" t="n">
        <f aca="false">AF553-p_spc_lo*Y553/1000</f>
        <v>-0.00798913662486493</v>
      </c>
      <c r="AH553" s="16" t="n">
        <f aca="false">AF553-p_spc_hi*Y553/1000</f>
        <v>-0.0114770970852573</v>
      </c>
      <c r="AI553" s="16" t="n">
        <f aca="false">Q553*J553</f>
        <v>0.100666123320793</v>
      </c>
      <c r="AJ553" s="16" t="n">
        <f aca="false">S553*J553</f>
        <v>0.0798471605319526</v>
      </c>
      <c r="AK553" s="16" t="n">
        <f aca="false">T553*J553</f>
        <v>0.0912007017988126</v>
      </c>
      <c r="AL553" s="16" t="n">
        <f aca="false">U553*J553</f>
        <v>0.00740135941844248</v>
      </c>
      <c r="AM553" s="16" t="n">
        <f aca="false">AI553-AJ553</f>
        <v>0.0208189627888405</v>
      </c>
      <c r="AN553" s="16" t="n">
        <f aca="false">J553*Country_Data!$EB$83</f>
        <v>0.768464519780055</v>
      </c>
      <c r="AO553" s="16" t="n">
        <f aca="false">L553*Country_Data!$EB$83</f>
        <v>0.184431484747213</v>
      </c>
    </row>
    <row r="554" customFormat="false" ht="15" hidden="false" customHeight="false" outlineLevel="0" collapsed="false">
      <c r="A554" s="14" t="str">
        <f aca="false">Country_Data!$A$83</f>
        <v>PAN</v>
      </c>
      <c r="B554" s="14" t="str">
        <f aca="false">Country_Data!$E$83</f>
        <v>EMDC</v>
      </c>
      <c r="C554" s="35" t="s">
        <v>477</v>
      </c>
      <c r="D554" s="37" t="n">
        <f aca="false">IF(Country_Data!$CB$83="","",Country_Data!$CB$83)</f>
        <v>0.0297107897236942</v>
      </c>
      <c r="E554" s="40" t="n">
        <f aca="false">Country_Data!$BW$83</f>
        <v>187.078</v>
      </c>
      <c r="F554" s="41" t="n">
        <f aca="false">Country_Data!$BX$83</f>
        <v>0.462502271779686</v>
      </c>
      <c r="G554" s="42" t="n">
        <f aca="false">IF(D554="","",D554/SUMIFS($D$5:$D$1369,$B$5:$B$1369,B554,$C$5:$C$1369,C554))</f>
        <v>0.00093687166935219</v>
      </c>
      <c r="H554" s="42" t="n">
        <f aca="false">E554/SUMIFS($E$5:$E$1369,$B$5:$B$1369,B554,$C$5:$C$1369,C554)</f>
        <v>0.00231727511891521</v>
      </c>
      <c r="I554" s="43" t="n">
        <f aca="false">IF(G554="",H554,p_beta_alloc*G554+(1-p_beta_alloc)*H554)*F554^p_phi</f>
        <v>0.00110653225690179</v>
      </c>
      <c r="J554" s="16" t="n">
        <f aca="false">INDEX(Sector_Params!$C$19:$E$19,MATCH(B554,Sector_Params!$C$15:$E$15,0))*I554/SUMIFS($I$5:$I$1369,$B$5:$B$1369,B554,$C$5:$C$1369,C554)</f>
        <v>0.356151345345617</v>
      </c>
      <c r="K554" s="28" t="n">
        <f aca="false">INDEX(Sector_Params!$F$8:$H$8,MATCH(B554,Sector_Params!$C$15:$E$15,0))</f>
        <v>0.24</v>
      </c>
      <c r="L554" s="16" t="n">
        <f aca="false">J554*K554</f>
        <v>0.085476322882948</v>
      </c>
      <c r="M554" s="44" t="n">
        <f aca="false">Country_Data!$DW$83+Sector_Params!$E$8</f>
        <v>0.105</v>
      </c>
      <c r="N554" s="44" t="n">
        <f aca="false">Country_Data!$DX$83+Sector_Params!$E$8</f>
        <v>0.15</v>
      </c>
      <c r="O554" s="11" t="n">
        <f aca="false">IF(p_use_ibrd=1,p_r_ibrd,p_r_wb)</f>
        <v>0.06</v>
      </c>
      <c r="P554" s="45" t="n">
        <f aca="false">Sector_Params!$D$8</f>
        <v>25</v>
      </c>
      <c r="Q554" s="46" t="n">
        <f aca="false">M554/(1-(1+M554)^-P554)</f>
        <v>0.114429319813103</v>
      </c>
      <c r="R554" s="46" t="n">
        <f aca="false">N554/(1-(1+N554)^-P554)</f>
        <v>0.154699402320206</v>
      </c>
      <c r="S554" s="46" t="n">
        <f aca="false">O554/(1-(1+O554)^-P554)</f>
        <v>0.078226718212274</v>
      </c>
      <c r="T554" s="37" t="n">
        <f aca="false">Country_Data!$CM$83*Sector_Params!$I$8</f>
        <v>0.176659640009518</v>
      </c>
      <c r="U554" s="37" t="n">
        <f aca="false">Country_Data!$CN$83*Sector_Params!$J$8</f>
        <v>0.121295463662436</v>
      </c>
      <c r="V554" s="37" t="n">
        <f aca="false">p_a</f>
        <v>0.35</v>
      </c>
      <c r="W554" s="16" t="n">
        <f aca="false">T554*L554</f>
        <v>0.0151002164298389</v>
      </c>
      <c r="X554" s="16" t="n">
        <f aca="false">U554*L554</f>
        <v>0.0103678902162472</v>
      </c>
      <c r="Y554" s="16" t="n">
        <f aca="false">V554*L554</f>
        <v>0.0299167130090318</v>
      </c>
      <c r="Z554" s="16" t="n">
        <f aca="false">Q554*L554</f>
        <v>0.00978099748762093</v>
      </c>
      <c r="AA554" s="16" t="n">
        <f aca="false">R554*L554</f>
        <v>0.013223136062521</v>
      </c>
      <c r="AB554" s="16" t="n">
        <f aca="false">S554*L554</f>
        <v>0.00668653222398571</v>
      </c>
      <c r="AC554" s="16" t="n">
        <f aca="false">Z554-W554</f>
        <v>-0.00531921894221801</v>
      </c>
      <c r="AD554" s="16" t="n">
        <f aca="false">AA554-W554</f>
        <v>-0.00187708036731791</v>
      </c>
      <c r="AE554" s="16" t="n">
        <f aca="false">AB554-W554</f>
        <v>-0.00841368420585323</v>
      </c>
      <c r="AF554" s="16" t="n">
        <f aca="false">AE554-X554</f>
        <v>-0.0187815744221005</v>
      </c>
      <c r="AG554" s="16" t="n">
        <f aca="false">AF554-p_spc_lo*Y554/1000</f>
        <v>-0.020277410072552</v>
      </c>
      <c r="AH554" s="16" t="n">
        <f aca="false">AF554-p_spc_hi*Y554/1000</f>
        <v>-0.0217732457230036</v>
      </c>
      <c r="AI554" s="16" t="n">
        <f aca="false">Q554*J554</f>
        <v>0.0407541561984206</v>
      </c>
      <c r="AJ554" s="16" t="n">
        <f aca="false">S554*J554</f>
        <v>0.0278605509332738</v>
      </c>
      <c r="AK554" s="16" t="n">
        <f aca="false">T554*J554</f>
        <v>0.0629175684576623</v>
      </c>
      <c r="AL554" s="16" t="n">
        <f aca="false">U554*J554</f>
        <v>0.0431995425676968</v>
      </c>
      <c r="AM554" s="16" t="n">
        <f aca="false">AI554-AJ554</f>
        <v>0.0128936052651468</v>
      </c>
      <c r="AN554" s="16" t="n">
        <f aca="false">J554*Country_Data!$EB$83</f>
        <v>0.408842229314557</v>
      </c>
      <c r="AO554" s="16" t="n">
        <f aca="false">L554*Country_Data!$EB$83</f>
        <v>0.0981221350354937</v>
      </c>
    </row>
    <row r="555" customFormat="false" ht="15" hidden="false" customHeight="false" outlineLevel="0" collapsed="false">
      <c r="A555" s="14" t="str">
        <f aca="false">Country_Data!$A$83</f>
        <v>PAN</v>
      </c>
      <c r="B555" s="14" t="str">
        <f aca="false">Country_Data!$E$83</f>
        <v>EMDC</v>
      </c>
      <c r="C555" s="35" t="s">
        <v>481</v>
      </c>
      <c r="D555" s="37" t="n">
        <f aca="false">IF(Country_Data!$CC$83="","",Country_Data!$CC$83)</f>
        <v>0.0439215828628159</v>
      </c>
      <c r="E555" s="40" t="n">
        <f aca="false">Country_Data!$BW$83</f>
        <v>187.078</v>
      </c>
      <c r="F555" s="41" t="n">
        <f aca="false">Country_Data!$BX$83</f>
        <v>0.462502271779686</v>
      </c>
      <c r="G555" s="42" t="n">
        <f aca="false">IF(D555="","",D555/SUMIFS($D$5:$D$1369,$B$5:$B$1369,B555,$C$5:$C$1369,C555))</f>
        <v>0.00062738613701639</v>
      </c>
      <c r="H555" s="42" t="n">
        <f aca="false">E555/SUMIFS($E$5:$E$1369,$B$5:$B$1369,B555,$C$5:$C$1369,C555)</f>
        <v>0.00231727511891521</v>
      </c>
      <c r="I555" s="43" t="n">
        <f aca="false">IF(G555="",H555,p_beta_alloc*G555+(1-p_beta_alloc)*H555)*F555^p_phi</f>
        <v>0.00100129553992004</v>
      </c>
      <c r="J555" s="16" t="n">
        <f aca="false">INDEX(Sector_Params!$C$20:$E$20,MATCH(B555,Sector_Params!$C$15:$E$15,0))*I555/SUMIFS($I$5:$I$1369,$B$5:$B$1369,B555,$C$5:$C$1369,C555)</f>
        <v>0.182756599811584</v>
      </c>
      <c r="K555" s="28" t="n">
        <f aca="false">INDEX(Sector_Params!$F$9:$H$9,MATCH(B555,Sector_Params!$C$15:$E$15,0))</f>
        <v>0.24</v>
      </c>
      <c r="L555" s="16" t="n">
        <f aca="false">J555*K555</f>
        <v>0.0438615839547801</v>
      </c>
      <c r="M555" s="44" t="n">
        <f aca="false">Country_Data!$DW$83+Sector_Params!$E$9</f>
        <v>0.105</v>
      </c>
      <c r="N555" s="44" t="n">
        <f aca="false">Country_Data!$DX$83+Sector_Params!$E$9</f>
        <v>0.15</v>
      </c>
      <c r="O555" s="11" t="n">
        <f aca="false">IF(p_use_ibrd=1,p_r_ibrd,p_r_wb)</f>
        <v>0.06</v>
      </c>
      <c r="P555" s="45" t="n">
        <f aca="false">Sector_Params!$D$9</f>
        <v>25</v>
      </c>
      <c r="Q555" s="46" t="n">
        <f aca="false">M555/(1-(1+M555)^-P555)</f>
        <v>0.114429319813103</v>
      </c>
      <c r="R555" s="46" t="n">
        <f aca="false">N555/(1-(1+N555)^-P555)</f>
        <v>0.154699402320206</v>
      </c>
      <c r="S555" s="46" t="n">
        <f aca="false">O555/(1-(1+O555)^-P555)</f>
        <v>0.078226718212274</v>
      </c>
      <c r="T555" s="37" t="n">
        <f aca="false">Country_Data!$CM$83*Sector_Params!$I$9</f>
        <v>0.176659640009518</v>
      </c>
      <c r="U555" s="37" t="n">
        <f aca="false">Country_Data!$CN$83*Sector_Params!$J$9</f>
        <v>0.121295463662436</v>
      </c>
      <c r="V555" s="37" t="n">
        <f aca="false">p_a</f>
        <v>0.35</v>
      </c>
      <c r="W555" s="16" t="n">
        <f aca="false">T555*L555</f>
        <v>0.00774857163169873</v>
      </c>
      <c r="X555" s="16" t="n">
        <f aca="false">U555*L555</f>
        <v>0.0053202111627639</v>
      </c>
      <c r="Y555" s="16" t="n">
        <f aca="false">V555*L555</f>
        <v>0.0153515543841731</v>
      </c>
      <c r="Z555" s="16" t="n">
        <f aca="false">Q555*L555</f>
        <v>0.00501905121787082</v>
      </c>
      <c r="AA555" s="16" t="n">
        <f aca="false">R555*L555</f>
        <v>0.00678536082262205</v>
      </c>
      <c r="AB555" s="16" t="n">
        <f aca="false">S555*L555</f>
        <v>0.00343114776837458</v>
      </c>
      <c r="AC555" s="16" t="n">
        <f aca="false">Z555-W555</f>
        <v>-0.00272952041382791</v>
      </c>
      <c r="AD555" s="16" t="n">
        <f aca="false">AA555-W555</f>
        <v>-0.000963210809076682</v>
      </c>
      <c r="AE555" s="16" t="n">
        <f aca="false">AB555-W555</f>
        <v>-0.00431742386332414</v>
      </c>
      <c r="AF555" s="16" t="n">
        <f aca="false">AE555-X555</f>
        <v>-0.00963763502608805</v>
      </c>
      <c r="AG555" s="16" t="n">
        <f aca="false">AF555-p_spc_lo*Y555/1000</f>
        <v>-0.0104052127452967</v>
      </c>
      <c r="AH555" s="16" t="n">
        <f aca="false">AF555-p_spc_hi*Y555/1000</f>
        <v>-0.0111727904645054</v>
      </c>
      <c r="AI555" s="16" t="n">
        <f aca="false">Q555*J555</f>
        <v>0.0209127134077951</v>
      </c>
      <c r="AJ555" s="16" t="n">
        <f aca="false">S555*J555</f>
        <v>0.0142964490348941</v>
      </c>
      <c r="AK555" s="16" t="n">
        <f aca="false">T555*J555</f>
        <v>0.032285715132078</v>
      </c>
      <c r="AL555" s="16" t="n">
        <f aca="false">U555*J555</f>
        <v>0.0221675465115163</v>
      </c>
      <c r="AM555" s="16" t="n">
        <f aca="false">AI555-AJ555</f>
        <v>0.00661626437290098</v>
      </c>
      <c r="AN555" s="16" t="n">
        <f aca="false">J555*Country_Data!$EB$83</f>
        <v>0.209794562523435</v>
      </c>
      <c r="AO555" s="16" t="n">
        <f aca="false">L555*Country_Data!$EB$83</f>
        <v>0.0503506950056243</v>
      </c>
    </row>
    <row r="556" customFormat="false" ht="15" hidden="false" customHeight="false" outlineLevel="0" collapsed="false">
      <c r="A556" s="14" t="str">
        <f aca="false">Country_Data!$A$83</f>
        <v>PAN</v>
      </c>
      <c r="B556" s="14" t="str">
        <f aca="false">Country_Data!$E$83</f>
        <v>EMDC</v>
      </c>
      <c r="C556" s="35" t="s">
        <v>484</v>
      </c>
      <c r="D556" s="37" t="n">
        <f aca="false">IF(Country_Data!$CD$83="","",Country_Data!$CD$83)</f>
        <v>0.176764114782432</v>
      </c>
      <c r="E556" s="40" t="n">
        <f aca="false">Country_Data!$BW$83</f>
        <v>187.078</v>
      </c>
      <c r="F556" s="41" t="n">
        <f aca="false">Country_Data!$BX$83</f>
        <v>0.462502271779686</v>
      </c>
      <c r="G556" s="42" t="n">
        <f aca="false">IF(D556="","",D556/SUMIFS($D$5:$D$1369,$B$5:$B$1369,B556,$C$5:$C$1369,C556))</f>
        <v>0.000987115392292886</v>
      </c>
      <c r="H556" s="42" t="n">
        <f aca="false">E556/SUMIFS($E$5:$E$1369,$B$5:$B$1369,B556,$C$5:$C$1369,C556)</f>
        <v>0.00231727511891521</v>
      </c>
      <c r="I556" s="43" t="n">
        <f aca="false">IF(G556="",H556,p_beta_alloc*G556+(1-p_beta_alloc)*H556)*F556^p_phi</f>
        <v>0.00112361701175709</v>
      </c>
      <c r="J556" s="16" t="n">
        <f aca="false">INDEX(Sector_Params!$C$21:$E$21,MATCH(B556,Sector_Params!$C$15:$E$15,0))*I556/SUMIFS($I$5:$I$1369,$B$5:$B$1369,B556,$C$5:$C$1369,C556)</f>
        <v>0.249206821817515</v>
      </c>
      <c r="K556" s="28" t="n">
        <f aca="false">INDEX(Sector_Params!$F$10:$H$10,MATCH(B556,Sector_Params!$C$15:$E$15,0))</f>
        <v>0.24</v>
      </c>
      <c r="L556" s="16" t="n">
        <f aca="false">J556*K556</f>
        <v>0.0598096372362035</v>
      </c>
      <c r="M556" s="44" t="n">
        <f aca="false">Country_Data!$DW$83+Sector_Params!$E$10</f>
        <v>0.105</v>
      </c>
      <c r="N556" s="44" t="n">
        <f aca="false">Country_Data!$DX$83+Sector_Params!$E$10</f>
        <v>0.15</v>
      </c>
      <c r="O556" s="11" t="n">
        <f aca="false">IF(p_use_ibrd=1,p_r_ibrd,p_r_wb)</f>
        <v>0.06</v>
      </c>
      <c r="P556" s="45" t="n">
        <f aca="false">Sector_Params!$D$10</f>
        <v>20</v>
      </c>
      <c r="Q556" s="46" t="n">
        <f aca="false">M556/(1-(1+M556)^-P556)</f>
        <v>0.121493265267016</v>
      </c>
      <c r="R556" s="46" t="n">
        <f aca="false">N556/(1-(1+N556)^-P556)</f>
        <v>0.159761470405744</v>
      </c>
      <c r="S556" s="46" t="n">
        <f aca="false">O556/(1-(1+O556)^-P556)</f>
        <v>0.0871845569768514</v>
      </c>
      <c r="T556" s="37" t="n">
        <f aca="false">0*Sector_Params!$I$10</f>
        <v>0</v>
      </c>
      <c r="U556" s="37" t="n">
        <f aca="false">0*Sector_Params!$J$10</f>
        <v>0</v>
      </c>
      <c r="V556" s="37" t="n">
        <f aca="false">1000*p_r_wb/(1-(1+p_r_wb)^-Sector_Params!$D$10)/p_cpt_fuel</f>
        <v>0.871845569768514</v>
      </c>
      <c r="W556" s="16" t="n">
        <f aca="false">T556*L556</f>
        <v>0</v>
      </c>
      <c r="X556" s="16" t="n">
        <f aca="false">U556*L556</f>
        <v>0</v>
      </c>
      <c r="Y556" s="16" t="n">
        <f aca="false">V556*L556</f>
        <v>0.052144767253846</v>
      </c>
      <c r="Z556" s="16" t="n">
        <f aca="false">Q556*L556</f>
        <v>0.00726646812226208</v>
      </c>
      <c r="AA556" s="16" t="n">
        <f aca="false">R556*L556</f>
        <v>0.00955527558929</v>
      </c>
      <c r="AB556" s="16" t="n">
        <f aca="false">S556*L556</f>
        <v>0.0052144767253846</v>
      </c>
      <c r="AC556" s="16" t="n">
        <f aca="false">Z556-W556</f>
        <v>0.00726646812226208</v>
      </c>
      <c r="AD556" s="16" t="n">
        <f aca="false">AA556-W556</f>
        <v>0.00955527558929</v>
      </c>
      <c r="AE556" s="16" t="n">
        <f aca="false">AB556-W556</f>
        <v>0.0052144767253846</v>
      </c>
      <c r="AF556" s="16" t="n">
        <f aca="false">AE556-X556</f>
        <v>0.0052144767253846</v>
      </c>
      <c r="AG556" s="16" t="n">
        <f aca="false">AF556-p_spc_lo*Y556/1000</f>
        <v>0.0026072383626923</v>
      </c>
      <c r="AH556" s="16" t="n">
        <f aca="false">AF556-p_spc_hi*Y556/1000</f>
        <v>0</v>
      </c>
      <c r="AI556" s="16" t="n">
        <f aca="false">Q556*J556</f>
        <v>0.0302769505094253</v>
      </c>
      <c r="AJ556" s="16" t="n">
        <f aca="false">S556*J556</f>
        <v>0.0217269863557691</v>
      </c>
      <c r="AK556" s="16" t="n">
        <f aca="false">T556*J556</f>
        <v>0</v>
      </c>
      <c r="AL556" s="16" t="n">
        <f aca="false">U556*J556</f>
        <v>0</v>
      </c>
      <c r="AM556" s="16" t="n">
        <f aca="false">AI556-AJ556</f>
        <v>0.00854996415365618</v>
      </c>
      <c r="AN556" s="16" t="n">
        <f aca="false">J556*Country_Data!$EB$83</f>
        <v>0.286075776278188</v>
      </c>
      <c r="AO556" s="16" t="n">
        <f aca="false">L556*Country_Data!$EB$83</f>
        <v>0.0686581863067651</v>
      </c>
    </row>
    <row r="557" customFormat="false" ht="15" hidden="false" customHeight="false" outlineLevel="0" collapsed="false">
      <c r="A557" s="14" t="str">
        <f aca="false">Country_Data!$A$83</f>
        <v>PAN</v>
      </c>
      <c r="B557" s="14" t="str">
        <f aca="false">Country_Data!$E$83</f>
        <v>EMDC</v>
      </c>
      <c r="C557" s="35" t="s">
        <v>488</v>
      </c>
      <c r="D557" s="37" t="n">
        <f aca="false">IF(Country_Data!$CE$83="","",Country_Data!$CE$83)</f>
        <v>11.431</v>
      </c>
      <c r="E557" s="40" t="n">
        <f aca="false">Country_Data!$BW$83</f>
        <v>187.078</v>
      </c>
      <c r="F557" s="41" t="n">
        <f aca="false">Country_Data!$BX$83</f>
        <v>0.462502271779686</v>
      </c>
      <c r="G557" s="42" t="n">
        <f aca="false">IF(D557="","",D557/SUMIFS($D$5:$D$1369,$B$5:$B$1369,B557,$C$5:$C$1369,C557))</f>
        <v>0.000936651668986923</v>
      </c>
      <c r="H557" s="42" t="n">
        <f aca="false">E557/SUMIFS($E$5:$E$1369,$B$5:$B$1369,B557,$C$5:$C$1369,C557)</f>
        <v>0.00231727511891521</v>
      </c>
      <c r="I557" s="43" t="n">
        <f aca="false">IF(G557="",H557,p_beta_alloc*G557+(1-p_beta_alloc)*H557)*F557^p_phi</f>
        <v>0.00110645744850606</v>
      </c>
      <c r="J557" s="16" t="n">
        <f aca="false">INDEX(Sector_Params!$C$22:$E$22,MATCH(B557,Sector_Params!$C$15:$E$15,0))*I557/SUMIFS($I$5:$I$1369,$B$5:$B$1369,B557,$C$5:$C$1369,C557)</f>
        <v>0.666981831166734</v>
      </c>
      <c r="K557" s="28" t="n">
        <f aca="false">INDEX(Sector_Params!$F$11:$H$11,MATCH(B557,Sector_Params!$C$15:$E$15,0))</f>
        <v>0.24</v>
      </c>
      <c r="L557" s="16" t="n">
        <f aca="false">J557*K557</f>
        <v>0.160075639480016</v>
      </c>
      <c r="M557" s="44" t="n">
        <f aca="false">Country_Data!$DW$83+Sector_Params!$E$11</f>
        <v>0.105</v>
      </c>
      <c r="N557" s="44" t="n">
        <f aca="false">Country_Data!$DX$83+Sector_Params!$E$11</f>
        <v>0.15</v>
      </c>
      <c r="O557" s="11" t="n">
        <f aca="false">IF(p_use_ibrd=1,p_r_ibrd,p_r_wb)</f>
        <v>0.06</v>
      </c>
      <c r="P557" s="45" t="n">
        <f aca="false">Sector_Params!$D$11</f>
        <v>30</v>
      </c>
      <c r="Q557" s="46" t="n">
        <f aca="false">M557/(1-(1+M557)^-P557)</f>
        <v>0.110528481529605</v>
      </c>
      <c r="R557" s="46" t="n">
        <f aca="false">N557/(1-(1+N557)^-P557)</f>
        <v>0.152300198192734</v>
      </c>
      <c r="S557" s="46" t="n">
        <f aca="false">O557/(1-(1+O557)^-P557)</f>
        <v>0.0726489114900472</v>
      </c>
      <c r="T557" s="37" t="n">
        <f aca="false">0*Sector_Params!$I$11</f>
        <v>0</v>
      </c>
      <c r="U557" s="37" t="n">
        <f aca="false">p_c*Sector_Params!$J$11</f>
        <v>0.129</v>
      </c>
      <c r="V557" s="37" t="n">
        <f aca="false">1000*p_r_wb/(1-(1+p_r_wb)^-Sector_Params!$D$11)/p_cpt_afolu</f>
        <v>1.45297822980094</v>
      </c>
      <c r="W557" s="16" t="n">
        <f aca="false">T557*L557</f>
        <v>0</v>
      </c>
      <c r="X557" s="16" t="n">
        <f aca="false">U557*L557</f>
        <v>0.0206497574929221</v>
      </c>
      <c r="Y557" s="16" t="n">
        <f aca="false">V557*L557</f>
        <v>0.232586419285928</v>
      </c>
      <c r="Z557" s="16" t="n">
        <f aca="false">Q557*L557</f>
        <v>0.0176929173616067</v>
      </c>
      <c r="AA557" s="16" t="n">
        <f aca="false">R557*L557</f>
        <v>0.0243795516186351</v>
      </c>
      <c r="AB557" s="16" t="n">
        <f aca="false">S557*L557</f>
        <v>0.0116293209642964</v>
      </c>
      <c r="AC557" s="16" t="n">
        <f aca="false">Z557-W557</f>
        <v>0.0176929173616067</v>
      </c>
      <c r="AD557" s="16" t="n">
        <f aca="false">AA557-W557</f>
        <v>0.0243795516186351</v>
      </c>
      <c r="AE557" s="16" t="n">
        <f aca="false">AB557-W557</f>
        <v>0.0116293209642964</v>
      </c>
      <c r="AF557" s="16" t="n">
        <f aca="false">AE557-X557</f>
        <v>-0.00902043652862568</v>
      </c>
      <c r="AG557" s="16" t="n">
        <f aca="false">AF557-p_spc_lo*Y557/1000</f>
        <v>-0.0206497574929221</v>
      </c>
      <c r="AH557" s="16" t="n">
        <f aca="false">AF557-p_spc_hi*Y557/1000</f>
        <v>-0.0322790784572185</v>
      </c>
      <c r="AI557" s="16" t="n">
        <f aca="false">Q557*J557</f>
        <v>0.0737204890066945</v>
      </c>
      <c r="AJ557" s="16" t="n">
        <f aca="false">S557*J557</f>
        <v>0.0484555040179016</v>
      </c>
      <c r="AK557" s="16" t="n">
        <f aca="false">T557*J557</f>
        <v>0</v>
      </c>
      <c r="AL557" s="16" t="n">
        <f aca="false">U557*J557</f>
        <v>0.0860406562205086</v>
      </c>
      <c r="AM557" s="16" t="n">
        <f aca="false">AI557-AJ557</f>
        <v>0.0252649849887929</v>
      </c>
      <c r="AN557" s="16" t="n">
        <f aca="false">J557*Country_Data!$EB$83</f>
        <v>0.765658595229757</v>
      </c>
      <c r="AO557" s="16" t="n">
        <f aca="false">L557*Country_Data!$EB$83</f>
        <v>0.183758062855142</v>
      </c>
    </row>
    <row r="558" customFormat="false" ht="15" hidden="false" customHeight="false" outlineLevel="0" collapsed="false">
      <c r="A558" s="14" t="str">
        <f aca="false">Country_Data!$A$84</f>
        <v>LTU</v>
      </c>
      <c r="B558" s="14" t="str">
        <f aca="false">Country_Data!$E$84</f>
        <v>AE</v>
      </c>
      <c r="C558" s="35" t="s">
        <v>466</v>
      </c>
      <c r="D558" s="37" t="n">
        <f aca="false">IF(Country_Data!$BZ$84="","",Country_Data!$BZ$84)</f>
        <v>9.68542586347476</v>
      </c>
      <c r="E558" s="40" t="n">
        <f aca="false">Country_Data!$BW$84</f>
        <v>158.007</v>
      </c>
      <c r="F558" s="41" t="n">
        <f aca="false">Country_Data!$BX$84</f>
        <v>0.541001348041542</v>
      </c>
      <c r="G558" s="42" t="n">
        <f aca="false">IF(D558="","",D558/SUMIFS($D$5:$D$1369,$B$5:$B$1369,B558,$C$5:$C$1369,C558))</f>
        <v>0.000989783185315055</v>
      </c>
      <c r="H558" s="42" t="n">
        <f aca="false">E558/SUMIFS($E$5:$E$1369,$B$5:$B$1369,B558,$C$5:$C$1369,C558)</f>
        <v>0.00200300815678792</v>
      </c>
      <c r="I558" s="43" t="n">
        <f aca="false">IF(G558="",H558,p_beta_alloc*G558+(1-p_beta_alloc)*H558)*F558^p_phi</f>
        <v>0.00110064082283161</v>
      </c>
      <c r="J558" s="16" t="n">
        <f aca="false">INDEX(Sector_Params!$C$16:$E$16,MATCH(B558,Sector_Params!$C$15:$E$15,0))*I558/SUMIFS($I$5:$I$1369,$B$5:$B$1369,B558,$C$5:$C$1369,C558)</f>
        <v>0.98722564215487</v>
      </c>
      <c r="K558" s="28" t="n">
        <f aca="false">INDEX(Sector_Params!$F$5:$H$5,MATCH(B558,Sector_Params!$C$15:$E$15,0))</f>
        <v>0.38</v>
      </c>
      <c r="L558" s="16" t="n">
        <f aca="false">J558*K558</f>
        <v>0.375145744018851</v>
      </c>
      <c r="M558" s="44" t="n">
        <f aca="false">Country_Data!$DW$84+Sector_Params!$E$5</f>
        <v>0.095</v>
      </c>
      <c r="N558" s="44" t="n">
        <f aca="false">Country_Data!$DX$84+Sector_Params!$E$5</f>
        <v>0.11</v>
      </c>
      <c r="O558" s="11" t="n">
        <f aca="false">IF(p_use_ibrd=1,p_r_ibrd,p_r_wb)</f>
        <v>0.06</v>
      </c>
      <c r="P558" s="45" t="n">
        <f aca="false">Sector_Params!$D$5</f>
        <v>25</v>
      </c>
      <c r="Q558" s="46" t="n">
        <f aca="false">M558/(1-(1+M558)^-P558)</f>
        <v>0.105959392478349</v>
      </c>
      <c r="R558" s="46" t="n">
        <f aca="false">N558/(1-(1+N558)^-P558)</f>
        <v>0.118740242054056</v>
      </c>
      <c r="S558" s="46" t="n">
        <f aca="false">O558/(1-(1+O558)^-P558)</f>
        <v>0.078226718212274</v>
      </c>
      <c r="T558" s="37" t="n">
        <f aca="false">IF(AND(p_eng=1,ISNUMBER(Country_Data!$CZ$84)),Country_Data!$CZ$84,Country_Data!$CM$84)*Sector_Params!$I$5</f>
        <v>0.0408332212853525</v>
      </c>
      <c r="U558" s="37" t="n">
        <f aca="false">IF(AND(p_eng=1,ISNUMBER(Country_Data!$DA$84)),Country_Data!$DA$84,Country_Data!$CN$84)*Sector_Params!$J$5</f>
        <v>0.00571721167234785</v>
      </c>
      <c r="V558" s="37" t="n">
        <f aca="false">IF(AND(p_eng=1,ISNUMBER(Country_Data!$DB$84)),Country_Data!$DB$84,p_a)</f>
        <v>0.268791281999559</v>
      </c>
      <c r="W558" s="16" t="n">
        <f aca="false">T558*L558</f>
        <v>0.0153184091797799</v>
      </c>
      <c r="X558" s="16" t="n">
        <f aca="false">U558*L558</f>
        <v>0.00214478762653619</v>
      </c>
      <c r="Y558" s="16" t="n">
        <f aca="false">V558*L558</f>
        <v>0.100835905471505</v>
      </c>
      <c r="Z558" s="16" t="n">
        <f aca="false">Q558*L558</f>
        <v>0.0397502151270755</v>
      </c>
      <c r="AA558" s="16" t="n">
        <f aca="false">R558*L558</f>
        <v>0.0445448964503471</v>
      </c>
      <c r="AB558" s="16" t="n">
        <f aca="false">S558*L558</f>
        <v>0.0293464204058965</v>
      </c>
      <c r="AC558" s="16" t="n">
        <f aca="false">Z558-W558</f>
        <v>0.0244318059472955</v>
      </c>
      <c r="AD558" s="16" t="n">
        <f aca="false">AA558-W558</f>
        <v>0.0292264872705672</v>
      </c>
      <c r="AE558" s="16" t="n">
        <f aca="false">AB558-W558</f>
        <v>0.0140280112261165</v>
      </c>
      <c r="AF558" s="16" t="n">
        <f aca="false">AE558-X558</f>
        <v>0.0118832235995803</v>
      </c>
      <c r="AG558" s="16" t="n">
        <f aca="false">AF558-p_spc_lo*Y558/1000</f>
        <v>0.00684142832600509</v>
      </c>
      <c r="AH558" s="16" t="n">
        <f aca="false">AF558-p_spc_hi*Y558/1000</f>
        <v>0.00179963305242984</v>
      </c>
      <c r="AI558" s="16" t="n">
        <f aca="false">Q558*J558</f>
        <v>0.104605829281778</v>
      </c>
      <c r="AJ558" s="16" t="n">
        <f aca="false">S558*J558</f>
        <v>0.0772274221207802</v>
      </c>
      <c r="AK558" s="16" t="n">
        <f aca="false">T558*J558</f>
        <v>0.040311603104684</v>
      </c>
      <c r="AL558" s="16" t="n">
        <f aca="false">U558*J558</f>
        <v>0.00564417796456892</v>
      </c>
      <c r="AM558" s="16" t="n">
        <f aca="false">AI558-AJ558</f>
        <v>0.0273784071609973</v>
      </c>
      <c r="AN558" s="16" t="n">
        <f aca="false">J558*Country_Data!$EB$84</f>
        <v>1.03148058473423</v>
      </c>
      <c r="AO558" s="16" t="n">
        <f aca="false">L558*Country_Data!$EB$84</f>
        <v>0.391962622199006</v>
      </c>
    </row>
    <row r="559" customFormat="false" ht="15" hidden="false" customHeight="false" outlineLevel="0" collapsed="false">
      <c r="A559" s="14" t="str">
        <f aca="false">Country_Data!$A$84</f>
        <v>LTU</v>
      </c>
      <c r="B559" s="14" t="str">
        <f aca="false">Country_Data!$E$84</f>
        <v>AE</v>
      </c>
      <c r="C559" s="35" t="s">
        <v>470</v>
      </c>
      <c r="D559" s="37" t="n">
        <f aca="false">IF(Country_Data!$BZ$84="","",Country_Data!$BZ$84)</f>
        <v>9.68542586347476</v>
      </c>
      <c r="E559" s="40" t="n">
        <f aca="false">Country_Data!$BW$84</f>
        <v>158.007</v>
      </c>
      <c r="F559" s="41" t="n">
        <f aca="false">Country_Data!$BX$84</f>
        <v>0.541001348041542</v>
      </c>
      <c r="G559" s="42" t="n">
        <f aca="false">IF(D559="","",D559/SUMIFS($D$5:$D$1369,$B$5:$B$1369,B559,$C$5:$C$1369,C559))</f>
        <v>0.000989783185315055</v>
      </c>
      <c r="H559" s="42" t="n">
        <f aca="false">E559/SUMIFS($E$5:$E$1369,$B$5:$B$1369,B559,$C$5:$C$1369,C559)</f>
        <v>0.00200300815678792</v>
      </c>
      <c r="I559" s="43" t="n">
        <f aca="false">IF(G559="",H559,p_beta_alloc*G559+(1-p_beta_alloc)*H559)*F559^p_phi</f>
        <v>0.00110064082283161</v>
      </c>
      <c r="J559" s="16" t="n">
        <f aca="false">INDEX(Sector_Params!$C$17:$E$17,MATCH(B559,Sector_Params!$C$15:$E$15,0))*I559/SUMIFS($I$5:$I$1369,$B$5:$B$1369,B559,$C$5:$C$1369,C559)</f>
        <v>0.676954726049054</v>
      </c>
      <c r="K559" s="28" t="n">
        <f aca="false">INDEX(Sector_Params!$F$6:$H$6,MATCH(B559,Sector_Params!$C$15:$E$15,0))</f>
        <v>0.38</v>
      </c>
      <c r="L559" s="16" t="n">
        <f aca="false">J559*K559</f>
        <v>0.25724279589864</v>
      </c>
      <c r="M559" s="44" t="n">
        <f aca="false">Country_Data!$DW$84+Sector_Params!$E$6</f>
        <v>0.095</v>
      </c>
      <c r="N559" s="44" t="n">
        <f aca="false">Country_Data!$DX$84+Sector_Params!$E$6</f>
        <v>0.11</v>
      </c>
      <c r="O559" s="11" t="n">
        <f aca="false">IF(p_use_ibrd=1,p_r_ibrd,p_r_wb)</f>
        <v>0.06</v>
      </c>
      <c r="P559" s="45" t="n">
        <f aca="false">Sector_Params!$D$6</f>
        <v>40</v>
      </c>
      <c r="Q559" s="46" t="n">
        <f aca="false">M559/(1-(1+M559)^-P559)</f>
        <v>0.0975871882975526</v>
      </c>
      <c r="R559" s="46" t="n">
        <f aca="false">N559/(1-(1+N559)^-P559)</f>
        <v>0.111718726708417</v>
      </c>
      <c r="S559" s="46" t="n">
        <f aca="false">O559/(1-(1+O559)^-P559)</f>
        <v>0.0664615359206755</v>
      </c>
      <c r="T559" s="37" t="n">
        <f aca="false">p_grid_credit*IF(AND(p_eng=1,ISNUMBER(Country_Data!$CZ$84)),Country_Data!$CZ$84,Country_Data!$CM$84)*Sector_Params!$I$6</f>
        <v>0</v>
      </c>
      <c r="U559" s="37" t="n">
        <f aca="false">p_grid_credit*IF(AND(p_eng=1,ISNUMBER(Country_Data!$DA$84)),Country_Data!$DA$84,Country_Data!$CN$84)*Sector_Params!$J$6</f>
        <v>0</v>
      </c>
      <c r="V559" s="37" t="n">
        <f aca="false">p_grid_credit*IF(AND(p_eng=1,ISNUMBER(Country_Data!$DB$84)),Country_Data!$DB$84,p_a)</f>
        <v>0</v>
      </c>
      <c r="W559" s="16" t="n">
        <f aca="false">T559*L559</f>
        <v>0</v>
      </c>
      <c r="X559" s="16" t="n">
        <f aca="false">U559*L559</f>
        <v>0</v>
      </c>
      <c r="Y559" s="16" t="n">
        <f aca="false">V559*L559</f>
        <v>0</v>
      </c>
      <c r="Z559" s="16" t="n">
        <f aca="false">Q559*L559</f>
        <v>0.0251036011615495</v>
      </c>
      <c r="AA559" s="16" t="n">
        <f aca="false">R559*L559</f>
        <v>0.0287388376127093</v>
      </c>
      <c r="AB559" s="16" t="n">
        <f aca="false">S559*L559</f>
        <v>0.0170967513199525</v>
      </c>
      <c r="AC559" s="16" t="n">
        <f aca="false">Z559-W559</f>
        <v>0.0251036011615495</v>
      </c>
      <c r="AD559" s="16" t="n">
        <f aca="false">AA559-W559</f>
        <v>0.0287388376127093</v>
      </c>
      <c r="AE559" s="16" t="n">
        <f aca="false">AB559-W559</f>
        <v>0.0170967513199525</v>
      </c>
      <c r="AF559" s="16" t="n">
        <f aca="false">AE559-X559</f>
        <v>0.0170967513199525</v>
      </c>
      <c r="AG559" s="16" t="n">
        <f aca="false">AF559-p_spc_lo*Y559/1000</f>
        <v>0.0170967513199525</v>
      </c>
      <c r="AH559" s="16" t="n">
        <f aca="false">AF559-p_spc_hi*Y559/1000</f>
        <v>0.0170967513199525</v>
      </c>
      <c r="AI559" s="16" t="n">
        <f aca="false">Q559*J559</f>
        <v>0.0660621083198671</v>
      </c>
      <c r="AJ559" s="16" t="n">
        <f aca="false">S559*J559</f>
        <v>0.0449914508419802</v>
      </c>
      <c r="AK559" s="16" t="n">
        <f aca="false">T559*J559</f>
        <v>0</v>
      </c>
      <c r="AL559" s="16" t="n">
        <f aca="false">U559*J559</f>
        <v>0</v>
      </c>
      <c r="AM559" s="16" t="n">
        <f aca="false">AI559-AJ559</f>
        <v>0.0210706574778869</v>
      </c>
      <c r="AN559" s="16" t="n">
        <f aca="false">J559*Country_Data!$EB$84</f>
        <v>0.707300972389183</v>
      </c>
      <c r="AO559" s="16" t="n">
        <f aca="false">L559*Country_Data!$EB$84</f>
        <v>0.26877436950789</v>
      </c>
    </row>
    <row r="560" customFormat="false" ht="15" hidden="false" customHeight="false" outlineLevel="0" collapsed="false">
      <c r="A560" s="14" t="str">
        <f aca="false">Country_Data!$A$84</f>
        <v>LTU</v>
      </c>
      <c r="B560" s="14" t="str">
        <f aca="false">Country_Data!$E$84</f>
        <v>AE</v>
      </c>
      <c r="C560" s="35" t="s">
        <v>473</v>
      </c>
      <c r="D560" s="37" t="n">
        <f aca="false">IF(Country_Data!$CA$84="","",Country_Data!$CA$84)</f>
        <v>0.0871696972033857</v>
      </c>
      <c r="E560" s="40" t="n">
        <f aca="false">Country_Data!$BW$84</f>
        <v>158.007</v>
      </c>
      <c r="F560" s="41" t="n">
        <f aca="false">Country_Data!$BX$84</f>
        <v>0.541001348041542</v>
      </c>
      <c r="G560" s="42" t="n">
        <f aca="false">IF(D560="","",D560/SUMIFS($D$5:$D$1369,$B$5:$B$1369,B560,$C$5:$C$1369,C560))</f>
        <v>0.00170643137281705</v>
      </c>
      <c r="H560" s="42" t="n">
        <f aca="false">E560/SUMIFS($E$5:$E$1369,$B$5:$B$1369,B560,$C$5:$C$1369,C560)</f>
        <v>0.00200300815678792</v>
      </c>
      <c r="I560" s="43" t="n">
        <f aca="false">IF(G560="",H560,p_beta_alloc*G560+(1-p_beta_alloc)*H560)*F560^p_phi</f>
        <v>0.00136419820475678</v>
      </c>
      <c r="J560" s="16" t="n">
        <f aca="false">INDEX(Sector_Params!$C$18:$E$18,MATCH(B560,Sector_Params!$C$15:$E$15,0))*I560/SUMIFS($I$5:$I$1369,$B$5:$B$1369,B560,$C$5:$C$1369,C560)</f>
        <v>0.514102405406256</v>
      </c>
      <c r="K560" s="28" t="n">
        <f aca="false">INDEX(Sector_Params!$F$7:$H$7,MATCH(B560,Sector_Params!$C$15:$E$15,0))</f>
        <v>0.38</v>
      </c>
      <c r="L560" s="16" t="n">
        <f aca="false">J560*K560</f>
        <v>0.195358914054377</v>
      </c>
      <c r="M560" s="44" t="n">
        <f aca="false">Country_Data!$DW$84+Sector_Params!$E$7</f>
        <v>0.095</v>
      </c>
      <c r="N560" s="44" t="n">
        <f aca="false">Country_Data!$DX$84+Sector_Params!$E$7</f>
        <v>0.11</v>
      </c>
      <c r="O560" s="11" t="n">
        <f aca="false">IF(p_use_ibrd=1,p_r_ibrd,p_r_wb)</f>
        <v>0.06</v>
      </c>
      <c r="P560" s="45" t="n">
        <f aca="false">Sector_Params!$D$7</f>
        <v>12</v>
      </c>
      <c r="Q560" s="46" t="n">
        <f aca="false">M560/(1-(1+M560)^-P560)</f>
        <v>0.143187714234994</v>
      </c>
      <c r="R560" s="46" t="n">
        <f aca="false">N560/(1-(1+N560)^-P560)</f>
        <v>0.154027286404989</v>
      </c>
      <c r="S560" s="46" t="n">
        <f aca="false">O560/(1-(1+O560)^-P560)</f>
        <v>0.119277029380664</v>
      </c>
      <c r="T560" s="37" t="n">
        <f aca="false">IF(AND(p_eng=1,ISNUMBER(Country_Data!$DE$84)),Country_Data!$DE$84,Country_Data!$CM$84)*Sector_Params!$I$7</f>
        <v>0.10854252</v>
      </c>
      <c r="U560" s="37" t="n">
        <f aca="false">IF(AND(p_eng=1,ISNUMBER(Country_Data!$DF$84)),Country_Data!$DF$84,Country_Data!$CN$84)*Sector_Params!$J$7</f>
        <v>0.004908375</v>
      </c>
      <c r="V560" s="37" t="n">
        <f aca="false">IF(AND(p_eng=1,ISNUMBER(Country_Data!$DG$84)),Country_Data!$DG$84,p_a)</f>
        <v>0.470191317567568</v>
      </c>
      <c r="W560" s="16" t="n">
        <f aca="false">T560*L560</f>
        <v>0.0212047488359255</v>
      </c>
      <c r="X560" s="16" t="n">
        <f aca="false">U560*L560</f>
        <v>0.000958894809771654</v>
      </c>
      <c r="Y560" s="16" t="n">
        <f aca="false">V560*L560</f>
        <v>0.0918560651977968</v>
      </c>
      <c r="Z560" s="16" t="n">
        <f aca="false">Q560*L560</f>
        <v>0.0279729963588769</v>
      </c>
      <c r="AA560" s="16" t="n">
        <f aca="false">R560*L560</f>
        <v>0.0300906034068211</v>
      </c>
      <c r="AB560" s="16" t="n">
        <f aca="false">S560*L560</f>
        <v>0.0233018309314385</v>
      </c>
      <c r="AC560" s="16" t="n">
        <f aca="false">Z560-W560</f>
        <v>0.00676824752295138</v>
      </c>
      <c r="AD560" s="16" t="n">
        <f aca="false">AA560-W560</f>
        <v>0.0088858545708956</v>
      </c>
      <c r="AE560" s="16" t="n">
        <f aca="false">AB560-W560</f>
        <v>0.00209708209551296</v>
      </c>
      <c r="AF560" s="16" t="n">
        <f aca="false">AE560-X560</f>
        <v>0.0011381872857413</v>
      </c>
      <c r="AG560" s="16" t="n">
        <f aca="false">AF560-p_spc_lo*Y560/1000</f>
        <v>-0.00345461597414854</v>
      </c>
      <c r="AH560" s="16" t="n">
        <f aca="false">AF560-p_spc_hi*Y560/1000</f>
        <v>-0.00804741923403838</v>
      </c>
      <c r="AI560" s="16" t="n">
        <f aca="false">Q560*J560</f>
        <v>0.073613148312834</v>
      </c>
      <c r="AJ560" s="16" t="n">
        <f aca="false">S560*J560</f>
        <v>0.0613206077143118</v>
      </c>
      <c r="AK560" s="16" t="n">
        <f aca="false">T560*J560</f>
        <v>0.0558019706208566</v>
      </c>
      <c r="AL560" s="16" t="n">
        <f aca="false">U560*J560</f>
        <v>0.00252340739413593</v>
      </c>
      <c r="AM560" s="16" t="n">
        <f aca="false">AI560-AJ560</f>
        <v>0.0122925405985222</v>
      </c>
      <c r="AN560" s="16" t="n">
        <f aca="false">J560*Country_Data!$EB$84</f>
        <v>0.537148375303778</v>
      </c>
      <c r="AO560" s="16" t="n">
        <f aca="false">L560*Country_Data!$EB$84</f>
        <v>0.204116382615436</v>
      </c>
    </row>
    <row r="561" customFormat="false" ht="15" hidden="false" customHeight="false" outlineLevel="0" collapsed="false">
      <c r="A561" s="14" t="str">
        <f aca="false">Country_Data!$A$84</f>
        <v>LTU</v>
      </c>
      <c r="B561" s="14" t="str">
        <f aca="false">Country_Data!$E$84</f>
        <v>AE</v>
      </c>
      <c r="C561" s="35" t="s">
        <v>477</v>
      </c>
      <c r="D561" s="37" t="n">
        <f aca="false">IF(Country_Data!$CB$84="","",Country_Data!$CB$84)</f>
        <v>0.0475177921753324</v>
      </c>
      <c r="E561" s="40" t="n">
        <f aca="false">Country_Data!$BW$84</f>
        <v>158.007</v>
      </c>
      <c r="F561" s="41" t="n">
        <f aca="false">Country_Data!$BX$84</f>
        <v>0.541001348041542</v>
      </c>
      <c r="G561" s="42" t="n">
        <f aca="false">IF(D561="","",D561/SUMIFS($D$5:$D$1369,$B$5:$B$1369,B561,$C$5:$C$1369,C561))</f>
        <v>0.00122192511513174</v>
      </c>
      <c r="H561" s="42" t="n">
        <f aca="false">E561/SUMIFS($E$5:$E$1369,$B$5:$B$1369,B561,$C$5:$C$1369,C561)</f>
        <v>0.00200300815678792</v>
      </c>
      <c r="I561" s="43" t="n">
        <f aca="false">IF(G561="",H561,p_beta_alloc*G561+(1-p_beta_alloc)*H561)*F561^p_phi</f>
        <v>0.00118601426034885</v>
      </c>
      <c r="J561" s="16" t="n">
        <f aca="false">INDEX(Sector_Params!$C$19:$E$19,MATCH(B561,Sector_Params!$C$15:$E$15,0))*I561/SUMIFS($I$5:$I$1369,$B$5:$B$1369,B561,$C$5:$C$1369,C561)</f>
        <v>0.348637096081562</v>
      </c>
      <c r="K561" s="28" t="n">
        <f aca="false">INDEX(Sector_Params!$F$8:$H$8,MATCH(B561,Sector_Params!$C$15:$E$15,0))</f>
        <v>0.38</v>
      </c>
      <c r="L561" s="16" t="n">
        <f aca="false">J561*K561</f>
        <v>0.132482096510994</v>
      </c>
      <c r="M561" s="44" t="n">
        <f aca="false">Country_Data!$DW$84+Sector_Params!$E$8</f>
        <v>0.095</v>
      </c>
      <c r="N561" s="44" t="n">
        <f aca="false">Country_Data!$DX$84+Sector_Params!$E$8</f>
        <v>0.11</v>
      </c>
      <c r="O561" s="11" t="n">
        <f aca="false">IF(p_use_ibrd=1,p_r_ibrd,p_r_wb)</f>
        <v>0.06</v>
      </c>
      <c r="P561" s="45" t="n">
        <f aca="false">Sector_Params!$D$8</f>
        <v>25</v>
      </c>
      <c r="Q561" s="46" t="n">
        <f aca="false">M561/(1-(1+M561)^-P561)</f>
        <v>0.105959392478349</v>
      </c>
      <c r="R561" s="46" t="n">
        <f aca="false">N561/(1-(1+N561)^-P561)</f>
        <v>0.118740242054056</v>
      </c>
      <c r="S561" s="46" t="n">
        <f aca="false">O561/(1-(1+O561)^-P561)</f>
        <v>0.078226718212274</v>
      </c>
      <c r="T561" s="37" t="n">
        <f aca="false">Country_Data!$CM$84*Sector_Params!$I$8</f>
        <v>0.185889134638143</v>
      </c>
      <c r="U561" s="37" t="n">
        <f aca="false">Country_Data!$CN$84*Sector_Params!$J$8</f>
        <v>0.103518329119591</v>
      </c>
      <c r="V561" s="37" t="n">
        <f aca="false">p_a</f>
        <v>0.35</v>
      </c>
      <c r="W561" s="16" t="n">
        <f aca="false">T561*L561</f>
        <v>0.0246269822754755</v>
      </c>
      <c r="X561" s="16" t="n">
        <f aca="false">U561*L561</f>
        <v>0.0137143252690785</v>
      </c>
      <c r="Y561" s="16" t="n">
        <f aca="false">V561*L561</f>
        <v>0.0463687337788477</v>
      </c>
      <c r="Z561" s="16" t="n">
        <f aca="false">Q561*L561</f>
        <v>0.0140377224605628</v>
      </c>
      <c r="AA561" s="16" t="n">
        <f aca="false">R561*L561</f>
        <v>0.0157309562075441</v>
      </c>
      <c r="AB561" s="16" t="n">
        <f aca="false">S561*L561</f>
        <v>0.0103636396319368</v>
      </c>
      <c r="AC561" s="16" t="n">
        <f aca="false">Z561-W561</f>
        <v>-0.0105892598149127</v>
      </c>
      <c r="AD561" s="16" t="n">
        <f aca="false">AA561-W561</f>
        <v>-0.0088960260679314</v>
      </c>
      <c r="AE561" s="16" t="n">
        <f aca="false">AB561-W561</f>
        <v>-0.0142633426435388</v>
      </c>
      <c r="AF561" s="16" t="n">
        <f aca="false">AE561-X561</f>
        <v>-0.0279776679126173</v>
      </c>
      <c r="AG561" s="16" t="n">
        <f aca="false">AF561-p_spc_lo*Y561/1000</f>
        <v>-0.0302961046015597</v>
      </c>
      <c r="AH561" s="16" t="n">
        <f aca="false">AF561-p_spc_hi*Y561/1000</f>
        <v>-0.032614541290502</v>
      </c>
      <c r="AI561" s="16" t="n">
        <f aca="false">Q561*J561</f>
        <v>0.0369413748962179</v>
      </c>
      <c r="AJ561" s="16" t="n">
        <f aca="false">S561*J561</f>
        <v>0.0272727358735178</v>
      </c>
      <c r="AK561" s="16" t="n">
        <f aca="false">T561*J561</f>
        <v>0.0648078480933567</v>
      </c>
      <c r="AL561" s="16" t="n">
        <f aca="false">U561*J561</f>
        <v>0.0360903296554698</v>
      </c>
      <c r="AM561" s="16" t="n">
        <f aca="false">AI561-AJ561</f>
        <v>0.00966863902270011</v>
      </c>
      <c r="AN561" s="16" t="n">
        <f aca="false">J561*Country_Data!$EB$84</f>
        <v>0.36426565556108</v>
      </c>
      <c r="AO561" s="16" t="n">
        <f aca="false">L561*Country_Data!$EB$84</f>
        <v>0.138420949113211</v>
      </c>
    </row>
    <row r="562" customFormat="false" ht="15" hidden="false" customHeight="false" outlineLevel="0" collapsed="false">
      <c r="A562" s="14" t="str">
        <f aca="false">Country_Data!$A$84</f>
        <v>LTU</v>
      </c>
      <c r="B562" s="14" t="str">
        <f aca="false">Country_Data!$E$84</f>
        <v>AE</v>
      </c>
      <c r="C562" s="35" t="s">
        <v>481</v>
      </c>
      <c r="D562" s="37" t="n">
        <f aca="false">IF(Country_Data!$CC$84="","",Country_Data!$CC$84)</f>
        <v>0.0722139080570529</v>
      </c>
      <c r="E562" s="40" t="n">
        <f aca="false">Country_Data!$BW$84</f>
        <v>158.007</v>
      </c>
      <c r="F562" s="41" t="n">
        <f aca="false">Country_Data!$BX$84</f>
        <v>0.541001348041542</v>
      </c>
      <c r="G562" s="42" t="n">
        <f aca="false">IF(D562="","",D562/SUMIFS($D$5:$D$1369,$B$5:$B$1369,B562,$C$5:$C$1369,C562))</f>
        <v>0.00131486094559522</v>
      </c>
      <c r="H562" s="42" t="n">
        <f aca="false">E562/SUMIFS($E$5:$E$1369,$B$5:$B$1369,B562,$C$5:$C$1369,C562)</f>
        <v>0.00200300815678792</v>
      </c>
      <c r="I562" s="43" t="n">
        <f aca="false">IF(G562="",H562,p_beta_alloc*G562+(1-p_beta_alloc)*H562)*F562^p_phi</f>
        <v>0.00122019271023704</v>
      </c>
      <c r="J562" s="16" t="n">
        <f aca="false">INDEX(Sector_Params!$C$20:$E$20,MATCH(B562,Sector_Params!$C$15:$E$15,0))*I562/SUMIFS($I$5:$I$1369,$B$5:$B$1369,B562,$C$5:$C$1369,C562)</f>
        <v>0.207209894685906</v>
      </c>
      <c r="K562" s="28" t="n">
        <f aca="false">INDEX(Sector_Params!$F$9:$H$9,MATCH(B562,Sector_Params!$C$15:$E$15,0))</f>
        <v>0.38</v>
      </c>
      <c r="L562" s="16" t="n">
        <f aca="false">J562*K562</f>
        <v>0.0787397599806442</v>
      </c>
      <c r="M562" s="44" t="n">
        <f aca="false">Country_Data!$DW$84+Sector_Params!$E$9</f>
        <v>0.095</v>
      </c>
      <c r="N562" s="44" t="n">
        <f aca="false">Country_Data!$DX$84+Sector_Params!$E$9</f>
        <v>0.11</v>
      </c>
      <c r="O562" s="11" t="n">
        <f aca="false">IF(p_use_ibrd=1,p_r_ibrd,p_r_wb)</f>
        <v>0.06</v>
      </c>
      <c r="P562" s="45" t="n">
        <f aca="false">Sector_Params!$D$9</f>
        <v>25</v>
      </c>
      <c r="Q562" s="46" t="n">
        <f aca="false">M562/(1-(1+M562)^-P562)</f>
        <v>0.105959392478349</v>
      </c>
      <c r="R562" s="46" t="n">
        <f aca="false">N562/(1-(1+N562)^-P562)</f>
        <v>0.118740242054056</v>
      </c>
      <c r="S562" s="46" t="n">
        <f aca="false">O562/(1-(1+O562)^-P562)</f>
        <v>0.078226718212274</v>
      </c>
      <c r="T562" s="37" t="n">
        <f aca="false">Country_Data!$CM$84*Sector_Params!$I$9</f>
        <v>0.185889134638143</v>
      </c>
      <c r="U562" s="37" t="n">
        <f aca="false">Country_Data!$CN$84*Sector_Params!$J$9</f>
        <v>0.103518329119591</v>
      </c>
      <c r="V562" s="37" t="n">
        <f aca="false">p_a</f>
        <v>0.35</v>
      </c>
      <c r="W562" s="16" t="n">
        <f aca="false">T562*L562</f>
        <v>0.014636865844417</v>
      </c>
      <c r="X562" s="16" t="n">
        <f aca="false">U562*L562</f>
        <v>0.00815100838847396</v>
      </c>
      <c r="Y562" s="16" t="n">
        <f aca="false">V562*L562</f>
        <v>0.0275589159932255</v>
      </c>
      <c r="Z562" s="16" t="n">
        <f aca="false">Q562*L562</f>
        <v>0.00834321713144005</v>
      </c>
      <c r="AA562" s="16" t="n">
        <f aca="false">R562*L562</f>
        <v>0.00934957815937994</v>
      </c>
      <c r="AB562" s="16" t="n">
        <f aca="false">S562*L562</f>
        <v>0.00615955301610794</v>
      </c>
      <c r="AC562" s="16" t="n">
        <f aca="false">Z562-W562</f>
        <v>-0.006293648712977</v>
      </c>
      <c r="AD562" s="16" t="n">
        <f aca="false">AA562-W562</f>
        <v>-0.0052872876850371</v>
      </c>
      <c r="AE562" s="16" t="n">
        <f aca="false">AB562-W562</f>
        <v>-0.0084773128283091</v>
      </c>
      <c r="AF562" s="16" t="n">
        <f aca="false">AE562-X562</f>
        <v>-0.0166283212167831</v>
      </c>
      <c r="AG562" s="16" t="n">
        <f aca="false">AF562-p_spc_lo*Y562/1000</f>
        <v>-0.0180062670164443</v>
      </c>
      <c r="AH562" s="16" t="n">
        <f aca="false">AF562-p_spc_hi*Y562/1000</f>
        <v>-0.0193842128161056</v>
      </c>
      <c r="AI562" s="16" t="n">
        <f aca="false">Q562*J562</f>
        <v>0.0219558345564212</v>
      </c>
      <c r="AJ562" s="16" t="n">
        <f aca="false">S562*J562</f>
        <v>0.0162093500423893</v>
      </c>
      <c r="AK562" s="16" t="n">
        <f aca="false">T562*J562</f>
        <v>0.0385180680116238</v>
      </c>
      <c r="AL562" s="16" t="n">
        <f aca="false">U562*J562</f>
        <v>0.0214500220749315</v>
      </c>
      <c r="AM562" s="16" t="n">
        <f aca="false">AI562-AJ562</f>
        <v>0.00574648451403185</v>
      </c>
      <c r="AN562" s="16" t="n">
        <f aca="false">J562*Country_Data!$EB$84</f>
        <v>0.21649861410286</v>
      </c>
      <c r="AO562" s="16" t="n">
        <f aca="false">L562*Country_Data!$EB$84</f>
        <v>0.0822694733590869</v>
      </c>
    </row>
    <row r="563" customFormat="false" ht="15" hidden="false" customHeight="false" outlineLevel="0" collapsed="false">
      <c r="A563" s="14" t="str">
        <f aca="false">Country_Data!$A$84</f>
        <v>LTU</v>
      </c>
      <c r="B563" s="14" t="str">
        <f aca="false">Country_Data!$E$84</f>
        <v>AE</v>
      </c>
      <c r="C563" s="35" t="s">
        <v>484</v>
      </c>
      <c r="D563" s="37" t="n">
        <f aca="false">IF(Country_Data!$CD$84="","",Country_Data!$CD$84)</f>
        <v>0.179252743566191</v>
      </c>
      <c r="E563" s="40" t="n">
        <f aca="false">Country_Data!$BW$84</f>
        <v>158.007</v>
      </c>
      <c r="F563" s="41" t="n">
        <f aca="false">Country_Data!$BX$84</f>
        <v>0.541001348041542</v>
      </c>
      <c r="G563" s="42" t="n">
        <f aca="false">IF(D563="","",D563/SUMIFS($D$5:$D$1369,$B$5:$B$1369,B563,$C$5:$C$1369,C563))</f>
        <v>0.00121280481336281</v>
      </c>
      <c r="H563" s="42" t="n">
        <f aca="false">E563/SUMIFS($E$5:$E$1369,$B$5:$B$1369,B563,$C$5:$C$1369,C563)</f>
        <v>0.00200300815678792</v>
      </c>
      <c r="I563" s="43" t="n">
        <f aca="false">IF(G563="",H563,p_beta_alloc*G563+(1-p_beta_alloc)*H563)*F563^p_phi</f>
        <v>0.0011826601419704</v>
      </c>
      <c r="J563" s="16" t="n">
        <f aca="false">INDEX(Sector_Params!$C$21:$E$21,MATCH(B563,Sector_Params!$C$15:$E$15,0))*I563/SUMIFS($I$5:$I$1369,$B$5:$B$1369,B563,$C$5:$C$1369,C563)</f>
        <v>0.24096669139034</v>
      </c>
      <c r="K563" s="28" t="n">
        <f aca="false">INDEX(Sector_Params!$F$10:$H$10,MATCH(B563,Sector_Params!$C$15:$E$15,0))</f>
        <v>0.38</v>
      </c>
      <c r="L563" s="16" t="n">
        <f aca="false">J563*K563</f>
        <v>0.091567342728329</v>
      </c>
      <c r="M563" s="44" t="n">
        <f aca="false">Country_Data!$DW$84+Sector_Params!$E$10</f>
        <v>0.095</v>
      </c>
      <c r="N563" s="44" t="n">
        <f aca="false">Country_Data!$DX$84+Sector_Params!$E$10</f>
        <v>0.11</v>
      </c>
      <c r="O563" s="11" t="n">
        <f aca="false">IF(p_use_ibrd=1,p_r_ibrd,p_r_wb)</f>
        <v>0.06</v>
      </c>
      <c r="P563" s="45" t="n">
        <f aca="false">Sector_Params!$D$10</f>
        <v>20</v>
      </c>
      <c r="Q563" s="46" t="n">
        <f aca="false">M563/(1-(1+M563)^-P563)</f>
        <v>0.11347669526141</v>
      </c>
      <c r="R563" s="46" t="n">
        <f aca="false">N563/(1-(1+N563)^-P563)</f>
        <v>0.125575636877142</v>
      </c>
      <c r="S563" s="46" t="n">
        <f aca="false">O563/(1-(1+O563)^-P563)</f>
        <v>0.0871845569768514</v>
      </c>
      <c r="T563" s="37" t="n">
        <f aca="false">0*Sector_Params!$I$10</f>
        <v>0</v>
      </c>
      <c r="U563" s="37" t="n">
        <f aca="false">0*Sector_Params!$J$10</f>
        <v>0</v>
      </c>
      <c r="V563" s="37" t="n">
        <f aca="false">1000*p_r_wb/(1-(1+p_r_wb)^-Sector_Params!$D$10)/p_cpt_fuel</f>
        <v>0.871845569768514</v>
      </c>
      <c r="W563" s="16" t="n">
        <f aca="false">T563*L563</f>
        <v>0</v>
      </c>
      <c r="X563" s="16" t="n">
        <f aca="false">U563*L563</f>
        <v>0</v>
      </c>
      <c r="Y563" s="16" t="n">
        <f aca="false">V563*L563</f>
        <v>0.0798325820931688</v>
      </c>
      <c r="Z563" s="16" t="n">
        <f aca="false">Q563*L563</f>
        <v>0.0103907594466797</v>
      </c>
      <c r="AA563" s="16" t="n">
        <f aca="false">R563*L563</f>
        <v>0.0114986273802575</v>
      </c>
      <c r="AB563" s="16" t="n">
        <f aca="false">S563*L563</f>
        <v>0.00798325820931688</v>
      </c>
      <c r="AC563" s="16" t="n">
        <f aca="false">Z563-W563</f>
        <v>0.0103907594466797</v>
      </c>
      <c r="AD563" s="16" t="n">
        <f aca="false">AA563-W563</f>
        <v>0.0114986273802575</v>
      </c>
      <c r="AE563" s="16" t="n">
        <f aca="false">AB563-W563</f>
        <v>0.00798325820931688</v>
      </c>
      <c r="AF563" s="16" t="n">
        <f aca="false">AE563-X563</f>
        <v>0.00798325820931688</v>
      </c>
      <c r="AG563" s="16" t="n">
        <f aca="false">AF563-p_spc_lo*Y563/1000</f>
        <v>0.00399162910465844</v>
      </c>
      <c r="AH563" s="16" t="n">
        <f aca="false">AF563-p_spc_hi*Y563/1000</f>
        <v>0</v>
      </c>
      <c r="AI563" s="16" t="n">
        <f aca="false">Q563*J563</f>
        <v>0.0273441038070519</v>
      </c>
      <c r="AJ563" s="16" t="n">
        <f aca="false">S563*J563</f>
        <v>0.0210085742350444</v>
      </c>
      <c r="AK563" s="16" t="n">
        <f aca="false">T563*J563</f>
        <v>0</v>
      </c>
      <c r="AL563" s="16" t="n">
        <f aca="false">U563*J563</f>
        <v>0</v>
      </c>
      <c r="AM563" s="16" t="n">
        <f aca="false">AI563-AJ563</f>
        <v>0.00633552957200747</v>
      </c>
      <c r="AN563" s="16" t="n">
        <f aca="false">J563*Country_Data!$EB$84</f>
        <v>0.251768646521631</v>
      </c>
      <c r="AO563" s="16" t="n">
        <f aca="false">L563*Country_Data!$EB$84</f>
        <v>0.0956720856782196</v>
      </c>
    </row>
    <row r="564" customFormat="false" ht="15" hidden="false" customHeight="false" outlineLevel="0" collapsed="false">
      <c r="A564" s="14" t="str">
        <f aca="false">Country_Data!$A$84</f>
        <v>LTU</v>
      </c>
      <c r="B564" s="14" t="str">
        <f aca="false">Country_Data!$E$84</f>
        <v>AE</v>
      </c>
      <c r="C564" s="35" t="s">
        <v>488</v>
      </c>
      <c r="D564" s="37" t="n">
        <f aca="false">IF(Country_Data!$CE$84="","",Country_Data!$CE$84)</f>
        <v>6.683</v>
      </c>
      <c r="E564" s="40" t="n">
        <f aca="false">Country_Data!$BW$84</f>
        <v>158.007</v>
      </c>
      <c r="F564" s="41" t="n">
        <f aca="false">Country_Data!$BX$84</f>
        <v>0.541001348041542</v>
      </c>
      <c r="G564" s="42" t="n">
        <f aca="false">IF(D564="","",D564/SUMIFS($D$5:$D$1369,$B$5:$B$1369,B564,$C$5:$C$1369,C564))</f>
        <v>0.00255049662745194</v>
      </c>
      <c r="H564" s="42" t="n">
        <f aca="false">E564/SUMIFS($E$5:$E$1369,$B$5:$B$1369,B564,$C$5:$C$1369,C564)</f>
        <v>0.00200300815678792</v>
      </c>
      <c r="I564" s="43" t="n">
        <f aca="false">IF(G564="",H564,p_beta_alloc*G564+(1-p_beta_alloc)*H564)*F564^p_phi</f>
        <v>0.00167461499302914</v>
      </c>
      <c r="J564" s="16" t="n">
        <f aca="false">INDEX(Sector_Params!$C$22:$E$22,MATCH(B564,Sector_Params!$C$15:$E$15,0))*I564/SUMIFS($I$5:$I$1369,$B$5:$B$1369,B564,$C$5:$C$1369,C564)</f>
        <v>0.0648873498781484</v>
      </c>
      <c r="K564" s="28" t="n">
        <f aca="false">INDEX(Sector_Params!$F$11:$H$11,MATCH(B564,Sector_Params!$C$15:$E$15,0))</f>
        <v>0.38</v>
      </c>
      <c r="L564" s="16" t="n">
        <f aca="false">J564*K564</f>
        <v>0.0246571929536964</v>
      </c>
      <c r="M564" s="44" t="n">
        <f aca="false">Country_Data!$DW$84+Sector_Params!$E$11</f>
        <v>0.095</v>
      </c>
      <c r="N564" s="44" t="n">
        <f aca="false">Country_Data!$DX$84+Sector_Params!$E$11</f>
        <v>0.11</v>
      </c>
      <c r="O564" s="11" t="n">
        <f aca="false">IF(p_use_ibrd=1,p_r_ibrd,p_r_wb)</f>
        <v>0.06</v>
      </c>
      <c r="P564" s="45" t="n">
        <f aca="false">Sector_Params!$D$11</f>
        <v>30</v>
      </c>
      <c r="Q564" s="46" t="n">
        <f aca="false">M564/(1-(1+M564)^-P564)</f>
        <v>0.101680584453641</v>
      </c>
      <c r="R564" s="46" t="n">
        <f aca="false">N564/(1-(1+N564)^-P564)</f>
        <v>0.115024598476394</v>
      </c>
      <c r="S564" s="46" t="n">
        <f aca="false">O564/(1-(1+O564)^-P564)</f>
        <v>0.0726489114900472</v>
      </c>
      <c r="T564" s="37" t="n">
        <f aca="false">0*Sector_Params!$I$11</f>
        <v>0</v>
      </c>
      <c r="U564" s="37" t="n">
        <f aca="false">p_c*Sector_Params!$J$11</f>
        <v>0.129</v>
      </c>
      <c r="V564" s="37" t="n">
        <f aca="false">1000*p_r_wb/(1-(1+p_r_wb)^-Sector_Params!$D$11)/p_cpt_afolu</f>
        <v>1.45297822980094</v>
      </c>
      <c r="W564" s="16" t="n">
        <f aca="false">T564*L564</f>
        <v>0</v>
      </c>
      <c r="X564" s="16" t="n">
        <f aca="false">U564*L564</f>
        <v>0.00318077789102684</v>
      </c>
      <c r="Y564" s="16" t="n">
        <f aca="false">V564*L564</f>
        <v>0.0358263645697221</v>
      </c>
      <c r="Z564" s="16" t="n">
        <f aca="false">Q564*L564</f>
        <v>0.00250715779051804</v>
      </c>
      <c r="AA564" s="16" t="n">
        <f aca="false">R564*L564</f>
        <v>0.00283618371905391</v>
      </c>
      <c r="AB564" s="16" t="n">
        <f aca="false">S564*L564</f>
        <v>0.00179131822848611</v>
      </c>
      <c r="AC564" s="16" t="n">
        <f aca="false">Z564-W564</f>
        <v>0.00250715779051804</v>
      </c>
      <c r="AD564" s="16" t="n">
        <f aca="false">AA564-W564</f>
        <v>0.00283618371905391</v>
      </c>
      <c r="AE564" s="16" t="n">
        <f aca="false">AB564-W564</f>
        <v>0.00179131822848611</v>
      </c>
      <c r="AF564" s="16" t="n">
        <f aca="false">AE564-X564</f>
        <v>-0.00138945966254073</v>
      </c>
      <c r="AG564" s="16" t="n">
        <f aca="false">AF564-p_spc_lo*Y564/1000</f>
        <v>-0.00318077789102684</v>
      </c>
      <c r="AH564" s="16" t="n">
        <f aca="false">AF564-p_spc_hi*Y564/1000</f>
        <v>-0.00497209611951294</v>
      </c>
      <c r="AI564" s="16" t="n">
        <f aca="false">Q564*J564</f>
        <v>0.00659778365925801</v>
      </c>
      <c r="AJ564" s="16" t="n">
        <f aca="false">S564*J564</f>
        <v>0.00471399533812133</v>
      </c>
      <c r="AK564" s="16" t="n">
        <f aca="false">T564*J564</f>
        <v>0</v>
      </c>
      <c r="AL564" s="16" t="n">
        <f aca="false">U564*J564</f>
        <v>0.00837046813428115</v>
      </c>
      <c r="AM564" s="16" t="n">
        <f aca="false">AI564-AJ564</f>
        <v>0.00188378832113668</v>
      </c>
      <c r="AN564" s="16" t="n">
        <f aca="false">J564*Country_Data!$EB$84</f>
        <v>0.0677960931485482</v>
      </c>
      <c r="AO564" s="16" t="n">
        <f aca="false">L564*Country_Data!$EB$84</f>
        <v>0.0257625153964483</v>
      </c>
    </row>
    <row r="565" customFormat="false" ht="15" hidden="false" customHeight="false" outlineLevel="0" collapsed="false">
      <c r="A565" s="14" t="str">
        <f aca="false">Country_Data!$A$85</f>
        <v>GHA</v>
      </c>
      <c r="B565" s="14" t="str">
        <f aca="false">Country_Data!$E$85</f>
        <v>EMDC</v>
      </c>
      <c r="C565" s="35" t="s">
        <v>466</v>
      </c>
      <c r="D565" s="37" t="n">
        <f aca="false">IF(Country_Data!$BZ$85="","",Country_Data!$BZ$85)</f>
        <v>13.5911528661483</v>
      </c>
      <c r="E565" s="40" t="n">
        <f aca="false">Country_Data!$BW$85</f>
        <v>277.182</v>
      </c>
      <c r="F565" s="41" t="n">
        <f aca="false">Country_Data!$BX$85</f>
        <v>0.300484879970561</v>
      </c>
      <c r="G565" s="42" t="n">
        <f aca="false">IF(D565="","",D565/SUMIFS($D$5:$D$1369,$B$5:$B$1369,B565,$C$5:$C$1369,C565))</f>
        <v>0.00155159503414338</v>
      </c>
      <c r="H565" s="42" t="n">
        <f aca="false">E565/SUMIFS($E$5:$E$1369,$B$5:$B$1369,B565,$C$5:$C$1369,C565)</f>
        <v>0.0034333644362841</v>
      </c>
      <c r="I565" s="43" t="n">
        <f aca="false">IF(G565="",H565,p_beta_alloc*G565+(1-p_beta_alloc)*H565)*F565^p_phi</f>
        <v>0.00136629018303016</v>
      </c>
      <c r="J565" s="16" t="n">
        <f aca="false">INDEX(Sector_Params!$C$16:$E$16,MATCH(B565,Sector_Params!$C$15:$E$15,0))*I565/SUMIFS($I$5:$I$1369,$B$5:$B$1369,B565,$C$5:$C$1369,C565)</f>
        <v>1.32151050346933</v>
      </c>
      <c r="K565" s="28" t="n">
        <f aca="false">INDEX(Sector_Params!$F$5:$H$5,MATCH(B565,Sector_Params!$C$15:$E$15,0))</f>
        <v>0.24</v>
      </c>
      <c r="L565" s="16" t="n">
        <f aca="false">J565*K565</f>
        <v>0.31716252083264</v>
      </c>
      <c r="M565" s="44" t="n">
        <f aca="false">Country_Data!$DW$85+Sector_Params!$E$5</f>
        <v>0.1169</v>
      </c>
      <c r="N565" s="44" t="n">
        <f aca="false">Country_Data!$DX$85+Sector_Params!$E$5</f>
        <v>0.1619</v>
      </c>
      <c r="O565" s="11" t="n">
        <f aca="false">IF(p_use_ibrd=1,p_r_ibrd,p_r_wb)</f>
        <v>0.06</v>
      </c>
      <c r="P565" s="45" t="n">
        <f aca="false">Sector_Params!$D$5</f>
        <v>25</v>
      </c>
      <c r="Q565" s="46" t="n">
        <f aca="false">M565/(1-(1+M565)^-P565)</f>
        <v>0.124765710744227</v>
      </c>
      <c r="R565" s="46" t="n">
        <f aca="false">N565/(1-(1+N565)^-P565)</f>
        <v>0.16579357829564</v>
      </c>
      <c r="S565" s="46" t="n">
        <f aca="false">O565/(1-(1+O565)^-P565)</f>
        <v>0.078226718212274</v>
      </c>
      <c r="T565" s="37" t="n">
        <f aca="false">IF(AND(p_eng=1,ISNUMBER(Country_Data!$CZ$85)),Country_Data!$CZ$85,Country_Data!$CM$85)*Sector_Params!$I$5</f>
        <v>0.0340111706300689</v>
      </c>
      <c r="U565" s="37" t="n">
        <f aca="false">IF(AND(p_eng=1,ISNUMBER(Country_Data!$DA$85)),Country_Data!$DA$85,Country_Data!$CN$85)*Sector_Params!$J$5</f>
        <v>0.00151889887130572</v>
      </c>
      <c r="V565" s="37" t="n">
        <f aca="false">IF(AND(p_eng=1,ISNUMBER(Country_Data!$DB$85)),Country_Data!$DB$85,p_a)</f>
        <v>0.638768439763415</v>
      </c>
      <c r="W565" s="16" t="n">
        <f aca="false">T565*L565</f>
        <v>0.0107870686135017</v>
      </c>
      <c r="X565" s="16" t="n">
        <f aca="false">U565*L565</f>
        <v>0.000481737794913174</v>
      </c>
      <c r="Y565" s="16" t="n">
        <f aca="false">V565*L565</f>
        <v>0.202593408583697</v>
      </c>
      <c r="Z565" s="16" t="n">
        <f aca="false">Q565*L565</f>
        <v>0.0395710073331151</v>
      </c>
      <c r="AA565" s="16" t="n">
        <f aca="false">R565*L565</f>
        <v>0.052583509230109</v>
      </c>
      <c r="AB565" s="16" t="n">
        <f aca="false">S565*L565</f>
        <v>0.0248105831446694</v>
      </c>
      <c r="AC565" s="16" t="n">
        <f aca="false">Z565-W565</f>
        <v>0.0287839387196134</v>
      </c>
      <c r="AD565" s="16" t="n">
        <f aca="false">AA565-W565</f>
        <v>0.0417964406166073</v>
      </c>
      <c r="AE565" s="16" t="n">
        <f aca="false">AB565-W565</f>
        <v>0.0140235145311677</v>
      </c>
      <c r="AF565" s="16" t="n">
        <f aca="false">AE565-X565</f>
        <v>0.0135417767362545</v>
      </c>
      <c r="AG565" s="16" t="n">
        <f aca="false">AF565-p_spc_lo*Y565/1000</f>
        <v>0.00341210630706967</v>
      </c>
      <c r="AH565" s="16" t="n">
        <f aca="false">AF565-p_spc_hi*Y565/1000</f>
        <v>-0.00671756412211517</v>
      </c>
      <c r="AI565" s="16" t="n">
        <f aca="false">Q565*J565</f>
        <v>0.164879197221313</v>
      </c>
      <c r="AJ565" s="16" t="n">
        <f aca="false">S565*J565</f>
        <v>0.103377429769456</v>
      </c>
      <c r="AK565" s="16" t="n">
        <f aca="false">T565*J565</f>
        <v>0.0449461192229238</v>
      </c>
      <c r="AL565" s="16" t="n">
        <f aca="false">U565*J565</f>
        <v>0.00200724081213822</v>
      </c>
      <c r="AM565" s="16" t="n">
        <f aca="false">AI565-AJ565</f>
        <v>0.0615017674518571</v>
      </c>
      <c r="AN565" s="16" t="n">
        <f aca="false">J565*Country_Data!$EB$85</f>
        <v>1.67391330439449</v>
      </c>
      <c r="AO565" s="16" t="n">
        <f aca="false">L565*Country_Data!$EB$85</f>
        <v>0.401739193054677</v>
      </c>
    </row>
    <row r="566" customFormat="false" ht="15" hidden="false" customHeight="false" outlineLevel="0" collapsed="false">
      <c r="A566" s="14" t="str">
        <f aca="false">Country_Data!$A$85</f>
        <v>GHA</v>
      </c>
      <c r="B566" s="14" t="str">
        <f aca="false">Country_Data!$E$85</f>
        <v>EMDC</v>
      </c>
      <c r="C566" s="35" t="s">
        <v>470</v>
      </c>
      <c r="D566" s="37" t="n">
        <f aca="false">IF(Country_Data!$BZ$85="","",Country_Data!$BZ$85)</f>
        <v>13.5911528661483</v>
      </c>
      <c r="E566" s="40" t="n">
        <f aca="false">Country_Data!$BW$85</f>
        <v>277.182</v>
      </c>
      <c r="F566" s="41" t="n">
        <f aca="false">Country_Data!$BX$85</f>
        <v>0.300484879970561</v>
      </c>
      <c r="G566" s="42" t="n">
        <f aca="false">IF(D566="","",D566/SUMIFS($D$5:$D$1369,$B$5:$B$1369,B566,$C$5:$C$1369,C566))</f>
        <v>0.00155159503414338</v>
      </c>
      <c r="H566" s="42" t="n">
        <f aca="false">E566/SUMIFS($E$5:$E$1369,$B$5:$B$1369,B566,$C$5:$C$1369,C566)</f>
        <v>0.0034333644362841</v>
      </c>
      <c r="I566" s="43" t="n">
        <f aca="false">IF(G566="",H566,p_beta_alloc*G566+(1-p_beta_alloc)*H566)*F566^p_phi</f>
        <v>0.00136629018303016</v>
      </c>
      <c r="J566" s="16" t="n">
        <f aca="false">INDEX(Sector_Params!$C$17:$E$17,MATCH(B566,Sector_Params!$C$15:$E$15,0))*I566/SUMIFS($I$5:$I$1369,$B$5:$B$1369,B566,$C$5:$C$1369,C566)</f>
        <v>0.9061786309504</v>
      </c>
      <c r="K566" s="28" t="n">
        <f aca="false">INDEX(Sector_Params!$F$6:$H$6,MATCH(B566,Sector_Params!$C$15:$E$15,0))</f>
        <v>0.24</v>
      </c>
      <c r="L566" s="16" t="n">
        <f aca="false">J566*K566</f>
        <v>0.217482871428096</v>
      </c>
      <c r="M566" s="44" t="n">
        <f aca="false">Country_Data!$DW$85+Sector_Params!$E$6</f>
        <v>0.1169</v>
      </c>
      <c r="N566" s="44" t="n">
        <f aca="false">Country_Data!$DX$85+Sector_Params!$E$6</f>
        <v>0.1619</v>
      </c>
      <c r="O566" s="11" t="n">
        <f aca="false">IF(p_use_ibrd=1,p_r_ibrd,p_r_wb)</f>
        <v>0.06</v>
      </c>
      <c r="P566" s="45" t="n">
        <f aca="false">Sector_Params!$D$6</f>
        <v>40</v>
      </c>
      <c r="Q566" s="46" t="n">
        <f aca="false">M566/(1-(1+M566)^-P566)</f>
        <v>0.118320656004774</v>
      </c>
      <c r="R566" s="46" t="n">
        <f aca="false">N566/(1-(1+N566)^-P566)</f>
        <v>0.162301395209448</v>
      </c>
      <c r="S566" s="46" t="n">
        <f aca="false">O566/(1-(1+O566)^-P566)</f>
        <v>0.0664615359206755</v>
      </c>
      <c r="T566" s="37" t="n">
        <f aca="false">p_grid_credit*IF(AND(p_eng=1,ISNUMBER(Country_Data!$CZ$85)),Country_Data!$CZ$85,Country_Data!$CM$85)*Sector_Params!$I$6</f>
        <v>0</v>
      </c>
      <c r="U566" s="37" t="n">
        <f aca="false">p_grid_credit*IF(AND(p_eng=1,ISNUMBER(Country_Data!$DA$85)),Country_Data!$DA$85,Country_Data!$CN$85)*Sector_Params!$J$6</f>
        <v>0</v>
      </c>
      <c r="V566" s="37" t="n">
        <f aca="false">p_grid_credit*IF(AND(p_eng=1,ISNUMBER(Country_Data!$DB$85)),Country_Data!$DB$85,p_a)</f>
        <v>0</v>
      </c>
      <c r="W566" s="16" t="n">
        <f aca="false">T566*L566</f>
        <v>0</v>
      </c>
      <c r="X566" s="16" t="n">
        <f aca="false">U566*L566</f>
        <v>0</v>
      </c>
      <c r="Y566" s="16" t="n">
        <f aca="false">V566*L566</f>
        <v>0</v>
      </c>
      <c r="Z566" s="16" t="n">
        <f aca="false">Q566*L566</f>
        <v>0.0257327160171742</v>
      </c>
      <c r="AA566" s="16" t="n">
        <f aca="false">R566*L566</f>
        <v>0.0352977734669371</v>
      </c>
      <c r="AB566" s="16" t="n">
        <f aca="false">S566*L566</f>
        <v>0.0144542456715501</v>
      </c>
      <c r="AC566" s="16" t="n">
        <f aca="false">Z566-W566</f>
        <v>0.0257327160171742</v>
      </c>
      <c r="AD566" s="16" t="n">
        <f aca="false">AA566-W566</f>
        <v>0.0352977734669371</v>
      </c>
      <c r="AE566" s="16" t="n">
        <f aca="false">AB566-W566</f>
        <v>0.0144542456715501</v>
      </c>
      <c r="AF566" s="16" t="n">
        <f aca="false">AE566-X566</f>
        <v>0.0144542456715501</v>
      </c>
      <c r="AG566" s="16" t="n">
        <f aca="false">AF566-p_spc_lo*Y566/1000</f>
        <v>0.0144542456715501</v>
      </c>
      <c r="AH566" s="16" t="n">
        <f aca="false">AF566-p_spc_hi*Y566/1000</f>
        <v>0.0144542456715501</v>
      </c>
      <c r="AI566" s="16" t="n">
        <f aca="false">Q566*J566</f>
        <v>0.107219650071559</v>
      </c>
      <c r="AJ566" s="16" t="n">
        <f aca="false">S566*J566</f>
        <v>0.0602260236314586</v>
      </c>
      <c r="AK566" s="16" t="n">
        <f aca="false">T566*J566</f>
        <v>0</v>
      </c>
      <c r="AL566" s="16" t="n">
        <f aca="false">U566*J566</f>
        <v>0</v>
      </c>
      <c r="AM566" s="16" t="n">
        <f aca="false">AI566-AJ566</f>
        <v>0.0469936264401008</v>
      </c>
      <c r="AN566" s="16" t="n">
        <f aca="false">J566*Country_Data!$EB$85</f>
        <v>1.14782626587051</v>
      </c>
      <c r="AO566" s="16" t="n">
        <f aca="false">L566*Country_Data!$EB$85</f>
        <v>0.275478303808922</v>
      </c>
    </row>
    <row r="567" customFormat="false" ht="15" hidden="false" customHeight="false" outlineLevel="0" collapsed="false">
      <c r="A567" s="14" t="str">
        <f aca="false">Country_Data!$A$85</f>
        <v>GHA</v>
      </c>
      <c r="B567" s="14" t="str">
        <f aca="false">Country_Data!$E$85</f>
        <v>EMDC</v>
      </c>
      <c r="C567" s="35" t="s">
        <v>473</v>
      </c>
      <c r="D567" s="37" t="n">
        <f aca="false">IF(Country_Data!$CA$85="","",Country_Data!$CA$85)</f>
        <v>0.171450180027175</v>
      </c>
      <c r="E567" s="40" t="n">
        <f aca="false">Country_Data!$BW$85</f>
        <v>277.182</v>
      </c>
      <c r="F567" s="41" t="n">
        <f aca="false">Country_Data!$BX$85</f>
        <v>0.300484879970561</v>
      </c>
      <c r="G567" s="42" t="n">
        <f aca="false">IF(D567="","",D567/SUMIFS($D$5:$D$1369,$B$5:$B$1369,B567,$C$5:$C$1369,C567))</f>
        <v>0.00396089807423227</v>
      </c>
      <c r="H567" s="42" t="n">
        <f aca="false">E567/SUMIFS($E$5:$E$1369,$B$5:$B$1369,B567,$C$5:$C$1369,C567)</f>
        <v>0.0034333644362841</v>
      </c>
      <c r="I567" s="43" t="n">
        <f aca="false">IF(G567="",H567,p_beta_alloc*G567+(1-p_beta_alloc)*H567)*F567^p_phi</f>
        <v>0.0020266379975202</v>
      </c>
      <c r="J567" s="16" t="n">
        <f aca="false">INDEX(Sector_Params!$C$18:$E$18,MATCH(B567,Sector_Params!$C$15:$E$15,0))*I567/SUMIFS($I$5:$I$1369,$B$5:$B$1369,B567,$C$5:$C$1369,C567)</f>
        <v>0.829860307268503</v>
      </c>
      <c r="K567" s="28" t="n">
        <f aca="false">INDEX(Sector_Params!$F$7:$H$7,MATCH(B567,Sector_Params!$C$15:$E$15,0))</f>
        <v>0.24</v>
      </c>
      <c r="L567" s="16" t="n">
        <f aca="false">J567*K567</f>
        <v>0.199166473744441</v>
      </c>
      <c r="M567" s="44" t="n">
        <f aca="false">Country_Data!$DW$85+Sector_Params!$E$7</f>
        <v>0.1169</v>
      </c>
      <c r="N567" s="44" t="n">
        <f aca="false">Country_Data!$DX$85+Sector_Params!$E$7</f>
        <v>0.1619</v>
      </c>
      <c r="O567" s="11" t="n">
        <f aca="false">IF(p_use_ibrd=1,p_r_ibrd,p_r_wb)</f>
        <v>0.06</v>
      </c>
      <c r="P567" s="45" t="n">
        <f aca="false">Sector_Params!$D$7</f>
        <v>12</v>
      </c>
      <c r="Q567" s="46" t="n">
        <f aca="false">M567/(1-(1+M567)^-P567)</f>
        <v>0.159124638323089</v>
      </c>
      <c r="R567" s="46" t="n">
        <f aca="false">N567/(1-(1+N567)^-P567)</f>
        <v>0.193935569541336</v>
      </c>
      <c r="S567" s="46" t="n">
        <f aca="false">O567/(1-(1+O567)^-P567)</f>
        <v>0.119277029380664</v>
      </c>
      <c r="T567" s="37" t="n">
        <f aca="false">IF(AND(p_eng=1,ISNUMBER(Country_Data!$DE$85)),Country_Data!$DE$85,Country_Data!$CM$85)*Sector_Params!$I$7</f>
        <v>0.1016532</v>
      </c>
      <c r="U567" s="37" t="n">
        <f aca="false">IF(AND(p_eng=1,ISNUMBER(Country_Data!$DF$85)),Country_Data!$DF$85,Country_Data!$CN$85)*Sector_Params!$J$7</f>
        <v>0.005437575</v>
      </c>
      <c r="V567" s="37" t="n">
        <f aca="false">IF(AND(p_eng=1,ISNUMBER(Country_Data!$DG$85)),Country_Data!$DG$85,p_a)</f>
        <v>0.383375753399258</v>
      </c>
      <c r="W567" s="16" t="n">
        <f aca="false">T567*L567</f>
        <v>0.0202459093888384</v>
      </c>
      <c r="X567" s="16" t="n">
        <f aca="false">U567*L567</f>
        <v>0.00108298263847093</v>
      </c>
      <c r="Y567" s="16" t="n">
        <f aca="false">V567*L567</f>
        <v>0.0763555969236485</v>
      </c>
      <c r="Z567" s="16" t="n">
        <f aca="false">Q567*L567</f>
        <v>0.031692293100669</v>
      </c>
      <c r="AA567" s="16" t="n">
        <f aca="false">R567*L567</f>
        <v>0.0386254635191676</v>
      </c>
      <c r="AB567" s="16" t="n">
        <f aca="false">S567*L567</f>
        <v>0.0237559853404588</v>
      </c>
      <c r="AC567" s="16" t="n">
        <f aca="false">Z567-W567</f>
        <v>0.0114463837118307</v>
      </c>
      <c r="AD567" s="16" t="n">
        <f aca="false">AA567-W567</f>
        <v>0.0183795541303292</v>
      </c>
      <c r="AE567" s="16" t="n">
        <f aca="false">AB567-W567</f>
        <v>0.00351007595162043</v>
      </c>
      <c r="AF567" s="16" t="n">
        <f aca="false">AE567-X567</f>
        <v>0.0024270933131495</v>
      </c>
      <c r="AG567" s="16" t="n">
        <f aca="false">AF567-p_spc_lo*Y567/1000</f>
        <v>-0.00139068653303292</v>
      </c>
      <c r="AH567" s="16" t="n">
        <f aca="false">AF567-p_spc_hi*Y567/1000</f>
        <v>-0.00520846637921535</v>
      </c>
      <c r="AI567" s="16" t="n">
        <f aca="false">Q567*J567</f>
        <v>0.132051221252788</v>
      </c>
      <c r="AJ567" s="16" t="n">
        <f aca="false">S567*J567</f>
        <v>0.0989832722519117</v>
      </c>
      <c r="AK567" s="16" t="n">
        <f aca="false">T567*J567</f>
        <v>0.0843579557868266</v>
      </c>
      <c r="AL567" s="16" t="n">
        <f aca="false">U567*J567</f>
        <v>0.00451242766029553</v>
      </c>
      <c r="AM567" s="16" t="n">
        <f aca="false">AI567-AJ567</f>
        <v>0.033067949000876</v>
      </c>
      <c r="AN567" s="16" t="n">
        <f aca="false">J567*Country_Data!$EB$85</f>
        <v>1.05115638920677</v>
      </c>
      <c r="AO567" s="16" t="n">
        <f aca="false">L567*Country_Data!$EB$85</f>
        <v>0.252277533409625</v>
      </c>
    </row>
    <row r="568" customFormat="false" ht="15" hidden="false" customHeight="false" outlineLevel="0" collapsed="false">
      <c r="A568" s="14" t="str">
        <f aca="false">Country_Data!$A$85</f>
        <v>GHA</v>
      </c>
      <c r="B568" s="14" t="str">
        <f aca="false">Country_Data!$E$85</f>
        <v>EMDC</v>
      </c>
      <c r="C568" s="35" t="s">
        <v>477</v>
      </c>
      <c r="D568" s="37" t="n">
        <f aca="false">IF(Country_Data!$CB$85="","",Country_Data!$CB$85)</f>
        <v>0.0375682935505556</v>
      </c>
      <c r="E568" s="40" t="n">
        <f aca="false">Country_Data!$BW$85</f>
        <v>277.182</v>
      </c>
      <c r="F568" s="41" t="n">
        <f aca="false">Country_Data!$BX$85</f>
        <v>0.300484879970561</v>
      </c>
      <c r="G568" s="42" t="n">
        <f aca="false">IF(D568="","",D568/SUMIFS($D$5:$D$1369,$B$5:$B$1369,B568,$C$5:$C$1369,C568))</f>
        <v>0.00118464269111477</v>
      </c>
      <c r="H568" s="42" t="n">
        <f aca="false">E568/SUMIFS($E$5:$E$1369,$B$5:$B$1369,B568,$C$5:$C$1369,C568)</f>
        <v>0.0034333644362841</v>
      </c>
      <c r="I568" s="43" t="n">
        <f aca="false">IF(G568="",H568,p_beta_alloc*G568+(1-p_beta_alloc)*H568)*F568^p_phi</f>
        <v>0.00126571496533899</v>
      </c>
      <c r="J568" s="16" t="n">
        <f aca="false">INDEX(Sector_Params!$C$19:$E$19,MATCH(B568,Sector_Params!$C$15:$E$15,0))*I568/SUMIFS($I$5:$I$1369,$B$5:$B$1369,B568,$C$5:$C$1369,C568)</f>
        <v>0.407386305205173</v>
      </c>
      <c r="K568" s="28" t="n">
        <f aca="false">INDEX(Sector_Params!$F$8:$H$8,MATCH(B568,Sector_Params!$C$15:$E$15,0))</f>
        <v>0.24</v>
      </c>
      <c r="L568" s="16" t="n">
        <f aca="false">J568*K568</f>
        <v>0.0977727132492416</v>
      </c>
      <c r="M568" s="44" t="n">
        <f aca="false">Country_Data!$DW$85+Sector_Params!$E$8</f>
        <v>0.1169</v>
      </c>
      <c r="N568" s="44" t="n">
        <f aca="false">Country_Data!$DX$85+Sector_Params!$E$8</f>
        <v>0.1619</v>
      </c>
      <c r="O568" s="11" t="n">
        <f aca="false">IF(p_use_ibrd=1,p_r_ibrd,p_r_wb)</f>
        <v>0.06</v>
      </c>
      <c r="P568" s="45" t="n">
        <f aca="false">Sector_Params!$D$8</f>
        <v>25</v>
      </c>
      <c r="Q568" s="46" t="n">
        <f aca="false">M568/(1-(1+M568)^-P568)</f>
        <v>0.124765710744227</v>
      </c>
      <c r="R568" s="46" t="n">
        <f aca="false">N568/(1-(1+N568)^-P568)</f>
        <v>0.16579357829564</v>
      </c>
      <c r="S568" s="46" t="n">
        <f aca="false">O568/(1-(1+O568)^-P568)</f>
        <v>0.078226718212274</v>
      </c>
      <c r="T568" s="37" t="n">
        <f aca="false">Country_Data!$CM$85*Sector_Params!$I$8</f>
        <v>0.175354571773737</v>
      </c>
      <c r="U568" s="37" t="n">
        <f aca="false">Country_Data!$CN$85*Sector_Params!$J$8</f>
        <v>0.03225</v>
      </c>
      <c r="V568" s="37" t="n">
        <f aca="false">p_a</f>
        <v>0.35</v>
      </c>
      <c r="W568" s="16" t="n">
        <f aca="false">T568*L568</f>
        <v>0.0171448922629772</v>
      </c>
      <c r="X568" s="16" t="n">
        <f aca="false">U568*L568</f>
        <v>0.00315317000228804</v>
      </c>
      <c r="Y568" s="16" t="n">
        <f aca="false">V568*L568</f>
        <v>0.0342204496372346</v>
      </c>
      <c r="Z568" s="16" t="n">
        <f aca="false">Q568*L568</f>
        <v>0.0121986820599332</v>
      </c>
      <c r="AA568" s="16" t="n">
        <f aca="false">R568*L568</f>
        <v>0.0162100879892653</v>
      </c>
      <c r="AB568" s="16" t="n">
        <f aca="false">S568*L568</f>
        <v>0.00764843848819789</v>
      </c>
      <c r="AC568" s="16" t="n">
        <f aca="false">Z568-W568</f>
        <v>-0.004946210203044</v>
      </c>
      <c r="AD568" s="16" t="n">
        <f aca="false">AA568-W568</f>
        <v>-0.000934804273711808</v>
      </c>
      <c r="AE568" s="16" t="n">
        <f aca="false">AB568-W568</f>
        <v>-0.00949645377477926</v>
      </c>
      <c r="AF568" s="16" t="n">
        <f aca="false">AE568-X568</f>
        <v>-0.0126496237770673</v>
      </c>
      <c r="AG568" s="16" t="n">
        <f aca="false">AF568-p_spc_lo*Y568/1000</f>
        <v>-0.014360646258929</v>
      </c>
      <c r="AH568" s="16" t="n">
        <f aca="false">AF568-p_spc_hi*Y568/1000</f>
        <v>-0.0160716687407908</v>
      </c>
      <c r="AI568" s="16" t="n">
        <f aca="false">Q568*J568</f>
        <v>0.0508278419163881</v>
      </c>
      <c r="AJ568" s="16" t="n">
        <f aca="false">S568*J568</f>
        <v>0.0318684937008245</v>
      </c>
      <c r="AK568" s="16" t="n">
        <f aca="false">T568*J568</f>
        <v>0.0714370510957381</v>
      </c>
      <c r="AL568" s="16" t="n">
        <f aca="false">U568*J568</f>
        <v>0.0131382083428668</v>
      </c>
      <c r="AM568" s="16" t="n">
        <f aca="false">AI568-AJ568</f>
        <v>0.0189593482155636</v>
      </c>
      <c r="AN568" s="16" t="n">
        <f aca="false">J568*Country_Data!$EB$85</f>
        <v>0.516022653259886</v>
      </c>
      <c r="AO568" s="16" t="n">
        <f aca="false">L568*Country_Data!$EB$85</f>
        <v>0.123845436782373</v>
      </c>
    </row>
    <row r="569" customFormat="false" ht="15" hidden="false" customHeight="false" outlineLevel="0" collapsed="false">
      <c r="A569" s="14" t="str">
        <f aca="false">Country_Data!$A$85</f>
        <v>GHA</v>
      </c>
      <c r="B569" s="14" t="str">
        <f aca="false">Country_Data!$E$85</f>
        <v>EMDC</v>
      </c>
      <c r="C569" s="35" t="s">
        <v>481</v>
      </c>
      <c r="D569" s="37" t="n">
        <f aca="false">IF(Country_Data!$CC$85="","",Country_Data!$CC$85)</f>
        <v>0.0420231450743987</v>
      </c>
      <c r="E569" s="40" t="n">
        <f aca="false">Country_Data!$BW$85</f>
        <v>277.182</v>
      </c>
      <c r="F569" s="41" t="n">
        <f aca="false">Country_Data!$BX$85</f>
        <v>0.300484879970561</v>
      </c>
      <c r="G569" s="42" t="n">
        <f aca="false">IF(D569="","",D569/SUMIFS($D$5:$D$1369,$B$5:$B$1369,B569,$C$5:$C$1369,C569))</f>
        <v>0.00060026840871955</v>
      </c>
      <c r="H569" s="42" t="n">
        <f aca="false">E569/SUMIFS($E$5:$E$1369,$B$5:$B$1369,B569,$C$5:$C$1369,C569)</f>
        <v>0.0034333644362841</v>
      </c>
      <c r="I569" s="43" t="n">
        <f aca="false">IF(G569="",H569,p_beta_alloc*G569+(1-p_beta_alloc)*H569)*F569^p_phi</f>
        <v>0.00110554819768754</v>
      </c>
      <c r="J569" s="16" t="n">
        <f aca="false">INDEX(Sector_Params!$C$20:$E$20,MATCH(B569,Sector_Params!$C$15:$E$15,0))*I569/SUMIFS($I$5:$I$1369,$B$5:$B$1369,B569,$C$5:$C$1369,C569)</f>
        <v>0.201784809261544</v>
      </c>
      <c r="K569" s="28" t="n">
        <f aca="false">INDEX(Sector_Params!$F$9:$H$9,MATCH(B569,Sector_Params!$C$15:$E$15,0))</f>
        <v>0.24</v>
      </c>
      <c r="L569" s="16" t="n">
        <f aca="false">J569*K569</f>
        <v>0.0484283542227705</v>
      </c>
      <c r="M569" s="44" t="n">
        <f aca="false">Country_Data!$DW$85+Sector_Params!$E$9</f>
        <v>0.1169</v>
      </c>
      <c r="N569" s="44" t="n">
        <f aca="false">Country_Data!$DX$85+Sector_Params!$E$9</f>
        <v>0.1619</v>
      </c>
      <c r="O569" s="11" t="n">
        <f aca="false">IF(p_use_ibrd=1,p_r_ibrd,p_r_wb)</f>
        <v>0.06</v>
      </c>
      <c r="P569" s="45" t="n">
        <f aca="false">Sector_Params!$D$9</f>
        <v>25</v>
      </c>
      <c r="Q569" s="46" t="n">
        <f aca="false">M569/(1-(1+M569)^-P569)</f>
        <v>0.124765710744227</v>
      </c>
      <c r="R569" s="46" t="n">
        <f aca="false">N569/(1-(1+N569)^-P569)</f>
        <v>0.16579357829564</v>
      </c>
      <c r="S569" s="46" t="n">
        <f aca="false">O569/(1-(1+O569)^-P569)</f>
        <v>0.078226718212274</v>
      </c>
      <c r="T569" s="37" t="n">
        <f aca="false">Country_Data!$CM$85*Sector_Params!$I$9</f>
        <v>0.175354571773737</v>
      </c>
      <c r="U569" s="37" t="n">
        <f aca="false">Country_Data!$CN$85*Sector_Params!$J$9</f>
        <v>0.03225</v>
      </c>
      <c r="V569" s="37" t="n">
        <f aca="false">p_a</f>
        <v>0.35</v>
      </c>
      <c r="W569" s="16" t="n">
        <f aca="false">T569*L569</f>
        <v>0.00849213331644077</v>
      </c>
      <c r="X569" s="16" t="n">
        <f aca="false">U569*L569</f>
        <v>0.00156181442368435</v>
      </c>
      <c r="Y569" s="16" t="n">
        <f aca="false">V569*L569</f>
        <v>0.0169499239779697</v>
      </c>
      <c r="Z569" s="16" t="n">
        <f aca="false">Q569*L569</f>
        <v>0.00604219803477716</v>
      </c>
      <c r="AA569" s="16" t="n">
        <f aca="false">R569*L569</f>
        <v>0.00802911013756191</v>
      </c>
      <c r="AB569" s="16" t="n">
        <f aca="false">S569*L569</f>
        <v>0.00378839121926886</v>
      </c>
      <c r="AC569" s="16" t="n">
        <f aca="false">Z569-W569</f>
        <v>-0.00244993528166361</v>
      </c>
      <c r="AD569" s="16" t="n">
        <f aca="false">AA569-W569</f>
        <v>-0.000463023178878861</v>
      </c>
      <c r="AE569" s="16" t="n">
        <f aca="false">AB569-W569</f>
        <v>-0.00470374209717192</v>
      </c>
      <c r="AF569" s="16" t="n">
        <f aca="false">AE569-X569</f>
        <v>-0.00626555652085627</v>
      </c>
      <c r="AG569" s="16" t="n">
        <f aca="false">AF569-p_spc_lo*Y569/1000</f>
        <v>-0.00711305271975475</v>
      </c>
      <c r="AH569" s="16" t="n">
        <f aca="false">AF569-p_spc_hi*Y569/1000</f>
        <v>-0.00796054891865324</v>
      </c>
      <c r="AI569" s="16" t="n">
        <f aca="false">Q569*J569</f>
        <v>0.0251758251449048</v>
      </c>
      <c r="AJ569" s="16" t="n">
        <f aca="false">S569*J569</f>
        <v>0.0157849634136202</v>
      </c>
      <c r="AK569" s="16" t="n">
        <f aca="false">T569*J569</f>
        <v>0.0353838888185032</v>
      </c>
      <c r="AL569" s="16" t="n">
        <f aca="false">U569*J569</f>
        <v>0.00650756009868479</v>
      </c>
      <c r="AM569" s="16" t="n">
        <f aca="false">AI569-AJ569</f>
        <v>0.0093908617312846</v>
      </c>
      <c r="AN569" s="16" t="n">
        <f aca="false">J569*Country_Data!$EB$85</f>
        <v>0.255594091731289</v>
      </c>
      <c r="AO569" s="16" t="n">
        <f aca="false">L569*Country_Data!$EB$85</f>
        <v>0.0613425820155093</v>
      </c>
    </row>
    <row r="570" customFormat="false" ht="15" hidden="false" customHeight="false" outlineLevel="0" collapsed="false">
      <c r="A570" s="14" t="str">
        <f aca="false">Country_Data!$A$85</f>
        <v>GHA</v>
      </c>
      <c r="B570" s="14" t="str">
        <f aca="false">Country_Data!$E$85</f>
        <v>EMDC</v>
      </c>
      <c r="C570" s="35" t="s">
        <v>484</v>
      </c>
      <c r="D570" s="37" t="n">
        <f aca="false">IF(Country_Data!$CD$85="","",Country_Data!$CD$85)</f>
        <v>0.279270006563314</v>
      </c>
      <c r="E570" s="40" t="n">
        <f aca="false">Country_Data!$BW$85</f>
        <v>277.182</v>
      </c>
      <c r="F570" s="41" t="n">
        <f aca="false">Country_Data!$BX$85</f>
        <v>0.300484879970561</v>
      </c>
      <c r="G570" s="42" t="n">
        <f aca="false">IF(D570="","",D570/SUMIFS($D$5:$D$1369,$B$5:$B$1369,B570,$C$5:$C$1369,C570))</f>
        <v>0.00155954573938093</v>
      </c>
      <c r="H570" s="42" t="n">
        <f aca="false">E570/SUMIFS($E$5:$E$1369,$B$5:$B$1369,B570,$C$5:$C$1369,C570)</f>
        <v>0.0034333644362841</v>
      </c>
      <c r="I570" s="43" t="n">
        <f aca="false">IF(G570="",H570,p_beta_alloc*G570+(1-p_beta_alloc)*H570)*F570^p_phi</f>
        <v>0.00136846933224465</v>
      </c>
      <c r="J570" s="16" t="n">
        <f aca="false">INDEX(Sector_Params!$C$21:$E$21,MATCH(B570,Sector_Params!$C$15:$E$15,0))*I570/SUMIFS($I$5:$I$1369,$B$5:$B$1369,B570,$C$5:$C$1369,C570)</f>
        <v>0.303512575437182</v>
      </c>
      <c r="K570" s="28" t="n">
        <f aca="false">INDEX(Sector_Params!$F$10:$H$10,MATCH(B570,Sector_Params!$C$15:$E$15,0))</f>
        <v>0.24</v>
      </c>
      <c r="L570" s="16" t="n">
        <f aca="false">J570*K570</f>
        <v>0.0728430181049236</v>
      </c>
      <c r="M570" s="44" t="n">
        <f aca="false">Country_Data!$DW$85+Sector_Params!$E$10</f>
        <v>0.1169</v>
      </c>
      <c r="N570" s="44" t="n">
        <f aca="false">Country_Data!$DX$85+Sector_Params!$E$10</f>
        <v>0.1619</v>
      </c>
      <c r="O570" s="11" t="n">
        <f aca="false">IF(p_use_ibrd=1,p_r_ibrd,p_r_wb)</f>
        <v>0.06</v>
      </c>
      <c r="P570" s="45" t="n">
        <f aca="false">Sector_Params!$D$10</f>
        <v>20</v>
      </c>
      <c r="Q570" s="46" t="n">
        <f aca="false">M570/(1-(1+M570)^-P570)</f>
        <v>0.131285722546909</v>
      </c>
      <c r="R570" s="46" t="n">
        <f aca="false">N570/(1-(1+N570)^-P570)</f>
        <v>0.170372764518547</v>
      </c>
      <c r="S570" s="46" t="n">
        <f aca="false">O570/(1-(1+O570)^-P570)</f>
        <v>0.0871845569768514</v>
      </c>
      <c r="T570" s="37" t="n">
        <f aca="false">0*Sector_Params!$I$10</f>
        <v>0</v>
      </c>
      <c r="U570" s="37" t="n">
        <f aca="false">0*Sector_Params!$J$10</f>
        <v>0</v>
      </c>
      <c r="V570" s="37" t="n">
        <f aca="false">1000*p_r_wb/(1-(1+p_r_wb)^-Sector_Params!$D$10)/p_cpt_fuel</f>
        <v>0.871845569768514</v>
      </c>
      <c r="W570" s="16" t="n">
        <f aca="false">T570*L570</f>
        <v>0</v>
      </c>
      <c r="X570" s="16" t="n">
        <f aca="false">U570*L570</f>
        <v>0</v>
      </c>
      <c r="Y570" s="16" t="n">
        <f aca="false">V570*L570</f>
        <v>0.0635078626233453</v>
      </c>
      <c r="Z570" s="16" t="n">
        <f aca="false">Q570*L570</f>
        <v>0.00956324826440246</v>
      </c>
      <c r="AA570" s="16" t="n">
        <f aca="false">R570*L570</f>
        <v>0.0124104663704104</v>
      </c>
      <c r="AB570" s="16" t="n">
        <f aca="false">S570*L570</f>
        <v>0.00635078626233453</v>
      </c>
      <c r="AC570" s="16" t="n">
        <f aca="false">Z570-W570</f>
        <v>0.00956324826440246</v>
      </c>
      <c r="AD570" s="16" t="n">
        <f aca="false">AA570-W570</f>
        <v>0.0124104663704104</v>
      </c>
      <c r="AE570" s="16" t="n">
        <f aca="false">AB570-W570</f>
        <v>0.00635078626233453</v>
      </c>
      <c r="AF570" s="16" t="n">
        <f aca="false">AE570-X570</f>
        <v>0.00635078626233453</v>
      </c>
      <c r="AG570" s="16" t="n">
        <f aca="false">AF570-p_spc_lo*Y570/1000</f>
        <v>0.00317539313116727</v>
      </c>
      <c r="AH570" s="16" t="n">
        <f aca="false">AF570-p_spc_hi*Y570/1000</f>
        <v>0</v>
      </c>
      <c r="AI570" s="16" t="n">
        <f aca="false">Q570*J570</f>
        <v>0.0398468677683436</v>
      </c>
      <c r="AJ570" s="16" t="n">
        <f aca="false">S570*J570</f>
        <v>0.0264616094263939</v>
      </c>
      <c r="AK570" s="16" t="n">
        <f aca="false">T570*J570</f>
        <v>0</v>
      </c>
      <c r="AL570" s="16" t="n">
        <f aca="false">U570*J570</f>
        <v>0</v>
      </c>
      <c r="AM570" s="16" t="n">
        <f aca="false">AI570-AJ570</f>
        <v>0.0133852583419497</v>
      </c>
      <c r="AN570" s="16" t="n">
        <f aca="false">J570*Country_Data!$EB$85</f>
        <v>0.38444926222043</v>
      </c>
      <c r="AO570" s="16" t="n">
        <f aca="false">L570*Country_Data!$EB$85</f>
        <v>0.0922678229329033</v>
      </c>
    </row>
    <row r="571" customFormat="false" ht="15" hidden="false" customHeight="false" outlineLevel="0" collapsed="false">
      <c r="A571" s="14" t="str">
        <f aca="false">Country_Data!$A$85</f>
        <v>GHA</v>
      </c>
      <c r="B571" s="14" t="str">
        <f aca="false">Country_Data!$E$85</f>
        <v>EMDC</v>
      </c>
      <c r="C571" s="35" t="s">
        <v>488</v>
      </c>
      <c r="D571" s="37" t="n">
        <f aca="false">IF(Country_Data!$CE$85="","",Country_Data!$CE$85)</f>
        <v>30.058</v>
      </c>
      <c r="E571" s="40" t="n">
        <f aca="false">Country_Data!$BW$85</f>
        <v>277.182</v>
      </c>
      <c r="F571" s="41" t="n">
        <f aca="false">Country_Data!$BX$85</f>
        <v>0.300484879970561</v>
      </c>
      <c r="G571" s="42" t="n">
        <f aca="false">IF(D571="","",D571/SUMIFS($D$5:$D$1369,$B$5:$B$1369,B571,$C$5:$C$1369,C571))</f>
        <v>0.00246294076339856</v>
      </c>
      <c r="H571" s="42" t="n">
        <f aca="false">E571/SUMIFS($E$5:$E$1369,$B$5:$B$1369,B571,$C$5:$C$1369,C571)</f>
        <v>0.0034333644362841</v>
      </c>
      <c r="I571" s="43" t="n">
        <f aca="false">IF(G571="",H571,p_beta_alloc*G571+(1-p_beta_alloc)*H571)*F571^p_phi</f>
        <v>0.00161607410416624</v>
      </c>
      <c r="J571" s="16" t="n">
        <f aca="false">INDEX(Sector_Params!$C$22:$E$22,MATCH(B571,Sector_Params!$C$15:$E$15,0))*I571/SUMIFS($I$5:$I$1369,$B$5:$B$1369,B571,$C$5:$C$1369,C571)</f>
        <v>0.974183025974753</v>
      </c>
      <c r="K571" s="28" t="n">
        <f aca="false">INDEX(Sector_Params!$F$11:$H$11,MATCH(B571,Sector_Params!$C$15:$E$15,0))</f>
        <v>0.24</v>
      </c>
      <c r="L571" s="16" t="n">
        <f aca="false">J571*K571</f>
        <v>0.233803926233941</v>
      </c>
      <c r="M571" s="44" t="n">
        <f aca="false">Country_Data!$DW$85+Sector_Params!$E$11</f>
        <v>0.1169</v>
      </c>
      <c r="N571" s="44" t="n">
        <f aca="false">Country_Data!$DX$85+Sector_Params!$E$11</f>
        <v>0.1619</v>
      </c>
      <c r="O571" s="11" t="n">
        <f aca="false">IF(p_use_ibrd=1,p_r_ibrd,p_r_wb)</f>
        <v>0.06</v>
      </c>
      <c r="P571" s="45" t="n">
        <f aca="false">Sector_Params!$D$11</f>
        <v>30</v>
      </c>
      <c r="Q571" s="46" t="n">
        <f aca="false">M571/(1-(1+M571)^-P571)</f>
        <v>0.121299783404172</v>
      </c>
      <c r="R571" s="46" t="n">
        <f aca="false">N571/(1-(1+N571)^-P571)</f>
        <v>0.163715631024901</v>
      </c>
      <c r="S571" s="46" t="n">
        <f aca="false">O571/(1-(1+O571)^-P571)</f>
        <v>0.0726489114900472</v>
      </c>
      <c r="T571" s="37" t="n">
        <f aca="false">0*Sector_Params!$I$11</f>
        <v>0</v>
      </c>
      <c r="U571" s="37" t="n">
        <f aca="false">p_c*Sector_Params!$J$11</f>
        <v>0.129</v>
      </c>
      <c r="V571" s="37" t="n">
        <f aca="false">1000*p_r_wb/(1-(1+p_r_wb)^-Sector_Params!$D$11)/p_cpt_afolu</f>
        <v>1.45297822980094</v>
      </c>
      <c r="W571" s="16" t="n">
        <f aca="false">T571*L571</f>
        <v>0</v>
      </c>
      <c r="X571" s="16" t="n">
        <f aca="false">U571*L571</f>
        <v>0.0301607064841784</v>
      </c>
      <c r="Y571" s="16" t="n">
        <f aca="false">V571*L571</f>
        <v>0.339712014859902</v>
      </c>
      <c r="Z571" s="16" t="n">
        <f aca="false">Q571*L571</f>
        <v>0.0283603656112221</v>
      </c>
      <c r="AA571" s="16" t="n">
        <f aca="false">R571*L571</f>
        <v>0.0382773573194891</v>
      </c>
      <c r="AB571" s="16" t="n">
        <f aca="false">S571*L571</f>
        <v>0.0169856007429951</v>
      </c>
      <c r="AC571" s="16" t="n">
        <f aca="false">Z571-W571</f>
        <v>0.0283603656112221</v>
      </c>
      <c r="AD571" s="16" t="n">
        <f aca="false">AA571-W571</f>
        <v>0.0382773573194891</v>
      </c>
      <c r="AE571" s="16" t="n">
        <f aca="false">AB571-W571</f>
        <v>0.0169856007429951</v>
      </c>
      <c r="AF571" s="16" t="n">
        <f aca="false">AE571-X571</f>
        <v>-0.0131751057411833</v>
      </c>
      <c r="AG571" s="16" t="n">
        <f aca="false">AF571-p_spc_lo*Y571/1000</f>
        <v>-0.0301607064841784</v>
      </c>
      <c r="AH571" s="16" t="n">
        <f aca="false">AF571-p_spc_hi*Y571/1000</f>
        <v>-0.0471463072271735</v>
      </c>
      <c r="AI571" s="16" t="n">
        <f aca="false">Q571*J571</f>
        <v>0.118168190046759</v>
      </c>
      <c r="AJ571" s="16" t="n">
        <f aca="false">S571*J571</f>
        <v>0.0707733364291462</v>
      </c>
      <c r="AK571" s="16" t="n">
        <f aca="false">T571*J571</f>
        <v>0</v>
      </c>
      <c r="AL571" s="16" t="n">
        <f aca="false">U571*J571</f>
        <v>0.125669610350743</v>
      </c>
      <c r="AM571" s="16" t="n">
        <f aca="false">AI571-AJ571</f>
        <v>0.0473948536176126</v>
      </c>
      <c r="AN571" s="16" t="n">
        <f aca="false">J571*Country_Data!$EB$85</f>
        <v>1.23396516623469</v>
      </c>
      <c r="AO571" s="16" t="n">
        <f aca="false">L571*Country_Data!$EB$85</f>
        <v>0.296151639896325</v>
      </c>
    </row>
    <row r="572" customFormat="false" ht="15" hidden="false" customHeight="false" outlineLevel="0" collapsed="false">
      <c r="A572" s="14" t="str">
        <f aca="false">Country_Data!$A$86</f>
        <v>URY</v>
      </c>
      <c r="B572" s="14" t="str">
        <f aca="false">Country_Data!$E$86</f>
        <v>EMDC</v>
      </c>
      <c r="C572" s="35" t="s">
        <v>466</v>
      </c>
      <c r="D572" s="37" t="n">
        <f aca="false">IF(Country_Data!$BZ$86="","",Country_Data!$BZ$86)</f>
        <v>11.2312685031214</v>
      </c>
      <c r="E572" s="40" t="n">
        <f aca="false">Country_Data!$BW$86</f>
        <v>123.938</v>
      </c>
      <c r="F572" s="41" t="n">
        <f aca="false">Country_Data!$BX$86</f>
        <v>0.664227274927786</v>
      </c>
      <c r="G572" s="42" t="n">
        <f aca="false">IF(D572="","",D572/SUMIFS($D$5:$D$1369,$B$5:$B$1369,B572,$C$5:$C$1369,C572))</f>
        <v>0.00128218559589438</v>
      </c>
      <c r="H572" s="42" t="n">
        <f aca="false">E572/SUMIFS($E$5:$E$1369,$B$5:$B$1369,B572,$C$5:$C$1369,C572)</f>
        <v>0.0015351802119336</v>
      </c>
      <c r="I572" s="43" t="n">
        <f aca="false">IF(G572="",H572,p_beta_alloc*G572+(1-p_beta_alloc)*H572)*F572^p_phi</f>
        <v>0.00114807853273232</v>
      </c>
      <c r="J572" s="16" t="n">
        <f aca="false">INDEX(Sector_Params!$C$16:$E$16,MATCH(B572,Sector_Params!$C$15:$E$15,0))*I572/SUMIFS($I$5:$I$1369,$B$5:$B$1369,B572,$C$5:$C$1369,C572)</f>
        <v>1.11045066315896</v>
      </c>
      <c r="K572" s="28" t="n">
        <f aca="false">INDEX(Sector_Params!$F$5:$H$5,MATCH(B572,Sector_Params!$C$15:$E$15,0))</f>
        <v>0.24</v>
      </c>
      <c r="L572" s="16" t="n">
        <f aca="false">J572*K572</f>
        <v>0.26650815915815</v>
      </c>
      <c r="M572" s="44" t="n">
        <f aca="false">Country_Data!$DW$86+Sector_Params!$E$5</f>
        <v>0.042</v>
      </c>
      <c r="N572" s="44" t="n">
        <f aca="false">Country_Data!$DX$86+Sector_Params!$E$5</f>
        <v>0.087</v>
      </c>
      <c r="O572" s="11" t="n">
        <f aca="false">IF(p_use_ibrd=1,p_r_ibrd,p_r_wb)</f>
        <v>0.06</v>
      </c>
      <c r="P572" s="45" t="n">
        <f aca="false">Sector_Params!$D$5</f>
        <v>25</v>
      </c>
      <c r="Q572" s="46" t="n">
        <f aca="false">M572/(1-(1+M572)^-P572)</f>
        <v>0.0653722446165817</v>
      </c>
      <c r="R572" s="46" t="n">
        <f aca="false">N572/(1-(1+N572)^-P572)</f>
        <v>0.0993422841013619</v>
      </c>
      <c r="S572" s="46" t="n">
        <f aca="false">O572/(1-(1+O572)^-P572)</f>
        <v>0.078226718212274</v>
      </c>
      <c r="T572" s="37" t="n">
        <f aca="false">IF(AND(p_eng=1,ISNUMBER(Country_Data!$CZ$86)),Country_Data!$CZ$86,Country_Data!$CM$86)*Sector_Params!$I$5</f>
        <v>-0.00788869772209282</v>
      </c>
      <c r="U572" s="37" t="n">
        <f aca="false">IF(AND(p_eng=1,ISNUMBER(Country_Data!$DA$86)),Country_Data!$DA$86,Country_Data!$CN$86)*Sector_Params!$J$5</f>
        <v>0.00161118741278171</v>
      </c>
      <c r="V572" s="37" t="n">
        <f aca="false">IF(AND(p_eng=1,ISNUMBER(Country_Data!$DB$86)),Country_Data!$DB$86,p_a)</f>
        <v>0.0407258690640134</v>
      </c>
      <c r="W572" s="16" t="n">
        <f aca="false">T572*L572</f>
        <v>-0.00210240230807005</v>
      </c>
      <c r="X572" s="16" t="n">
        <f aca="false">U572*L572</f>
        <v>0.000429394591439235</v>
      </c>
      <c r="Y572" s="16" t="n">
        <f aca="false">V572*L572</f>
        <v>0.010853776394366</v>
      </c>
      <c r="Z572" s="16" t="n">
        <f aca="false">Q572*L572</f>
        <v>0.0174222365728015</v>
      </c>
      <c r="AA572" s="16" t="n">
        <f aca="false">R572*L572</f>
        <v>0.0264755292624199</v>
      </c>
      <c r="AB572" s="16" t="n">
        <f aca="false">S572*L572</f>
        <v>0.0208480586677365</v>
      </c>
      <c r="AC572" s="16" t="n">
        <f aca="false">Z572-W572</f>
        <v>0.0195246388808715</v>
      </c>
      <c r="AD572" s="16" t="n">
        <f aca="false">AA572-W572</f>
        <v>0.02857793157049</v>
      </c>
      <c r="AE572" s="16" t="n">
        <f aca="false">AB572-W572</f>
        <v>0.0229504609758065</v>
      </c>
      <c r="AF572" s="16" t="n">
        <f aca="false">AE572-X572</f>
        <v>0.0225210663843673</v>
      </c>
      <c r="AG572" s="16" t="n">
        <f aca="false">AF572-p_spc_lo*Y572/1000</f>
        <v>0.021978377564649</v>
      </c>
      <c r="AH572" s="16" t="n">
        <f aca="false">AF572-p_spc_hi*Y572/1000</f>
        <v>0.0214356887449307</v>
      </c>
      <c r="AI572" s="16" t="n">
        <f aca="false">Q572*J572</f>
        <v>0.0725926523866728</v>
      </c>
      <c r="AJ572" s="16" t="n">
        <f aca="false">S572*J572</f>
        <v>0.0868669111155685</v>
      </c>
      <c r="AK572" s="16" t="n">
        <f aca="false">T572*J572</f>
        <v>-0.00876000961695853</v>
      </c>
      <c r="AL572" s="16" t="n">
        <f aca="false">U572*J572</f>
        <v>0.00178914413099681</v>
      </c>
      <c r="AM572" s="16" t="n">
        <f aca="false">AI572-AJ572</f>
        <v>-0.0142742587288958</v>
      </c>
      <c r="AN572" s="16" t="n">
        <f aca="false">J572*Country_Data!$EB$86</f>
        <v>1.2747365146948</v>
      </c>
      <c r="AO572" s="16" t="n">
        <f aca="false">L572*Country_Data!$EB$86</f>
        <v>0.305936763526753</v>
      </c>
    </row>
    <row r="573" customFormat="false" ht="15" hidden="false" customHeight="false" outlineLevel="0" collapsed="false">
      <c r="A573" s="14" t="str">
        <f aca="false">Country_Data!$A$86</f>
        <v>URY</v>
      </c>
      <c r="B573" s="14" t="str">
        <f aca="false">Country_Data!$E$86</f>
        <v>EMDC</v>
      </c>
      <c r="C573" s="35" t="s">
        <v>470</v>
      </c>
      <c r="D573" s="37" t="n">
        <f aca="false">IF(Country_Data!$BZ$86="","",Country_Data!$BZ$86)</f>
        <v>11.2312685031214</v>
      </c>
      <c r="E573" s="40" t="n">
        <f aca="false">Country_Data!$BW$86</f>
        <v>123.938</v>
      </c>
      <c r="F573" s="41" t="n">
        <f aca="false">Country_Data!$BX$86</f>
        <v>0.664227274927786</v>
      </c>
      <c r="G573" s="42" t="n">
        <f aca="false">IF(D573="","",D573/SUMIFS($D$5:$D$1369,$B$5:$B$1369,B573,$C$5:$C$1369,C573))</f>
        <v>0.00128218559589438</v>
      </c>
      <c r="H573" s="42" t="n">
        <f aca="false">E573/SUMIFS($E$5:$E$1369,$B$5:$B$1369,B573,$C$5:$C$1369,C573)</f>
        <v>0.0015351802119336</v>
      </c>
      <c r="I573" s="43" t="n">
        <f aca="false">IF(G573="",H573,p_beta_alloc*G573+(1-p_beta_alloc)*H573)*F573^p_phi</f>
        <v>0.00114807853273232</v>
      </c>
      <c r="J573" s="16" t="n">
        <f aca="false">INDEX(Sector_Params!$C$17:$E$17,MATCH(B573,Sector_Params!$C$15:$E$15,0))*I573/SUMIFS($I$5:$I$1369,$B$5:$B$1369,B573,$C$5:$C$1369,C573)</f>
        <v>0.761451883309</v>
      </c>
      <c r="K573" s="28" t="n">
        <f aca="false">INDEX(Sector_Params!$F$6:$H$6,MATCH(B573,Sector_Params!$C$15:$E$15,0))</f>
        <v>0.24</v>
      </c>
      <c r="L573" s="16" t="n">
        <f aca="false">J573*K573</f>
        <v>0.18274845199416</v>
      </c>
      <c r="M573" s="44" t="n">
        <f aca="false">Country_Data!$DW$86+Sector_Params!$E$6</f>
        <v>0.042</v>
      </c>
      <c r="N573" s="44" t="n">
        <f aca="false">Country_Data!$DX$86+Sector_Params!$E$6</f>
        <v>0.087</v>
      </c>
      <c r="O573" s="11" t="n">
        <f aca="false">IF(p_use_ibrd=1,p_r_ibrd,p_r_wb)</f>
        <v>0.06</v>
      </c>
      <c r="P573" s="45" t="n">
        <f aca="false">Sector_Params!$D$6</f>
        <v>40</v>
      </c>
      <c r="Q573" s="46" t="n">
        <f aca="false">M573/(1-(1+M573)^-P573)</f>
        <v>0.0520369876382827</v>
      </c>
      <c r="R573" s="46" t="n">
        <f aca="false">N573/(1-(1+N573)^-P573)</f>
        <v>0.0902066900491399</v>
      </c>
      <c r="S573" s="46" t="n">
        <f aca="false">O573/(1-(1+O573)^-P573)</f>
        <v>0.0664615359206755</v>
      </c>
      <c r="T573" s="37" t="n">
        <f aca="false">p_grid_credit*IF(AND(p_eng=1,ISNUMBER(Country_Data!$CZ$86)),Country_Data!$CZ$86,Country_Data!$CM$86)*Sector_Params!$I$6</f>
        <v>-0</v>
      </c>
      <c r="U573" s="37" t="n">
        <f aca="false">p_grid_credit*IF(AND(p_eng=1,ISNUMBER(Country_Data!$DA$86)),Country_Data!$DA$86,Country_Data!$CN$86)*Sector_Params!$J$6</f>
        <v>0</v>
      </c>
      <c r="V573" s="37" t="n">
        <f aca="false">p_grid_credit*IF(AND(p_eng=1,ISNUMBER(Country_Data!$DB$86)),Country_Data!$DB$86,p_a)</f>
        <v>0</v>
      </c>
      <c r="W573" s="16" t="n">
        <f aca="false">T573*L573</f>
        <v>-0</v>
      </c>
      <c r="X573" s="16" t="n">
        <f aca="false">U573*L573</f>
        <v>0</v>
      </c>
      <c r="Y573" s="16" t="n">
        <f aca="false">V573*L573</f>
        <v>0</v>
      </c>
      <c r="Z573" s="16" t="n">
        <f aca="false">Q573*L573</f>
        <v>0.00950967893733541</v>
      </c>
      <c r="AA573" s="16" t="n">
        <f aca="false">R573*L573</f>
        <v>0.0164851329659973</v>
      </c>
      <c r="AB573" s="16" t="n">
        <f aca="false">S573*L573</f>
        <v>0.0121457428066577</v>
      </c>
      <c r="AC573" s="16" t="n">
        <f aca="false">Z573-W573</f>
        <v>0.00950967893733541</v>
      </c>
      <c r="AD573" s="16" t="n">
        <f aca="false">AA573-W573</f>
        <v>0.0164851329659973</v>
      </c>
      <c r="AE573" s="16" t="n">
        <f aca="false">AB573-W573</f>
        <v>0.0121457428066577</v>
      </c>
      <c r="AF573" s="16" t="n">
        <f aca="false">AE573-X573</f>
        <v>0.0121457428066577</v>
      </c>
      <c r="AG573" s="16" t="n">
        <f aca="false">AF573-p_spc_lo*Y573/1000</f>
        <v>0.0121457428066577</v>
      </c>
      <c r="AH573" s="16" t="n">
        <f aca="false">AF573-p_spc_hi*Y573/1000</f>
        <v>0.0121457428066577</v>
      </c>
      <c r="AI573" s="16" t="n">
        <f aca="false">Q573*J573</f>
        <v>0.0396236622388975</v>
      </c>
      <c r="AJ573" s="16" t="n">
        <f aca="false">S573*J573</f>
        <v>0.0506072616944071</v>
      </c>
      <c r="AK573" s="16" t="n">
        <f aca="false">T573*J573</f>
        <v>-0</v>
      </c>
      <c r="AL573" s="16" t="n">
        <f aca="false">U573*J573</f>
        <v>0</v>
      </c>
      <c r="AM573" s="16" t="n">
        <f aca="false">AI573-AJ573</f>
        <v>-0.0109835994555096</v>
      </c>
      <c r="AN573" s="16" t="n">
        <f aca="false">J573*Country_Data!$EB$86</f>
        <v>0.874105038647866</v>
      </c>
      <c r="AO573" s="16" t="n">
        <f aca="false">L573*Country_Data!$EB$86</f>
        <v>0.209785209275488</v>
      </c>
    </row>
    <row r="574" customFormat="false" ht="15" hidden="false" customHeight="false" outlineLevel="0" collapsed="false">
      <c r="A574" s="14" t="str">
        <f aca="false">Country_Data!$A$86</f>
        <v>URY</v>
      </c>
      <c r="B574" s="14" t="str">
        <f aca="false">Country_Data!$E$86</f>
        <v>EMDC</v>
      </c>
      <c r="C574" s="35" t="s">
        <v>473</v>
      </c>
      <c r="D574" s="37" t="n">
        <f aca="false">IF(Country_Data!$CA$86="","",Country_Data!$CA$86)</f>
        <v>0.0633050568511052</v>
      </c>
      <c r="E574" s="40" t="n">
        <f aca="false">Country_Data!$BW$86</f>
        <v>123.938</v>
      </c>
      <c r="F574" s="41" t="n">
        <f aca="false">Country_Data!$BX$86</f>
        <v>0.664227274927786</v>
      </c>
      <c r="G574" s="42" t="n">
        <f aca="false">IF(D574="","",D574/SUMIFS($D$5:$D$1369,$B$5:$B$1369,B574,$C$5:$C$1369,C574))</f>
        <v>0.00146249410604855</v>
      </c>
      <c r="H574" s="42" t="n">
        <f aca="false">E574/SUMIFS($E$5:$E$1369,$B$5:$B$1369,B574,$C$5:$C$1369,C574)</f>
        <v>0.0015351802119336</v>
      </c>
      <c r="I574" s="43" t="n">
        <f aca="false">IF(G574="",H574,p_beta_alloc*G574+(1-p_beta_alloc)*H574)*F574^p_phi</f>
        <v>0.00122155437644483</v>
      </c>
      <c r="J574" s="16" t="n">
        <f aca="false">INDEX(Sector_Params!$C$18:$E$18,MATCH(B574,Sector_Params!$C$15:$E$15,0))*I574/SUMIFS($I$5:$I$1369,$B$5:$B$1369,B574,$C$5:$C$1369,C574)</f>
        <v>0.500197613694249</v>
      </c>
      <c r="K574" s="28" t="n">
        <f aca="false">INDEX(Sector_Params!$F$7:$H$7,MATCH(B574,Sector_Params!$C$15:$E$15,0))</f>
        <v>0.24</v>
      </c>
      <c r="L574" s="16" t="n">
        <f aca="false">J574*K574</f>
        <v>0.12004742728662</v>
      </c>
      <c r="M574" s="44" t="n">
        <f aca="false">Country_Data!$DW$86+Sector_Params!$E$7</f>
        <v>0.042</v>
      </c>
      <c r="N574" s="44" t="n">
        <f aca="false">Country_Data!$DX$86+Sector_Params!$E$7</f>
        <v>0.087</v>
      </c>
      <c r="O574" s="11" t="n">
        <f aca="false">IF(p_use_ibrd=1,p_r_ibrd,p_r_wb)</f>
        <v>0.06</v>
      </c>
      <c r="P574" s="45" t="n">
        <f aca="false">Sector_Params!$D$7</f>
        <v>12</v>
      </c>
      <c r="Q574" s="46" t="n">
        <f aca="false">M574/(1-(1+M574)^-P574)</f>
        <v>0.107792316407809</v>
      </c>
      <c r="R574" s="46" t="n">
        <f aca="false">N574/(1-(1+N574)^-P574)</f>
        <v>0.137547222378699</v>
      </c>
      <c r="S574" s="46" t="n">
        <f aca="false">O574/(1-(1+O574)^-P574)</f>
        <v>0.119277029380664</v>
      </c>
      <c r="T574" s="37" t="n">
        <f aca="false">IF(AND(p_eng=1,ISNUMBER(Country_Data!$DE$86)),Country_Data!$DE$86,Country_Data!$CM$86)*Sector_Params!$I$7</f>
        <v>0.126103275</v>
      </c>
      <c r="U574" s="37" t="n">
        <f aca="false">IF(AND(p_eng=1,ISNUMBER(Country_Data!$DF$86)),Country_Data!$DF$86,Country_Data!$CN$86)*Sector_Params!$J$7</f>
        <v>0.003989475</v>
      </c>
      <c r="V574" s="37" t="n">
        <f aca="false">IF(AND(p_eng=1,ISNUMBER(Country_Data!$DG$86)),Country_Data!$DG$86,p_a)</f>
        <v>0.523707128140704</v>
      </c>
      <c r="W574" s="16" t="n">
        <f aca="false">T574*L574</f>
        <v>0.0151383737361671</v>
      </c>
      <c r="X574" s="16" t="n">
        <f aca="false">U574*L574</f>
        <v>0.000478926209974287</v>
      </c>
      <c r="Y574" s="16" t="n">
        <f aca="false">V574*L574</f>
        <v>0.0628696933849555</v>
      </c>
      <c r="Z574" s="16" t="n">
        <f aca="false">Q574*L574</f>
        <v>0.0129401902660228</v>
      </c>
      <c r="AA574" s="16" t="n">
        <f aca="false">R574*L574</f>
        <v>0.0165121901769833</v>
      </c>
      <c r="AB574" s="16" t="n">
        <f aca="false">S574*L574</f>
        <v>0.0143189005115392</v>
      </c>
      <c r="AC574" s="16" t="n">
        <f aca="false">Z574-W574</f>
        <v>-0.00219818347014433</v>
      </c>
      <c r="AD574" s="16" t="n">
        <f aca="false">AA574-W574</f>
        <v>0.00137381644081624</v>
      </c>
      <c r="AE574" s="16" t="n">
        <f aca="false">AB574-W574</f>
        <v>-0.000819473224627897</v>
      </c>
      <c r="AF574" s="16" t="n">
        <f aca="false">AE574-X574</f>
        <v>-0.00129839943460218</v>
      </c>
      <c r="AG574" s="16" t="n">
        <f aca="false">AF574-p_spc_lo*Y574/1000</f>
        <v>-0.00444188410384996</v>
      </c>
      <c r="AH574" s="16" t="n">
        <f aca="false">AF574-p_spc_hi*Y574/1000</f>
        <v>-0.00758536877309774</v>
      </c>
      <c r="AI574" s="16" t="n">
        <f aca="false">Q574*J574</f>
        <v>0.0539174594417616</v>
      </c>
      <c r="AJ574" s="16" t="n">
        <f aca="false">S574*J574</f>
        <v>0.0596620854647467</v>
      </c>
      <c r="AK574" s="16" t="n">
        <f aca="false">T574*J574</f>
        <v>0.0630765572340296</v>
      </c>
      <c r="AL574" s="16" t="n">
        <f aca="false">U574*J574</f>
        <v>0.00199552587489286</v>
      </c>
      <c r="AM574" s="16" t="n">
        <f aca="false">AI574-AJ574</f>
        <v>-0.00574462602298512</v>
      </c>
      <c r="AN574" s="16" t="n">
        <f aca="false">J574*Country_Data!$EB$86</f>
        <v>0.574199452432576</v>
      </c>
      <c r="AO574" s="16" t="n">
        <f aca="false">L574*Country_Data!$EB$86</f>
        <v>0.137807868583818</v>
      </c>
    </row>
    <row r="575" customFormat="false" ht="15" hidden="false" customHeight="false" outlineLevel="0" collapsed="false">
      <c r="A575" s="14" t="str">
        <f aca="false">Country_Data!$A$86</f>
        <v>URY</v>
      </c>
      <c r="B575" s="14" t="str">
        <f aca="false">Country_Data!$E$86</f>
        <v>EMDC</v>
      </c>
      <c r="C575" s="35" t="s">
        <v>477</v>
      </c>
      <c r="D575" s="37" t="n">
        <f aca="false">IF(Country_Data!$CB$86="","",Country_Data!$CB$86)</f>
        <v>0.0235310103274217</v>
      </c>
      <c r="E575" s="40" t="n">
        <f aca="false">Country_Data!$BW$86</f>
        <v>123.938</v>
      </c>
      <c r="F575" s="41" t="n">
        <f aca="false">Country_Data!$BX$86</f>
        <v>0.664227274927786</v>
      </c>
      <c r="G575" s="42" t="n">
        <f aca="false">IF(D575="","",D575/SUMIFS($D$5:$D$1369,$B$5:$B$1369,B575,$C$5:$C$1369,C575))</f>
        <v>0.000742004407557501</v>
      </c>
      <c r="H575" s="42" t="n">
        <f aca="false">E575/SUMIFS($E$5:$E$1369,$B$5:$B$1369,B575,$C$5:$C$1369,C575)</f>
        <v>0.0015351802119336</v>
      </c>
      <c r="I575" s="43" t="n">
        <f aca="false">IF(G575="",H575,p_beta_alloc*G575+(1-p_beta_alloc)*H575)*F575^p_phi</f>
        <v>0.000927954321530393</v>
      </c>
      <c r="J575" s="16" t="n">
        <f aca="false">INDEX(Sector_Params!$C$19:$E$19,MATCH(B575,Sector_Params!$C$15:$E$15,0))*I575/SUMIFS($I$5:$I$1369,$B$5:$B$1369,B575,$C$5:$C$1369,C575)</f>
        <v>0.298673787384818</v>
      </c>
      <c r="K575" s="28" t="n">
        <f aca="false">INDEX(Sector_Params!$F$8:$H$8,MATCH(B575,Sector_Params!$C$15:$E$15,0))</f>
        <v>0.24</v>
      </c>
      <c r="L575" s="16" t="n">
        <f aca="false">J575*K575</f>
        <v>0.0716817089723563</v>
      </c>
      <c r="M575" s="44" t="n">
        <f aca="false">Country_Data!$DW$86+Sector_Params!$E$8</f>
        <v>0.042</v>
      </c>
      <c r="N575" s="44" t="n">
        <f aca="false">Country_Data!$DX$86+Sector_Params!$E$8</f>
        <v>0.087</v>
      </c>
      <c r="O575" s="11" t="n">
        <f aca="false">IF(p_use_ibrd=1,p_r_ibrd,p_r_wb)</f>
        <v>0.06</v>
      </c>
      <c r="P575" s="45" t="n">
        <f aca="false">Sector_Params!$D$8</f>
        <v>25</v>
      </c>
      <c r="Q575" s="46" t="n">
        <f aca="false">M575/(1-(1+M575)^-P575)</f>
        <v>0.0653722446165817</v>
      </c>
      <c r="R575" s="46" t="n">
        <f aca="false">N575/(1-(1+N575)^-P575)</f>
        <v>0.0993422841013619</v>
      </c>
      <c r="S575" s="46" t="n">
        <f aca="false">O575/(1-(1+O575)^-P575)</f>
        <v>0.078226718212274</v>
      </c>
      <c r="T575" s="37" t="n">
        <f aca="false">Country_Data!$CM$86*Sector_Params!$I$8</f>
        <v>0.187323289098561</v>
      </c>
      <c r="U575" s="37" t="n">
        <f aca="false">Country_Data!$CN$86*Sector_Params!$J$8</f>
        <v>0.0880431285692595</v>
      </c>
      <c r="V575" s="37" t="n">
        <f aca="false">p_a</f>
        <v>0.35</v>
      </c>
      <c r="W575" s="16" t="n">
        <f aca="false">T575*L575</f>
        <v>0.0134276534929076</v>
      </c>
      <c r="X575" s="16" t="n">
        <f aca="false">U575*L575</f>
        <v>0.0063110819191174</v>
      </c>
      <c r="Y575" s="16" t="n">
        <f aca="false">V575*L575</f>
        <v>0.0250885981403247</v>
      </c>
      <c r="Z575" s="16" t="n">
        <f aca="false">Q575*L575</f>
        <v>0.00468599421347549</v>
      </c>
      <c r="AA575" s="16" t="n">
        <f aca="false">R575*L575</f>
        <v>0.00712102469760296</v>
      </c>
      <c r="AB575" s="16" t="n">
        <f aca="false">S575*L575</f>
        <v>0.00560742484875474</v>
      </c>
      <c r="AC575" s="16" t="n">
        <f aca="false">Z575-W575</f>
        <v>-0.00874165927943209</v>
      </c>
      <c r="AD575" s="16" t="n">
        <f aca="false">AA575-W575</f>
        <v>-0.00630662879530463</v>
      </c>
      <c r="AE575" s="16" t="n">
        <f aca="false">AB575-W575</f>
        <v>-0.00782022864415284</v>
      </c>
      <c r="AF575" s="16" t="n">
        <f aca="false">AE575-X575</f>
        <v>-0.0141313105632702</v>
      </c>
      <c r="AG575" s="16" t="n">
        <f aca="false">AF575-p_spc_lo*Y575/1000</f>
        <v>-0.0153857404702865</v>
      </c>
      <c r="AH575" s="16" t="n">
        <f aca="false">AF575-p_spc_hi*Y575/1000</f>
        <v>-0.0166401703773027</v>
      </c>
      <c r="AI575" s="16" t="n">
        <f aca="false">Q575*J575</f>
        <v>0.0195249758894812</v>
      </c>
      <c r="AJ575" s="16" t="n">
        <f aca="false">S575*J575</f>
        <v>0.0233642702031448</v>
      </c>
      <c r="AK575" s="16" t="n">
        <f aca="false">T575*J575</f>
        <v>0.0559485562204483</v>
      </c>
      <c r="AL575" s="16" t="n">
        <f aca="false">U575*J575</f>
        <v>0.0262961746629892</v>
      </c>
      <c r="AM575" s="16" t="n">
        <f aca="false">AI575-AJ575</f>
        <v>-0.00383929431366354</v>
      </c>
      <c r="AN575" s="16" t="n">
        <f aca="false">J575*Country_Data!$EB$86</f>
        <v>0.342861142230791</v>
      </c>
      <c r="AO575" s="16" t="n">
        <f aca="false">L575*Country_Data!$EB$86</f>
        <v>0.0822866741353898</v>
      </c>
    </row>
    <row r="576" customFormat="false" ht="15" hidden="false" customHeight="false" outlineLevel="0" collapsed="false">
      <c r="A576" s="14" t="str">
        <f aca="false">Country_Data!$A$86</f>
        <v>URY</v>
      </c>
      <c r="B576" s="14" t="str">
        <f aca="false">Country_Data!$E$86</f>
        <v>EMDC</v>
      </c>
      <c r="C576" s="35" t="s">
        <v>481</v>
      </c>
      <c r="D576" s="37" t="n">
        <f aca="false">IF(Country_Data!$CC$86="","",Country_Data!$CC$86)</f>
        <v>0.0561177772177297</v>
      </c>
      <c r="E576" s="40" t="n">
        <f aca="false">Country_Data!$BW$86</f>
        <v>123.938</v>
      </c>
      <c r="F576" s="41" t="n">
        <f aca="false">Country_Data!$BX$86</f>
        <v>0.664227274927786</v>
      </c>
      <c r="G576" s="42" t="n">
        <f aca="false">IF(D576="","",D576/SUMIFS($D$5:$D$1369,$B$5:$B$1369,B576,$C$5:$C$1369,C576))</f>
        <v>0.000801599422692586</v>
      </c>
      <c r="H576" s="42" t="n">
        <f aca="false">E576/SUMIFS($E$5:$E$1369,$B$5:$B$1369,B576,$C$5:$C$1369,C576)</f>
        <v>0.0015351802119336</v>
      </c>
      <c r="I576" s="43" t="n">
        <f aca="false">IF(G576="",H576,p_beta_alloc*G576+(1-p_beta_alloc)*H576)*F576^p_phi</f>
        <v>0.00095223933178513</v>
      </c>
      <c r="J576" s="16" t="n">
        <f aca="false">INDEX(Sector_Params!$C$20:$E$20,MATCH(B576,Sector_Params!$C$15:$E$15,0))*I576/SUMIFS($I$5:$I$1369,$B$5:$B$1369,B576,$C$5:$C$1369,C576)</f>
        <v>0.173802853948399</v>
      </c>
      <c r="K576" s="28" t="n">
        <f aca="false">INDEX(Sector_Params!$F$9:$H$9,MATCH(B576,Sector_Params!$C$15:$E$15,0))</f>
        <v>0.24</v>
      </c>
      <c r="L576" s="16" t="n">
        <f aca="false">J576*K576</f>
        <v>0.0417126849476157</v>
      </c>
      <c r="M576" s="44" t="n">
        <f aca="false">Country_Data!$DW$86+Sector_Params!$E$9</f>
        <v>0.042</v>
      </c>
      <c r="N576" s="44" t="n">
        <f aca="false">Country_Data!$DX$86+Sector_Params!$E$9</f>
        <v>0.087</v>
      </c>
      <c r="O576" s="11" t="n">
        <f aca="false">IF(p_use_ibrd=1,p_r_ibrd,p_r_wb)</f>
        <v>0.06</v>
      </c>
      <c r="P576" s="45" t="n">
        <f aca="false">Sector_Params!$D$9</f>
        <v>25</v>
      </c>
      <c r="Q576" s="46" t="n">
        <f aca="false">M576/(1-(1+M576)^-P576)</f>
        <v>0.0653722446165817</v>
      </c>
      <c r="R576" s="46" t="n">
        <f aca="false">N576/(1-(1+N576)^-P576)</f>
        <v>0.0993422841013619</v>
      </c>
      <c r="S576" s="46" t="n">
        <f aca="false">O576/(1-(1+O576)^-P576)</f>
        <v>0.078226718212274</v>
      </c>
      <c r="T576" s="37" t="n">
        <f aca="false">Country_Data!$CM$86*Sector_Params!$I$9</f>
        <v>0.187323289098561</v>
      </c>
      <c r="U576" s="37" t="n">
        <f aca="false">Country_Data!$CN$86*Sector_Params!$J$9</f>
        <v>0.0880431285692595</v>
      </c>
      <c r="V576" s="37" t="n">
        <f aca="false">p_a</f>
        <v>0.35</v>
      </c>
      <c r="W576" s="16" t="n">
        <f aca="false">T576*L576</f>
        <v>0.0078137573415194</v>
      </c>
      <c r="X576" s="16" t="n">
        <f aca="false">U576*L576</f>
        <v>0.00367251528381194</v>
      </c>
      <c r="Y576" s="16" t="n">
        <f aca="false">V576*L576</f>
        <v>0.0145994397316655</v>
      </c>
      <c r="Z576" s="16" t="n">
        <f aca="false">Q576*L576</f>
        <v>0.00272685184400994</v>
      </c>
      <c r="AA576" s="16" t="n">
        <f aca="false">R576*L576</f>
        <v>0.00414383339869664</v>
      </c>
      <c r="AB576" s="16" t="n">
        <f aca="false">S576*L576</f>
        <v>0.0032630464512745</v>
      </c>
      <c r="AC576" s="16" t="n">
        <f aca="false">Z576-W576</f>
        <v>-0.00508690549750946</v>
      </c>
      <c r="AD576" s="16" t="n">
        <f aca="false">AA576-W576</f>
        <v>-0.00366992394282276</v>
      </c>
      <c r="AE576" s="16" t="n">
        <f aca="false">AB576-W576</f>
        <v>-0.0045507108902449</v>
      </c>
      <c r="AF576" s="16" t="n">
        <f aca="false">AE576-X576</f>
        <v>-0.00822322617405685</v>
      </c>
      <c r="AG576" s="16" t="n">
        <f aca="false">AF576-p_spc_lo*Y576/1000</f>
        <v>-0.00895319816064012</v>
      </c>
      <c r="AH576" s="16" t="n">
        <f aca="false">AF576-p_spc_hi*Y576/1000</f>
        <v>-0.0096831701472234</v>
      </c>
      <c r="AI576" s="16" t="n">
        <f aca="false">Q576*J576</f>
        <v>0.0113618826833747</v>
      </c>
      <c r="AJ576" s="16" t="n">
        <f aca="false">S576*J576</f>
        <v>0.0135960268803104</v>
      </c>
      <c r="AK576" s="16" t="n">
        <f aca="false">T576*J576</f>
        <v>0.0325573222563308</v>
      </c>
      <c r="AL576" s="16" t="n">
        <f aca="false">U576*J576</f>
        <v>0.0153021470158831</v>
      </c>
      <c r="AM576" s="16" t="n">
        <f aca="false">AI576-AJ576</f>
        <v>-0.00223414419693565</v>
      </c>
      <c r="AN576" s="16" t="n">
        <f aca="false">J576*Country_Data!$EB$86</f>
        <v>0.19951615288871</v>
      </c>
      <c r="AO576" s="16" t="n">
        <f aca="false">L576*Country_Data!$EB$86</f>
        <v>0.0478838766932904</v>
      </c>
    </row>
    <row r="577" customFormat="false" ht="15" hidden="false" customHeight="false" outlineLevel="0" collapsed="false">
      <c r="A577" s="14" t="str">
        <f aca="false">Country_Data!$A$86</f>
        <v>URY</v>
      </c>
      <c r="B577" s="14" t="str">
        <f aca="false">Country_Data!$E$86</f>
        <v>EMDC</v>
      </c>
      <c r="C577" s="35" t="s">
        <v>484</v>
      </c>
      <c r="D577" s="37" t="n">
        <f aca="false">IF(Country_Data!$CD$86="","",Country_Data!$CD$86)</f>
        <v>0.10252127778502</v>
      </c>
      <c r="E577" s="40" t="n">
        <f aca="false">Country_Data!$BW$86</f>
        <v>123.938</v>
      </c>
      <c r="F577" s="41" t="n">
        <f aca="false">Country_Data!$BX$86</f>
        <v>0.664227274927786</v>
      </c>
      <c r="G577" s="42" t="n">
        <f aca="false">IF(D577="","",D577/SUMIFS($D$5:$D$1369,$B$5:$B$1369,B577,$C$5:$C$1369,C577))</f>
        <v>0.000572516268155949</v>
      </c>
      <c r="H577" s="42" t="n">
        <f aca="false">E577/SUMIFS($E$5:$E$1369,$B$5:$B$1369,B577,$C$5:$C$1369,C577)</f>
        <v>0.0015351802119336</v>
      </c>
      <c r="I577" s="43" t="n">
        <f aca="false">IF(G577="",H577,p_beta_alloc*G577+(1-p_beta_alloc)*H577)*F577^p_phi</f>
        <v>0.00085888778645035</v>
      </c>
      <c r="J577" s="16" t="n">
        <f aca="false">INDEX(Sector_Params!$C$21:$E$21,MATCH(B577,Sector_Params!$C$15:$E$15,0))*I577/SUMIFS($I$5:$I$1369,$B$5:$B$1369,B577,$C$5:$C$1369,C577)</f>
        <v>0.190492572931464</v>
      </c>
      <c r="K577" s="28" t="n">
        <f aca="false">INDEX(Sector_Params!$F$10:$H$10,MATCH(B577,Sector_Params!$C$15:$E$15,0))</f>
        <v>0.24</v>
      </c>
      <c r="L577" s="16" t="n">
        <f aca="false">J577*K577</f>
        <v>0.0457182175035514</v>
      </c>
      <c r="M577" s="44" t="n">
        <f aca="false">Country_Data!$DW$86+Sector_Params!$E$10</f>
        <v>0.042</v>
      </c>
      <c r="N577" s="44" t="n">
        <f aca="false">Country_Data!$DX$86+Sector_Params!$E$10</f>
        <v>0.087</v>
      </c>
      <c r="O577" s="11" t="n">
        <f aca="false">IF(p_use_ibrd=1,p_r_ibrd,p_r_wb)</f>
        <v>0.06</v>
      </c>
      <c r="P577" s="45" t="n">
        <f aca="false">Sector_Params!$D$10</f>
        <v>20</v>
      </c>
      <c r="Q577" s="46" t="n">
        <f aca="false">M577/(1-(1+M577)^-P577)</f>
        <v>0.0748907532286382</v>
      </c>
      <c r="R577" s="46" t="n">
        <f aca="false">N577/(1-(1+N577)^-P577)</f>
        <v>0.107214479304256</v>
      </c>
      <c r="S577" s="46" t="n">
        <f aca="false">O577/(1-(1+O577)^-P577)</f>
        <v>0.0871845569768514</v>
      </c>
      <c r="T577" s="37" t="n">
        <f aca="false">0*Sector_Params!$I$10</f>
        <v>0</v>
      </c>
      <c r="U577" s="37" t="n">
        <f aca="false">0*Sector_Params!$J$10</f>
        <v>0</v>
      </c>
      <c r="V577" s="37" t="n">
        <f aca="false">1000*p_r_wb/(1-(1+p_r_wb)^-Sector_Params!$D$10)/p_cpt_fuel</f>
        <v>0.871845569768514</v>
      </c>
      <c r="W577" s="16" t="n">
        <f aca="false">T577*L577</f>
        <v>0</v>
      </c>
      <c r="X577" s="16" t="n">
        <f aca="false">U577*L577</f>
        <v>0</v>
      </c>
      <c r="Y577" s="16" t="n">
        <f aca="false">V577*L577</f>
        <v>0.0398592253881846</v>
      </c>
      <c r="Z577" s="16" t="n">
        <f aca="false">Q577*L577</f>
        <v>0.00342387174511167</v>
      </c>
      <c r="AA577" s="16" t="n">
        <f aca="false">R577*L577</f>
        <v>0.00490165488436196</v>
      </c>
      <c r="AB577" s="16" t="n">
        <f aca="false">S577*L577</f>
        <v>0.00398592253881846</v>
      </c>
      <c r="AC577" s="16" t="n">
        <f aca="false">Z577-W577</f>
        <v>0.00342387174511167</v>
      </c>
      <c r="AD577" s="16" t="n">
        <f aca="false">AA577-W577</f>
        <v>0.00490165488436196</v>
      </c>
      <c r="AE577" s="16" t="n">
        <f aca="false">AB577-W577</f>
        <v>0.00398592253881846</v>
      </c>
      <c r="AF577" s="16" t="n">
        <f aca="false">AE577-X577</f>
        <v>0.00398592253881846</v>
      </c>
      <c r="AG577" s="16" t="n">
        <f aca="false">AF577-p_spc_lo*Y577/1000</f>
        <v>0.00199296126940923</v>
      </c>
      <c r="AH577" s="16" t="n">
        <f aca="false">AF577-p_spc_hi*Y577/1000</f>
        <v>0</v>
      </c>
      <c r="AI577" s="16" t="n">
        <f aca="false">Q577*J577</f>
        <v>0.0142661322712986</v>
      </c>
      <c r="AJ577" s="16" t="n">
        <f aca="false">S577*J577</f>
        <v>0.0166080105784103</v>
      </c>
      <c r="AK577" s="16" t="n">
        <f aca="false">T577*J577</f>
        <v>0</v>
      </c>
      <c r="AL577" s="16" t="n">
        <f aca="false">U577*J577</f>
        <v>0</v>
      </c>
      <c r="AM577" s="16" t="n">
        <f aca="false">AI577-AJ577</f>
        <v>-0.0023418783071116</v>
      </c>
      <c r="AN577" s="16" t="n">
        <f aca="false">J577*Country_Data!$EB$86</f>
        <v>0.218675035776119</v>
      </c>
      <c r="AO577" s="16" t="n">
        <f aca="false">L577*Country_Data!$EB$86</f>
        <v>0.0524820085862686</v>
      </c>
    </row>
    <row r="578" customFormat="false" ht="15" hidden="false" customHeight="false" outlineLevel="0" collapsed="false">
      <c r="A578" s="14" t="str">
        <f aca="false">Country_Data!$A$86</f>
        <v>URY</v>
      </c>
      <c r="B578" s="14" t="str">
        <f aca="false">Country_Data!$E$86</f>
        <v>EMDC</v>
      </c>
      <c r="C578" s="35" t="s">
        <v>488</v>
      </c>
      <c r="D578" s="37" t="n">
        <f aca="false">IF(Country_Data!$CE$86="","",Country_Data!$CE$86)</f>
        <v>33.733</v>
      </c>
      <c r="E578" s="40" t="n">
        <f aca="false">Country_Data!$BW$86</f>
        <v>123.938</v>
      </c>
      <c r="F578" s="41" t="n">
        <f aca="false">Country_Data!$BX$86</f>
        <v>0.664227274927786</v>
      </c>
      <c r="G578" s="42" t="n">
        <f aca="false">IF(D578="","",D578/SUMIFS($D$5:$D$1369,$B$5:$B$1369,B578,$C$5:$C$1369,C578))</f>
        <v>0.00276406882599387</v>
      </c>
      <c r="H578" s="42" t="n">
        <f aca="false">E578/SUMIFS($E$5:$E$1369,$B$5:$B$1369,B578,$C$5:$C$1369,C578)</f>
        <v>0.0015351802119336</v>
      </c>
      <c r="I578" s="43" t="n">
        <f aca="false">IF(G578="",H578,p_beta_alloc*G578+(1-p_beta_alloc)*H578)*F578^p_phi</f>
        <v>0.00175194698310045</v>
      </c>
      <c r="J578" s="16" t="n">
        <f aca="false">INDEX(Sector_Params!$C$22:$E$22,MATCH(B578,Sector_Params!$C$15:$E$15,0))*I578/SUMIFS($I$5:$I$1369,$B$5:$B$1369,B578,$C$5:$C$1369,C578)</f>
        <v>1.05608833712774</v>
      </c>
      <c r="K578" s="28" t="n">
        <f aca="false">INDEX(Sector_Params!$F$11:$H$11,MATCH(B578,Sector_Params!$C$15:$E$15,0))</f>
        <v>0.24</v>
      </c>
      <c r="L578" s="16" t="n">
        <f aca="false">J578*K578</f>
        <v>0.253461200910658</v>
      </c>
      <c r="M578" s="44" t="n">
        <f aca="false">Country_Data!$DW$86+Sector_Params!$E$11</f>
        <v>0.042</v>
      </c>
      <c r="N578" s="44" t="n">
        <f aca="false">Country_Data!$DX$86+Sector_Params!$E$11</f>
        <v>0.087</v>
      </c>
      <c r="O578" s="11" t="n">
        <f aca="false">IF(p_use_ibrd=1,p_r_ibrd,p_r_wb)</f>
        <v>0.06</v>
      </c>
      <c r="P578" s="45" t="n">
        <f aca="false">Sector_Params!$D$11</f>
        <v>30</v>
      </c>
      <c r="Q578" s="46" t="n">
        <f aca="false">M578/(1-(1+M578)^-P578)</f>
        <v>0.0592425881271941</v>
      </c>
      <c r="R578" s="46" t="n">
        <f aca="false">N578/(1-(1+N578)^-P578)</f>
        <v>0.0947576067564851</v>
      </c>
      <c r="S578" s="46" t="n">
        <f aca="false">O578/(1-(1+O578)^-P578)</f>
        <v>0.0726489114900472</v>
      </c>
      <c r="T578" s="37" t="n">
        <f aca="false">0*Sector_Params!$I$11</f>
        <v>0</v>
      </c>
      <c r="U578" s="37" t="n">
        <f aca="false">p_c*Sector_Params!$J$11</f>
        <v>0.129</v>
      </c>
      <c r="V578" s="37" t="n">
        <f aca="false">1000*p_r_wb/(1-(1+p_r_wb)^-Sector_Params!$D$11)/p_cpt_afolu</f>
        <v>1.45297822980094</v>
      </c>
      <c r="W578" s="16" t="n">
        <f aca="false">T578*L578</f>
        <v>0</v>
      </c>
      <c r="X578" s="16" t="n">
        <f aca="false">U578*L578</f>
        <v>0.0326964949174749</v>
      </c>
      <c r="Y578" s="16" t="n">
        <f aca="false">V578*L578</f>
        <v>0.36827360702239</v>
      </c>
      <c r="Z578" s="16" t="n">
        <f aca="false">Q578*L578</f>
        <v>0.0150156975317741</v>
      </c>
      <c r="AA578" s="16" t="n">
        <f aca="false">R578*L578</f>
        <v>0.0240173768039186</v>
      </c>
      <c r="AB578" s="16" t="n">
        <f aca="false">S578*L578</f>
        <v>0.0184136803511195</v>
      </c>
      <c r="AC578" s="16" t="n">
        <f aca="false">Z578-W578</f>
        <v>0.0150156975317741</v>
      </c>
      <c r="AD578" s="16" t="n">
        <f aca="false">AA578-W578</f>
        <v>0.0240173768039186</v>
      </c>
      <c r="AE578" s="16" t="n">
        <f aca="false">AB578-W578</f>
        <v>0.0184136803511195</v>
      </c>
      <c r="AF578" s="16" t="n">
        <f aca="false">AE578-X578</f>
        <v>-0.0142828145663554</v>
      </c>
      <c r="AG578" s="16" t="n">
        <f aca="false">AF578-p_spc_lo*Y578/1000</f>
        <v>-0.0326964949174749</v>
      </c>
      <c r="AH578" s="16" t="n">
        <f aca="false">AF578-p_spc_hi*Y578/1000</f>
        <v>-0.0511101752685944</v>
      </c>
      <c r="AI578" s="16" t="n">
        <f aca="false">Q578*J578</f>
        <v>0.0625654063823921</v>
      </c>
      <c r="AJ578" s="16" t="n">
        <f aca="false">S578*J578</f>
        <v>0.0767236681296645</v>
      </c>
      <c r="AK578" s="16" t="n">
        <f aca="false">T578*J578</f>
        <v>0</v>
      </c>
      <c r="AL578" s="16" t="n">
        <f aca="false">U578*J578</f>
        <v>0.136235395489479</v>
      </c>
      <c r="AM578" s="16" t="n">
        <f aca="false">AI578-AJ578</f>
        <v>-0.0141582617472724</v>
      </c>
      <c r="AN578" s="16" t="n">
        <f aca="false">J578*Country_Data!$EB$86</f>
        <v>1.21233154316856</v>
      </c>
      <c r="AO578" s="16" t="n">
        <f aca="false">L578*Country_Data!$EB$86</f>
        <v>0.290959570360454</v>
      </c>
    </row>
    <row r="579" customFormat="false" ht="15" hidden="false" customHeight="false" outlineLevel="0" collapsed="false">
      <c r="A579" s="14" t="str">
        <f aca="false">Country_Data!$A$87</f>
        <v>TZA</v>
      </c>
      <c r="B579" s="14" t="str">
        <f aca="false">Country_Data!$E$87</f>
        <v>EMDC</v>
      </c>
      <c r="C579" s="35" t="s">
        <v>466</v>
      </c>
      <c r="D579" s="37" t="n">
        <f aca="false">IF(Country_Data!$BZ$87="","",Country_Data!$BZ$87)</f>
        <v>8.86874704979513</v>
      </c>
      <c r="E579" s="40" t="n">
        <f aca="false">Country_Data!$BW$87</f>
        <v>270.439</v>
      </c>
      <c r="F579" s="41" t="n">
        <f aca="false">Country_Data!$BX$87</f>
        <v>0.292990286164348</v>
      </c>
      <c r="G579" s="42" t="n">
        <f aca="false">IF(D579="","",D579/SUMIFS($D$5:$D$1369,$B$5:$B$1369,B579,$C$5:$C$1369,C579))</f>
        <v>0.0010124751017855</v>
      </c>
      <c r="H579" s="42" t="n">
        <f aca="false">E579/SUMIFS($E$5:$E$1369,$B$5:$B$1369,B579,$C$5:$C$1369,C579)</f>
        <v>0.00334984106032944</v>
      </c>
      <c r="I579" s="43" t="n">
        <f aca="false">IF(G579="",H579,p_beta_alloc*G579+(1-p_beta_alloc)*H579)*F579^p_phi</f>
        <v>0.00118062983413674</v>
      </c>
      <c r="J579" s="16" t="n">
        <f aca="false">INDEX(Sector_Params!$C$16:$E$16,MATCH(B579,Sector_Params!$C$15:$E$15,0))*I579/SUMIFS($I$5:$I$1369,$B$5:$B$1369,B579,$C$5:$C$1369,C579)</f>
        <v>1.14193510712396</v>
      </c>
      <c r="K579" s="28" t="n">
        <f aca="false">INDEX(Sector_Params!$F$5:$H$5,MATCH(B579,Sector_Params!$C$15:$E$15,0))</f>
        <v>0.24</v>
      </c>
      <c r="L579" s="16" t="n">
        <f aca="false">J579*K579</f>
        <v>0.27406442570975</v>
      </c>
      <c r="M579" s="44" t="n">
        <f aca="false">Country_Data!$DW$87+Sector_Params!$E$5</f>
        <v>0.105</v>
      </c>
      <c r="N579" s="44" t="n">
        <f aca="false">Country_Data!$DX$87+Sector_Params!$E$5</f>
        <v>0.15</v>
      </c>
      <c r="O579" s="11" t="n">
        <f aca="false">IF(p_use_ibrd=1,p_r_ibrd,p_r_wb)</f>
        <v>0.06</v>
      </c>
      <c r="P579" s="45" t="n">
        <f aca="false">Sector_Params!$D$5</f>
        <v>25</v>
      </c>
      <c r="Q579" s="46" t="n">
        <f aca="false">M579/(1-(1+M579)^-P579)</f>
        <v>0.114429319813103</v>
      </c>
      <c r="R579" s="46" t="n">
        <f aca="false">N579/(1-(1+N579)^-P579)</f>
        <v>0.154699402320206</v>
      </c>
      <c r="S579" s="46" t="n">
        <f aca="false">O579/(1-(1+O579)^-P579)</f>
        <v>0.078226718212274</v>
      </c>
      <c r="T579" s="37" t="n">
        <f aca="false">IF(AND(p_eng=1,ISNUMBER(Country_Data!$CZ$87)),Country_Data!$CZ$87,Country_Data!$CM$87)*Sector_Params!$I$5</f>
        <v>0.0252234849829347</v>
      </c>
      <c r="U579" s="37" t="n">
        <f aca="false">IF(AND(p_eng=1,ISNUMBER(Country_Data!$DA$87)),Country_Data!$DA$87,Country_Data!$CN$87)*Sector_Params!$J$5</f>
        <v>0.000582392882616255</v>
      </c>
      <c r="V579" s="37" t="n">
        <f aca="false">IF(AND(p_eng=1,ISNUMBER(Country_Data!$DB$87)),Country_Data!$DB$87,p_a)</f>
        <v>0.68830096202811</v>
      </c>
      <c r="W579" s="16" t="n">
        <f aca="false">T579*L579</f>
        <v>0.00691285992624652</v>
      </c>
      <c r="X579" s="16" t="n">
        <f aca="false">U579*L579</f>
        <v>0.00015961317091167</v>
      </c>
      <c r="Y579" s="16" t="n">
        <f aca="false">V579*L579</f>
        <v>0.188638807873702</v>
      </c>
      <c r="Z579" s="16" t="n">
        <f aca="false">Q579*L579</f>
        <v>0.0313610058189355</v>
      </c>
      <c r="AA579" s="16" t="n">
        <f aca="false">R579*L579</f>
        <v>0.042397602854529</v>
      </c>
      <c r="AB579" s="16" t="n">
        <f aca="false">S579*L579</f>
        <v>0.0214391606020053</v>
      </c>
      <c r="AC579" s="16" t="n">
        <f aca="false">Z579-W579</f>
        <v>0.024448145892689</v>
      </c>
      <c r="AD579" s="16" t="n">
        <f aca="false">AA579-W579</f>
        <v>0.0354847429282825</v>
      </c>
      <c r="AE579" s="16" t="n">
        <f aca="false">AB579-W579</f>
        <v>0.0145263006757588</v>
      </c>
      <c r="AF579" s="16" t="n">
        <f aca="false">AE579-X579</f>
        <v>0.0143666875048471</v>
      </c>
      <c r="AG579" s="16" t="n">
        <f aca="false">AF579-p_spc_lo*Y579/1000</f>
        <v>0.004934747111162</v>
      </c>
      <c r="AH579" s="16" t="n">
        <f aca="false">AF579-p_spc_hi*Y579/1000</f>
        <v>-0.00449719328252312</v>
      </c>
      <c r="AI579" s="16" t="n">
        <f aca="false">Q579*J579</f>
        <v>0.130670857578898</v>
      </c>
      <c r="AJ579" s="16" t="n">
        <f aca="false">S579*J579</f>
        <v>0.0893298358416888</v>
      </c>
      <c r="AK579" s="16" t="n">
        <f aca="false">T579*J579</f>
        <v>0.0288035830260272</v>
      </c>
      <c r="AL579" s="16" t="n">
        <f aca="false">U579*J579</f>
        <v>0.000665054878798625</v>
      </c>
      <c r="AM579" s="16" t="n">
        <f aca="false">AI579-AJ579</f>
        <v>0.0413410217372091</v>
      </c>
      <c r="AN579" s="16" t="n">
        <f aca="false">J579*Country_Data!$EB$87</f>
        <v>1.39333787489388</v>
      </c>
      <c r="AO579" s="16" t="n">
        <f aca="false">L579*Country_Data!$EB$87</f>
        <v>0.334401089974532</v>
      </c>
    </row>
    <row r="580" customFormat="false" ht="15" hidden="false" customHeight="false" outlineLevel="0" collapsed="false">
      <c r="A580" s="14" t="str">
        <f aca="false">Country_Data!$A$87</f>
        <v>TZA</v>
      </c>
      <c r="B580" s="14" t="str">
        <f aca="false">Country_Data!$E$87</f>
        <v>EMDC</v>
      </c>
      <c r="C580" s="35" t="s">
        <v>470</v>
      </c>
      <c r="D580" s="37" t="n">
        <f aca="false">IF(Country_Data!$BZ$87="","",Country_Data!$BZ$87)</f>
        <v>8.86874704979513</v>
      </c>
      <c r="E580" s="40" t="n">
        <f aca="false">Country_Data!$BW$87</f>
        <v>270.439</v>
      </c>
      <c r="F580" s="41" t="n">
        <f aca="false">Country_Data!$BX$87</f>
        <v>0.292990286164348</v>
      </c>
      <c r="G580" s="42" t="n">
        <f aca="false">IF(D580="","",D580/SUMIFS($D$5:$D$1369,$B$5:$B$1369,B580,$C$5:$C$1369,C580))</f>
        <v>0.0010124751017855</v>
      </c>
      <c r="H580" s="42" t="n">
        <f aca="false">E580/SUMIFS($E$5:$E$1369,$B$5:$B$1369,B580,$C$5:$C$1369,C580)</f>
        <v>0.00334984106032944</v>
      </c>
      <c r="I580" s="43" t="n">
        <f aca="false">IF(G580="",H580,p_beta_alloc*G580+(1-p_beta_alloc)*H580)*F580^p_phi</f>
        <v>0.00118062983413674</v>
      </c>
      <c r="J580" s="16" t="n">
        <f aca="false">INDEX(Sector_Params!$C$17:$E$17,MATCH(B580,Sector_Params!$C$15:$E$15,0))*I580/SUMIFS($I$5:$I$1369,$B$5:$B$1369,B580,$C$5:$C$1369,C580)</f>
        <v>0.783041216313572</v>
      </c>
      <c r="K580" s="28" t="n">
        <f aca="false">INDEX(Sector_Params!$F$6:$H$6,MATCH(B580,Sector_Params!$C$15:$E$15,0))</f>
        <v>0.24</v>
      </c>
      <c r="L580" s="16" t="n">
        <f aca="false">J580*K580</f>
        <v>0.187929891915257</v>
      </c>
      <c r="M580" s="44" t="n">
        <f aca="false">Country_Data!$DW$87+Sector_Params!$E$6</f>
        <v>0.105</v>
      </c>
      <c r="N580" s="44" t="n">
        <f aca="false">Country_Data!$DX$87+Sector_Params!$E$6</f>
        <v>0.15</v>
      </c>
      <c r="O580" s="11" t="n">
        <f aca="false">IF(p_use_ibrd=1,p_r_ibrd,p_r_wb)</f>
        <v>0.06</v>
      </c>
      <c r="P580" s="45" t="n">
        <f aca="false">Sector_Params!$D$6</f>
        <v>40</v>
      </c>
      <c r="Q580" s="46" t="n">
        <f aca="false">M580/(1-(1+M580)^-P580)</f>
        <v>0.10697140835497</v>
      </c>
      <c r="R580" s="46" t="n">
        <f aca="false">N580/(1-(1+N580)^-P580)</f>
        <v>0.150562085013545</v>
      </c>
      <c r="S580" s="46" t="n">
        <f aca="false">O580/(1-(1+O580)^-P580)</f>
        <v>0.0664615359206755</v>
      </c>
      <c r="T580" s="37" t="n">
        <f aca="false">p_grid_credit*IF(AND(p_eng=1,ISNUMBER(Country_Data!$CZ$87)),Country_Data!$CZ$87,Country_Data!$CM$87)*Sector_Params!$I$6</f>
        <v>0</v>
      </c>
      <c r="U580" s="37" t="n">
        <f aca="false">p_grid_credit*IF(AND(p_eng=1,ISNUMBER(Country_Data!$DA$87)),Country_Data!$DA$87,Country_Data!$CN$87)*Sector_Params!$J$6</f>
        <v>0</v>
      </c>
      <c r="V580" s="37" t="n">
        <f aca="false">p_grid_credit*IF(AND(p_eng=1,ISNUMBER(Country_Data!$DB$87)),Country_Data!$DB$87,p_a)</f>
        <v>0</v>
      </c>
      <c r="W580" s="16" t="n">
        <f aca="false">T580*L580</f>
        <v>0</v>
      </c>
      <c r="X580" s="16" t="n">
        <f aca="false">U580*L580</f>
        <v>0</v>
      </c>
      <c r="Y580" s="16" t="n">
        <f aca="false">V580*L580</f>
        <v>0</v>
      </c>
      <c r="Z580" s="16" t="n">
        <f aca="false">Q580*L580</f>
        <v>0.0201031252101724</v>
      </c>
      <c r="AA580" s="16" t="n">
        <f aca="false">R580*L580</f>
        <v>0.0282951163631313</v>
      </c>
      <c r="AB580" s="16" t="n">
        <f aca="false">S580*L580</f>
        <v>0.0124901092620945</v>
      </c>
      <c r="AC580" s="16" t="n">
        <f aca="false">Z580-W580</f>
        <v>0.0201031252101724</v>
      </c>
      <c r="AD580" s="16" t="n">
        <f aca="false">AA580-W580</f>
        <v>0.0282951163631313</v>
      </c>
      <c r="AE580" s="16" t="n">
        <f aca="false">AB580-W580</f>
        <v>0.0124901092620945</v>
      </c>
      <c r="AF580" s="16" t="n">
        <f aca="false">AE580-X580</f>
        <v>0.0124901092620945</v>
      </c>
      <c r="AG580" s="16" t="n">
        <f aca="false">AF580-p_spc_lo*Y580/1000</f>
        <v>0.0124901092620945</v>
      </c>
      <c r="AH580" s="16" t="n">
        <f aca="false">AF580-p_spc_hi*Y580/1000</f>
        <v>0.0124901092620945</v>
      </c>
      <c r="AI580" s="16" t="n">
        <f aca="false">Q580*J580</f>
        <v>0.0837630217090518</v>
      </c>
      <c r="AJ580" s="16" t="n">
        <f aca="false">S580*J580</f>
        <v>0.0520421219253939</v>
      </c>
      <c r="AK580" s="16" t="n">
        <f aca="false">T580*J580</f>
        <v>0</v>
      </c>
      <c r="AL580" s="16" t="n">
        <f aca="false">U580*J580</f>
        <v>0</v>
      </c>
      <c r="AM580" s="16" t="n">
        <f aca="false">AI580-AJ580</f>
        <v>0.0317208997836579</v>
      </c>
      <c r="AN580" s="16" t="n">
        <f aca="false">J580*Country_Data!$EB$87</f>
        <v>0.955431685641521</v>
      </c>
      <c r="AO580" s="16" t="n">
        <f aca="false">L580*Country_Data!$EB$87</f>
        <v>0.229303604553965</v>
      </c>
    </row>
    <row r="581" customFormat="false" ht="15" hidden="false" customHeight="false" outlineLevel="0" collapsed="false">
      <c r="A581" s="14" t="str">
        <f aca="false">Country_Data!$A$87</f>
        <v>TZA</v>
      </c>
      <c r="B581" s="14" t="str">
        <f aca="false">Country_Data!$E$87</f>
        <v>EMDC</v>
      </c>
      <c r="C581" s="35" t="s">
        <v>473</v>
      </c>
      <c r="D581" s="37" t="n">
        <f aca="false">IF(Country_Data!$CA$87="","",Country_Data!$CA$87)</f>
        <v>0.151614529287871</v>
      </c>
      <c r="E581" s="40" t="n">
        <f aca="false">Country_Data!$BW$87</f>
        <v>270.439</v>
      </c>
      <c r="F581" s="41" t="n">
        <f aca="false">Country_Data!$BX$87</f>
        <v>0.292990286164348</v>
      </c>
      <c r="G581" s="42" t="n">
        <f aca="false">IF(D581="","",D581/SUMIFS($D$5:$D$1369,$B$5:$B$1369,B581,$C$5:$C$1369,C581))</f>
        <v>0.00350264839025993</v>
      </c>
      <c r="H581" s="42" t="n">
        <f aca="false">E581/SUMIFS($E$5:$E$1369,$B$5:$B$1369,B581,$C$5:$C$1369,C581)</f>
        <v>0.00334984106032944</v>
      </c>
      <c r="I581" s="43" t="n">
        <f aca="false">IF(G581="",H581,p_beta_alloc*G581+(1-p_beta_alloc)*H581)*F581^p_phi</f>
        <v>0.0018545775186434</v>
      </c>
      <c r="J581" s="16" t="n">
        <f aca="false">INDEX(Sector_Params!$C$18:$E$18,MATCH(B581,Sector_Params!$C$15:$E$15,0))*I581/SUMIFS($I$5:$I$1369,$B$5:$B$1369,B581,$C$5:$C$1369,C581)</f>
        <v>0.759405612328321</v>
      </c>
      <c r="K581" s="28" t="n">
        <f aca="false">INDEX(Sector_Params!$F$7:$H$7,MATCH(B581,Sector_Params!$C$15:$E$15,0))</f>
        <v>0.24</v>
      </c>
      <c r="L581" s="16" t="n">
        <f aca="false">J581*K581</f>
        <v>0.182257346958797</v>
      </c>
      <c r="M581" s="44" t="n">
        <f aca="false">Country_Data!$DW$87+Sector_Params!$E$7</f>
        <v>0.105</v>
      </c>
      <c r="N581" s="44" t="n">
        <f aca="false">Country_Data!$DX$87+Sector_Params!$E$7</f>
        <v>0.15</v>
      </c>
      <c r="O581" s="11" t="n">
        <f aca="false">IF(p_use_ibrd=1,p_r_ibrd,p_r_wb)</f>
        <v>0.06</v>
      </c>
      <c r="P581" s="45" t="n">
        <f aca="false">Sector_Params!$D$7</f>
        <v>12</v>
      </c>
      <c r="Q581" s="46" t="n">
        <f aca="false">M581/(1-(1+M581)^-P581)</f>
        <v>0.150376745634766</v>
      </c>
      <c r="R581" s="46" t="n">
        <f aca="false">N581/(1-(1+N581)^-P581)</f>
        <v>0.18448077613084</v>
      </c>
      <c r="S581" s="46" t="n">
        <f aca="false">O581/(1-(1+O581)^-P581)</f>
        <v>0.119277029380664</v>
      </c>
      <c r="T581" s="37" t="n">
        <f aca="false">IF(AND(p_eng=1,ISNUMBER(Country_Data!$DE$87)),Country_Data!$DE$87,Country_Data!$CM$87)*Sector_Params!$I$7</f>
        <v>0.19394064</v>
      </c>
      <c r="U581" s="37" t="n">
        <f aca="false">IF(AND(p_eng=1,ISNUMBER(Country_Data!$DF$87)),Country_Data!$DF$87,Country_Data!$CN$87)*Sector_Params!$J$7</f>
        <v>0.000950625</v>
      </c>
      <c r="V581" s="37" t="n">
        <f aca="false">IF(AND(p_eng=1,ISNUMBER(Country_Data!$DG$87)),Country_Data!$DG$87,p_a)</f>
        <v>0.371752890271493</v>
      </c>
      <c r="W581" s="16" t="n">
        <f aca="false">T581*L581</f>
        <v>0.0353471065138911</v>
      </c>
      <c r="X581" s="16" t="n">
        <f aca="false">U581*L581</f>
        <v>0.000173258390452706</v>
      </c>
      <c r="Y581" s="16" t="n">
        <f aca="false">V581*L581</f>
        <v>0.0677546955051471</v>
      </c>
      <c r="Z581" s="16" t="n">
        <f aca="false">Q581*L581</f>
        <v>0.0274072667036902</v>
      </c>
      <c r="AA581" s="16" t="n">
        <f aca="false">R581*L581</f>
        <v>0.0336229768225066</v>
      </c>
      <c r="AB581" s="16" t="n">
        <f aca="false">S581*L581</f>
        <v>0.0217391149280462</v>
      </c>
      <c r="AC581" s="16" t="n">
        <f aca="false">Z581-W581</f>
        <v>-0.00793983981020088</v>
      </c>
      <c r="AD581" s="16" t="n">
        <f aca="false">AA581-W581</f>
        <v>-0.00172412969138457</v>
      </c>
      <c r="AE581" s="16" t="n">
        <f aca="false">AB581-W581</f>
        <v>-0.0136079915858449</v>
      </c>
      <c r="AF581" s="16" t="n">
        <f aca="false">AE581-X581</f>
        <v>-0.0137812499762976</v>
      </c>
      <c r="AG581" s="16" t="n">
        <f aca="false">AF581-p_spc_lo*Y581/1000</f>
        <v>-0.017168984751555</v>
      </c>
      <c r="AH581" s="16" t="n">
        <f aca="false">AF581-p_spc_hi*Y581/1000</f>
        <v>-0.0205567195268123</v>
      </c>
      <c r="AI581" s="16" t="n">
        <f aca="false">Q581*J581</f>
        <v>0.114196944598709</v>
      </c>
      <c r="AJ581" s="16" t="n">
        <f aca="false">S581*J581</f>
        <v>0.0905796455335259</v>
      </c>
      <c r="AK581" s="16" t="n">
        <f aca="false">T581*J581</f>
        <v>0.147279610474546</v>
      </c>
      <c r="AL581" s="16" t="n">
        <f aca="false">U581*J581</f>
        <v>0.00072190996021961</v>
      </c>
      <c r="AM581" s="16" t="n">
        <f aca="false">AI581-AJ581</f>
        <v>0.0236172990651835</v>
      </c>
      <c r="AN581" s="16" t="n">
        <f aca="false">J581*Country_Data!$EB$87</f>
        <v>0.926592584344788</v>
      </c>
      <c r="AO581" s="16" t="n">
        <f aca="false">L581*Country_Data!$EB$87</f>
        <v>0.222382220242749</v>
      </c>
    </row>
    <row r="582" customFormat="false" ht="15" hidden="false" customHeight="false" outlineLevel="0" collapsed="false">
      <c r="A582" s="14" t="str">
        <f aca="false">Country_Data!$A$87</f>
        <v>TZA</v>
      </c>
      <c r="B582" s="14" t="str">
        <f aca="false">Country_Data!$E$87</f>
        <v>EMDC</v>
      </c>
      <c r="C582" s="35" t="s">
        <v>477</v>
      </c>
      <c r="D582" s="37" t="n">
        <f aca="false">IF(Country_Data!$CB$87="","",Country_Data!$CB$87)</f>
        <v>0.0303434044824868</v>
      </c>
      <c r="E582" s="40" t="n">
        <f aca="false">Country_Data!$BW$87</f>
        <v>270.439</v>
      </c>
      <c r="F582" s="41" t="n">
        <f aca="false">Country_Data!$BX$87</f>
        <v>0.292990286164348</v>
      </c>
      <c r="G582" s="42" t="n">
        <f aca="false">IF(D582="","",D582/SUMIFS($D$5:$D$1369,$B$5:$B$1369,B582,$C$5:$C$1369,C582))</f>
        <v>0.000956819939009061</v>
      </c>
      <c r="H582" s="42" t="n">
        <f aca="false">E582/SUMIFS($E$5:$E$1369,$B$5:$B$1369,B582,$C$5:$C$1369,C582)</f>
        <v>0.00334984106032944</v>
      </c>
      <c r="I582" s="43" t="n">
        <f aca="false">IF(G582="",H582,p_beta_alloc*G582+(1-p_beta_alloc)*H582)*F582^p_phi</f>
        <v>0.00116556716028283</v>
      </c>
      <c r="J582" s="16" t="n">
        <f aca="false">INDEX(Sector_Params!$C$19:$E$19,MATCH(B582,Sector_Params!$C$15:$E$15,0))*I582/SUMIFS($I$5:$I$1369,$B$5:$B$1369,B582,$C$5:$C$1369,C582)</f>
        <v>0.375152472633468</v>
      </c>
      <c r="K582" s="28" t="n">
        <f aca="false">INDEX(Sector_Params!$F$8:$H$8,MATCH(B582,Sector_Params!$C$15:$E$15,0))</f>
        <v>0.24</v>
      </c>
      <c r="L582" s="16" t="n">
        <f aca="false">J582*K582</f>
        <v>0.0900365934320322</v>
      </c>
      <c r="M582" s="44" t="n">
        <f aca="false">Country_Data!$DW$87+Sector_Params!$E$8</f>
        <v>0.105</v>
      </c>
      <c r="N582" s="44" t="n">
        <f aca="false">Country_Data!$DX$87+Sector_Params!$E$8</f>
        <v>0.15</v>
      </c>
      <c r="O582" s="11" t="n">
        <f aca="false">IF(p_use_ibrd=1,p_r_ibrd,p_r_wb)</f>
        <v>0.06</v>
      </c>
      <c r="P582" s="45" t="n">
        <f aca="false">Sector_Params!$D$8</f>
        <v>25</v>
      </c>
      <c r="Q582" s="46" t="n">
        <f aca="false">M582/(1-(1+M582)^-P582)</f>
        <v>0.114429319813103</v>
      </c>
      <c r="R582" s="46" t="n">
        <f aca="false">N582/(1-(1+N582)^-P582)</f>
        <v>0.154699402320206</v>
      </c>
      <c r="S582" s="46" t="n">
        <f aca="false">O582/(1-(1+O582)^-P582)</f>
        <v>0.078226718212274</v>
      </c>
      <c r="T582" s="37" t="n">
        <f aca="false">Country_Data!$CM$87*Sector_Params!$I$8</f>
        <v>0.187643615197705</v>
      </c>
      <c r="U582" s="37" t="n">
        <f aca="false">Country_Data!$CN$87*Sector_Params!$J$8</f>
        <v>0.03225</v>
      </c>
      <c r="V582" s="37" t="n">
        <f aca="false">p_a</f>
        <v>0.35</v>
      </c>
      <c r="W582" s="16" t="n">
        <f aca="false">T582*L582</f>
        <v>0.0168947918916724</v>
      </c>
      <c r="X582" s="16" t="n">
        <f aca="false">U582*L582</f>
        <v>0.00290368013818304</v>
      </c>
      <c r="Y582" s="16" t="n">
        <f aca="false">V582*L582</f>
        <v>0.0315128077012113</v>
      </c>
      <c r="Z582" s="16" t="n">
        <f aca="false">Q582*L582</f>
        <v>0.0103028261447164</v>
      </c>
      <c r="AA582" s="16" t="n">
        <f aca="false">R582*L582</f>
        <v>0.0139286071908828</v>
      </c>
      <c r="AB582" s="16" t="n">
        <f aca="false">S582*L582</f>
        <v>0.00704326722320066</v>
      </c>
      <c r="AC582" s="16" t="n">
        <f aca="false">Z582-W582</f>
        <v>-0.00659196574695605</v>
      </c>
      <c r="AD582" s="16" t="n">
        <f aca="false">AA582-W582</f>
        <v>-0.00296618470078961</v>
      </c>
      <c r="AE582" s="16" t="n">
        <f aca="false">AB582-W582</f>
        <v>-0.00985152466847176</v>
      </c>
      <c r="AF582" s="16" t="n">
        <f aca="false">AE582-X582</f>
        <v>-0.0127552048066548</v>
      </c>
      <c r="AG582" s="16" t="n">
        <f aca="false">AF582-p_spc_lo*Y582/1000</f>
        <v>-0.0143308451917154</v>
      </c>
      <c r="AH582" s="16" t="n">
        <f aca="false">AF582-p_spc_hi*Y582/1000</f>
        <v>-0.0159064855767759</v>
      </c>
      <c r="AI582" s="16" t="n">
        <f aca="false">Q582*J582</f>
        <v>0.0429284422696516</v>
      </c>
      <c r="AJ582" s="16" t="n">
        <f aca="false">S582*J582</f>
        <v>0.0293469467633361</v>
      </c>
      <c r="AK582" s="16" t="n">
        <f aca="false">T582*J582</f>
        <v>0.0703949662153018</v>
      </c>
      <c r="AL582" s="16" t="n">
        <f aca="false">U582*J582</f>
        <v>0.0120986672424293</v>
      </c>
      <c r="AM582" s="16" t="n">
        <f aca="false">AI582-AJ582</f>
        <v>0.0135814955063155</v>
      </c>
      <c r="AN582" s="16" t="n">
        <f aca="false">J582*Country_Data!$EB$87</f>
        <v>0.457744179786882</v>
      </c>
      <c r="AO582" s="16" t="n">
        <f aca="false">L582*Country_Data!$EB$87</f>
        <v>0.109858603148852</v>
      </c>
    </row>
    <row r="583" customFormat="false" ht="15" hidden="false" customHeight="false" outlineLevel="0" collapsed="false">
      <c r="A583" s="14" t="str">
        <f aca="false">Country_Data!$A$87</f>
        <v>TZA</v>
      </c>
      <c r="B583" s="14" t="str">
        <f aca="false">Country_Data!$E$87</f>
        <v>EMDC</v>
      </c>
      <c r="C583" s="35" t="s">
        <v>481</v>
      </c>
      <c r="D583" s="37" t="n">
        <f aca="false">IF(Country_Data!$CC$87="","",Country_Data!$CC$87)</f>
        <v>0.0496046023948436</v>
      </c>
      <c r="E583" s="40" t="n">
        <f aca="false">Country_Data!$BW$87</f>
        <v>270.439</v>
      </c>
      <c r="F583" s="41" t="n">
        <f aca="false">Country_Data!$BX$87</f>
        <v>0.292990286164348</v>
      </c>
      <c r="G583" s="42" t="n">
        <f aca="false">IF(D583="","",D583/SUMIFS($D$5:$D$1369,$B$5:$B$1369,B583,$C$5:$C$1369,C583))</f>
        <v>0.00070856371392485</v>
      </c>
      <c r="H583" s="42" t="n">
        <f aca="false">E583/SUMIFS($E$5:$E$1369,$B$5:$B$1369,B583,$C$5:$C$1369,C583)</f>
        <v>0.00334984106032944</v>
      </c>
      <c r="I583" s="43" t="n">
        <f aca="false">IF(G583="",H583,p_beta_alloc*G583+(1-p_beta_alloc)*H583)*F583^p_phi</f>
        <v>0.00109837837915091</v>
      </c>
      <c r="J583" s="16" t="n">
        <f aca="false">INDEX(Sector_Params!$C$20:$E$20,MATCH(B583,Sector_Params!$C$15:$E$15,0))*I583/SUMIFS($I$5:$I$1369,$B$5:$B$1369,B583,$C$5:$C$1369,C583)</f>
        <v>0.200476172995047</v>
      </c>
      <c r="K583" s="28" t="n">
        <f aca="false">INDEX(Sector_Params!$F$9:$H$9,MATCH(B583,Sector_Params!$C$15:$E$15,0))</f>
        <v>0.24</v>
      </c>
      <c r="L583" s="16" t="n">
        <f aca="false">J583*K583</f>
        <v>0.0481142815188113</v>
      </c>
      <c r="M583" s="44" t="n">
        <f aca="false">Country_Data!$DW$87+Sector_Params!$E$9</f>
        <v>0.105</v>
      </c>
      <c r="N583" s="44" t="n">
        <f aca="false">Country_Data!$DX$87+Sector_Params!$E$9</f>
        <v>0.15</v>
      </c>
      <c r="O583" s="11" t="n">
        <f aca="false">IF(p_use_ibrd=1,p_r_ibrd,p_r_wb)</f>
        <v>0.06</v>
      </c>
      <c r="P583" s="45" t="n">
        <f aca="false">Sector_Params!$D$9</f>
        <v>25</v>
      </c>
      <c r="Q583" s="46" t="n">
        <f aca="false">M583/(1-(1+M583)^-P583)</f>
        <v>0.114429319813103</v>
      </c>
      <c r="R583" s="46" t="n">
        <f aca="false">N583/(1-(1+N583)^-P583)</f>
        <v>0.154699402320206</v>
      </c>
      <c r="S583" s="46" t="n">
        <f aca="false">O583/(1-(1+O583)^-P583)</f>
        <v>0.078226718212274</v>
      </c>
      <c r="T583" s="37" t="n">
        <f aca="false">Country_Data!$CM$87*Sector_Params!$I$9</f>
        <v>0.187643615197705</v>
      </c>
      <c r="U583" s="37" t="n">
        <f aca="false">Country_Data!$CN$87*Sector_Params!$J$9</f>
        <v>0.03225</v>
      </c>
      <c r="V583" s="37" t="n">
        <f aca="false">p_a</f>
        <v>0.35</v>
      </c>
      <c r="W583" s="16" t="n">
        <f aca="false">T583*L583</f>
        <v>0.00902833772682985</v>
      </c>
      <c r="X583" s="16" t="n">
        <f aca="false">U583*L583</f>
        <v>0.00155168557898166</v>
      </c>
      <c r="Y583" s="16" t="n">
        <f aca="false">V583*L583</f>
        <v>0.016839998531584</v>
      </c>
      <c r="Z583" s="16" t="n">
        <f aca="false">Q583*L583</f>
        <v>0.00550568450749374</v>
      </c>
      <c r="AA583" s="16" t="n">
        <f aca="false">R583*L583</f>
        <v>0.00744325059402626</v>
      </c>
      <c r="AB583" s="16" t="n">
        <f aca="false">S583*L583</f>
        <v>0.00376382234235807</v>
      </c>
      <c r="AC583" s="16" t="n">
        <f aca="false">Z583-W583</f>
        <v>-0.00352265321933611</v>
      </c>
      <c r="AD583" s="16" t="n">
        <f aca="false">AA583-W583</f>
        <v>-0.00158508713280359</v>
      </c>
      <c r="AE583" s="16" t="n">
        <f aca="false">AB583-W583</f>
        <v>-0.00526451538447178</v>
      </c>
      <c r="AF583" s="16" t="n">
        <f aca="false">AE583-X583</f>
        <v>-0.00681620096345345</v>
      </c>
      <c r="AG583" s="16" t="n">
        <f aca="false">AF583-p_spc_lo*Y583/1000</f>
        <v>-0.00765820089003264</v>
      </c>
      <c r="AH583" s="16" t="n">
        <f aca="false">AF583-p_spc_hi*Y583/1000</f>
        <v>-0.00850020081661184</v>
      </c>
      <c r="AI583" s="16" t="n">
        <f aca="false">Q583*J583</f>
        <v>0.0229403521145573</v>
      </c>
      <c r="AJ583" s="16" t="n">
        <f aca="false">S583*J583</f>
        <v>0.0156825930931586</v>
      </c>
      <c r="AK583" s="16" t="n">
        <f aca="false">T583*J583</f>
        <v>0.0376180738617911</v>
      </c>
      <c r="AL583" s="16" t="n">
        <f aca="false">U583*J583</f>
        <v>0.00646535657909027</v>
      </c>
      <c r="AM583" s="16" t="n">
        <f aca="false">AI583-AJ583</f>
        <v>0.00725775902139864</v>
      </c>
      <c r="AN583" s="16" t="n">
        <f aca="false">J583*Country_Data!$EB$87</f>
        <v>0.244612012631166</v>
      </c>
      <c r="AO583" s="16" t="n">
        <f aca="false">L583*Country_Data!$EB$87</f>
        <v>0.0587068830314798</v>
      </c>
    </row>
    <row r="584" customFormat="false" ht="15" hidden="false" customHeight="false" outlineLevel="0" collapsed="false">
      <c r="A584" s="14" t="str">
        <f aca="false">Country_Data!$A$87</f>
        <v>TZA</v>
      </c>
      <c r="B584" s="14" t="str">
        <f aca="false">Country_Data!$E$87</f>
        <v>EMDC</v>
      </c>
      <c r="C584" s="35" t="s">
        <v>484</v>
      </c>
      <c r="D584" s="37" t="n">
        <f aca="false">IF(Country_Data!$CD$87="","",Country_Data!$CD$87)</f>
        <v>0.252384833718028</v>
      </c>
      <c r="E584" s="40" t="n">
        <f aca="false">Country_Data!$BW$87</f>
        <v>270.439</v>
      </c>
      <c r="F584" s="41" t="n">
        <f aca="false">Country_Data!$BX$87</f>
        <v>0.292990286164348</v>
      </c>
      <c r="G584" s="42" t="n">
        <f aca="false">IF(D584="","",D584/SUMIFS($D$5:$D$1369,$B$5:$B$1369,B584,$C$5:$C$1369,C584))</f>
        <v>0.00140940911253955</v>
      </c>
      <c r="H584" s="42" t="n">
        <f aca="false">E584/SUMIFS($E$5:$E$1369,$B$5:$B$1369,B584,$C$5:$C$1369,C584)</f>
        <v>0.00334984106032944</v>
      </c>
      <c r="I584" s="43" t="n">
        <f aca="false">IF(G584="",H584,p_beta_alloc*G584+(1-p_beta_alloc)*H584)*F584^p_phi</f>
        <v>0.00128805720021114</v>
      </c>
      <c r="J584" s="16" t="n">
        <f aca="false">INDEX(Sector_Params!$C$21:$E$21,MATCH(B584,Sector_Params!$C$15:$E$15,0))*I584/SUMIFS($I$5:$I$1369,$B$5:$B$1369,B584,$C$5:$C$1369,C584)</f>
        <v>0.285677982644479</v>
      </c>
      <c r="K584" s="28" t="n">
        <f aca="false">INDEX(Sector_Params!$F$10:$H$10,MATCH(B584,Sector_Params!$C$15:$E$15,0))</f>
        <v>0.24</v>
      </c>
      <c r="L584" s="16" t="n">
        <f aca="false">J584*K584</f>
        <v>0.0685627158346749</v>
      </c>
      <c r="M584" s="44" t="n">
        <f aca="false">Country_Data!$DW$87+Sector_Params!$E$10</f>
        <v>0.105</v>
      </c>
      <c r="N584" s="44" t="n">
        <f aca="false">Country_Data!$DX$87+Sector_Params!$E$10</f>
        <v>0.15</v>
      </c>
      <c r="O584" s="11" t="n">
        <f aca="false">IF(p_use_ibrd=1,p_r_ibrd,p_r_wb)</f>
        <v>0.06</v>
      </c>
      <c r="P584" s="45" t="n">
        <f aca="false">Sector_Params!$D$10</f>
        <v>20</v>
      </c>
      <c r="Q584" s="46" t="n">
        <f aca="false">M584/(1-(1+M584)^-P584)</f>
        <v>0.121493265267016</v>
      </c>
      <c r="R584" s="46" t="n">
        <f aca="false">N584/(1-(1+N584)^-P584)</f>
        <v>0.159761470405744</v>
      </c>
      <c r="S584" s="46" t="n">
        <f aca="false">O584/(1-(1+O584)^-P584)</f>
        <v>0.0871845569768514</v>
      </c>
      <c r="T584" s="37" t="n">
        <f aca="false">0*Sector_Params!$I$10</f>
        <v>0</v>
      </c>
      <c r="U584" s="37" t="n">
        <f aca="false">0*Sector_Params!$J$10</f>
        <v>0</v>
      </c>
      <c r="V584" s="37" t="n">
        <f aca="false">1000*p_r_wb/(1-(1+p_r_wb)^-Sector_Params!$D$10)/p_cpt_fuel</f>
        <v>0.871845569768514</v>
      </c>
      <c r="W584" s="16" t="n">
        <f aca="false">T584*L584</f>
        <v>0</v>
      </c>
      <c r="X584" s="16" t="n">
        <f aca="false">U584*L584</f>
        <v>0</v>
      </c>
      <c r="Y584" s="16" t="n">
        <f aca="false">V584*L584</f>
        <v>0.0597761000517589</v>
      </c>
      <c r="Z584" s="16" t="n">
        <f aca="false">Q584*L584</f>
        <v>0.00832990822232921</v>
      </c>
      <c r="AA584" s="16" t="n">
        <f aca="false">R584*L584</f>
        <v>0.0109536802967588</v>
      </c>
      <c r="AB584" s="16" t="n">
        <f aca="false">S584*L584</f>
        <v>0.00597761000517589</v>
      </c>
      <c r="AC584" s="16" t="n">
        <f aca="false">Z584-W584</f>
        <v>0.00832990822232921</v>
      </c>
      <c r="AD584" s="16" t="n">
        <f aca="false">AA584-W584</f>
        <v>0.0109536802967588</v>
      </c>
      <c r="AE584" s="16" t="n">
        <f aca="false">AB584-W584</f>
        <v>0.00597761000517589</v>
      </c>
      <c r="AF584" s="16" t="n">
        <f aca="false">AE584-X584</f>
        <v>0.00597761000517589</v>
      </c>
      <c r="AG584" s="16" t="n">
        <f aca="false">AF584-p_spc_lo*Y584/1000</f>
        <v>0.00298880500258794</v>
      </c>
      <c r="AH584" s="16" t="n">
        <f aca="false">AF584-p_spc_hi*Y584/1000</f>
        <v>0</v>
      </c>
      <c r="AI584" s="16" t="n">
        <f aca="false">Q584*J584</f>
        <v>0.0347079509263717</v>
      </c>
      <c r="AJ584" s="16" t="n">
        <f aca="false">S584*J584</f>
        <v>0.0249067083548995</v>
      </c>
      <c r="AK584" s="16" t="n">
        <f aca="false">T584*J584</f>
        <v>0</v>
      </c>
      <c r="AL584" s="16" t="n">
        <f aca="false">U584*J584</f>
        <v>0</v>
      </c>
      <c r="AM584" s="16" t="n">
        <f aca="false">AI584-AJ584</f>
        <v>0.00980124257147218</v>
      </c>
      <c r="AN584" s="16" t="n">
        <f aca="false">J584*Country_Data!$EB$87</f>
        <v>0.348571429986364</v>
      </c>
      <c r="AO584" s="16" t="n">
        <f aca="false">L584*Country_Data!$EB$87</f>
        <v>0.0836571431967274</v>
      </c>
    </row>
    <row r="585" customFormat="false" ht="15" hidden="false" customHeight="false" outlineLevel="0" collapsed="false">
      <c r="A585" s="14" t="str">
        <f aca="false">Country_Data!$A$87</f>
        <v>TZA</v>
      </c>
      <c r="B585" s="14" t="str">
        <f aca="false">Country_Data!$E$87</f>
        <v>EMDC</v>
      </c>
      <c r="C585" s="35" t="s">
        <v>488</v>
      </c>
      <c r="D585" s="37" t="n">
        <f aca="false">IF(Country_Data!$CE$87="","",Country_Data!$CE$87)</f>
        <v>141.794</v>
      </c>
      <c r="E585" s="40" t="n">
        <f aca="false">Country_Data!$BW$87</f>
        <v>270.439</v>
      </c>
      <c r="F585" s="41" t="n">
        <f aca="false">Country_Data!$BX$87</f>
        <v>0.292990286164348</v>
      </c>
      <c r="G585" s="42" t="n">
        <f aca="false">IF(D585="","",D585/SUMIFS($D$5:$D$1369,$B$5:$B$1369,B585,$C$5:$C$1369,C585))</f>
        <v>0.0116185449000378</v>
      </c>
      <c r="H585" s="42" t="n">
        <f aca="false">E585/SUMIFS($E$5:$E$1369,$B$5:$B$1369,B585,$C$5:$C$1369,C585)</f>
        <v>0.00334984106032944</v>
      </c>
      <c r="I585" s="43" t="n">
        <f aca="false">IF(G585="",H585,p_beta_alloc*G585+(1-p_beta_alloc)*H585)*F585^p_phi</f>
        <v>0.00405108716950843</v>
      </c>
      <c r="J585" s="16" t="n">
        <f aca="false">INDEX(Sector_Params!$C$22:$E$22,MATCH(B585,Sector_Params!$C$15:$E$15,0))*I585/SUMIFS($I$5:$I$1369,$B$5:$B$1369,B585,$C$5:$C$1369,C585)</f>
        <v>2.44202932718563</v>
      </c>
      <c r="K585" s="28" t="n">
        <f aca="false">INDEX(Sector_Params!$F$11:$H$11,MATCH(B585,Sector_Params!$C$15:$E$15,0))</f>
        <v>0.24</v>
      </c>
      <c r="L585" s="16" t="n">
        <f aca="false">J585*K585</f>
        <v>0.586087038524552</v>
      </c>
      <c r="M585" s="44" t="n">
        <f aca="false">Country_Data!$DW$87+Sector_Params!$E$11</f>
        <v>0.105</v>
      </c>
      <c r="N585" s="44" t="n">
        <f aca="false">Country_Data!$DX$87+Sector_Params!$E$11</f>
        <v>0.15</v>
      </c>
      <c r="O585" s="11" t="n">
        <f aca="false">IF(p_use_ibrd=1,p_r_ibrd,p_r_wb)</f>
        <v>0.06</v>
      </c>
      <c r="P585" s="45" t="n">
        <f aca="false">Sector_Params!$D$11</f>
        <v>30</v>
      </c>
      <c r="Q585" s="46" t="n">
        <f aca="false">M585/(1-(1+M585)^-P585)</f>
        <v>0.110528481529605</v>
      </c>
      <c r="R585" s="46" t="n">
        <f aca="false">N585/(1-(1+N585)^-P585)</f>
        <v>0.152300198192734</v>
      </c>
      <c r="S585" s="46" t="n">
        <f aca="false">O585/(1-(1+O585)^-P585)</f>
        <v>0.0726489114900472</v>
      </c>
      <c r="T585" s="37" t="n">
        <f aca="false">0*Sector_Params!$I$11</f>
        <v>0</v>
      </c>
      <c r="U585" s="37" t="n">
        <f aca="false">p_c*Sector_Params!$J$11</f>
        <v>0.129</v>
      </c>
      <c r="V585" s="37" t="n">
        <f aca="false">1000*p_r_wb/(1-(1+p_r_wb)^-Sector_Params!$D$11)/p_cpt_afolu</f>
        <v>1.45297822980094</v>
      </c>
      <c r="W585" s="16" t="n">
        <f aca="false">T585*L585</f>
        <v>0</v>
      </c>
      <c r="X585" s="16" t="n">
        <f aca="false">U585*L585</f>
        <v>0.0756052279696671</v>
      </c>
      <c r="Y585" s="16" t="n">
        <f aca="false">V585*L585</f>
        <v>0.85157170774468</v>
      </c>
      <c r="Z585" s="16" t="n">
        <f aca="false">Q585*L585</f>
        <v>0.0647793104123019</v>
      </c>
      <c r="AA585" s="16" t="n">
        <f aca="false">R585*L585</f>
        <v>0.0892611721254819</v>
      </c>
      <c r="AB585" s="16" t="n">
        <f aca="false">S585*L585</f>
        <v>0.042578585387234</v>
      </c>
      <c r="AC585" s="16" t="n">
        <f aca="false">Z585-W585</f>
        <v>0.0647793104123019</v>
      </c>
      <c r="AD585" s="16" t="n">
        <f aca="false">AA585-W585</f>
        <v>0.0892611721254819</v>
      </c>
      <c r="AE585" s="16" t="n">
        <f aca="false">AB585-W585</f>
        <v>0.042578585387234</v>
      </c>
      <c r="AF585" s="16" t="n">
        <f aca="false">AE585-X585</f>
        <v>-0.0330266425824331</v>
      </c>
      <c r="AG585" s="16" t="n">
        <f aca="false">AF585-p_spc_lo*Y585/1000</f>
        <v>-0.0756052279696671</v>
      </c>
      <c r="AH585" s="16" t="n">
        <f aca="false">AF585-p_spc_hi*Y585/1000</f>
        <v>-0.118183813356901</v>
      </c>
      <c r="AI585" s="16" t="n">
        <f aca="false">Q585*J585</f>
        <v>0.269913793384591</v>
      </c>
      <c r="AJ585" s="16" t="n">
        <f aca="false">S585*J585</f>
        <v>0.177410772446808</v>
      </c>
      <c r="AK585" s="16" t="n">
        <f aca="false">T585*J585</f>
        <v>0</v>
      </c>
      <c r="AL585" s="16" t="n">
        <f aca="false">U585*J585</f>
        <v>0.315021783206946</v>
      </c>
      <c r="AM585" s="16" t="n">
        <f aca="false">AI585-AJ585</f>
        <v>0.0925030209377827</v>
      </c>
      <c r="AN585" s="16" t="n">
        <f aca="false">J585*Country_Data!$EB$87</f>
        <v>2.97965438836448</v>
      </c>
      <c r="AO585" s="16" t="n">
        <f aca="false">L585*Country_Data!$EB$87</f>
        <v>0.715117053207476</v>
      </c>
    </row>
    <row r="586" customFormat="false" ht="15" hidden="false" customHeight="false" outlineLevel="0" collapsed="false">
      <c r="A586" s="14" t="str">
        <f aca="false">Country_Data!$A$88</f>
        <v>BLR</v>
      </c>
      <c r="B586" s="14" t="str">
        <f aca="false">Country_Data!$E$88</f>
        <v>EMDC</v>
      </c>
      <c r="C586" s="35" t="s">
        <v>466</v>
      </c>
      <c r="D586" s="37" t="n">
        <f aca="false">IF(Country_Data!$BZ$88="","",Country_Data!$BZ$88)</f>
        <v>30.4500311480179</v>
      </c>
      <c r="E586" s="40" t="n">
        <f aca="false">Country_Data!$BW$88</f>
        <v>296.996</v>
      </c>
      <c r="F586" s="41" t="n">
        <f aca="false">Country_Data!$BX$88</f>
        <v>0.265481689989091</v>
      </c>
      <c r="G586" s="42" t="n">
        <f aca="false">IF(D586="","",D586/SUMIFS($D$5:$D$1369,$B$5:$B$1369,B586,$C$5:$C$1369,C586))</f>
        <v>0.00347624057974157</v>
      </c>
      <c r="H586" s="42" t="n">
        <f aca="false">E586/SUMIFS($E$5:$E$1369,$B$5:$B$1369,B586,$C$5:$C$1369,C586)</f>
        <v>0.00367879409239645</v>
      </c>
      <c r="I586" s="43" t="n">
        <f aca="false">IF(G586="",H586,p_beta_alloc*G586+(1-p_beta_alloc)*H586)*F586^p_phi</f>
        <v>0.0018433127783698</v>
      </c>
      <c r="J586" s="16" t="n">
        <f aca="false">INDEX(Sector_Params!$C$16:$E$16,MATCH(B586,Sector_Params!$C$15:$E$15,0))*I586/SUMIFS($I$5:$I$1369,$B$5:$B$1369,B586,$C$5:$C$1369,C586)</f>
        <v>1.78289885124729</v>
      </c>
      <c r="K586" s="28" t="n">
        <f aca="false">INDEX(Sector_Params!$F$5:$H$5,MATCH(B586,Sector_Params!$C$15:$E$15,0))</f>
        <v>0.24</v>
      </c>
      <c r="L586" s="16" t="n">
        <f aca="false">J586*K586</f>
        <v>0.42789572429935</v>
      </c>
      <c r="M586" s="44" t="n">
        <f aca="false">Country_Data!$DW$88+Sector_Params!$E$5</f>
        <v>0.105</v>
      </c>
      <c r="N586" s="44" t="n">
        <f aca="false">Country_Data!$DX$88+Sector_Params!$E$5</f>
        <v>0.15</v>
      </c>
      <c r="O586" s="11" t="n">
        <f aca="false">IF(p_use_ibrd=1,p_r_ibrd,p_r_wb)</f>
        <v>0.06</v>
      </c>
      <c r="P586" s="45" t="n">
        <f aca="false">Sector_Params!$D$5</f>
        <v>25</v>
      </c>
      <c r="Q586" s="46" t="n">
        <f aca="false">M586/(1-(1+M586)^-P586)</f>
        <v>0.114429319813103</v>
      </c>
      <c r="R586" s="46" t="n">
        <f aca="false">N586/(1-(1+N586)^-P586)</f>
        <v>0.154699402320206</v>
      </c>
      <c r="S586" s="46" t="n">
        <f aca="false">O586/(1-(1+O586)^-P586)</f>
        <v>0.078226718212274</v>
      </c>
      <c r="T586" s="37" t="n">
        <f aca="false">IF(AND(p_eng=1,ISNUMBER(Country_Data!$CZ$88)),Country_Data!$CZ$88,Country_Data!$CM$88)*Sector_Params!$I$5</f>
        <v>0.0636936319042861</v>
      </c>
      <c r="U586" s="37" t="n">
        <f aca="false">IF(AND(p_eng=1,ISNUMBER(Country_Data!$DA$88)),Country_Data!$DA$88,Country_Data!$CN$88)*Sector_Params!$J$5</f>
        <v>0.0214926279841</v>
      </c>
      <c r="V586" s="37" t="n">
        <f aca="false">IF(AND(p_eng=1,ISNUMBER(Country_Data!$DB$88)),Country_Data!$DB$88,p_a)</f>
        <v>0.612486896499208</v>
      </c>
      <c r="W586" s="16" t="n">
        <f aca="false">T586*L586</f>
        <v>0.0272542327569407</v>
      </c>
      <c r="X586" s="16" t="n">
        <f aca="false">U586*L586</f>
        <v>0.00919660361835296</v>
      </c>
      <c r="Y586" s="16" t="n">
        <f aca="false">V586*L586</f>
        <v>0.26208052420139</v>
      </c>
      <c r="Z586" s="16" t="n">
        <f aca="false">Q586*L586</f>
        <v>0.0489638166825099</v>
      </c>
      <c r="AA586" s="16" t="n">
        <f aca="false">R586*L586</f>
        <v>0.0661952128044814</v>
      </c>
      <c r="AB586" s="16" t="n">
        <f aca="false">S586*L586</f>
        <v>0.0334728782490022</v>
      </c>
      <c r="AC586" s="16" t="n">
        <f aca="false">Z586-W586</f>
        <v>0.0217095839255692</v>
      </c>
      <c r="AD586" s="16" t="n">
        <f aca="false">AA586-W586</f>
        <v>0.0389409800475407</v>
      </c>
      <c r="AE586" s="16" t="n">
        <f aca="false">AB586-W586</f>
        <v>0.00621864549206146</v>
      </c>
      <c r="AF586" s="16" t="n">
        <f aca="false">AE586-X586</f>
        <v>-0.0029779581262915</v>
      </c>
      <c r="AG586" s="16" t="n">
        <f aca="false">AF586-p_spc_lo*Y586/1000</f>
        <v>-0.016081984336361</v>
      </c>
      <c r="AH586" s="16" t="n">
        <f aca="false">AF586-p_spc_hi*Y586/1000</f>
        <v>-0.0291860105464305</v>
      </c>
      <c r="AI586" s="16" t="n">
        <f aca="false">Q586*J586</f>
        <v>0.204015902843791</v>
      </c>
      <c r="AJ586" s="16" t="n">
        <f aca="false">S586*J586</f>
        <v>0.139470326037509</v>
      </c>
      <c r="AK586" s="16" t="n">
        <f aca="false">T586*J586</f>
        <v>0.11355930315392</v>
      </c>
      <c r="AL586" s="16" t="n">
        <f aca="false">U586*J586</f>
        <v>0.0383191817431373</v>
      </c>
      <c r="AM586" s="16" t="n">
        <f aca="false">AI586-AJ586</f>
        <v>0.0645455768062821</v>
      </c>
      <c r="AN586" s="16" t="n">
        <f aca="false">J586*Country_Data!$EB$88</f>
        <v>2.04667018814415</v>
      </c>
      <c r="AO586" s="16" t="n">
        <f aca="false">L586*Country_Data!$EB$88</f>
        <v>0.491200845154597</v>
      </c>
    </row>
    <row r="587" customFormat="false" ht="15" hidden="false" customHeight="false" outlineLevel="0" collapsed="false">
      <c r="A587" s="14" t="str">
        <f aca="false">Country_Data!$A$88</f>
        <v>BLR</v>
      </c>
      <c r="B587" s="14" t="str">
        <f aca="false">Country_Data!$E$88</f>
        <v>EMDC</v>
      </c>
      <c r="C587" s="35" t="s">
        <v>470</v>
      </c>
      <c r="D587" s="37" t="n">
        <f aca="false">IF(Country_Data!$BZ$88="","",Country_Data!$BZ$88)</f>
        <v>30.4500311480179</v>
      </c>
      <c r="E587" s="40" t="n">
        <f aca="false">Country_Data!$BW$88</f>
        <v>296.996</v>
      </c>
      <c r="F587" s="41" t="n">
        <f aca="false">Country_Data!$BX$88</f>
        <v>0.265481689989091</v>
      </c>
      <c r="G587" s="42" t="n">
        <f aca="false">IF(D587="","",D587/SUMIFS($D$5:$D$1369,$B$5:$B$1369,B587,$C$5:$C$1369,C587))</f>
        <v>0.00347624057974157</v>
      </c>
      <c r="H587" s="42" t="n">
        <f aca="false">E587/SUMIFS($E$5:$E$1369,$B$5:$B$1369,B587,$C$5:$C$1369,C587)</f>
        <v>0.00367879409239645</v>
      </c>
      <c r="I587" s="43" t="n">
        <f aca="false">IF(G587="",H587,p_beta_alloc*G587+(1-p_beta_alloc)*H587)*F587^p_phi</f>
        <v>0.0018433127783698</v>
      </c>
      <c r="J587" s="16" t="n">
        <f aca="false">INDEX(Sector_Params!$C$17:$E$17,MATCH(B587,Sector_Params!$C$15:$E$15,0))*I587/SUMIFS($I$5:$I$1369,$B$5:$B$1369,B587,$C$5:$C$1369,C587)</f>
        <v>1.22255921228386</v>
      </c>
      <c r="K587" s="28" t="n">
        <f aca="false">INDEX(Sector_Params!$F$6:$H$6,MATCH(B587,Sector_Params!$C$15:$E$15,0))</f>
        <v>0.24</v>
      </c>
      <c r="L587" s="16" t="n">
        <f aca="false">J587*K587</f>
        <v>0.293414210948126</v>
      </c>
      <c r="M587" s="44" t="n">
        <f aca="false">Country_Data!$DW$88+Sector_Params!$E$6</f>
        <v>0.105</v>
      </c>
      <c r="N587" s="44" t="n">
        <f aca="false">Country_Data!$DX$88+Sector_Params!$E$6</f>
        <v>0.15</v>
      </c>
      <c r="O587" s="11" t="n">
        <f aca="false">IF(p_use_ibrd=1,p_r_ibrd,p_r_wb)</f>
        <v>0.06</v>
      </c>
      <c r="P587" s="45" t="n">
        <f aca="false">Sector_Params!$D$6</f>
        <v>40</v>
      </c>
      <c r="Q587" s="46" t="n">
        <f aca="false">M587/(1-(1+M587)^-P587)</f>
        <v>0.10697140835497</v>
      </c>
      <c r="R587" s="46" t="n">
        <f aca="false">N587/(1-(1+N587)^-P587)</f>
        <v>0.150562085013545</v>
      </c>
      <c r="S587" s="46" t="n">
        <f aca="false">O587/(1-(1+O587)^-P587)</f>
        <v>0.0664615359206755</v>
      </c>
      <c r="T587" s="37" t="n">
        <f aca="false">p_grid_credit*IF(AND(p_eng=1,ISNUMBER(Country_Data!$CZ$88)),Country_Data!$CZ$88,Country_Data!$CM$88)*Sector_Params!$I$6</f>
        <v>0</v>
      </c>
      <c r="U587" s="37" t="n">
        <f aca="false">p_grid_credit*IF(AND(p_eng=1,ISNUMBER(Country_Data!$DA$88)),Country_Data!$DA$88,Country_Data!$CN$88)*Sector_Params!$J$6</f>
        <v>0</v>
      </c>
      <c r="V587" s="37" t="n">
        <f aca="false">p_grid_credit*IF(AND(p_eng=1,ISNUMBER(Country_Data!$DB$88)),Country_Data!$DB$88,p_a)</f>
        <v>0</v>
      </c>
      <c r="W587" s="16" t="n">
        <f aca="false">T587*L587</f>
        <v>0</v>
      </c>
      <c r="X587" s="16" t="n">
        <f aca="false">U587*L587</f>
        <v>0</v>
      </c>
      <c r="Y587" s="16" t="n">
        <f aca="false">V587*L587</f>
        <v>0</v>
      </c>
      <c r="Z587" s="16" t="n">
        <f aca="false">Q587*L587</f>
        <v>0.0313869313764834</v>
      </c>
      <c r="AA587" s="16" t="n">
        <f aca="false">R587*L587</f>
        <v>0.044177055372954</v>
      </c>
      <c r="AB587" s="16" t="n">
        <f aca="false">S587*L587</f>
        <v>0.0195007591205655</v>
      </c>
      <c r="AC587" s="16" t="n">
        <f aca="false">Z587-W587</f>
        <v>0.0313869313764834</v>
      </c>
      <c r="AD587" s="16" t="n">
        <f aca="false">AA587-W587</f>
        <v>0.044177055372954</v>
      </c>
      <c r="AE587" s="16" t="n">
        <f aca="false">AB587-W587</f>
        <v>0.0195007591205655</v>
      </c>
      <c r="AF587" s="16" t="n">
        <f aca="false">AE587-X587</f>
        <v>0.0195007591205655</v>
      </c>
      <c r="AG587" s="16" t="n">
        <f aca="false">AF587-p_spc_lo*Y587/1000</f>
        <v>0.0195007591205655</v>
      </c>
      <c r="AH587" s="16" t="n">
        <f aca="false">AF587-p_spc_hi*Y587/1000</f>
        <v>0.0195007591205655</v>
      </c>
      <c r="AI587" s="16" t="n">
        <f aca="false">Q587*J587</f>
        <v>0.130778880735348</v>
      </c>
      <c r="AJ587" s="16" t="n">
        <f aca="false">S587*J587</f>
        <v>0.0812531630023564</v>
      </c>
      <c r="AK587" s="16" t="n">
        <f aca="false">T587*J587</f>
        <v>0</v>
      </c>
      <c r="AL587" s="16" t="n">
        <f aca="false">U587*J587</f>
        <v>0</v>
      </c>
      <c r="AM587" s="16" t="n">
        <f aca="false">AI587-AJ587</f>
        <v>0.0495257177329911</v>
      </c>
      <c r="AN587" s="16" t="n">
        <f aca="false">J587*Country_Data!$EB$88</f>
        <v>1.40343098615599</v>
      </c>
      <c r="AO587" s="16" t="n">
        <f aca="false">L587*Country_Data!$EB$88</f>
        <v>0.336823436677438</v>
      </c>
    </row>
    <row r="588" customFormat="false" ht="15" hidden="false" customHeight="false" outlineLevel="0" collapsed="false">
      <c r="A588" s="14" t="str">
        <f aca="false">Country_Data!$A$88</f>
        <v>BLR</v>
      </c>
      <c r="B588" s="14" t="str">
        <f aca="false">Country_Data!$E$88</f>
        <v>EMDC</v>
      </c>
      <c r="C588" s="35" t="s">
        <v>473</v>
      </c>
      <c r="D588" s="37" t="n">
        <f aca="false">IF(Country_Data!$CA$88="","",Country_Data!$CA$88)</f>
        <v>0.173215130734538</v>
      </c>
      <c r="E588" s="40" t="n">
        <f aca="false">Country_Data!$BW$88</f>
        <v>296.996</v>
      </c>
      <c r="F588" s="41" t="n">
        <f aca="false">Country_Data!$BX$88</f>
        <v>0.265481689989091</v>
      </c>
      <c r="G588" s="42" t="n">
        <f aca="false">IF(D588="","",D588/SUMIFS($D$5:$D$1369,$B$5:$B$1369,B588,$C$5:$C$1369,C588))</f>
        <v>0.0040016725421086</v>
      </c>
      <c r="H588" s="42" t="n">
        <f aca="false">E588/SUMIFS($E$5:$E$1369,$B$5:$B$1369,B588,$C$5:$C$1369,C588)</f>
        <v>0.00367879409239645</v>
      </c>
      <c r="I588" s="43" t="n">
        <f aca="false">IF(G588="",H588,p_beta_alloc*G588+(1-p_beta_alloc)*H588)*F588^p_phi</f>
        <v>0.00197867696523623</v>
      </c>
      <c r="J588" s="16" t="n">
        <f aca="false">INDEX(Sector_Params!$C$18:$E$18,MATCH(B588,Sector_Params!$C$15:$E$15,0))*I588/SUMIFS($I$5:$I$1369,$B$5:$B$1369,B588,$C$5:$C$1369,C588)</f>
        <v>0.810221399364483</v>
      </c>
      <c r="K588" s="28" t="n">
        <f aca="false">INDEX(Sector_Params!$F$7:$H$7,MATCH(B588,Sector_Params!$C$15:$E$15,0))</f>
        <v>0.24</v>
      </c>
      <c r="L588" s="16" t="n">
        <f aca="false">J588*K588</f>
        <v>0.194453135847476</v>
      </c>
      <c r="M588" s="44" t="n">
        <f aca="false">Country_Data!$DW$88+Sector_Params!$E$7</f>
        <v>0.105</v>
      </c>
      <c r="N588" s="44" t="n">
        <f aca="false">Country_Data!$DX$88+Sector_Params!$E$7</f>
        <v>0.15</v>
      </c>
      <c r="O588" s="11" t="n">
        <f aca="false">IF(p_use_ibrd=1,p_r_ibrd,p_r_wb)</f>
        <v>0.06</v>
      </c>
      <c r="P588" s="45" t="n">
        <f aca="false">Sector_Params!$D$7</f>
        <v>12</v>
      </c>
      <c r="Q588" s="46" t="n">
        <f aca="false">M588/(1-(1+M588)^-P588)</f>
        <v>0.150376745634766</v>
      </c>
      <c r="R588" s="46" t="n">
        <f aca="false">N588/(1-(1+N588)^-P588)</f>
        <v>0.18448077613084</v>
      </c>
      <c r="S588" s="46" t="n">
        <f aca="false">O588/(1-(1+O588)^-P588)</f>
        <v>0.119277029380664</v>
      </c>
      <c r="T588" s="37" t="n">
        <f aca="false">IF(AND(p_eng=1,ISNUMBER(Country_Data!$DE$88)),Country_Data!$DE$88,Country_Data!$CM$88)*Sector_Params!$I$7</f>
        <v>0.136096155</v>
      </c>
      <c r="U588" s="37" t="n">
        <f aca="false">IF(AND(p_eng=1,ISNUMBER(Country_Data!$DF$88)),Country_Data!$DF$88,Country_Data!$CN$88)*Sector_Params!$J$7</f>
        <v>0.03534075</v>
      </c>
      <c r="V588" s="37" t="n">
        <f aca="false">IF(AND(p_eng=1,ISNUMBER(Country_Data!$DG$88)),Country_Data!$DG$88,p_a)</f>
        <v>0.389542747652326</v>
      </c>
      <c r="W588" s="16" t="n">
        <f aca="false">T588*L588</f>
        <v>0.0264643241165341</v>
      </c>
      <c r="X588" s="16" t="n">
        <f aca="false">U588*L588</f>
        <v>0.00687211966070168</v>
      </c>
      <c r="Y588" s="16" t="n">
        <f aca="false">V588*L588</f>
        <v>0.0757478088276367</v>
      </c>
      <c r="Z588" s="16" t="n">
        <f aca="false">Q588*L588</f>
        <v>0.0292412297472184</v>
      </c>
      <c r="AA588" s="16" t="n">
        <f aca="false">R588*L588</f>
        <v>0.0358728654222179</v>
      </c>
      <c r="AB588" s="16" t="n">
        <f aca="false">S588*L588</f>
        <v>0.0231937923976415</v>
      </c>
      <c r="AC588" s="16" t="n">
        <f aca="false">Z588-W588</f>
        <v>0.00277690563068429</v>
      </c>
      <c r="AD588" s="16" t="n">
        <f aca="false">AA588-W588</f>
        <v>0.00940854130568379</v>
      </c>
      <c r="AE588" s="16" t="n">
        <f aca="false">AB588-W588</f>
        <v>-0.00327053171889259</v>
      </c>
      <c r="AF588" s="16" t="n">
        <f aca="false">AE588-X588</f>
        <v>-0.0101426513795943</v>
      </c>
      <c r="AG588" s="16" t="n">
        <f aca="false">AF588-p_spc_lo*Y588/1000</f>
        <v>-0.0139300418209761</v>
      </c>
      <c r="AH588" s="16" t="n">
        <f aca="false">AF588-p_spc_hi*Y588/1000</f>
        <v>-0.0177174322623579</v>
      </c>
      <c r="AI588" s="16" t="n">
        <f aca="false">Q588*J588</f>
        <v>0.121838457280077</v>
      </c>
      <c r="AJ588" s="16" t="n">
        <f aca="false">S588*J588</f>
        <v>0.0966408016568397</v>
      </c>
      <c r="AK588" s="16" t="n">
        <f aca="false">T588*J588</f>
        <v>0.110268017152226</v>
      </c>
      <c r="AL588" s="16" t="n">
        <f aca="false">U588*J588</f>
        <v>0.0286338319195903</v>
      </c>
      <c r="AM588" s="16" t="n">
        <f aca="false">AI588-AJ588</f>
        <v>0.025197655623237</v>
      </c>
      <c r="AN588" s="16" t="n">
        <f aca="false">J588*Country_Data!$EB$88</f>
        <v>0.93008977077731</v>
      </c>
      <c r="AO588" s="16" t="n">
        <f aca="false">L588*Country_Data!$EB$88</f>
        <v>0.223221544986554</v>
      </c>
    </row>
    <row r="589" customFormat="false" ht="15" hidden="false" customHeight="false" outlineLevel="0" collapsed="false">
      <c r="A589" s="14" t="str">
        <f aca="false">Country_Data!$A$88</f>
        <v>BLR</v>
      </c>
      <c r="B589" s="14" t="str">
        <f aca="false">Country_Data!$E$88</f>
        <v>EMDC</v>
      </c>
      <c r="C589" s="35" t="s">
        <v>477</v>
      </c>
      <c r="D589" s="37" t="n">
        <f aca="false">IF(Country_Data!$CB$88="","",Country_Data!$CB$88)</f>
        <v>0.113914286193857</v>
      </c>
      <c r="E589" s="40" t="n">
        <f aca="false">Country_Data!$BW$88</f>
        <v>296.996</v>
      </c>
      <c r="F589" s="41" t="n">
        <f aca="false">Country_Data!$BX$88</f>
        <v>0.265481689989091</v>
      </c>
      <c r="G589" s="42" t="n">
        <f aca="false">IF(D589="","",D589/SUMIFS($D$5:$D$1369,$B$5:$B$1369,B589,$C$5:$C$1369,C589))</f>
        <v>0.00359206431272983</v>
      </c>
      <c r="H589" s="42" t="n">
        <f aca="false">E589/SUMIFS($E$5:$E$1369,$B$5:$B$1369,B589,$C$5:$C$1369,C589)</f>
        <v>0.00367879409239645</v>
      </c>
      <c r="I589" s="43" t="n">
        <f aca="false">IF(G589="",H589,p_beta_alloc*G589+(1-p_beta_alloc)*H589)*F589^p_phi</f>
        <v>0.00187315181854764</v>
      </c>
      <c r="J589" s="16" t="n">
        <f aca="false">INDEX(Sector_Params!$C$19:$E$19,MATCH(B589,Sector_Params!$C$15:$E$15,0))*I589/SUMIFS($I$5:$I$1369,$B$5:$B$1369,B589,$C$5:$C$1369,C589)</f>
        <v>0.602897508004179</v>
      </c>
      <c r="K589" s="28" t="n">
        <f aca="false">INDEX(Sector_Params!$F$8:$H$8,MATCH(B589,Sector_Params!$C$15:$E$15,0))</f>
        <v>0.24</v>
      </c>
      <c r="L589" s="16" t="n">
        <f aca="false">J589*K589</f>
        <v>0.144695401921003</v>
      </c>
      <c r="M589" s="44" t="n">
        <f aca="false">Country_Data!$DW$88+Sector_Params!$E$8</f>
        <v>0.105</v>
      </c>
      <c r="N589" s="44" t="n">
        <f aca="false">Country_Data!$DX$88+Sector_Params!$E$8</f>
        <v>0.15</v>
      </c>
      <c r="O589" s="11" t="n">
        <f aca="false">IF(p_use_ibrd=1,p_r_ibrd,p_r_wb)</f>
        <v>0.06</v>
      </c>
      <c r="P589" s="45" t="n">
        <f aca="false">Sector_Params!$D$8</f>
        <v>25</v>
      </c>
      <c r="Q589" s="46" t="n">
        <f aca="false">M589/(1-(1+M589)^-P589)</f>
        <v>0.114429319813103</v>
      </c>
      <c r="R589" s="46" t="n">
        <f aca="false">N589/(1-(1+N589)^-P589)</f>
        <v>0.154699402320206</v>
      </c>
      <c r="S589" s="46" t="n">
        <f aca="false">O589/(1-(1+O589)^-P589)</f>
        <v>0.078226718212274</v>
      </c>
      <c r="T589" s="37" t="n">
        <f aca="false">Country_Data!$CM$88*Sector_Params!$I$8</f>
        <v>0.140545851624839</v>
      </c>
      <c r="U589" s="37" t="n">
        <f aca="false">Country_Data!$CN$88*Sector_Params!$J$8</f>
        <v>0.215407079130168</v>
      </c>
      <c r="V589" s="37" t="n">
        <f aca="false">p_a</f>
        <v>0.35</v>
      </c>
      <c r="W589" s="16" t="n">
        <f aca="false">T589*L589</f>
        <v>0.0203363384891857</v>
      </c>
      <c r="X589" s="16" t="n">
        <f aca="false">U589*L589</f>
        <v>0.031168413891369</v>
      </c>
      <c r="Y589" s="16" t="n">
        <f aca="false">V589*L589</f>
        <v>0.050643390672351</v>
      </c>
      <c r="Z589" s="16" t="n">
        <f aca="false">Q589*L589</f>
        <v>0.016557396421904</v>
      </c>
      <c r="AA589" s="16" t="n">
        <f aca="false">R589*L589</f>
        <v>0.0223842921956612</v>
      </c>
      <c r="AB589" s="16" t="n">
        <f aca="false">S589*L589</f>
        <v>0.011319046432686</v>
      </c>
      <c r="AC589" s="16" t="n">
        <f aca="false">Z589-W589</f>
        <v>-0.00377894206728176</v>
      </c>
      <c r="AD589" s="16" t="n">
        <f aca="false">AA589-W589</f>
        <v>0.00204795370647547</v>
      </c>
      <c r="AE589" s="16" t="n">
        <f aca="false">AB589-W589</f>
        <v>-0.00901729205649971</v>
      </c>
      <c r="AF589" s="16" t="n">
        <f aca="false">AE589-X589</f>
        <v>-0.0401857059478687</v>
      </c>
      <c r="AG589" s="16" t="n">
        <f aca="false">AF589-p_spc_lo*Y589/1000</f>
        <v>-0.0427178754814862</v>
      </c>
      <c r="AH589" s="16" t="n">
        <f aca="false">AF589-p_spc_hi*Y589/1000</f>
        <v>-0.0452500450151038</v>
      </c>
      <c r="AI589" s="16" t="n">
        <f aca="false">Q589*J589</f>
        <v>0.0689891517579332</v>
      </c>
      <c r="AJ589" s="16" t="n">
        <f aca="false">S589*J589</f>
        <v>0.0471626934695251</v>
      </c>
      <c r="AK589" s="16" t="n">
        <f aca="false">T589*J589</f>
        <v>0.0847347437049405</v>
      </c>
      <c r="AL589" s="16" t="n">
        <f aca="false">U589*J589</f>
        <v>0.129868391214037</v>
      </c>
      <c r="AM589" s="16" t="n">
        <f aca="false">AI589-AJ589</f>
        <v>0.0218264582884081</v>
      </c>
      <c r="AN589" s="16" t="n">
        <f aca="false">J589*Country_Data!$EB$88</f>
        <v>0.692093303708907</v>
      </c>
      <c r="AO589" s="16" t="n">
        <f aca="false">L589*Country_Data!$EB$88</f>
        <v>0.166102392890138</v>
      </c>
    </row>
    <row r="590" customFormat="false" ht="15" hidden="false" customHeight="false" outlineLevel="0" collapsed="false">
      <c r="A590" s="14" t="str">
        <f aca="false">Country_Data!$A$88</f>
        <v>BLR</v>
      </c>
      <c r="B590" s="14" t="str">
        <f aca="false">Country_Data!$E$88</f>
        <v>EMDC</v>
      </c>
      <c r="C590" s="35" t="s">
        <v>481</v>
      </c>
      <c r="D590" s="37" t="n">
        <f aca="false">IF(Country_Data!$CC$88="","",Country_Data!$CC$88)</f>
        <v>0.287357467641163</v>
      </c>
      <c r="E590" s="40" t="n">
        <f aca="false">Country_Data!$BW$88</f>
        <v>296.996</v>
      </c>
      <c r="F590" s="41" t="n">
        <f aca="false">Country_Data!$BX$88</f>
        <v>0.265481689989091</v>
      </c>
      <c r="G590" s="42" t="n">
        <f aca="false">IF(D590="","",D590/SUMIFS($D$5:$D$1369,$B$5:$B$1369,B590,$C$5:$C$1369,C590))</f>
        <v>0.00410468111154597</v>
      </c>
      <c r="H590" s="42" t="n">
        <f aca="false">E590/SUMIFS($E$5:$E$1369,$B$5:$B$1369,B590,$C$5:$C$1369,C590)</f>
        <v>0.00367879409239645</v>
      </c>
      <c r="I590" s="43" t="n">
        <f aca="false">IF(G590="",H590,p_beta_alloc*G590+(1-p_beta_alloc)*H590)*F590^p_phi</f>
        <v>0.00200521450432949</v>
      </c>
      <c r="J590" s="16" t="n">
        <f aca="false">INDEX(Sector_Params!$C$20:$E$20,MATCH(B590,Sector_Params!$C$15:$E$15,0))*I590/SUMIFS($I$5:$I$1369,$B$5:$B$1369,B590,$C$5:$C$1369,C590)</f>
        <v>0.365992027422188</v>
      </c>
      <c r="K590" s="28" t="n">
        <f aca="false">INDEX(Sector_Params!$F$9:$H$9,MATCH(B590,Sector_Params!$C$15:$E$15,0))</f>
        <v>0.24</v>
      </c>
      <c r="L590" s="16" t="n">
        <f aca="false">J590*K590</f>
        <v>0.0878380865813251</v>
      </c>
      <c r="M590" s="44" t="n">
        <f aca="false">Country_Data!$DW$88+Sector_Params!$E$9</f>
        <v>0.105</v>
      </c>
      <c r="N590" s="44" t="n">
        <f aca="false">Country_Data!$DX$88+Sector_Params!$E$9</f>
        <v>0.15</v>
      </c>
      <c r="O590" s="11" t="n">
        <f aca="false">IF(p_use_ibrd=1,p_r_ibrd,p_r_wb)</f>
        <v>0.06</v>
      </c>
      <c r="P590" s="45" t="n">
        <f aca="false">Sector_Params!$D$9</f>
        <v>25</v>
      </c>
      <c r="Q590" s="46" t="n">
        <f aca="false">M590/(1-(1+M590)^-P590)</f>
        <v>0.114429319813103</v>
      </c>
      <c r="R590" s="46" t="n">
        <f aca="false">N590/(1-(1+N590)^-P590)</f>
        <v>0.154699402320206</v>
      </c>
      <c r="S590" s="46" t="n">
        <f aca="false">O590/(1-(1+O590)^-P590)</f>
        <v>0.078226718212274</v>
      </c>
      <c r="T590" s="37" t="n">
        <f aca="false">Country_Data!$CM$88*Sector_Params!$I$9</f>
        <v>0.140545851624839</v>
      </c>
      <c r="U590" s="37" t="n">
        <f aca="false">Country_Data!$CN$88*Sector_Params!$J$9</f>
        <v>0.215407079130168</v>
      </c>
      <c r="V590" s="37" t="n">
        <f aca="false">p_a</f>
        <v>0.35</v>
      </c>
      <c r="W590" s="16" t="n">
        <f aca="false">T590*L590</f>
        <v>0.0123452786836687</v>
      </c>
      <c r="X590" s="16" t="n">
        <f aca="false">U590*L590</f>
        <v>0.0189209456668661</v>
      </c>
      <c r="Y590" s="16" t="n">
        <f aca="false">V590*L590</f>
        <v>0.0307433303034638</v>
      </c>
      <c r="Z590" s="16" t="n">
        <f aca="false">Q590*L590</f>
        <v>0.0100512525011855</v>
      </c>
      <c r="AA590" s="16" t="n">
        <f aca="false">R590*L590</f>
        <v>0.0135884994950815</v>
      </c>
      <c r="AB590" s="16" t="n">
        <f aca="false">S590*L590</f>
        <v>0.00687128524730264</v>
      </c>
      <c r="AC590" s="16" t="n">
        <f aca="false">Z590-W590</f>
        <v>-0.00229402618248318</v>
      </c>
      <c r="AD590" s="16" t="n">
        <f aca="false">AA590-W590</f>
        <v>0.00124322081141286</v>
      </c>
      <c r="AE590" s="16" t="n">
        <f aca="false">AB590-W590</f>
        <v>-0.00547399343636605</v>
      </c>
      <c r="AF590" s="16" t="n">
        <f aca="false">AE590-X590</f>
        <v>-0.0243949391032321</v>
      </c>
      <c r="AG590" s="16" t="n">
        <f aca="false">AF590-p_spc_lo*Y590/1000</f>
        <v>-0.0259321056184053</v>
      </c>
      <c r="AH590" s="16" t="n">
        <f aca="false">AF590-p_spc_hi*Y590/1000</f>
        <v>-0.0274692721335785</v>
      </c>
      <c r="AI590" s="16" t="n">
        <f aca="false">Q590*J590</f>
        <v>0.0418802187549396</v>
      </c>
      <c r="AJ590" s="16" t="n">
        <f aca="false">S590*J590</f>
        <v>0.0286303551970943</v>
      </c>
      <c r="AK590" s="16" t="n">
        <f aca="false">T590*J590</f>
        <v>0.0514386611819529</v>
      </c>
      <c r="AL590" s="16" t="n">
        <f aca="false">U590*J590</f>
        <v>0.0788372736119419</v>
      </c>
      <c r="AM590" s="16" t="n">
        <f aca="false">AI590-AJ590</f>
        <v>0.0132498635578453</v>
      </c>
      <c r="AN590" s="16" t="n">
        <f aca="false">J590*Country_Data!$EB$88</f>
        <v>0.420138793123005</v>
      </c>
      <c r="AO590" s="16" t="n">
        <f aca="false">L590*Country_Data!$EB$88</f>
        <v>0.100833310349521</v>
      </c>
    </row>
    <row r="591" customFormat="false" ht="15" hidden="false" customHeight="false" outlineLevel="0" collapsed="false">
      <c r="A591" s="14" t="str">
        <f aca="false">Country_Data!$A$88</f>
        <v>BLR</v>
      </c>
      <c r="B591" s="14" t="str">
        <f aca="false">Country_Data!$E$88</f>
        <v>EMDC</v>
      </c>
      <c r="C591" s="35" t="s">
        <v>484</v>
      </c>
      <c r="D591" s="37" t="n">
        <f aca="false">IF(Country_Data!$CD$88="","",Country_Data!$CD$88)</f>
        <v>0.813330447581233</v>
      </c>
      <c r="E591" s="40" t="n">
        <f aca="false">Country_Data!$BW$88</f>
        <v>296.996</v>
      </c>
      <c r="F591" s="41" t="n">
        <f aca="false">Country_Data!$BX$88</f>
        <v>0.265481689989091</v>
      </c>
      <c r="G591" s="42" t="n">
        <f aca="false">IF(D591="","",D591/SUMIFS($D$5:$D$1369,$B$5:$B$1369,B591,$C$5:$C$1369,C591))</f>
        <v>0.0045419343446269</v>
      </c>
      <c r="H591" s="42" t="n">
        <f aca="false">E591/SUMIFS($E$5:$E$1369,$B$5:$B$1369,B591,$C$5:$C$1369,C591)</f>
        <v>0.00367879409239645</v>
      </c>
      <c r="I591" s="43" t="n">
        <f aca="false">IF(G591="",H591,p_beta_alloc*G591+(1-p_beta_alloc)*H591)*F591^p_phi</f>
        <v>0.00211786168339351</v>
      </c>
      <c r="J591" s="16" t="n">
        <f aca="false">INDEX(Sector_Params!$C$21:$E$21,MATCH(B591,Sector_Params!$C$15:$E$15,0))*I591/SUMIFS($I$5:$I$1369,$B$5:$B$1369,B591,$C$5:$C$1369,C591)</f>
        <v>0.469720174797145</v>
      </c>
      <c r="K591" s="28" t="n">
        <f aca="false">INDEX(Sector_Params!$F$10:$H$10,MATCH(B591,Sector_Params!$C$15:$E$15,0))</f>
        <v>0.24</v>
      </c>
      <c r="L591" s="16" t="n">
        <f aca="false">J591*K591</f>
        <v>0.112732841951315</v>
      </c>
      <c r="M591" s="44" t="n">
        <f aca="false">Country_Data!$DW$88+Sector_Params!$E$10</f>
        <v>0.105</v>
      </c>
      <c r="N591" s="44" t="n">
        <f aca="false">Country_Data!$DX$88+Sector_Params!$E$10</f>
        <v>0.15</v>
      </c>
      <c r="O591" s="11" t="n">
        <f aca="false">IF(p_use_ibrd=1,p_r_ibrd,p_r_wb)</f>
        <v>0.06</v>
      </c>
      <c r="P591" s="45" t="n">
        <f aca="false">Sector_Params!$D$10</f>
        <v>20</v>
      </c>
      <c r="Q591" s="46" t="n">
        <f aca="false">M591/(1-(1+M591)^-P591)</f>
        <v>0.121493265267016</v>
      </c>
      <c r="R591" s="46" t="n">
        <f aca="false">N591/(1-(1+N591)^-P591)</f>
        <v>0.159761470405744</v>
      </c>
      <c r="S591" s="46" t="n">
        <f aca="false">O591/(1-(1+O591)^-P591)</f>
        <v>0.0871845569768514</v>
      </c>
      <c r="T591" s="37" t="n">
        <f aca="false">0*Sector_Params!$I$10</f>
        <v>0</v>
      </c>
      <c r="U591" s="37" t="n">
        <f aca="false">0*Sector_Params!$J$10</f>
        <v>0</v>
      </c>
      <c r="V591" s="37" t="n">
        <f aca="false">1000*p_r_wb/(1-(1+p_r_wb)^-Sector_Params!$D$10)/p_cpt_fuel</f>
        <v>0.871845569768514</v>
      </c>
      <c r="W591" s="16" t="n">
        <f aca="false">T591*L591</f>
        <v>0</v>
      </c>
      <c r="X591" s="16" t="n">
        <f aca="false">U591*L591</f>
        <v>0</v>
      </c>
      <c r="Y591" s="16" t="n">
        <f aca="false">V591*L591</f>
        <v>0.0982856288226678</v>
      </c>
      <c r="Z591" s="16" t="n">
        <f aca="false">Q591*L591</f>
        <v>0.0136962810714957</v>
      </c>
      <c r="AA591" s="16" t="n">
        <f aca="false">R591*L591</f>
        <v>0.0180103645931604</v>
      </c>
      <c r="AB591" s="16" t="n">
        <f aca="false">S591*L591</f>
        <v>0.00982856288226678</v>
      </c>
      <c r="AC591" s="16" t="n">
        <f aca="false">Z591-W591</f>
        <v>0.0136962810714957</v>
      </c>
      <c r="AD591" s="16" t="n">
        <f aca="false">AA591-W591</f>
        <v>0.0180103645931604</v>
      </c>
      <c r="AE591" s="16" t="n">
        <f aca="false">AB591-W591</f>
        <v>0.00982856288226678</v>
      </c>
      <c r="AF591" s="16" t="n">
        <f aca="false">AE591-X591</f>
        <v>0.00982856288226678</v>
      </c>
      <c r="AG591" s="16" t="n">
        <f aca="false">AF591-p_spc_lo*Y591/1000</f>
        <v>0.00491428144113339</v>
      </c>
      <c r="AH591" s="16" t="n">
        <f aca="false">AF591-p_spc_hi*Y591/1000</f>
        <v>0</v>
      </c>
      <c r="AI591" s="16" t="n">
        <f aca="false">Q591*J591</f>
        <v>0.0570678377978987</v>
      </c>
      <c r="AJ591" s="16" t="n">
        <f aca="false">S591*J591</f>
        <v>0.0409523453427782</v>
      </c>
      <c r="AK591" s="16" t="n">
        <f aca="false">T591*J591</f>
        <v>0</v>
      </c>
      <c r="AL591" s="16" t="n">
        <f aca="false">U591*J591</f>
        <v>0</v>
      </c>
      <c r="AM591" s="16" t="n">
        <f aca="false">AI591-AJ591</f>
        <v>0.0161154924551204</v>
      </c>
      <c r="AN591" s="16" t="n">
        <f aca="false">J591*Country_Data!$EB$88</f>
        <v>0.539213022575352</v>
      </c>
      <c r="AO591" s="16" t="n">
        <f aca="false">L591*Country_Data!$EB$88</f>
        <v>0.129411125418085</v>
      </c>
    </row>
    <row r="592" customFormat="false" ht="15" hidden="false" customHeight="false" outlineLevel="0" collapsed="false">
      <c r="A592" s="14" t="str">
        <f aca="false">Country_Data!$A$88</f>
        <v>BLR</v>
      </c>
      <c r="B592" s="14" t="str">
        <f aca="false">Country_Data!$E$88</f>
        <v>EMDC</v>
      </c>
      <c r="C592" s="35" t="s">
        <v>488</v>
      </c>
      <c r="D592" s="37" t="n">
        <f aca="false">IF(Country_Data!$CE$88="","",Country_Data!$CE$88)</f>
        <v>30.52</v>
      </c>
      <c r="E592" s="40" t="n">
        <f aca="false">Country_Data!$BW$88</f>
        <v>296.996</v>
      </c>
      <c r="F592" s="41" t="n">
        <f aca="false">Country_Data!$BX$88</f>
        <v>0.265481689989091</v>
      </c>
      <c r="G592" s="42" t="n">
        <f aca="false">IF(D592="","",D592/SUMIFS($D$5:$D$1369,$B$5:$B$1369,B592,$C$5:$C$1369,C592))</f>
        <v>0.00250079686269626</v>
      </c>
      <c r="H592" s="42" t="n">
        <f aca="false">E592/SUMIFS($E$5:$E$1369,$B$5:$B$1369,B592,$C$5:$C$1369,C592)</f>
        <v>0.00367879409239645</v>
      </c>
      <c r="I592" s="43" t="n">
        <f aca="false">IF(G592="",H592,p_beta_alloc*G592+(1-p_beta_alloc)*H592)*F592^p_phi</f>
        <v>0.00159201450371408</v>
      </c>
      <c r="J592" s="16" t="n">
        <f aca="false">INDEX(Sector_Params!$C$22:$E$22,MATCH(B592,Sector_Params!$C$15:$E$15,0))*I592/SUMIFS($I$5:$I$1369,$B$5:$B$1369,B592,$C$5:$C$1369,C592)</f>
        <v>0.959679697004992</v>
      </c>
      <c r="K592" s="28" t="n">
        <f aca="false">INDEX(Sector_Params!$F$11:$H$11,MATCH(B592,Sector_Params!$C$15:$E$15,0))</f>
        <v>0.24</v>
      </c>
      <c r="L592" s="16" t="n">
        <f aca="false">J592*K592</f>
        <v>0.230323127281198</v>
      </c>
      <c r="M592" s="44" t="n">
        <f aca="false">Country_Data!$DW$88+Sector_Params!$E$11</f>
        <v>0.105</v>
      </c>
      <c r="N592" s="44" t="n">
        <f aca="false">Country_Data!$DX$88+Sector_Params!$E$11</f>
        <v>0.15</v>
      </c>
      <c r="O592" s="11" t="n">
        <f aca="false">IF(p_use_ibrd=1,p_r_ibrd,p_r_wb)</f>
        <v>0.06</v>
      </c>
      <c r="P592" s="45" t="n">
        <f aca="false">Sector_Params!$D$11</f>
        <v>30</v>
      </c>
      <c r="Q592" s="46" t="n">
        <f aca="false">M592/(1-(1+M592)^-P592)</f>
        <v>0.110528481529605</v>
      </c>
      <c r="R592" s="46" t="n">
        <f aca="false">N592/(1-(1+N592)^-P592)</f>
        <v>0.152300198192734</v>
      </c>
      <c r="S592" s="46" t="n">
        <f aca="false">O592/(1-(1+O592)^-P592)</f>
        <v>0.0726489114900472</v>
      </c>
      <c r="T592" s="37" t="n">
        <f aca="false">0*Sector_Params!$I$11</f>
        <v>0</v>
      </c>
      <c r="U592" s="37" t="n">
        <f aca="false">p_c*Sector_Params!$J$11</f>
        <v>0.129</v>
      </c>
      <c r="V592" s="37" t="n">
        <f aca="false">1000*p_r_wb/(1-(1+p_r_wb)^-Sector_Params!$D$11)/p_cpt_afolu</f>
        <v>1.45297822980094</v>
      </c>
      <c r="W592" s="16" t="n">
        <f aca="false">T592*L592</f>
        <v>0</v>
      </c>
      <c r="X592" s="16" t="n">
        <f aca="false">U592*L592</f>
        <v>0.0297116834192745</v>
      </c>
      <c r="Y592" s="16" t="n">
        <f aca="false">V592*L592</f>
        <v>0.334654489759253</v>
      </c>
      <c r="Z592" s="16" t="n">
        <f aca="false">Q592*L592</f>
        <v>0.0254572655195408</v>
      </c>
      <c r="AA592" s="16" t="n">
        <f aca="false">R592*L592</f>
        <v>0.0350782579332968</v>
      </c>
      <c r="AB592" s="16" t="n">
        <f aca="false">S592*L592</f>
        <v>0.0167327244879626</v>
      </c>
      <c r="AC592" s="16" t="n">
        <f aca="false">Z592-W592</f>
        <v>0.0254572655195408</v>
      </c>
      <c r="AD592" s="16" t="n">
        <f aca="false">AA592-W592</f>
        <v>0.0350782579332968</v>
      </c>
      <c r="AE592" s="16" t="n">
        <f aca="false">AB592-W592</f>
        <v>0.0167327244879626</v>
      </c>
      <c r="AF592" s="16" t="n">
        <f aca="false">AE592-X592</f>
        <v>-0.0129789589313119</v>
      </c>
      <c r="AG592" s="16" t="n">
        <f aca="false">AF592-p_spc_lo*Y592/1000</f>
        <v>-0.0297116834192745</v>
      </c>
      <c r="AH592" s="16" t="n">
        <f aca="false">AF592-p_spc_hi*Y592/1000</f>
        <v>-0.0464444079072372</v>
      </c>
      <c r="AI592" s="16" t="n">
        <f aca="false">Q592*J592</f>
        <v>0.106071939664753</v>
      </c>
      <c r="AJ592" s="16" t="n">
        <f aca="false">S592*J592</f>
        <v>0.069719685366511</v>
      </c>
      <c r="AK592" s="16" t="n">
        <f aca="false">T592*J592</f>
        <v>0</v>
      </c>
      <c r="AL592" s="16" t="n">
        <f aca="false">U592*J592</f>
        <v>0.123798680913644</v>
      </c>
      <c r="AM592" s="16" t="n">
        <f aca="false">AI592-AJ592</f>
        <v>0.0363522542982423</v>
      </c>
      <c r="AN592" s="16" t="n">
        <f aca="false">J592*Country_Data!$EB$88</f>
        <v>1.10165970697285</v>
      </c>
      <c r="AO592" s="16" t="n">
        <f aca="false">L592*Country_Data!$EB$88</f>
        <v>0.264398329673485</v>
      </c>
    </row>
    <row r="593" customFormat="false" ht="15" hidden="false" customHeight="false" outlineLevel="0" collapsed="false">
      <c r="A593" s="14" t="str">
        <f aca="false">Country_Data!$A$89</f>
        <v>MMR</v>
      </c>
      <c r="B593" s="14" t="str">
        <f aca="false">Country_Data!$E$89</f>
        <v>EMDC</v>
      </c>
      <c r="C593" s="35" t="s">
        <v>466</v>
      </c>
      <c r="D593" s="37" t="n">
        <f aca="false">IF(Country_Data!$BZ$89="","",Country_Data!$BZ$89)</f>
        <v>21.1842100786989</v>
      </c>
      <c r="E593" s="40" t="n">
        <f aca="false">Country_Data!$BW$89</f>
        <v>274.604</v>
      </c>
      <c r="F593" s="41" t="n">
        <f aca="false">Country_Data!$BX$89</f>
        <v>0.279526154025433</v>
      </c>
      <c r="G593" s="42" t="n">
        <f aca="false">IF(D593="","",D593/SUMIFS($D$5:$D$1369,$B$5:$B$1369,B593,$C$5:$C$1369,C593))</f>
        <v>0.00241843465996378</v>
      </c>
      <c r="H593" s="42" t="n">
        <f aca="false">E593/SUMIFS($E$5:$E$1369,$B$5:$B$1369,B593,$C$5:$C$1369,C593)</f>
        <v>0.00340143157802945</v>
      </c>
      <c r="I593" s="43" t="n">
        <f aca="false">IF(G593="",H593,p_beta_alloc*G593+(1-p_beta_alloc)*H593)*F593^p_phi</f>
        <v>0.00153848842092273</v>
      </c>
      <c r="J593" s="16" t="n">
        <f aca="false">INDEX(Sector_Params!$C$16:$E$16,MATCH(B593,Sector_Params!$C$15:$E$15,0))*I593/SUMIFS($I$5:$I$1369,$B$5:$B$1369,B593,$C$5:$C$1369,C593)</f>
        <v>1.48806500476075</v>
      </c>
      <c r="K593" s="28" t="n">
        <f aca="false">INDEX(Sector_Params!$F$5:$H$5,MATCH(B593,Sector_Params!$C$15:$E$15,0))</f>
        <v>0.24</v>
      </c>
      <c r="L593" s="16" t="n">
        <f aca="false">J593*K593</f>
        <v>0.357135601142579</v>
      </c>
      <c r="M593" s="44" t="n">
        <f aca="false">Country_Data!$DW$89+Sector_Params!$E$5</f>
        <v>0.105</v>
      </c>
      <c r="N593" s="44" t="n">
        <f aca="false">Country_Data!$DX$89+Sector_Params!$E$5</f>
        <v>0.15</v>
      </c>
      <c r="O593" s="11" t="n">
        <f aca="false">IF(p_use_ibrd=1,p_r_ibrd,p_r_wb)</f>
        <v>0.06</v>
      </c>
      <c r="P593" s="45" t="n">
        <f aca="false">Sector_Params!$D$5</f>
        <v>25</v>
      </c>
      <c r="Q593" s="46" t="n">
        <f aca="false">M593/(1-(1+M593)^-P593)</f>
        <v>0.114429319813103</v>
      </c>
      <c r="R593" s="46" t="n">
        <f aca="false">N593/(1-(1+N593)^-P593)</f>
        <v>0.154699402320206</v>
      </c>
      <c r="S593" s="46" t="n">
        <f aca="false">O593/(1-(1+O593)^-P593)</f>
        <v>0.078226718212274</v>
      </c>
      <c r="T593" s="37" t="n">
        <f aca="false">IF(AND(p_eng=1,ISNUMBER(Country_Data!$CZ$89)),Country_Data!$CZ$89,Country_Data!$CM$89)*Sector_Params!$I$5</f>
        <v>0.0383159208735832</v>
      </c>
      <c r="U593" s="37" t="n">
        <f aca="false">IF(AND(p_eng=1,ISNUMBER(Country_Data!$DA$89)),Country_Data!$DA$89,Country_Data!$CN$89)*Sector_Params!$J$5</f>
        <v>0.00063015393296626</v>
      </c>
      <c r="V593" s="37" t="n">
        <f aca="false">IF(AND(p_eng=1,ISNUMBER(Country_Data!$DB$89)),Country_Data!$DB$89,p_a)</f>
        <v>0.57667090230317</v>
      </c>
      <c r="W593" s="16" t="n">
        <f aca="false">T593*L593</f>
        <v>0.0136839794345186</v>
      </c>
      <c r="X593" s="16" t="n">
        <f aca="false">U593*L593</f>
        <v>0.000225050403662266</v>
      </c>
      <c r="Y593" s="16" t="n">
        <f aca="false">V593*L593</f>
        <v>0.205949709355476</v>
      </c>
      <c r="Z593" s="16" t="n">
        <f aca="false">Q593*L593</f>
        <v>0.0408667839197891</v>
      </c>
      <c r="AA593" s="16" t="n">
        <f aca="false">R593*L593</f>
        <v>0.0552486640440247</v>
      </c>
      <c r="AB593" s="16" t="n">
        <f aca="false">S593*L593</f>
        <v>0.0279375460341516</v>
      </c>
      <c r="AC593" s="16" t="n">
        <f aca="false">Z593-W593</f>
        <v>0.0271828044852705</v>
      </c>
      <c r="AD593" s="16" t="n">
        <f aca="false">AA593-W593</f>
        <v>0.041564684609506</v>
      </c>
      <c r="AE593" s="16" t="n">
        <f aca="false">AB593-W593</f>
        <v>0.014253566599633</v>
      </c>
      <c r="AF593" s="16" t="n">
        <f aca="false">AE593-X593</f>
        <v>0.0140285161959707</v>
      </c>
      <c r="AG593" s="16" t="n">
        <f aca="false">AF593-p_spc_lo*Y593/1000</f>
        <v>0.00373103072819691</v>
      </c>
      <c r="AH593" s="16" t="n">
        <f aca="false">AF593-p_spc_hi*Y593/1000</f>
        <v>-0.0065664547395769</v>
      </c>
      <c r="AI593" s="16" t="n">
        <f aca="false">Q593*J593</f>
        <v>0.170278266332455</v>
      </c>
      <c r="AJ593" s="16" t="n">
        <f aca="false">S593*J593</f>
        <v>0.116406441808965</v>
      </c>
      <c r="AK593" s="16" t="n">
        <f aca="false">T593*J593</f>
        <v>0.057016580977161</v>
      </c>
      <c r="AL593" s="16" t="n">
        <f aca="false">U593*J593</f>
        <v>0.000937710015259441</v>
      </c>
      <c r="AM593" s="16" t="n">
        <f aca="false">AI593-AJ593</f>
        <v>0.0538718245234896</v>
      </c>
      <c r="AN593" s="16" t="n">
        <f aca="false">J593*Country_Data!$EB$89</f>
        <v>1.88488233936361</v>
      </c>
      <c r="AO593" s="16" t="n">
        <f aca="false">L593*Country_Data!$EB$89</f>
        <v>0.452371761447267</v>
      </c>
    </row>
    <row r="594" customFormat="false" ht="15" hidden="false" customHeight="false" outlineLevel="0" collapsed="false">
      <c r="A594" s="14" t="str">
        <f aca="false">Country_Data!$A$89</f>
        <v>MMR</v>
      </c>
      <c r="B594" s="14" t="str">
        <f aca="false">Country_Data!$E$89</f>
        <v>EMDC</v>
      </c>
      <c r="C594" s="35" t="s">
        <v>470</v>
      </c>
      <c r="D594" s="37" t="n">
        <f aca="false">IF(Country_Data!$BZ$89="","",Country_Data!$BZ$89)</f>
        <v>21.1842100786989</v>
      </c>
      <c r="E594" s="40" t="n">
        <f aca="false">Country_Data!$BW$89</f>
        <v>274.604</v>
      </c>
      <c r="F594" s="41" t="n">
        <f aca="false">Country_Data!$BX$89</f>
        <v>0.279526154025433</v>
      </c>
      <c r="G594" s="42" t="n">
        <f aca="false">IF(D594="","",D594/SUMIFS($D$5:$D$1369,$B$5:$B$1369,B594,$C$5:$C$1369,C594))</f>
        <v>0.00241843465996378</v>
      </c>
      <c r="H594" s="42" t="n">
        <f aca="false">E594/SUMIFS($E$5:$E$1369,$B$5:$B$1369,B594,$C$5:$C$1369,C594)</f>
        <v>0.00340143157802945</v>
      </c>
      <c r="I594" s="43" t="n">
        <f aca="false">IF(G594="",H594,p_beta_alloc*G594+(1-p_beta_alloc)*H594)*F594^p_phi</f>
        <v>0.00153848842092273</v>
      </c>
      <c r="J594" s="16" t="n">
        <f aca="false">INDEX(Sector_Params!$C$17:$E$17,MATCH(B594,Sector_Params!$C$15:$E$15,0))*I594/SUMIFS($I$5:$I$1369,$B$5:$B$1369,B594,$C$5:$C$1369,C594)</f>
        <v>1.02038743183594</v>
      </c>
      <c r="K594" s="28" t="n">
        <f aca="false">INDEX(Sector_Params!$F$6:$H$6,MATCH(B594,Sector_Params!$C$15:$E$15,0))</f>
        <v>0.24</v>
      </c>
      <c r="L594" s="16" t="n">
        <f aca="false">J594*K594</f>
        <v>0.244892983640626</v>
      </c>
      <c r="M594" s="44" t="n">
        <f aca="false">Country_Data!$DW$89+Sector_Params!$E$6</f>
        <v>0.105</v>
      </c>
      <c r="N594" s="44" t="n">
        <f aca="false">Country_Data!$DX$89+Sector_Params!$E$6</f>
        <v>0.15</v>
      </c>
      <c r="O594" s="11" t="n">
        <f aca="false">IF(p_use_ibrd=1,p_r_ibrd,p_r_wb)</f>
        <v>0.06</v>
      </c>
      <c r="P594" s="45" t="n">
        <f aca="false">Sector_Params!$D$6</f>
        <v>40</v>
      </c>
      <c r="Q594" s="46" t="n">
        <f aca="false">M594/(1-(1+M594)^-P594)</f>
        <v>0.10697140835497</v>
      </c>
      <c r="R594" s="46" t="n">
        <f aca="false">N594/(1-(1+N594)^-P594)</f>
        <v>0.150562085013545</v>
      </c>
      <c r="S594" s="46" t="n">
        <f aca="false">O594/(1-(1+O594)^-P594)</f>
        <v>0.0664615359206755</v>
      </c>
      <c r="T594" s="37" t="n">
        <f aca="false">p_grid_credit*IF(AND(p_eng=1,ISNUMBER(Country_Data!$CZ$89)),Country_Data!$CZ$89,Country_Data!$CM$89)*Sector_Params!$I$6</f>
        <v>0</v>
      </c>
      <c r="U594" s="37" t="n">
        <f aca="false">p_grid_credit*IF(AND(p_eng=1,ISNUMBER(Country_Data!$DA$89)),Country_Data!$DA$89,Country_Data!$CN$89)*Sector_Params!$J$6</f>
        <v>0</v>
      </c>
      <c r="V594" s="37" t="n">
        <f aca="false">p_grid_credit*IF(AND(p_eng=1,ISNUMBER(Country_Data!$DB$89)),Country_Data!$DB$89,p_a)</f>
        <v>0</v>
      </c>
      <c r="W594" s="16" t="n">
        <f aca="false">T594*L594</f>
        <v>0</v>
      </c>
      <c r="X594" s="16" t="n">
        <f aca="false">U594*L594</f>
        <v>0</v>
      </c>
      <c r="Y594" s="16" t="n">
        <f aca="false">V594*L594</f>
        <v>0</v>
      </c>
      <c r="Z594" s="16" t="n">
        <f aca="false">Q594*L594</f>
        <v>0.0261965473562885</v>
      </c>
      <c r="AA594" s="16" t="n">
        <f aca="false">R594*L594</f>
        <v>0.0368715982221206</v>
      </c>
      <c r="AB594" s="16" t="n">
        <f aca="false">S594*L594</f>
        <v>0.0162759638289529</v>
      </c>
      <c r="AC594" s="16" t="n">
        <f aca="false">Z594-W594</f>
        <v>0.0261965473562885</v>
      </c>
      <c r="AD594" s="16" t="n">
        <f aca="false">AA594-W594</f>
        <v>0.0368715982221206</v>
      </c>
      <c r="AE594" s="16" t="n">
        <f aca="false">AB594-W594</f>
        <v>0.0162759638289529</v>
      </c>
      <c r="AF594" s="16" t="n">
        <f aca="false">AE594-X594</f>
        <v>0.0162759638289529</v>
      </c>
      <c r="AG594" s="16" t="n">
        <f aca="false">AF594-p_spc_lo*Y594/1000</f>
        <v>0.0162759638289529</v>
      </c>
      <c r="AH594" s="16" t="n">
        <f aca="false">AF594-p_spc_hi*Y594/1000</f>
        <v>0.0162759638289529</v>
      </c>
      <c r="AI594" s="16" t="n">
        <f aca="false">Q594*J594</f>
        <v>0.109152280651202</v>
      </c>
      <c r="AJ594" s="16" t="n">
        <f aca="false">S594*J594</f>
        <v>0.0678165159539702</v>
      </c>
      <c r="AK594" s="16" t="n">
        <f aca="false">T594*J594</f>
        <v>0</v>
      </c>
      <c r="AL594" s="16" t="n">
        <f aca="false">U594*J594</f>
        <v>0</v>
      </c>
      <c r="AM594" s="16" t="n">
        <f aca="false">AI594-AJ594</f>
        <v>0.0413357646972317</v>
      </c>
      <c r="AN594" s="16" t="n">
        <f aca="false">J594*Country_Data!$EB$89</f>
        <v>1.29249074699219</v>
      </c>
      <c r="AO594" s="16" t="n">
        <f aca="false">L594*Country_Data!$EB$89</f>
        <v>0.310197779278126</v>
      </c>
    </row>
    <row r="595" customFormat="false" ht="15" hidden="false" customHeight="false" outlineLevel="0" collapsed="false">
      <c r="A595" s="14" t="str">
        <f aca="false">Country_Data!$A$89</f>
        <v>MMR</v>
      </c>
      <c r="B595" s="14" t="str">
        <f aca="false">Country_Data!$E$89</f>
        <v>EMDC</v>
      </c>
      <c r="C595" s="35" t="s">
        <v>473</v>
      </c>
      <c r="D595" s="37" t="n">
        <f aca="false">IF(Country_Data!$CA$89="","",Country_Data!$CA$89)</f>
        <v>0.251157560857025</v>
      </c>
      <c r="E595" s="40" t="n">
        <f aca="false">Country_Data!$BW$89</f>
        <v>274.604</v>
      </c>
      <c r="F595" s="41" t="n">
        <f aca="false">Country_Data!$BX$89</f>
        <v>0.279526154025433</v>
      </c>
      <c r="G595" s="42" t="n">
        <f aca="false">IF(D595="","",D595/SUMIFS($D$5:$D$1369,$B$5:$B$1369,B595,$C$5:$C$1369,C595))</f>
        <v>0.00580232402771339</v>
      </c>
      <c r="H595" s="42" t="n">
        <f aca="false">E595/SUMIFS($E$5:$E$1369,$B$5:$B$1369,B595,$C$5:$C$1369,C595)</f>
        <v>0.00340143157802945</v>
      </c>
      <c r="I595" s="43" t="n">
        <f aca="false">IF(G595="",H595,p_beta_alloc*G595+(1-p_beta_alloc)*H595)*F595^p_phi</f>
        <v>0.00243302351796329</v>
      </c>
      <c r="J595" s="16" t="n">
        <f aca="false">INDEX(Sector_Params!$C$18:$E$18,MATCH(B595,Sector_Params!$C$15:$E$15,0))*I595/SUMIFS($I$5:$I$1369,$B$5:$B$1369,B595,$C$5:$C$1369,C595)</f>
        <v>0.996265562315052</v>
      </c>
      <c r="K595" s="28" t="n">
        <f aca="false">INDEX(Sector_Params!$F$7:$H$7,MATCH(B595,Sector_Params!$C$15:$E$15,0))</f>
        <v>0.24</v>
      </c>
      <c r="L595" s="16" t="n">
        <f aca="false">J595*K595</f>
        <v>0.239103734955612</v>
      </c>
      <c r="M595" s="44" t="n">
        <f aca="false">Country_Data!$DW$89+Sector_Params!$E$7</f>
        <v>0.105</v>
      </c>
      <c r="N595" s="44" t="n">
        <f aca="false">Country_Data!$DX$89+Sector_Params!$E$7</f>
        <v>0.15</v>
      </c>
      <c r="O595" s="11" t="n">
        <f aca="false">IF(p_use_ibrd=1,p_r_ibrd,p_r_wb)</f>
        <v>0.06</v>
      </c>
      <c r="P595" s="45" t="n">
        <f aca="false">Sector_Params!$D$7</f>
        <v>12</v>
      </c>
      <c r="Q595" s="46" t="n">
        <f aca="false">M595/(1-(1+M595)^-P595)</f>
        <v>0.150376745634766</v>
      </c>
      <c r="R595" s="46" t="n">
        <f aca="false">N595/(1-(1+N595)^-P595)</f>
        <v>0.18448077613084</v>
      </c>
      <c r="S595" s="46" t="n">
        <f aca="false">O595/(1-(1+O595)^-P595)</f>
        <v>0.119277029380664</v>
      </c>
      <c r="T595" s="37" t="n">
        <f aca="false">IF(AND(p_eng=1,ISNUMBER(Country_Data!$DE$89)),Country_Data!$DE$89,Country_Data!$CM$89)*Sector_Params!$I$7</f>
        <v>0.1217007</v>
      </c>
      <c r="U595" s="37" t="n">
        <f aca="false">IF(AND(p_eng=1,ISNUMBER(Country_Data!$DF$89)),Country_Data!$DF$89,Country_Data!$CN$89)*Sector_Params!$J$7</f>
        <v>0.029630025</v>
      </c>
      <c r="V595" s="37" t="n">
        <f aca="false">IF(AND(p_eng=1,ISNUMBER(Country_Data!$DG$89)),Country_Data!$DG$89,p_a)</f>
        <v>0.397947011745739</v>
      </c>
      <c r="W595" s="16" t="n">
        <f aca="false">T595*L595</f>
        <v>0.0290990919167125</v>
      </c>
      <c r="X595" s="16" t="n">
        <f aca="false">U595*L595</f>
        <v>0.00708464964432817</v>
      </c>
      <c r="Y595" s="16" t="n">
        <f aca="false">V595*L595</f>
        <v>0.0951506168228312</v>
      </c>
      <c r="Z595" s="16" t="n">
        <f aca="false">Q595*L595</f>
        <v>0.0359556415317426</v>
      </c>
      <c r="AA595" s="16" t="n">
        <f aca="false">R595*L595</f>
        <v>0.0441100426003939</v>
      </c>
      <c r="AB595" s="16" t="n">
        <f aca="false">S595*L595</f>
        <v>0.028519583219327</v>
      </c>
      <c r="AC595" s="16" t="n">
        <f aca="false">Z595-W595</f>
        <v>0.00685654961503007</v>
      </c>
      <c r="AD595" s="16" t="n">
        <f aca="false">AA595-W595</f>
        <v>0.0150109506836814</v>
      </c>
      <c r="AE595" s="16" t="n">
        <f aca="false">AB595-W595</f>
        <v>-0.000579508697385531</v>
      </c>
      <c r="AF595" s="16" t="n">
        <f aca="false">AE595-X595</f>
        <v>-0.0076641583417137</v>
      </c>
      <c r="AG595" s="16" t="n">
        <f aca="false">AF595-p_spc_lo*Y595/1000</f>
        <v>-0.0124216891828553</v>
      </c>
      <c r="AH595" s="16" t="n">
        <f aca="false">AF595-p_spc_hi*Y595/1000</f>
        <v>-0.0171792200239968</v>
      </c>
      <c r="AI595" s="16" t="n">
        <f aca="false">Q595*J595</f>
        <v>0.149815173048927</v>
      </c>
      <c r="AJ595" s="16" t="n">
        <f aca="false">S595*J595</f>
        <v>0.118831596747196</v>
      </c>
      <c r="AK595" s="16" t="n">
        <f aca="false">T595*J595</f>
        <v>0.121246216319635</v>
      </c>
      <c r="AL595" s="16" t="n">
        <f aca="false">U595*J595</f>
        <v>0.029519373518034</v>
      </c>
      <c r="AM595" s="16" t="n">
        <f aca="false">AI595-AJ595</f>
        <v>0.0309835763017317</v>
      </c>
      <c r="AN595" s="16" t="n">
        <f aca="false">J595*Country_Data!$EB$89</f>
        <v>1.2619363789324</v>
      </c>
      <c r="AO595" s="16" t="n">
        <f aca="false">L595*Country_Data!$EB$89</f>
        <v>0.302864730943776</v>
      </c>
    </row>
    <row r="596" customFormat="false" ht="15" hidden="false" customHeight="false" outlineLevel="0" collapsed="false">
      <c r="A596" s="14" t="str">
        <f aca="false">Country_Data!$A$89</f>
        <v>MMR</v>
      </c>
      <c r="B596" s="14" t="str">
        <f aca="false">Country_Data!$E$89</f>
        <v>EMDC</v>
      </c>
      <c r="C596" s="35" t="s">
        <v>477</v>
      </c>
      <c r="D596" s="37" t="n">
        <f aca="false">IF(Country_Data!$CB$89="","",Country_Data!$CB$89)</f>
        <v>0.0350657013410724</v>
      </c>
      <c r="E596" s="40" t="n">
        <f aca="false">Country_Data!$BW$89</f>
        <v>274.604</v>
      </c>
      <c r="F596" s="41" t="n">
        <f aca="false">Country_Data!$BX$89</f>
        <v>0.279526154025433</v>
      </c>
      <c r="G596" s="42" t="n">
        <f aca="false">IF(D596="","",D596/SUMIFS($D$5:$D$1369,$B$5:$B$1369,B596,$C$5:$C$1369,C596))</f>
        <v>0.00110572833835569</v>
      </c>
      <c r="H596" s="42" t="n">
        <f aca="false">E596/SUMIFS($E$5:$E$1369,$B$5:$B$1369,B596,$C$5:$C$1369,C596)</f>
        <v>0.00340143157802945</v>
      </c>
      <c r="I596" s="43" t="n">
        <f aca="false">IF(G596="",H596,p_beta_alloc*G596+(1-p_beta_alloc)*H596)*F596^p_phi</f>
        <v>0.00119147297533021</v>
      </c>
      <c r="J596" s="16" t="n">
        <f aca="false">INDEX(Sector_Params!$C$19:$E$19,MATCH(B596,Sector_Params!$C$15:$E$15,0))*I596/SUMIFS($I$5:$I$1369,$B$5:$B$1369,B596,$C$5:$C$1369,C596)</f>
        <v>0.383490585529727</v>
      </c>
      <c r="K596" s="28" t="n">
        <f aca="false">INDEX(Sector_Params!$F$8:$H$8,MATCH(B596,Sector_Params!$C$15:$E$15,0))</f>
        <v>0.24</v>
      </c>
      <c r="L596" s="16" t="n">
        <f aca="false">J596*K596</f>
        <v>0.0920377405271344</v>
      </c>
      <c r="M596" s="44" t="n">
        <f aca="false">Country_Data!$DW$89+Sector_Params!$E$8</f>
        <v>0.105</v>
      </c>
      <c r="N596" s="44" t="n">
        <f aca="false">Country_Data!$DX$89+Sector_Params!$E$8</f>
        <v>0.15</v>
      </c>
      <c r="O596" s="11" t="n">
        <f aca="false">IF(p_use_ibrd=1,p_r_ibrd,p_r_wb)</f>
        <v>0.06</v>
      </c>
      <c r="P596" s="45" t="n">
        <f aca="false">Sector_Params!$D$8</f>
        <v>25</v>
      </c>
      <c r="Q596" s="46" t="n">
        <f aca="false">M596/(1-(1+M596)^-P596)</f>
        <v>0.114429319813103</v>
      </c>
      <c r="R596" s="46" t="n">
        <f aca="false">N596/(1-(1+N596)^-P596)</f>
        <v>0.154699402320206</v>
      </c>
      <c r="S596" s="46" t="n">
        <f aca="false">O596/(1-(1+O596)^-P596)</f>
        <v>0.078226718212274</v>
      </c>
      <c r="T596" s="37" t="n">
        <f aca="false">Country_Data!$CM$89*Sector_Params!$I$8</f>
        <v>0.116099075345033</v>
      </c>
      <c r="U596" s="37" t="n">
        <f aca="false">Country_Data!$CN$89*Sector_Params!$J$8</f>
        <v>0.103837751300129</v>
      </c>
      <c r="V596" s="37" t="n">
        <f aca="false">p_a</f>
        <v>0.35</v>
      </c>
      <c r="W596" s="16" t="n">
        <f aca="false">T596*L596</f>
        <v>0.0106854965720464</v>
      </c>
      <c r="X596" s="16" t="n">
        <f aca="false">U596*L596</f>
        <v>0.00955699201108242</v>
      </c>
      <c r="Y596" s="16" t="n">
        <f aca="false">V596*L596</f>
        <v>0.032213209184497</v>
      </c>
      <c r="Z596" s="16" t="n">
        <f aca="false">Q596*L596</f>
        <v>0.0105318160456549</v>
      </c>
      <c r="AA596" s="16" t="n">
        <f aca="false">R596*L596</f>
        <v>0.0142381834504499</v>
      </c>
      <c r="AB596" s="16" t="n">
        <f aca="false">S596*L596</f>
        <v>0.00719981039311053</v>
      </c>
      <c r="AC596" s="16" t="n">
        <f aca="false">Z596-W596</f>
        <v>-0.000153680526391508</v>
      </c>
      <c r="AD596" s="16" t="n">
        <f aca="false">AA596-W596</f>
        <v>0.00355268687840354</v>
      </c>
      <c r="AE596" s="16" t="n">
        <f aca="false">AB596-W596</f>
        <v>-0.00348568617893586</v>
      </c>
      <c r="AF596" s="16" t="n">
        <f aca="false">AE596-X596</f>
        <v>-0.0130426781900183</v>
      </c>
      <c r="AG596" s="16" t="n">
        <f aca="false">AF596-p_spc_lo*Y596/1000</f>
        <v>-0.0146533386492431</v>
      </c>
      <c r="AH596" s="16" t="n">
        <f aca="false">AF596-p_spc_hi*Y596/1000</f>
        <v>-0.016263999108468</v>
      </c>
      <c r="AI596" s="16" t="n">
        <f aca="false">Q596*J596</f>
        <v>0.0438825668568953</v>
      </c>
      <c r="AJ596" s="16" t="n">
        <f aca="false">S596*J596</f>
        <v>0.0299992099712939</v>
      </c>
      <c r="AK596" s="16" t="n">
        <f aca="false">T596*J596</f>
        <v>0.0445229023835266</v>
      </c>
      <c r="AL596" s="16" t="n">
        <f aca="false">U596*J596</f>
        <v>0.0398208000461768</v>
      </c>
      <c r="AM596" s="16" t="n">
        <f aca="false">AI596-AJ596</f>
        <v>0.0138833568856015</v>
      </c>
      <c r="AN596" s="16" t="n">
        <f aca="false">J596*Country_Data!$EB$89</f>
        <v>0.485754741670987</v>
      </c>
      <c r="AO596" s="16" t="n">
        <f aca="false">L596*Country_Data!$EB$89</f>
        <v>0.116581138001037</v>
      </c>
    </row>
    <row r="597" customFormat="false" ht="15" hidden="false" customHeight="false" outlineLevel="0" collapsed="false">
      <c r="A597" s="14" t="str">
        <f aca="false">Country_Data!$A$89</f>
        <v>MMR</v>
      </c>
      <c r="B597" s="14" t="str">
        <f aca="false">Country_Data!$E$89</f>
        <v>EMDC</v>
      </c>
      <c r="C597" s="35" t="s">
        <v>481</v>
      </c>
      <c r="D597" s="37" t="n">
        <f aca="false">IF(Country_Data!$CC$89="","",Country_Data!$CC$89)</f>
        <v>0.0885183341158505</v>
      </c>
      <c r="E597" s="40" t="n">
        <f aca="false">Country_Data!$BW$89</f>
        <v>274.604</v>
      </c>
      <c r="F597" s="41" t="n">
        <f aca="false">Country_Data!$BX$89</f>
        <v>0.279526154025433</v>
      </c>
      <c r="G597" s="42" t="n">
        <f aca="false">IF(D597="","",D597/SUMIFS($D$5:$D$1369,$B$5:$B$1369,B597,$C$5:$C$1369,C597))</f>
        <v>0.00126441653684311</v>
      </c>
      <c r="H597" s="42" t="n">
        <f aca="false">E597/SUMIFS($E$5:$E$1369,$B$5:$B$1369,B597,$C$5:$C$1369,C597)</f>
        <v>0.00340143157802945</v>
      </c>
      <c r="I597" s="43" t="n">
        <f aca="false">IF(G597="",H597,p_beta_alloc*G597+(1-p_beta_alloc)*H597)*F597^p_phi</f>
        <v>0.00123342238549297</v>
      </c>
      <c r="J597" s="16" t="n">
        <f aca="false">INDEX(Sector_Params!$C$20:$E$20,MATCH(B597,Sector_Params!$C$15:$E$15,0))*I597/SUMIFS($I$5:$I$1369,$B$5:$B$1369,B597,$C$5:$C$1369,C597)</f>
        <v>0.225124423626405</v>
      </c>
      <c r="K597" s="28" t="n">
        <f aca="false">INDEX(Sector_Params!$F$9:$H$9,MATCH(B597,Sector_Params!$C$15:$E$15,0))</f>
        <v>0.24</v>
      </c>
      <c r="L597" s="16" t="n">
        <f aca="false">J597*K597</f>
        <v>0.0540298616703371</v>
      </c>
      <c r="M597" s="44" t="n">
        <f aca="false">Country_Data!$DW$89+Sector_Params!$E$9</f>
        <v>0.105</v>
      </c>
      <c r="N597" s="44" t="n">
        <f aca="false">Country_Data!$DX$89+Sector_Params!$E$9</f>
        <v>0.15</v>
      </c>
      <c r="O597" s="11" t="n">
        <f aca="false">IF(p_use_ibrd=1,p_r_ibrd,p_r_wb)</f>
        <v>0.06</v>
      </c>
      <c r="P597" s="45" t="n">
        <f aca="false">Sector_Params!$D$9</f>
        <v>25</v>
      </c>
      <c r="Q597" s="46" t="n">
        <f aca="false">M597/(1-(1+M597)^-P597)</f>
        <v>0.114429319813103</v>
      </c>
      <c r="R597" s="46" t="n">
        <f aca="false">N597/(1-(1+N597)^-P597)</f>
        <v>0.154699402320206</v>
      </c>
      <c r="S597" s="46" t="n">
        <f aca="false">O597/(1-(1+O597)^-P597)</f>
        <v>0.078226718212274</v>
      </c>
      <c r="T597" s="37" t="n">
        <f aca="false">Country_Data!$CM$89*Sector_Params!$I$9</f>
        <v>0.116099075345033</v>
      </c>
      <c r="U597" s="37" t="n">
        <f aca="false">Country_Data!$CN$89*Sector_Params!$J$9</f>
        <v>0.103837751300129</v>
      </c>
      <c r="V597" s="37" t="n">
        <f aca="false">p_a</f>
        <v>0.35</v>
      </c>
      <c r="W597" s="16" t="n">
        <f aca="false">T597*L597</f>
        <v>0.00627281698094619</v>
      </c>
      <c r="X597" s="16" t="n">
        <f aca="false">U597*L597</f>
        <v>0.00561033933890486</v>
      </c>
      <c r="Y597" s="16" t="n">
        <f aca="false">V597*L597</f>
        <v>0.018910451584618</v>
      </c>
      <c r="Z597" s="16" t="n">
        <f aca="false">Q597*L597</f>
        <v>0.00618260032053274</v>
      </c>
      <c r="AA597" s="16" t="n">
        <f aca="false">R597*L597</f>
        <v>0.00835838730784459</v>
      </c>
      <c r="AB597" s="16" t="n">
        <f aca="false">S597*L597</f>
        <v>0.0042265787639336</v>
      </c>
      <c r="AC597" s="16" t="n">
        <f aca="false">Z597-W597</f>
        <v>-9.02166604134511E-005</v>
      </c>
      <c r="AD597" s="16" t="n">
        <f aca="false">AA597-W597</f>
        <v>0.00208557032689839</v>
      </c>
      <c r="AE597" s="16" t="n">
        <f aca="false">AB597-W597</f>
        <v>-0.00204623821701259</v>
      </c>
      <c r="AF597" s="16" t="n">
        <f aca="false">AE597-X597</f>
        <v>-0.00765657755591745</v>
      </c>
      <c r="AG597" s="16" t="n">
        <f aca="false">AF597-p_spc_lo*Y597/1000</f>
        <v>-0.00860210013514835</v>
      </c>
      <c r="AH597" s="16" t="n">
        <f aca="false">AF597-p_spc_hi*Y597/1000</f>
        <v>-0.00954762271437925</v>
      </c>
      <c r="AI597" s="16" t="n">
        <f aca="false">Q597*J597</f>
        <v>0.0257608346688864</v>
      </c>
      <c r="AJ597" s="16" t="n">
        <f aca="false">S597*J597</f>
        <v>0.0176107448497234</v>
      </c>
      <c r="AK597" s="16" t="n">
        <f aca="false">T597*J597</f>
        <v>0.0261367374206091</v>
      </c>
      <c r="AL597" s="16" t="n">
        <f aca="false">U597*J597</f>
        <v>0.0233764139121036</v>
      </c>
      <c r="AM597" s="16" t="n">
        <f aca="false">AI597-AJ597</f>
        <v>0.00815008981916307</v>
      </c>
      <c r="AN597" s="16" t="n">
        <f aca="false">J597*Country_Data!$EB$89</f>
        <v>0.285157603260113</v>
      </c>
      <c r="AO597" s="16" t="n">
        <f aca="false">L597*Country_Data!$EB$89</f>
        <v>0.068437824782427</v>
      </c>
    </row>
    <row r="598" customFormat="false" ht="15" hidden="false" customHeight="false" outlineLevel="0" collapsed="false">
      <c r="A598" s="14" t="str">
        <f aca="false">Country_Data!$A$89</f>
        <v>MMR</v>
      </c>
      <c r="B598" s="14" t="str">
        <f aca="false">Country_Data!$E$89</f>
        <v>EMDC</v>
      </c>
      <c r="C598" s="35" t="s">
        <v>484</v>
      </c>
      <c r="D598" s="37" t="n">
        <f aca="false">IF(Country_Data!$CD$89="","",Country_Data!$CD$89)</f>
        <v>0.453192853702066</v>
      </c>
      <c r="E598" s="40" t="n">
        <f aca="false">Country_Data!$BW$89</f>
        <v>274.604</v>
      </c>
      <c r="F598" s="41" t="n">
        <f aca="false">Country_Data!$BX$89</f>
        <v>0.279526154025433</v>
      </c>
      <c r="G598" s="42" t="n">
        <f aca="false">IF(D598="","",D598/SUMIFS($D$5:$D$1369,$B$5:$B$1369,B598,$C$5:$C$1369,C598))</f>
        <v>0.00253079445518152</v>
      </c>
      <c r="H598" s="42" t="n">
        <f aca="false">E598/SUMIFS($E$5:$E$1369,$B$5:$B$1369,B598,$C$5:$C$1369,C598)</f>
        <v>0.00340143157802945</v>
      </c>
      <c r="I598" s="43" t="n">
        <f aca="false">IF(G598="",H598,p_beta_alloc*G598+(1-p_beta_alloc)*H598)*F598^p_phi</f>
        <v>0.00156819086370247</v>
      </c>
      <c r="J598" s="16" t="n">
        <f aca="false">INDEX(Sector_Params!$C$21:$E$21,MATCH(B598,Sector_Params!$C$15:$E$15,0))*I598/SUMIFS($I$5:$I$1369,$B$5:$B$1369,B598,$C$5:$C$1369,C598)</f>
        <v>0.347808779199083</v>
      </c>
      <c r="K598" s="28" t="n">
        <f aca="false">INDEX(Sector_Params!$F$10:$H$10,MATCH(B598,Sector_Params!$C$15:$E$15,0))</f>
        <v>0.24</v>
      </c>
      <c r="L598" s="16" t="n">
        <f aca="false">J598*K598</f>
        <v>0.0834741070077799</v>
      </c>
      <c r="M598" s="44" t="n">
        <f aca="false">Country_Data!$DW$89+Sector_Params!$E$10</f>
        <v>0.105</v>
      </c>
      <c r="N598" s="44" t="n">
        <f aca="false">Country_Data!$DX$89+Sector_Params!$E$10</f>
        <v>0.15</v>
      </c>
      <c r="O598" s="11" t="n">
        <f aca="false">IF(p_use_ibrd=1,p_r_ibrd,p_r_wb)</f>
        <v>0.06</v>
      </c>
      <c r="P598" s="45" t="n">
        <f aca="false">Sector_Params!$D$10</f>
        <v>20</v>
      </c>
      <c r="Q598" s="46" t="n">
        <f aca="false">M598/(1-(1+M598)^-P598)</f>
        <v>0.121493265267016</v>
      </c>
      <c r="R598" s="46" t="n">
        <f aca="false">N598/(1-(1+N598)^-P598)</f>
        <v>0.159761470405744</v>
      </c>
      <c r="S598" s="46" t="n">
        <f aca="false">O598/(1-(1+O598)^-P598)</f>
        <v>0.0871845569768514</v>
      </c>
      <c r="T598" s="37" t="n">
        <f aca="false">0*Sector_Params!$I$10</f>
        <v>0</v>
      </c>
      <c r="U598" s="37" t="n">
        <f aca="false">0*Sector_Params!$J$10</f>
        <v>0</v>
      </c>
      <c r="V598" s="37" t="n">
        <f aca="false">1000*p_r_wb/(1-(1+p_r_wb)^-Sector_Params!$D$10)/p_cpt_fuel</f>
        <v>0.871845569768514</v>
      </c>
      <c r="W598" s="16" t="n">
        <f aca="false">T598*L598</f>
        <v>0</v>
      </c>
      <c r="X598" s="16" t="n">
        <f aca="false">U598*L598</f>
        <v>0</v>
      </c>
      <c r="Y598" s="16" t="n">
        <f aca="false">V598*L598</f>
        <v>0.0727765303851158</v>
      </c>
      <c r="Z598" s="16" t="n">
        <f aca="false">Q598*L598</f>
        <v>0.0101415418256235</v>
      </c>
      <c r="AA598" s="16" t="n">
        <f aca="false">R598*L598</f>
        <v>0.0133359460763693</v>
      </c>
      <c r="AB598" s="16" t="n">
        <f aca="false">S598*L598</f>
        <v>0.00727765303851158</v>
      </c>
      <c r="AC598" s="16" t="n">
        <f aca="false">Z598-W598</f>
        <v>0.0101415418256235</v>
      </c>
      <c r="AD598" s="16" t="n">
        <f aca="false">AA598-W598</f>
        <v>0.0133359460763693</v>
      </c>
      <c r="AE598" s="16" t="n">
        <f aca="false">AB598-W598</f>
        <v>0.00727765303851158</v>
      </c>
      <c r="AF598" s="16" t="n">
        <f aca="false">AE598-X598</f>
        <v>0.00727765303851158</v>
      </c>
      <c r="AG598" s="16" t="n">
        <f aca="false">AF598-p_spc_lo*Y598/1000</f>
        <v>0.00363882651925579</v>
      </c>
      <c r="AH598" s="16" t="n">
        <f aca="false">AF598-p_spc_hi*Y598/1000</f>
        <v>0</v>
      </c>
      <c r="AI598" s="16" t="n">
        <f aca="false">Q598*J598</f>
        <v>0.0422564242734313</v>
      </c>
      <c r="AJ598" s="16" t="n">
        <f aca="false">S598*J598</f>
        <v>0.0303235543271316</v>
      </c>
      <c r="AK598" s="16" t="n">
        <f aca="false">T598*J598</f>
        <v>0</v>
      </c>
      <c r="AL598" s="16" t="n">
        <f aca="false">U598*J598</f>
        <v>0</v>
      </c>
      <c r="AM598" s="16" t="n">
        <f aca="false">AI598-AJ598</f>
        <v>0.0119328699462997</v>
      </c>
      <c r="AN598" s="16" t="n">
        <f aca="false">J598*Country_Data!$EB$89</f>
        <v>0.440557786985505</v>
      </c>
      <c r="AO598" s="16" t="n">
        <f aca="false">L598*Country_Data!$EB$89</f>
        <v>0.105733868876521</v>
      </c>
    </row>
    <row r="599" customFormat="false" ht="15" hidden="false" customHeight="false" outlineLevel="0" collapsed="false">
      <c r="A599" s="14" t="str">
        <f aca="false">Country_Data!$A$89</f>
        <v>MMR</v>
      </c>
      <c r="B599" s="14" t="str">
        <f aca="false">Country_Data!$E$89</f>
        <v>EMDC</v>
      </c>
      <c r="C599" s="35" t="s">
        <v>488</v>
      </c>
      <c r="D599" s="37" t="n">
        <f aca="false">IF(Country_Data!$CE$89="","",Country_Data!$CE$89)</f>
        <v>267.508</v>
      </c>
      <c r="E599" s="40" t="n">
        <f aca="false">Country_Data!$BW$89</f>
        <v>274.604</v>
      </c>
      <c r="F599" s="41" t="n">
        <f aca="false">Country_Data!$BX$89</f>
        <v>0.279526154025433</v>
      </c>
      <c r="G599" s="42" t="n">
        <f aca="false">IF(D599="","",D599/SUMIFS($D$5:$D$1369,$B$5:$B$1369,B599,$C$5:$C$1369,C599))</f>
        <v>0.0219195008894545</v>
      </c>
      <c r="H599" s="42" t="n">
        <f aca="false">E599/SUMIFS($E$5:$E$1369,$B$5:$B$1369,B599,$C$5:$C$1369,C599)</f>
        <v>0.00340143157802945</v>
      </c>
      <c r="I599" s="43" t="n">
        <f aca="false">IF(G599="",H599,p_beta_alloc*G599+(1-p_beta_alloc)*H599)*F599^p_phi</f>
        <v>0.00669361799999428</v>
      </c>
      <c r="J599" s="16" t="n">
        <f aca="false">INDEX(Sector_Params!$C$22:$E$22,MATCH(B599,Sector_Params!$C$15:$E$15,0))*I599/SUMIFS($I$5:$I$1369,$B$5:$B$1369,B599,$C$5:$C$1369,C599)</f>
        <v>4.03496907792956</v>
      </c>
      <c r="K599" s="28" t="n">
        <f aca="false">INDEX(Sector_Params!$F$11:$H$11,MATCH(B599,Sector_Params!$C$15:$E$15,0))</f>
        <v>0.24</v>
      </c>
      <c r="L599" s="16" t="n">
        <f aca="false">J599*K599</f>
        <v>0.968392578703093</v>
      </c>
      <c r="M599" s="44" t="n">
        <f aca="false">Country_Data!$DW$89+Sector_Params!$E$11</f>
        <v>0.105</v>
      </c>
      <c r="N599" s="44" t="n">
        <f aca="false">Country_Data!$DX$89+Sector_Params!$E$11</f>
        <v>0.15</v>
      </c>
      <c r="O599" s="11" t="n">
        <f aca="false">IF(p_use_ibrd=1,p_r_ibrd,p_r_wb)</f>
        <v>0.06</v>
      </c>
      <c r="P599" s="45" t="n">
        <f aca="false">Sector_Params!$D$11</f>
        <v>30</v>
      </c>
      <c r="Q599" s="46" t="n">
        <f aca="false">M599/(1-(1+M599)^-P599)</f>
        <v>0.110528481529605</v>
      </c>
      <c r="R599" s="46" t="n">
        <f aca="false">N599/(1-(1+N599)^-P599)</f>
        <v>0.152300198192734</v>
      </c>
      <c r="S599" s="46" t="n">
        <f aca="false">O599/(1-(1+O599)^-P599)</f>
        <v>0.0726489114900472</v>
      </c>
      <c r="T599" s="37" t="n">
        <f aca="false">0*Sector_Params!$I$11</f>
        <v>0</v>
      </c>
      <c r="U599" s="37" t="n">
        <f aca="false">p_c*Sector_Params!$J$11</f>
        <v>0.129</v>
      </c>
      <c r="V599" s="37" t="n">
        <f aca="false">1000*p_r_wb/(1-(1+p_r_wb)^-Sector_Params!$D$11)/p_cpt_afolu</f>
        <v>1.45297822980094</v>
      </c>
      <c r="W599" s="16" t="n">
        <f aca="false">T599*L599</f>
        <v>0</v>
      </c>
      <c r="X599" s="16" t="n">
        <f aca="false">U599*L599</f>
        <v>0.124922642652699</v>
      </c>
      <c r="Y599" s="16" t="n">
        <f aca="false">V599*L599</f>
        <v>1.40705333475639</v>
      </c>
      <c r="Z599" s="16" t="n">
        <f aca="false">Q599*L599</f>
        <v>0.107034961248592</v>
      </c>
      <c r="AA599" s="16" t="n">
        <f aca="false">R599*L599</f>
        <v>0.147486381664854</v>
      </c>
      <c r="AB599" s="16" t="n">
        <f aca="false">S599*L599</f>
        <v>0.0703526667378196</v>
      </c>
      <c r="AC599" s="16" t="n">
        <f aca="false">Z599-W599</f>
        <v>0.107034961248592</v>
      </c>
      <c r="AD599" s="16" t="n">
        <f aca="false">AA599-W599</f>
        <v>0.147486381664854</v>
      </c>
      <c r="AE599" s="16" t="n">
        <f aca="false">AB599-W599</f>
        <v>0.0703526667378196</v>
      </c>
      <c r="AF599" s="16" t="n">
        <f aca="false">AE599-X599</f>
        <v>-0.0545699759148794</v>
      </c>
      <c r="AG599" s="16" t="n">
        <f aca="false">AF599-p_spc_lo*Y599/1000</f>
        <v>-0.124922642652699</v>
      </c>
      <c r="AH599" s="16" t="n">
        <f aca="false">AF599-p_spc_hi*Y599/1000</f>
        <v>-0.195275309390519</v>
      </c>
      <c r="AI599" s="16" t="n">
        <f aca="false">Q599*J599</f>
        <v>0.445979005202465</v>
      </c>
      <c r="AJ599" s="16" t="n">
        <f aca="false">S599*J599</f>
        <v>0.293136111407582</v>
      </c>
      <c r="AK599" s="16" t="n">
        <f aca="false">T599*J599</f>
        <v>0</v>
      </c>
      <c r="AL599" s="16" t="n">
        <f aca="false">U599*J599</f>
        <v>0.520511011052913</v>
      </c>
      <c r="AM599" s="16" t="n">
        <f aca="false">AI599-AJ599</f>
        <v>0.152842893794883</v>
      </c>
      <c r="AN599" s="16" t="n">
        <f aca="false">J599*Country_Data!$EB$89</f>
        <v>5.1109608320441</v>
      </c>
      <c r="AO599" s="16" t="n">
        <f aca="false">L599*Country_Data!$EB$89</f>
        <v>1.22663059969058</v>
      </c>
    </row>
    <row r="600" customFormat="false" ht="15" hidden="false" customHeight="false" outlineLevel="0" collapsed="false">
      <c r="A600" s="14" t="str">
        <f aca="false">Country_Data!$A$90</f>
        <v>COD</v>
      </c>
      <c r="B600" s="14" t="str">
        <f aca="false">Country_Data!$E$90</f>
        <v>EMDC</v>
      </c>
      <c r="C600" s="35" t="s">
        <v>466</v>
      </c>
      <c r="D600" s="37" t="n">
        <f aca="false">IF(Country_Data!$BZ$90="","",Country_Data!$BZ$90)</f>
        <v>14.1287871335569</v>
      </c>
      <c r="E600" s="40" t="n">
        <f aca="false">Country_Data!$BW$90</f>
        <v>199.168</v>
      </c>
      <c r="F600" s="41" t="n">
        <f aca="false">Country_Data!$BX$90</f>
        <v>0.385257671915167</v>
      </c>
      <c r="G600" s="42" t="n">
        <f aca="false">IF(D600="","",D600/SUMIFS($D$5:$D$1369,$B$5:$B$1369,B600,$C$5:$C$1369,C600))</f>
        <v>0.00161297251019062</v>
      </c>
      <c r="H600" s="42" t="n">
        <f aca="false">E600/SUMIFS($E$5:$E$1369,$B$5:$B$1369,B600,$C$5:$C$1369,C600)</f>
        <v>0.00246703006705281</v>
      </c>
      <c r="I600" s="43" t="n">
        <f aca="false">IF(G600="",H600,p_beta_alloc*G600+(1-p_beta_alloc)*H600)*F600^p_phi</f>
        <v>0.00126621102228835</v>
      </c>
      <c r="J600" s="16" t="n">
        <f aca="false">INDEX(Sector_Params!$C$16:$E$16,MATCH(B600,Sector_Params!$C$15:$E$15,0))*I600/SUMIFS($I$5:$I$1369,$B$5:$B$1369,B600,$C$5:$C$1369,C600)</f>
        <v>1.22471140197438</v>
      </c>
      <c r="K600" s="28" t="n">
        <f aca="false">INDEX(Sector_Params!$F$5:$H$5,MATCH(B600,Sector_Params!$C$15:$E$15,0))</f>
        <v>0.24</v>
      </c>
      <c r="L600" s="16" t="n">
        <f aca="false">J600*K600</f>
        <v>0.293930736473851</v>
      </c>
      <c r="M600" s="44" t="n">
        <f aca="false">Country_Data!$DW$90+Sector_Params!$E$5</f>
        <v>0.105</v>
      </c>
      <c r="N600" s="44" t="n">
        <f aca="false">Country_Data!$DX$90+Sector_Params!$E$5</f>
        <v>0.15</v>
      </c>
      <c r="O600" s="11" t="n">
        <f aca="false">IF(p_use_ibrd=1,p_r_ibrd,p_r_wb)</f>
        <v>0.06</v>
      </c>
      <c r="P600" s="45" t="n">
        <f aca="false">Sector_Params!$D$5</f>
        <v>25</v>
      </c>
      <c r="Q600" s="46" t="n">
        <f aca="false">M600/(1-(1+M600)^-P600)</f>
        <v>0.114429319813103</v>
      </c>
      <c r="R600" s="46" t="n">
        <f aca="false">N600/(1-(1+N600)^-P600)</f>
        <v>0.154699402320206</v>
      </c>
      <c r="S600" s="46" t="n">
        <f aca="false">O600/(1-(1+O600)^-P600)</f>
        <v>0.078226718212274</v>
      </c>
      <c r="T600" s="37" t="n">
        <f aca="false">IF(AND(p_eng=1,ISNUMBER(Country_Data!$CZ$90)),Country_Data!$CZ$90,Country_Data!$CM$90)*Sector_Params!$I$5</f>
        <v>0.233068729201893</v>
      </c>
      <c r="U600" s="37" t="n">
        <f aca="false">IF(AND(p_eng=1,ISNUMBER(Country_Data!$DA$90)),Country_Data!$DA$90,Country_Data!$CN$90)*Sector_Params!$J$5</f>
        <v>0.03225</v>
      </c>
      <c r="V600" s="37" t="n">
        <f aca="false">IF(AND(p_eng=1,ISNUMBER(Country_Data!$DB$90)),Country_Data!$DB$90,p_a)</f>
        <v>0.35</v>
      </c>
      <c r="W600" s="16" t="n">
        <f aca="false">T600*L600</f>
        <v>0.068506063223337</v>
      </c>
      <c r="X600" s="16" t="n">
        <f aca="false">U600*L600</f>
        <v>0.00947926625128168</v>
      </c>
      <c r="Y600" s="16" t="n">
        <f aca="false">V600*L600</f>
        <v>0.102875757765848</v>
      </c>
      <c r="Z600" s="16" t="n">
        <f aca="false">Q600*L600</f>
        <v>0.0336342942468673</v>
      </c>
      <c r="AA600" s="16" t="n">
        <f aca="false">R600*L600</f>
        <v>0.0454709092560428</v>
      </c>
      <c r="AB600" s="16" t="n">
        <f aca="false">S600*L600</f>
        <v>0.0229932368960661</v>
      </c>
      <c r="AC600" s="16" t="n">
        <f aca="false">Z600-W600</f>
        <v>-0.0348717689764697</v>
      </c>
      <c r="AD600" s="16" t="n">
        <f aca="false">AA600-W600</f>
        <v>-0.0230351539672942</v>
      </c>
      <c r="AE600" s="16" t="n">
        <f aca="false">AB600-W600</f>
        <v>-0.0455128263272709</v>
      </c>
      <c r="AF600" s="16" t="n">
        <f aca="false">AE600-X600</f>
        <v>-0.0549920925785526</v>
      </c>
      <c r="AG600" s="16" t="n">
        <f aca="false">AF600-p_spc_lo*Y600/1000</f>
        <v>-0.060135880466845</v>
      </c>
      <c r="AH600" s="16" t="n">
        <f aca="false">AF600-p_spc_hi*Y600/1000</f>
        <v>-0.0652796683551374</v>
      </c>
      <c r="AI600" s="16" t="n">
        <f aca="false">Q600*J600</f>
        <v>0.14014289269528</v>
      </c>
      <c r="AJ600" s="16" t="n">
        <f aca="false">S600*J600</f>
        <v>0.0958051537336086</v>
      </c>
      <c r="AK600" s="16" t="n">
        <f aca="false">T600*J600</f>
        <v>0.285441930097237</v>
      </c>
      <c r="AL600" s="16" t="n">
        <f aca="false">U600*J600</f>
        <v>0.0394969427136737</v>
      </c>
      <c r="AM600" s="16" t="n">
        <f aca="false">AI600-AJ600</f>
        <v>0.0443377389616716</v>
      </c>
      <c r="AN600" s="16" t="n">
        <f aca="false">J600*Country_Data!$EB$90</f>
        <v>1.55130110916755</v>
      </c>
      <c r="AO600" s="16" t="n">
        <f aca="false">L600*Country_Data!$EB$90</f>
        <v>0.372312266200211</v>
      </c>
    </row>
    <row r="601" customFormat="false" ht="15" hidden="false" customHeight="false" outlineLevel="0" collapsed="false">
      <c r="A601" s="14" t="str">
        <f aca="false">Country_Data!$A$90</f>
        <v>COD</v>
      </c>
      <c r="B601" s="14" t="str">
        <f aca="false">Country_Data!$E$90</f>
        <v>EMDC</v>
      </c>
      <c r="C601" s="35" t="s">
        <v>470</v>
      </c>
      <c r="D601" s="37" t="n">
        <f aca="false">IF(Country_Data!$BZ$90="","",Country_Data!$BZ$90)</f>
        <v>14.1287871335569</v>
      </c>
      <c r="E601" s="40" t="n">
        <f aca="false">Country_Data!$BW$90</f>
        <v>199.168</v>
      </c>
      <c r="F601" s="41" t="n">
        <f aca="false">Country_Data!$BX$90</f>
        <v>0.385257671915167</v>
      </c>
      <c r="G601" s="42" t="n">
        <f aca="false">IF(D601="","",D601/SUMIFS($D$5:$D$1369,$B$5:$B$1369,B601,$C$5:$C$1369,C601))</f>
        <v>0.00161297251019062</v>
      </c>
      <c r="H601" s="42" t="n">
        <f aca="false">E601/SUMIFS($E$5:$E$1369,$B$5:$B$1369,B601,$C$5:$C$1369,C601)</f>
        <v>0.00246703006705281</v>
      </c>
      <c r="I601" s="43" t="n">
        <f aca="false">IF(G601="",H601,p_beta_alloc*G601+(1-p_beta_alloc)*H601)*F601^p_phi</f>
        <v>0.00126621102228835</v>
      </c>
      <c r="J601" s="16" t="n">
        <f aca="false">INDEX(Sector_Params!$C$17:$E$17,MATCH(B601,Sector_Params!$C$15:$E$15,0))*I601/SUMIFS($I$5:$I$1369,$B$5:$B$1369,B601,$C$5:$C$1369,C601)</f>
        <v>0.839802104211002</v>
      </c>
      <c r="K601" s="28" t="n">
        <f aca="false">INDEX(Sector_Params!$F$6:$H$6,MATCH(B601,Sector_Params!$C$15:$E$15,0))</f>
        <v>0.24</v>
      </c>
      <c r="L601" s="16" t="n">
        <f aca="false">J601*K601</f>
        <v>0.20155250501064</v>
      </c>
      <c r="M601" s="44" t="n">
        <f aca="false">Country_Data!$DW$90+Sector_Params!$E$6</f>
        <v>0.105</v>
      </c>
      <c r="N601" s="44" t="n">
        <f aca="false">Country_Data!$DX$90+Sector_Params!$E$6</f>
        <v>0.15</v>
      </c>
      <c r="O601" s="11" t="n">
        <f aca="false">IF(p_use_ibrd=1,p_r_ibrd,p_r_wb)</f>
        <v>0.06</v>
      </c>
      <c r="P601" s="45" t="n">
        <f aca="false">Sector_Params!$D$6</f>
        <v>40</v>
      </c>
      <c r="Q601" s="46" t="n">
        <f aca="false">M601/(1-(1+M601)^-P601)</f>
        <v>0.10697140835497</v>
      </c>
      <c r="R601" s="46" t="n">
        <f aca="false">N601/(1-(1+N601)^-P601)</f>
        <v>0.150562085013545</v>
      </c>
      <c r="S601" s="46" t="n">
        <f aca="false">O601/(1-(1+O601)^-P601)</f>
        <v>0.0664615359206755</v>
      </c>
      <c r="T601" s="37" t="n">
        <f aca="false">p_grid_credit*IF(AND(p_eng=1,ISNUMBER(Country_Data!$CZ$90)),Country_Data!$CZ$90,Country_Data!$CM$90)*Sector_Params!$I$6</f>
        <v>0</v>
      </c>
      <c r="U601" s="37" t="n">
        <f aca="false">p_grid_credit*IF(AND(p_eng=1,ISNUMBER(Country_Data!$DA$90)),Country_Data!$DA$90,Country_Data!$CN$90)*Sector_Params!$J$6</f>
        <v>0</v>
      </c>
      <c r="V601" s="37" t="n">
        <f aca="false">p_grid_credit*IF(AND(p_eng=1,ISNUMBER(Country_Data!$DB$90)),Country_Data!$DB$90,p_a)</f>
        <v>0</v>
      </c>
      <c r="W601" s="16" t="n">
        <f aca="false">T601*L601</f>
        <v>0</v>
      </c>
      <c r="X601" s="16" t="n">
        <f aca="false">U601*L601</f>
        <v>0</v>
      </c>
      <c r="Y601" s="16" t="n">
        <f aca="false">V601*L601</f>
        <v>0</v>
      </c>
      <c r="Z601" s="16" t="n">
        <f aca="false">Q601*L601</f>
        <v>0.0215603553184604</v>
      </c>
      <c r="AA601" s="16" t="n">
        <f aca="false">R601*L601</f>
        <v>0.030346165394105</v>
      </c>
      <c r="AB601" s="16" t="n">
        <f aca="false">S601*L601</f>
        <v>0.0133954890516668</v>
      </c>
      <c r="AC601" s="16" t="n">
        <f aca="false">Z601-W601</f>
        <v>0.0215603553184604</v>
      </c>
      <c r="AD601" s="16" t="n">
        <f aca="false">AA601-W601</f>
        <v>0.030346165394105</v>
      </c>
      <c r="AE601" s="16" t="n">
        <f aca="false">AB601-W601</f>
        <v>0.0133954890516668</v>
      </c>
      <c r="AF601" s="16" t="n">
        <f aca="false">AE601-X601</f>
        <v>0.0133954890516668</v>
      </c>
      <c r="AG601" s="16" t="n">
        <f aca="false">AF601-p_spc_lo*Y601/1000</f>
        <v>0.0133954890516668</v>
      </c>
      <c r="AH601" s="16" t="n">
        <f aca="false">AF601-p_spc_hi*Y601/1000</f>
        <v>0.0133954890516668</v>
      </c>
      <c r="AI601" s="16" t="n">
        <f aca="false">Q601*J601</f>
        <v>0.0898348138269185</v>
      </c>
      <c r="AJ601" s="16" t="n">
        <f aca="false">S601*J601</f>
        <v>0.0558145377152784</v>
      </c>
      <c r="AK601" s="16" t="n">
        <f aca="false">T601*J601</f>
        <v>0</v>
      </c>
      <c r="AL601" s="16" t="n">
        <f aca="false">U601*J601</f>
        <v>0</v>
      </c>
      <c r="AM601" s="16" t="n">
        <f aca="false">AI601-AJ601</f>
        <v>0.0340202761116401</v>
      </c>
      <c r="AN601" s="16" t="n">
        <f aca="false">J601*Country_Data!$EB$90</f>
        <v>1.0637493320006</v>
      </c>
      <c r="AO601" s="16" t="n">
        <f aca="false">L601*Country_Data!$EB$90</f>
        <v>0.255299839680145</v>
      </c>
    </row>
    <row r="602" customFormat="false" ht="15" hidden="false" customHeight="false" outlineLevel="0" collapsed="false">
      <c r="A602" s="14" t="str">
        <f aca="false">Country_Data!$A$90</f>
        <v>COD</v>
      </c>
      <c r="B602" s="14" t="str">
        <f aca="false">Country_Data!$E$90</f>
        <v>EMDC</v>
      </c>
      <c r="C602" s="35" t="s">
        <v>473</v>
      </c>
      <c r="D602" s="37" t="n">
        <f aca="false">IF(Country_Data!$CA$90="","",Country_Data!$CA$90)</f>
        <v>0.0476440131942111</v>
      </c>
      <c r="E602" s="40" t="n">
        <f aca="false">Country_Data!$BW$90</f>
        <v>199.168</v>
      </c>
      <c r="F602" s="41" t="n">
        <f aca="false">Country_Data!$BX$90</f>
        <v>0.385257671915167</v>
      </c>
      <c r="G602" s="42" t="n">
        <f aca="false">IF(D602="","",D602/SUMIFS($D$5:$D$1369,$B$5:$B$1369,B602,$C$5:$C$1369,C602))</f>
        <v>0.00110068755879834</v>
      </c>
      <c r="H602" s="42" t="n">
        <f aca="false">E602/SUMIFS($E$5:$E$1369,$B$5:$B$1369,B602,$C$5:$C$1369,C602)</f>
        <v>0.00246703006705281</v>
      </c>
      <c r="I602" s="43" t="n">
        <f aca="false">IF(G602="",H602,p_beta_alloc*G602+(1-p_beta_alloc)*H602)*F602^p_phi</f>
        <v>0.00110722561977334</v>
      </c>
      <c r="J602" s="16" t="n">
        <f aca="false">INDEX(Sector_Params!$C$18:$E$18,MATCH(B602,Sector_Params!$C$15:$E$15,0))*I602/SUMIFS($I$5:$I$1369,$B$5:$B$1369,B602,$C$5:$C$1369,C602)</f>
        <v>0.453382692994486</v>
      </c>
      <c r="K602" s="28" t="n">
        <f aca="false">INDEX(Sector_Params!$F$7:$H$7,MATCH(B602,Sector_Params!$C$15:$E$15,0))</f>
        <v>0.24</v>
      </c>
      <c r="L602" s="16" t="n">
        <f aca="false">J602*K602</f>
        <v>0.108811846318677</v>
      </c>
      <c r="M602" s="44" t="n">
        <f aca="false">Country_Data!$DW$90+Sector_Params!$E$7</f>
        <v>0.105</v>
      </c>
      <c r="N602" s="44" t="n">
        <f aca="false">Country_Data!$DX$90+Sector_Params!$E$7</f>
        <v>0.15</v>
      </c>
      <c r="O602" s="11" t="n">
        <f aca="false">IF(p_use_ibrd=1,p_r_ibrd,p_r_wb)</f>
        <v>0.06</v>
      </c>
      <c r="P602" s="45" t="n">
        <f aca="false">Sector_Params!$D$7</f>
        <v>12</v>
      </c>
      <c r="Q602" s="46" t="n">
        <f aca="false">M602/(1-(1+M602)^-P602)</f>
        <v>0.150376745634766</v>
      </c>
      <c r="R602" s="46" t="n">
        <f aca="false">N602/(1-(1+N602)^-P602)</f>
        <v>0.18448077613084</v>
      </c>
      <c r="S602" s="46" t="n">
        <f aca="false">O602/(1-(1+O602)^-P602)</f>
        <v>0.119277029380664</v>
      </c>
      <c r="T602" s="37" t="n">
        <f aca="false">IF(AND(p_eng=1,ISNUMBER(Country_Data!$DE$90)),Country_Data!$DE$90,Country_Data!$CM$90)*Sector_Params!$I$7</f>
        <v>0.233068729201893</v>
      </c>
      <c r="U602" s="37" t="n">
        <f aca="false">IF(AND(p_eng=1,ISNUMBER(Country_Data!$DF$90)),Country_Data!$DF$90,Country_Data!$CN$90)*Sector_Params!$J$7</f>
        <v>0.03225</v>
      </c>
      <c r="V602" s="37" t="n">
        <f aca="false">IF(AND(p_eng=1,ISNUMBER(Country_Data!$DG$90)),Country_Data!$DG$90,p_a)</f>
        <v>0.35</v>
      </c>
      <c r="W602" s="16" t="n">
        <f aca="false">T602*L602</f>
        <v>0.0253606387436057</v>
      </c>
      <c r="X602" s="16" t="n">
        <f aca="false">U602*L602</f>
        <v>0.00350918204377732</v>
      </c>
      <c r="Y602" s="16" t="n">
        <f aca="false">V602*L602</f>
        <v>0.0380841462115368</v>
      </c>
      <c r="Z602" s="16" t="n">
        <f aca="false">Q602*L602</f>
        <v>0.0163627713359129</v>
      </c>
      <c r="AA602" s="16" t="n">
        <f aca="false">R602*L602</f>
        <v>0.0200736938610991</v>
      </c>
      <c r="AB602" s="16" t="n">
        <f aca="false">S602*L602</f>
        <v>0.012978753790317</v>
      </c>
      <c r="AC602" s="16" t="n">
        <f aca="false">Z602-W602</f>
        <v>-0.00899786740769283</v>
      </c>
      <c r="AD602" s="16" t="n">
        <f aca="false">AA602-W602</f>
        <v>-0.00528694488250658</v>
      </c>
      <c r="AE602" s="16" t="n">
        <f aca="false">AB602-W602</f>
        <v>-0.0123818849532886</v>
      </c>
      <c r="AF602" s="16" t="n">
        <f aca="false">AE602-X602</f>
        <v>-0.015891066997066</v>
      </c>
      <c r="AG602" s="16" t="n">
        <f aca="false">AF602-p_spc_lo*Y602/1000</f>
        <v>-0.0177952743076428</v>
      </c>
      <c r="AH602" s="16" t="n">
        <f aca="false">AF602-p_spc_hi*Y602/1000</f>
        <v>-0.0196994816182197</v>
      </c>
      <c r="AI602" s="16" t="n">
        <f aca="false">Q602*J602</f>
        <v>0.0681782138996369</v>
      </c>
      <c r="AJ602" s="16" t="n">
        <f aca="false">S602*J602</f>
        <v>0.0540781407929877</v>
      </c>
      <c r="AK602" s="16" t="n">
        <f aca="false">T602*J602</f>
        <v>0.105669328098357</v>
      </c>
      <c r="AL602" s="16" t="n">
        <f aca="false">U602*J602</f>
        <v>0.0146215918490722</v>
      </c>
      <c r="AM602" s="16" t="n">
        <f aca="false">AI602-AJ602</f>
        <v>0.0141000731066492</v>
      </c>
      <c r="AN602" s="16" t="n">
        <f aca="false">J602*Country_Data!$EB$90</f>
        <v>0.574284744459682</v>
      </c>
      <c r="AO602" s="16" t="n">
        <f aca="false">L602*Country_Data!$EB$90</f>
        <v>0.137828338670324</v>
      </c>
    </row>
    <row r="603" customFormat="false" ht="15" hidden="false" customHeight="false" outlineLevel="0" collapsed="false">
      <c r="A603" s="14" t="str">
        <f aca="false">Country_Data!$A$90</f>
        <v>COD</v>
      </c>
      <c r="B603" s="14" t="str">
        <f aca="false">Country_Data!$E$90</f>
        <v>EMDC</v>
      </c>
      <c r="C603" s="35" t="s">
        <v>477</v>
      </c>
      <c r="D603" s="37" t="n">
        <f aca="false">IF(Country_Data!$CB$90="","",Country_Data!$CB$90)</f>
        <v>0.00837674236444653</v>
      </c>
      <c r="E603" s="40" t="n">
        <f aca="false">Country_Data!$BW$90</f>
        <v>199.168</v>
      </c>
      <c r="F603" s="41" t="n">
        <f aca="false">Country_Data!$BX$90</f>
        <v>0.385257671915167</v>
      </c>
      <c r="G603" s="42" t="n">
        <f aca="false">IF(D603="","",D603/SUMIFS($D$5:$D$1369,$B$5:$B$1369,B603,$C$5:$C$1369,C603))</f>
        <v>0.00026414419393415</v>
      </c>
      <c r="H603" s="42" t="n">
        <f aca="false">E603/SUMIFS($E$5:$E$1369,$B$5:$B$1369,B603,$C$5:$C$1369,C603)</f>
        <v>0.00246703006705281</v>
      </c>
      <c r="I603" s="43" t="n">
        <f aca="false">IF(G603="",H603,p_beta_alloc*G603+(1-p_beta_alloc)*H603)*F603^p_phi</f>
        <v>0.000847608031509732</v>
      </c>
      <c r="J603" s="16" t="n">
        <f aca="false">INDEX(Sector_Params!$C$19:$E$19,MATCH(B603,Sector_Params!$C$15:$E$15,0))*I603/SUMIFS($I$5:$I$1369,$B$5:$B$1369,B603,$C$5:$C$1369,C603)</f>
        <v>0.272813321857578</v>
      </c>
      <c r="K603" s="28" t="n">
        <f aca="false">INDEX(Sector_Params!$F$8:$H$8,MATCH(B603,Sector_Params!$C$15:$E$15,0))</f>
        <v>0.24</v>
      </c>
      <c r="L603" s="16" t="n">
        <f aca="false">J603*K603</f>
        <v>0.0654751972458187</v>
      </c>
      <c r="M603" s="44" t="n">
        <f aca="false">Country_Data!$DW$90+Sector_Params!$E$8</f>
        <v>0.105</v>
      </c>
      <c r="N603" s="44" t="n">
        <f aca="false">Country_Data!$DX$90+Sector_Params!$E$8</f>
        <v>0.15</v>
      </c>
      <c r="O603" s="11" t="n">
        <f aca="false">IF(p_use_ibrd=1,p_r_ibrd,p_r_wb)</f>
        <v>0.06</v>
      </c>
      <c r="P603" s="45" t="n">
        <f aca="false">Sector_Params!$D$8</f>
        <v>25</v>
      </c>
      <c r="Q603" s="46" t="n">
        <f aca="false">M603/(1-(1+M603)^-P603)</f>
        <v>0.114429319813103</v>
      </c>
      <c r="R603" s="46" t="n">
        <f aca="false">N603/(1-(1+N603)^-P603)</f>
        <v>0.154699402320206</v>
      </c>
      <c r="S603" s="46" t="n">
        <f aca="false">O603/(1-(1+O603)^-P603)</f>
        <v>0.078226718212274</v>
      </c>
      <c r="T603" s="37" t="n">
        <f aca="false">Country_Data!$CM$90*Sector_Params!$I$8</f>
        <v>0.233068729201893</v>
      </c>
      <c r="U603" s="37" t="n">
        <f aca="false">Country_Data!$CN$90*Sector_Params!$J$8</f>
        <v>0.03225</v>
      </c>
      <c r="V603" s="37" t="n">
        <f aca="false">p_a</f>
        <v>0.35</v>
      </c>
      <c r="W603" s="16" t="n">
        <f aca="false">T603*L603</f>
        <v>0.0152602210163263</v>
      </c>
      <c r="X603" s="16" t="n">
        <f aca="false">U603*L603</f>
        <v>0.00211157511117765</v>
      </c>
      <c r="Y603" s="16" t="n">
        <f aca="false">V603*L603</f>
        <v>0.0229163190360366</v>
      </c>
      <c r="Z603" s="16" t="n">
        <f aca="false">Q603*L603</f>
        <v>0.00749228228546782</v>
      </c>
      <c r="AA603" s="16" t="n">
        <f aca="false">R603*L603</f>
        <v>0.0101289738807258</v>
      </c>
      <c r="AB603" s="16" t="n">
        <f aca="false">S603*L603</f>
        <v>0.00512190980484172</v>
      </c>
      <c r="AC603" s="16" t="n">
        <f aca="false">Z603-W603</f>
        <v>-0.00776793873085847</v>
      </c>
      <c r="AD603" s="16" t="n">
        <f aca="false">AA603-W603</f>
        <v>-0.0051312471356005</v>
      </c>
      <c r="AE603" s="16" t="n">
        <f aca="false">AB603-W603</f>
        <v>-0.0101383112114846</v>
      </c>
      <c r="AF603" s="16" t="n">
        <f aca="false">AE603-X603</f>
        <v>-0.0122498863226622</v>
      </c>
      <c r="AG603" s="16" t="n">
        <f aca="false">AF603-p_spc_lo*Y603/1000</f>
        <v>-0.013395702274464</v>
      </c>
      <c r="AH603" s="16" t="n">
        <f aca="false">AF603-p_spc_hi*Y603/1000</f>
        <v>-0.0145415182262659</v>
      </c>
      <c r="AI603" s="16" t="n">
        <f aca="false">Q603*J603</f>
        <v>0.0312178428561159</v>
      </c>
      <c r="AJ603" s="16" t="n">
        <f aca="false">S603*J603</f>
        <v>0.0213412908535072</v>
      </c>
      <c r="AK603" s="16" t="n">
        <f aca="false">T603*J603</f>
        <v>0.0635842542346928</v>
      </c>
      <c r="AL603" s="16" t="n">
        <f aca="false">U603*J603</f>
        <v>0.00879822962990689</v>
      </c>
      <c r="AM603" s="16" t="n">
        <f aca="false">AI603-AJ603</f>
        <v>0.00987655200260874</v>
      </c>
      <c r="AN603" s="16" t="n">
        <f aca="false">J603*Country_Data!$EB$90</f>
        <v>0.345563541019599</v>
      </c>
      <c r="AO603" s="16" t="n">
        <f aca="false">L603*Country_Data!$EB$90</f>
        <v>0.0829352498447037</v>
      </c>
    </row>
    <row r="604" customFormat="false" ht="15" hidden="false" customHeight="false" outlineLevel="0" collapsed="false">
      <c r="A604" s="14" t="str">
        <f aca="false">Country_Data!$A$90</f>
        <v>COD</v>
      </c>
      <c r="B604" s="14" t="str">
        <f aca="false">Country_Data!$E$90</f>
        <v>EMDC</v>
      </c>
      <c r="C604" s="35" t="s">
        <v>481</v>
      </c>
      <c r="D604" s="37" t="n">
        <f aca="false">IF(Country_Data!$CC$90="","",Country_Data!$CC$90)</f>
        <v>0.0357627504917099</v>
      </c>
      <c r="E604" s="40" t="n">
        <f aca="false">Country_Data!$BW$90</f>
        <v>199.168</v>
      </c>
      <c r="F604" s="41" t="n">
        <f aca="false">Country_Data!$BX$90</f>
        <v>0.385257671915167</v>
      </c>
      <c r="G604" s="42" t="n">
        <f aca="false">IF(D604="","",D604/SUMIFS($D$5:$D$1369,$B$5:$B$1369,B604,$C$5:$C$1369,C604))</f>
        <v>0.000510843471879293</v>
      </c>
      <c r="H604" s="42" t="n">
        <f aca="false">E604/SUMIFS($E$5:$E$1369,$B$5:$B$1369,B604,$C$5:$C$1369,C604)</f>
        <v>0.00246703006705281</v>
      </c>
      <c r="I604" s="43" t="n">
        <f aca="false">IF(G604="",H604,p_beta_alloc*G604+(1-p_beta_alloc)*H604)*F604^p_phi</f>
        <v>0.000924170077491518</v>
      </c>
      <c r="J604" s="16" t="n">
        <f aca="false">INDEX(Sector_Params!$C$20:$E$20,MATCH(B604,Sector_Params!$C$15:$E$15,0))*I604/SUMIFS($I$5:$I$1369,$B$5:$B$1369,B604,$C$5:$C$1369,C604)</f>
        <v>0.168679649789957</v>
      </c>
      <c r="K604" s="28" t="n">
        <f aca="false">INDEX(Sector_Params!$F$9:$H$9,MATCH(B604,Sector_Params!$C$15:$E$15,0))</f>
        <v>0.24</v>
      </c>
      <c r="L604" s="16" t="n">
        <f aca="false">J604*K604</f>
        <v>0.0404831159495898</v>
      </c>
      <c r="M604" s="44" t="n">
        <f aca="false">Country_Data!$DW$90+Sector_Params!$E$9</f>
        <v>0.105</v>
      </c>
      <c r="N604" s="44" t="n">
        <f aca="false">Country_Data!$DX$90+Sector_Params!$E$9</f>
        <v>0.15</v>
      </c>
      <c r="O604" s="11" t="n">
        <f aca="false">IF(p_use_ibrd=1,p_r_ibrd,p_r_wb)</f>
        <v>0.06</v>
      </c>
      <c r="P604" s="45" t="n">
        <f aca="false">Sector_Params!$D$9</f>
        <v>25</v>
      </c>
      <c r="Q604" s="46" t="n">
        <f aca="false">M604/(1-(1+M604)^-P604)</f>
        <v>0.114429319813103</v>
      </c>
      <c r="R604" s="46" t="n">
        <f aca="false">N604/(1-(1+N604)^-P604)</f>
        <v>0.154699402320206</v>
      </c>
      <c r="S604" s="46" t="n">
        <f aca="false">O604/(1-(1+O604)^-P604)</f>
        <v>0.078226718212274</v>
      </c>
      <c r="T604" s="37" t="n">
        <f aca="false">Country_Data!$CM$90*Sector_Params!$I$9</f>
        <v>0.233068729201893</v>
      </c>
      <c r="U604" s="37" t="n">
        <f aca="false">Country_Data!$CN$90*Sector_Params!$J$9</f>
        <v>0.03225</v>
      </c>
      <c r="V604" s="37" t="n">
        <f aca="false">p_a</f>
        <v>0.35</v>
      </c>
      <c r="W604" s="16" t="n">
        <f aca="false">T604*L604</f>
        <v>0.00943534838850378</v>
      </c>
      <c r="X604" s="16" t="n">
        <f aca="false">U604*L604</f>
        <v>0.00130558048937427</v>
      </c>
      <c r="Y604" s="16" t="n">
        <f aca="false">V604*L604</f>
        <v>0.0141690905823564</v>
      </c>
      <c r="Z604" s="16" t="n">
        <f aca="false">Q604*L604</f>
        <v>0.00463245542202655</v>
      </c>
      <c r="AA604" s="16" t="n">
        <f aca="false">R604*L604</f>
        <v>0.00626271384146115</v>
      </c>
      <c r="AB604" s="16" t="n">
        <f aca="false">S604*L604</f>
        <v>0.00316686130374337</v>
      </c>
      <c r="AC604" s="16" t="n">
        <f aca="false">Z604-W604</f>
        <v>-0.00480289296647724</v>
      </c>
      <c r="AD604" s="16" t="n">
        <f aca="false">AA604-W604</f>
        <v>-0.00317263454704263</v>
      </c>
      <c r="AE604" s="16" t="n">
        <f aca="false">AB604-W604</f>
        <v>-0.00626848708476041</v>
      </c>
      <c r="AF604" s="16" t="n">
        <f aca="false">AE604-X604</f>
        <v>-0.00757406757413468</v>
      </c>
      <c r="AG604" s="16" t="n">
        <f aca="false">AF604-p_spc_lo*Y604/1000</f>
        <v>-0.0082825221032525</v>
      </c>
      <c r="AH604" s="16" t="n">
        <f aca="false">AF604-p_spc_hi*Y604/1000</f>
        <v>-0.00899097663237032</v>
      </c>
      <c r="AI604" s="16" t="n">
        <f aca="false">Q604*J604</f>
        <v>0.0193018975917773</v>
      </c>
      <c r="AJ604" s="16" t="n">
        <f aca="false">S604*J604</f>
        <v>0.013195255432264</v>
      </c>
      <c r="AK604" s="16" t="n">
        <f aca="false">T604*J604</f>
        <v>0.0393139516187658</v>
      </c>
      <c r="AL604" s="16" t="n">
        <f aca="false">U604*J604</f>
        <v>0.00543991870572612</v>
      </c>
      <c r="AM604" s="16" t="n">
        <f aca="false">AI604-AJ604</f>
        <v>0.00610664215951325</v>
      </c>
      <c r="AN604" s="16" t="n">
        <f aca="false">J604*Country_Data!$EB$90</f>
        <v>0.213660889733946</v>
      </c>
      <c r="AO604" s="16" t="n">
        <f aca="false">L604*Country_Data!$EB$90</f>
        <v>0.051278613536147</v>
      </c>
    </row>
    <row r="605" customFormat="false" ht="15" hidden="false" customHeight="false" outlineLevel="0" collapsed="false">
      <c r="A605" s="14" t="str">
        <f aca="false">Country_Data!$A$90</f>
        <v>COD</v>
      </c>
      <c r="B605" s="14" t="str">
        <f aca="false">Country_Data!$E$90</f>
        <v>EMDC</v>
      </c>
      <c r="C605" s="35" t="s">
        <v>484</v>
      </c>
      <c r="D605" s="37" t="n">
        <f aca="false">IF(Country_Data!$CD$90="","",Country_Data!$CD$90)</f>
        <v>0.0486962582192453</v>
      </c>
      <c r="E605" s="40" t="n">
        <f aca="false">Country_Data!$BW$90</f>
        <v>199.168</v>
      </c>
      <c r="F605" s="41" t="n">
        <f aca="false">Country_Data!$BX$90</f>
        <v>0.385257671915167</v>
      </c>
      <c r="G605" s="42" t="n">
        <f aca="false">IF(D605="","",D605/SUMIFS($D$5:$D$1369,$B$5:$B$1369,B605,$C$5:$C$1369,C605))</f>
        <v>0.000271937695580638</v>
      </c>
      <c r="H605" s="42" t="n">
        <f aca="false">E605/SUMIFS($E$5:$E$1369,$B$5:$B$1369,B605,$C$5:$C$1369,C605)</f>
        <v>0.00246703006705281</v>
      </c>
      <c r="I605" s="43" t="n">
        <f aca="false">IF(G605="",H605,p_beta_alloc*G605+(1-p_beta_alloc)*H605)*F605^p_phi</f>
        <v>0.000850026710787546</v>
      </c>
      <c r="J605" s="16" t="n">
        <f aca="false">INDEX(Sector_Params!$C$21:$E$21,MATCH(B605,Sector_Params!$C$15:$E$15,0))*I605/SUMIFS($I$5:$I$1369,$B$5:$B$1369,B605,$C$5:$C$1369,C605)</f>
        <v>0.188527276499757</v>
      </c>
      <c r="K605" s="28" t="n">
        <f aca="false">INDEX(Sector_Params!$F$10:$H$10,MATCH(B605,Sector_Params!$C$15:$E$15,0))</f>
        <v>0.24</v>
      </c>
      <c r="L605" s="16" t="n">
        <f aca="false">J605*K605</f>
        <v>0.0452465463599416</v>
      </c>
      <c r="M605" s="44" t="n">
        <f aca="false">Country_Data!$DW$90+Sector_Params!$E$10</f>
        <v>0.105</v>
      </c>
      <c r="N605" s="44" t="n">
        <f aca="false">Country_Data!$DX$90+Sector_Params!$E$10</f>
        <v>0.15</v>
      </c>
      <c r="O605" s="11" t="n">
        <f aca="false">IF(p_use_ibrd=1,p_r_ibrd,p_r_wb)</f>
        <v>0.06</v>
      </c>
      <c r="P605" s="45" t="n">
        <f aca="false">Sector_Params!$D$10</f>
        <v>20</v>
      </c>
      <c r="Q605" s="46" t="n">
        <f aca="false">M605/(1-(1+M605)^-P605)</f>
        <v>0.121493265267016</v>
      </c>
      <c r="R605" s="46" t="n">
        <f aca="false">N605/(1-(1+N605)^-P605)</f>
        <v>0.159761470405744</v>
      </c>
      <c r="S605" s="46" t="n">
        <f aca="false">O605/(1-(1+O605)^-P605)</f>
        <v>0.0871845569768514</v>
      </c>
      <c r="T605" s="37" t="n">
        <f aca="false">0*Sector_Params!$I$10</f>
        <v>0</v>
      </c>
      <c r="U605" s="37" t="n">
        <f aca="false">0*Sector_Params!$J$10</f>
        <v>0</v>
      </c>
      <c r="V605" s="37" t="n">
        <f aca="false">1000*p_r_wb/(1-(1+p_r_wb)^-Sector_Params!$D$10)/p_cpt_fuel</f>
        <v>0.871845569768514</v>
      </c>
      <c r="W605" s="16" t="n">
        <f aca="false">T605*L605</f>
        <v>0</v>
      </c>
      <c r="X605" s="16" t="n">
        <f aca="false">U605*L605</f>
        <v>0</v>
      </c>
      <c r="Y605" s="16" t="n">
        <f aca="false">V605*L605</f>
        <v>0.0394480009912408</v>
      </c>
      <c r="Z605" s="16" t="n">
        <f aca="false">Q605*L605</f>
        <v>0.00549715065932473</v>
      </c>
      <c r="AA605" s="16" t="n">
        <f aca="false">R605*L605</f>
        <v>0.00722865477724593</v>
      </c>
      <c r="AB605" s="16" t="n">
        <f aca="false">S605*L605</f>
        <v>0.00394480009912408</v>
      </c>
      <c r="AC605" s="16" t="n">
        <f aca="false">Z605-W605</f>
        <v>0.00549715065932473</v>
      </c>
      <c r="AD605" s="16" t="n">
        <f aca="false">AA605-W605</f>
        <v>0.00722865477724593</v>
      </c>
      <c r="AE605" s="16" t="n">
        <f aca="false">AB605-W605</f>
        <v>0.00394480009912408</v>
      </c>
      <c r="AF605" s="16" t="n">
        <f aca="false">AE605-X605</f>
        <v>0.00394480009912408</v>
      </c>
      <c r="AG605" s="16" t="n">
        <f aca="false">AF605-p_spc_lo*Y605/1000</f>
        <v>0.00197240004956204</v>
      </c>
      <c r="AH605" s="16" t="n">
        <f aca="false">AF605-p_spc_hi*Y605/1000</f>
        <v>0</v>
      </c>
      <c r="AI605" s="16" t="n">
        <f aca="false">Q605*J605</f>
        <v>0.022904794413853</v>
      </c>
      <c r="AJ605" s="16" t="n">
        <f aca="false">S605*J605</f>
        <v>0.0164366670796837</v>
      </c>
      <c r="AK605" s="16" t="n">
        <f aca="false">T605*J605</f>
        <v>0</v>
      </c>
      <c r="AL605" s="16" t="n">
        <f aca="false">U605*J605</f>
        <v>0</v>
      </c>
      <c r="AM605" s="16" t="n">
        <f aca="false">AI605-AJ605</f>
        <v>0.00646812733416939</v>
      </c>
      <c r="AN605" s="16" t="n">
        <f aca="false">J605*Country_Data!$EB$90</f>
        <v>0.238801216899692</v>
      </c>
      <c r="AO605" s="16" t="n">
        <f aca="false">L605*Country_Data!$EB$90</f>
        <v>0.057312292055926</v>
      </c>
    </row>
    <row r="606" customFormat="false" ht="15" hidden="false" customHeight="false" outlineLevel="0" collapsed="false">
      <c r="A606" s="14" t="str">
        <f aca="false">Country_Data!$A$90</f>
        <v>COD</v>
      </c>
      <c r="B606" s="14" t="str">
        <f aca="false">Country_Data!$E$90</f>
        <v>EMDC</v>
      </c>
      <c r="C606" s="35" t="s">
        <v>488</v>
      </c>
      <c r="D606" s="37" t="n">
        <f aca="false">IF(Country_Data!$CE$90="","",Country_Data!$CE$90)</f>
        <v>665.423</v>
      </c>
      <c r="E606" s="40" t="n">
        <f aca="false">Country_Data!$BW$90</f>
        <v>199.168</v>
      </c>
      <c r="F606" s="41" t="n">
        <f aca="false">Country_Data!$BX$90</f>
        <v>0.385257671915167</v>
      </c>
      <c r="G606" s="42" t="n">
        <f aca="false">IF(D606="","",D606/SUMIFS($D$5:$D$1369,$B$5:$B$1369,B606,$C$5:$C$1369,C606))</f>
        <v>0.05452450035275</v>
      </c>
      <c r="H606" s="42" t="n">
        <f aca="false">E606/SUMIFS($E$5:$E$1369,$B$5:$B$1369,B606,$C$5:$C$1369,C606)</f>
        <v>0.00246703006705281</v>
      </c>
      <c r="I606" s="43" t="n">
        <f aca="false">IF(G606="",H606,p_beta_alloc*G606+(1-p_beta_alloc)*H606)*F606^p_phi</f>
        <v>0.0176870731398881</v>
      </c>
      <c r="J606" s="16" t="n">
        <f aca="false">INDEX(Sector_Params!$C$22:$E$22,MATCH(B606,Sector_Params!$C$15:$E$15,0))*I606/SUMIFS($I$5:$I$1369,$B$5:$B$1369,B606,$C$5:$C$1369,C606)</f>
        <v>10.6619160517657</v>
      </c>
      <c r="K606" s="28" t="n">
        <f aca="false">INDEX(Sector_Params!$F$11:$H$11,MATCH(B606,Sector_Params!$C$15:$E$15,0))</f>
        <v>0.24</v>
      </c>
      <c r="L606" s="16" t="n">
        <f aca="false">J606*K606</f>
        <v>2.55885985242376</v>
      </c>
      <c r="M606" s="44" t="n">
        <f aca="false">Country_Data!$DW$90+Sector_Params!$E$11</f>
        <v>0.105</v>
      </c>
      <c r="N606" s="44" t="n">
        <f aca="false">Country_Data!$DX$90+Sector_Params!$E$11</f>
        <v>0.15</v>
      </c>
      <c r="O606" s="11" t="n">
        <f aca="false">IF(p_use_ibrd=1,p_r_ibrd,p_r_wb)</f>
        <v>0.06</v>
      </c>
      <c r="P606" s="45" t="n">
        <f aca="false">Sector_Params!$D$11</f>
        <v>30</v>
      </c>
      <c r="Q606" s="46" t="n">
        <f aca="false">M606/(1-(1+M606)^-P606)</f>
        <v>0.110528481529605</v>
      </c>
      <c r="R606" s="46" t="n">
        <f aca="false">N606/(1-(1+N606)^-P606)</f>
        <v>0.152300198192734</v>
      </c>
      <c r="S606" s="46" t="n">
        <f aca="false">O606/(1-(1+O606)^-P606)</f>
        <v>0.0726489114900472</v>
      </c>
      <c r="T606" s="37" t="n">
        <f aca="false">0*Sector_Params!$I$11</f>
        <v>0</v>
      </c>
      <c r="U606" s="37" t="n">
        <f aca="false">p_c*Sector_Params!$J$11</f>
        <v>0.129</v>
      </c>
      <c r="V606" s="37" t="n">
        <f aca="false">1000*p_r_wb/(1-(1+p_r_wb)^-Sector_Params!$D$11)/p_cpt_afolu</f>
        <v>1.45297822980094</v>
      </c>
      <c r="W606" s="16" t="n">
        <f aca="false">T606*L606</f>
        <v>0</v>
      </c>
      <c r="X606" s="16" t="n">
        <f aca="false">U606*L606</f>
        <v>0.330092920962666</v>
      </c>
      <c r="Y606" s="16" t="n">
        <f aca="false">V606*L606</f>
        <v>3.71796765868339</v>
      </c>
      <c r="Z606" s="16" t="n">
        <f aca="false">Q606*L606</f>
        <v>0.282826893935468</v>
      </c>
      <c r="AA606" s="16" t="n">
        <f aca="false">R606*L606</f>
        <v>0.38971486267157</v>
      </c>
      <c r="AB606" s="16" t="n">
        <f aca="false">S606*L606</f>
        <v>0.185898382934169</v>
      </c>
      <c r="AC606" s="16" t="n">
        <f aca="false">Z606-W606</f>
        <v>0.282826893935468</v>
      </c>
      <c r="AD606" s="16" t="n">
        <f aca="false">AA606-W606</f>
        <v>0.38971486267157</v>
      </c>
      <c r="AE606" s="16" t="n">
        <f aca="false">AB606-W606</f>
        <v>0.185898382934169</v>
      </c>
      <c r="AF606" s="16" t="n">
        <f aca="false">AE606-X606</f>
        <v>-0.144194538028496</v>
      </c>
      <c r="AG606" s="16" t="n">
        <f aca="false">AF606-p_spc_lo*Y606/1000</f>
        <v>-0.330092920962666</v>
      </c>
      <c r="AH606" s="16" t="n">
        <f aca="false">AF606-p_spc_hi*Y606/1000</f>
        <v>-0.515991303896835</v>
      </c>
      <c r="AI606" s="16" t="n">
        <f aca="false">Q606*J606</f>
        <v>1.17844539139778</v>
      </c>
      <c r="AJ606" s="16" t="n">
        <f aca="false">S606*J606</f>
        <v>0.774576595559039</v>
      </c>
      <c r="AK606" s="16" t="n">
        <f aca="false">T606*J606</f>
        <v>0</v>
      </c>
      <c r="AL606" s="16" t="n">
        <f aca="false">U606*J606</f>
        <v>1.37538717067777</v>
      </c>
      <c r="AM606" s="16" t="n">
        <f aca="false">AI606-AJ606</f>
        <v>0.403868795838745</v>
      </c>
      <c r="AN606" s="16" t="n">
        <f aca="false">J606*Country_Data!$EB$90</f>
        <v>13.5050936655699</v>
      </c>
      <c r="AO606" s="16" t="n">
        <f aca="false">L606*Country_Data!$EB$90</f>
        <v>3.24122247973677</v>
      </c>
    </row>
    <row r="607" customFormat="false" ht="15" hidden="false" customHeight="false" outlineLevel="0" collapsed="false">
      <c r="A607" s="14" t="str">
        <f aca="false">Country_Data!$A$91</f>
        <v>AZE</v>
      </c>
      <c r="B607" s="14" t="str">
        <f aca="false">Country_Data!$E$91</f>
        <v>EMDC</v>
      </c>
      <c r="C607" s="35" t="s">
        <v>466</v>
      </c>
      <c r="D607" s="37" t="n">
        <f aca="false">IF(Country_Data!$BZ$91="","",Country_Data!$BZ$91)</f>
        <v>21.259841842229</v>
      </c>
      <c r="E607" s="40" t="n">
        <f aca="false">Country_Data!$BW$91</f>
        <v>256.56</v>
      </c>
      <c r="F607" s="41" t="n">
        <f aca="false">Country_Data!$BX$91</f>
        <v>0.290091986280013</v>
      </c>
      <c r="G607" s="42" t="n">
        <f aca="false">IF(D607="","",D607/SUMIFS($D$5:$D$1369,$B$5:$B$1369,B607,$C$5:$C$1369,C607))</f>
        <v>0.00242706894359466</v>
      </c>
      <c r="H607" s="42" t="n">
        <f aca="false">E607/SUMIFS($E$5:$E$1369,$B$5:$B$1369,B607,$C$5:$C$1369,C607)</f>
        <v>0.00317792634360474</v>
      </c>
      <c r="I607" s="43" t="n">
        <f aca="false">IF(G607="",H607,p_beta_alloc*G607+(1-p_beta_alloc)*H607)*F607^p_phi</f>
        <v>0.00150943050250548</v>
      </c>
      <c r="J607" s="16" t="n">
        <f aca="false">INDEX(Sector_Params!$C$16:$E$16,MATCH(B607,Sector_Params!$C$15:$E$15,0))*I607/SUMIFS($I$5:$I$1369,$B$5:$B$1369,B607,$C$5:$C$1369,C607)</f>
        <v>1.45995944938583</v>
      </c>
      <c r="K607" s="28" t="n">
        <f aca="false">INDEX(Sector_Params!$F$5:$H$5,MATCH(B607,Sector_Params!$C$15:$E$15,0))</f>
        <v>0.24</v>
      </c>
      <c r="L607" s="16" t="n">
        <f aca="false">J607*K607</f>
        <v>0.3503902678526</v>
      </c>
      <c r="M607" s="44" t="n">
        <f aca="false">Country_Data!$DW$91+Sector_Params!$E$5</f>
        <v>0.0914000000000002</v>
      </c>
      <c r="N607" s="44" t="n">
        <f aca="false">Country_Data!$DX$91+Sector_Params!$E$5</f>
        <v>0.1364</v>
      </c>
      <c r="O607" s="11" t="n">
        <f aca="false">IF(p_use_ibrd=1,p_r_ibrd,p_r_wb)</f>
        <v>0.06</v>
      </c>
      <c r="P607" s="45" t="n">
        <f aca="false">Sector_Params!$D$5</f>
        <v>25</v>
      </c>
      <c r="Q607" s="46" t="n">
        <f aca="false">M607/(1-(1+M607)^-P607)</f>
        <v>0.10296335770851</v>
      </c>
      <c r="R607" s="46" t="n">
        <f aca="false">N607/(1-(1+N607)^-P607)</f>
        <v>0.142216606513441</v>
      </c>
      <c r="S607" s="46" t="n">
        <f aca="false">O607/(1-(1+O607)^-P607)</f>
        <v>0.078226718212274</v>
      </c>
      <c r="T607" s="37" t="n">
        <f aca="false">IF(AND(p_eng=1,ISNUMBER(Country_Data!$CZ$91)),Country_Data!$CZ$91,Country_Data!$CM$91)*Sector_Params!$I$5</f>
        <v>0.0607608494438622</v>
      </c>
      <c r="U607" s="37" t="n">
        <f aca="false">IF(AND(p_eng=1,ISNUMBER(Country_Data!$DA$91)),Country_Data!$DA$91,Country_Data!$CN$91)*Sector_Params!$J$5</f>
        <v>0.00171684134806984</v>
      </c>
      <c r="V607" s="37" t="n">
        <f aca="false">IF(AND(p_eng=1,ISNUMBER(Country_Data!$DB$91)),Country_Data!$DB$91,p_a)</f>
        <v>0.879485320000743</v>
      </c>
      <c r="W607" s="16" t="n">
        <f aca="false">T607*L607</f>
        <v>0.0212900103115864</v>
      </c>
      <c r="X607" s="16" t="n">
        <f aca="false">U607*L607</f>
        <v>0.00060156449981061</v>
      </c>
      <c r="Y607" s="16" t="n">
        <f aca="false">V607*L607</f>
        <v>0.30816309684749</v>
      </c>
      <c r="Z607" s="16" t="n">
        <f aca="false">Q607*L607</f>
        <v>0.0360773584864879</v>
      </c>
      <c r="AA607" s="16" t="n">
        <f aca="false">R607*L607</f>
        <v>0.0498313148493326</v>
      </c>
      <c r="AB607" s="16" t="n">
        <f aca="false">S607*L607</f>
        <v>0.0274098807476286</v>
      </c>
      <c r="AC607" s="16" t="n">
        <f aca="false">Z607-W607</f>
        <v>0.0147873481749015</v>
      </c>
      <c r="AD607" s="16" t="n">
        <f aca="false">AA607-W607</f>
        <v>0.0285413045377461</v>
      </c>
      <c r="AE607" s="16" t="n">
        <f aca="false">AB607-W607</f>
        <v>0.00611987043604215</v>
      </c>
      <c r="AF607" s="16" t="n">
        <f aca="false">AE607-X607</f>
        <v>0.00551830593623154</v>
      </c>
      <c r="AG607" s="16" t="n">
        <f aca="false">AF607-p_spc_lo*Y607/1000</f>
        <v>-0.00988984890614298</v>
      </c>
      <c r="AH607" s="16" t="n">
        <f aca="false">AF607-p_spc_hi*Y607/1000</f>
        <v>-0.0252980037485175</v>
      </c>
      <c r="AI607" s="16" t="n">
        <f aca="false">Q607*J607</f>
        <v>0.150322327027033</v>
      </c>
      <c r="AJ607" s="16" t="n">
        <f aca="false">S607*J607</f>
        <v>0.114207836448452</v>
      </c>
      <c r="AK607" s="16" t="n">
        <f aca="false">T607*J607</f>
        <v>0.0887083762982767</v>
      </c>
      <c r="AL607" s="16" t="n">
        <f aca="false">U607*J607</f>
        <v>0.00250651874921088</v>
      </c>
      <c r="AM607" s="16" t="n">
        <f aca="false">AI607-AJ607</f>
        <v>0.0361144905785805</v>
      </c>
      <c r="AN607" s="16" t="n">
        <f aca="false">J607*Country_Data!$EB$91</f>
        <v>1.67595345011689</v>
      </c>
      <c r="AO607" s="16" t="n">
        <f aca="false">L607*Country_Data!$EB$91</f>
        <v>0.402228828028054</v>
      </c>
    </row>
    <row r="608" customFormat="false" ht="15" hidden="false" customHeight="false" outlineLevel="0" collapsed="false">
      <c r="A608" s="14" t="str">
        <f aca="false">Country_Data!$A$91</f>
        <v>AZE</v>
      </c>
      <c r="B608" s="14" t="str">
        <f aca="false">Country_Data!$E$91</f>
        <v>EMDC</v>
      </c>
      <c r="C608" s="35" t="s">
        <v>470</v>
      </c>
      <c r="D608" s="37" t="n">
        <f aca="false">IF(Country_Data!$BZ$91="","",Country_Data!$BZ$91)</f>
        <v>21.259841842229</v>
      </c>
      <c r="E608" s="40" t="n">
        <f aca="false">Country_Data!$BW$91</f>
        <v>256.56</v>
      </c>
      <c r="F608" s="41" t="n">
        <f aca="false">Country_Data!$BX$91</f>
        <v>0.290091986280013</v>
      </c>
      <c r="G608" s="42" t="n">
        <f aca="false">IF(D608="","",D608/SUMIFS($D$5:$D$1369,$B$5:$B$1369,B608,$C$5:$C$1369,C608))</f>
        <v>0.00242706894359466</v>
      </c>
      <c r="H608" s="42" t="n">
        <f aca="false">E608/SUMIFS($E$5:$E$1369,$B$5:$B$1369,B608,$C$5:$C$1369,C608)</f>
        <v>0.00317792634360474</v>
      </c>
      <c r="I608" s="43" t="n">
        <f aca="false">IF(G608="",H608,p_beta_alloc*G608+(1-p_beta_alloc)*H608)*F608^p_phi</f>
        <v>0.00150943050250548</v>
      </c>
      <c r="J608" s="16" t="n">
        <f aca="false">INDEX(Sector_Params!$C$17:$E$17,MATCH(B608,Sector_Params!$C$15:$E$15,0))*I608/SUMIFS($I$5:$I$1369,$B$5:$B$1369,B608,$C$5:$C$1369,C608)</f>
        <v>1.00111505100743</v>
      </c>
      <c r="K608" s="28" t="n">
        <f aca="false">INDEX(Sector_Params!$F$6:$H$6,MATCH(B608,Sector_Params!$C$15:$E$15,0))</f>
        <v>0.24</v>
      </c>
      <c r="L608" s="16" t="n">
        <f aca="false">J608*K608</f>
        <v>0.240267612241783</v>
      </c>
      <c r="M608" s="44" t="n">
        <f aca="false">Country_Data!$DW$91+Sector_Params!$E$6</f>
        <v>0.0914000000000002</v>
      </c>
      <c r="N608" s="44" t="n">
        <f aca="false">Country_Data!$DX$91+Sector_Params!$E$6</f>
        <v>0.1364</v>
      </c>
      <c r="O608" s="11" t="n">
        <f aca="false">IF(p_use_ibrd=1,p_r_ibrd,p_r_wb)</f>
        <v>0.06</v>
      </c>
      <c r="P608" s="45" t="n">
        <f aca="false">Sector_Params!$D$6</f>
        <v>40</v>
      </c>
      <c r="Q608" s="46" t="n">
        <f aca="false">M608/(1-(1+M608)^-P608)</f>
        <v>0.0942505314019655</v>
      </c>
      <c r="R608" s="46" t="n">
        <f aca="false">N608/(1-(1+N608)^-P608)</f>
        <v>0.137224484710967</v>
      </c>
      <c r="S608" s="46" t="n">
        <f aca="false">O608/(1-(1+O608)^-P608)</f>
        <v>0.0664615359206755</v>
      </c>
      <c r="T608" s="37" t="n">
        <f aca="false">p_grid_credit*IF(AND(p_eng=1,ISNUMBER(Country_Data!$CZ$91)),Country_Data!$CZ$91,Country_Data!$CM$91)*Sector_Params!$I$6</f>
        <v>0</v>
      </c>
      <c r="U608" s="37" t="n">
        <f aca="false">p_grid_credit*IF(AND(p_eng=1,ISNUMBER(Country_Data!$DA$91)),Country_Data!$DA$91,Country_Data!$CN$91)*Sector_Params!$J$6</f>
        <v>0</v>
      </c>
      <c r="V608" s="37" t="n">
        <f aca="false">p_grid_credit*IF(AND(p_eng=1,ISNUMBER(Country_Data!$DB$91)),Country_Data!$DB$91,p_a)</f>
        <v>0</v>
      </c>
      <c r="W608" s="16" t="n">
        <f aca="false">T608*L608</f>
        <v>0</v>
      </c>
      <c r="X608" s="16" t="n">
        <f aca="false">U608*L608</f>
        <v>0</v>
      </c>
      <c r="Y608" s="16" t="n">
        <f aca="false">V608*L608</f>
        <v>0</v>
      </c>
      <c r="Z608" s="16" t="n">
        <f aca="false">Q608*L608</f>
        <v>0.0226453501324694</v>
      </c>
      <c r="AA608" s="16" t="n">
        <f aca="false">R608*L608</f>
        <v>0.0329705992826132</v>
      </c>
      <c r="AB608" s="16" t="n">
        <f aca="false">S608*L608</f>
        <v>0.0159685545415822</v>
      </c>
      <c r="AC608" s="16" t="n">
        <f aca="false">Z608-W608</f>
        <v>0.0226453501324694</v>
      </c>
      <c r="AD608" s="16" t="n">
        <f aca="false">AA608-W608</f>
        <v>0.0329705992826132</v>
      </c>
      <c r="AE608" s="16" t="n">
        <f aca="false">AB608-W608</f>
        <v>0.0159685545415822</v>
      </c>
      <c r="AF608" s="16" t="n">
        <f aca="false">AE608-X608</f>
        <v>0.0159685545415822</v>
      </c>
      <c r="AG608" s="16" t="n">
        <f aca="false">AF608-p_spc_lo*Y608/1000</f>
        <v>0.0159685545415822</v>
      </c>
      <c r="AH608" s="16" t="n">
        <f aca="false">AF608-p_spc_hi*Y608/1000</f>
        <v>0.0159685545415822</v>
      </c>
      <c r="AI608" s="16" t="n">
        <f aca="false">Q608*J608</f>
        <v>0.094355625551956</v>
      </c>
      <c r="AJ608" s="16" t="n">
        <f aca="false">S608*J608</f>
        <v>0.0665356439232592</v>
      </c>
      <c r="AK608" s="16" t="n">
        <f aca="false">T608*J608</f>
        <v>0</v>
      </c>
      <c r="AL608" s="16" t="n">
        <f aca="false">U608*J608</f>
        <v>0</v>
      </c>
      <c r="AM608" s="16" t="n">
        <f aca="false">AI608-AJ608</f>
        <v>0.0278199816286968</v>
      </c>
      <c r="AN608" s="16" t="n">
        <f aca="false">J608*Country_Data!$EB$91</f>
        <v>1.1492252229373</v>
      </c>
      <c r="AO608" s="16" t="n">
        <f aca="false">L608*Country_Data!$EB$91</f>
        <v>0.275814053504951</v>
      </c>
    </row>
    <row r="609" customFormat="false" ht="15" hidden="false" customHeight="false" outlineLevel="0" collapsed="false">
      <c r="A609" s="14" t="str">
        <f aca="false">Country_Data!$A$91</f>
        <v>AZE</v>
      </c>
      <c r="B609" s="14" t="str">
        <f aca="false">Country_Data!$E$91</f>
        <v>EMDC</v>
      </c>
      <c r="C609" s="35" t="s">
        <v>473</v>
      </c>
      <c r="D609" s="37" t="n">
        <f aca="false">IF(Country_Data!$CA$91="","",Country_Data!$CA$91)</f>
        <v>0.111393124460744</v>
      </c>
      <c r="E609" s="40" t="n">
        <f aca="false">Country_Data!$BW$91</f>
        <v>256.56</v>
      </c>
      <c r="F609" s="41" t="n">
        <f aca="false">Country_Data!$BX$91</f>
        <v>0.290091986280013</v>
      </c>
      <c r="G609" s="42" t="n">
        <f aca="false">IF(D609="","",D609/SUMIFS($D$5:$D$1369,$B$5:$B$1369,B609,$C$5:$C$1369,C609))</f>
        <v>0.00257344035503109</v>
      </c>
      <c r="H609" s="42" t="n">
        <f aca="false">E609/SUMIFS($E$5:$E$1369,$B$5:$B$1369,B609,$C$5:$C$1369,C609)</f>
        <v>0.00317792634360474</v>
      </c>
      <c r="I609" s="43" t="n">
        <f aca="false">IF(G609="",H609,p_beta_alloc*G609+(1-p_beta_alloc)*H609)*F609^p_phi</f>
        <v>0.00154884846127192</v>
      </c>
      <c r="J609" s="16" t="n">
        <f aca="false">INDEX(Sector_Params!$C$18:$E$18,MATCH(B609,Sector_Params!$C$15:$E$15,0))*I609/SUMIFS($I$5:$I$1369,$B$5:$B$1369,B609,$C$5:$C$1369,C609)</f>
        <v>0.634216797255455</v>
      </c>
      <c r="K609" s="28" t="n">
        <f aca="false">INDEX(Sector_Params!$F$7:$H$7,MATCH(B609,Sector_Params!$C$15:$E$15,0))</f>
        <v>0.24</v>
      </c>
      <c r="L609" s="16" t="n">
        <f aca="false">J609*K609</f>
        <v>0.152212031341309</v>
      </c>
      <c r="M609" s="44" t="n">
        <f aca="false">Country_Data!$DW$91+Sector_Params!$E$7</f>
        <v>0.0914000000000002</v>
      </c>
      <c r="N609" s="44" t="n">
        <f aca="false">Country_Data!$DX$91+Sector_Params!$E$7</f>
        <v>0.1364</v>
      </c>
      <c r="O609" s="11" t="n">
        <f aca="false">IF(p_use_ibrd=1,p_r_ibrd,p_r_wb)</f>
        <v>0.06</v>
      </c>
      <c r="P609" s="45" t="n">
        <f aca="false">Sector_Params!$D$7</f>
        <v>12</v>
      </c>
      <c r="Q609" s="46" t="n">
        <f aca="false">M609/(1-(1+M609)^-P609)</f>
        <v>0.140637107582691</v>
      </c>
      <c r="R609" s="46" t="n">
        <f aca="false">N609/(1-(1+N609)^-P609)</f>
        <v>0.173888290574627</v>
      </c>
      <c r="S609" s="46" t="n">
        <f aca="false">O609/(1-(1+O609)^-P609)</f>
        <v>0.119277029380664</v>
      </c>
      <c r="T609" s="37" t="n">
        <f aca="false">IF(AND(p_eng=1,ISNUMBER(Country_Data!$DE$91)),Country_Data!$DE$91,Country_Data!$CM$91)*Sector_Params!$I$7</f>
        <v>0.1567494</v>
      </c>
      <c r="U609" s="37" t="n">
        <f aca="false">IF(AND(p_eng=1,ISNUMBER(Country_Data!$DF$91)),Country_Data!$DF$91,Country_Data!$CN$91)*Sector_Params!$J$7</f>
        <v>0.035059275</v>
      </c>
      <c r="V609" s="37" t="n">
        <f aca="false">IF(AND(p_eng=1,ISNUMBER(Country_Data!$DG$91)),Country_Data!$DG$91,p_a)</f>
        <v>0.32689126152158</v>
      </c>
      <c r="W609" s="16" t="n">
        <f aca="false">T609*L609</f>
        <v>0.0238591445855314</v>
      </c>
      <c r="X609" s="16" t="n">
        <f aca="false">U609*L609</f>
        <v>0.00533644346510358</v>
      </c>
      <c r="Y609" s="16" t="n">
        <f aca="false">V609*L609</f>
        <v>0.0497567829439228</v>
      </c>
      <c r="Z609" s="16" t="n">
        <f aca="false">Q609*L609</f>
        <v>0.0214066598271276</v>
      </c>
      <c r="AA609" s="16" t="n">
        <f aca="false">R609*L609</f>
        <v>0.0264678899348317</v>
      </c>
      <c r="AB609" s="16" t="n">
        <f aca="false">S609*L609</f>
        <v>0.0181553989343878</v>
      </c>
      <c r="AC609" s="16" t="n">
        <f aca="false">Z609-W609</f>
        <v>-0.00245248475840384</v>
      </c>
      <c r="AD609" s="16" t="n">
        <f aca="false">AA609-W609</f>
        <v>0.00260874534930033</v>
      </c>
      <c r="AE609" s="16" t="n">
        <f aca="false">AB609-W609</f>
        <v>-0.0057037456511436</v>
      </c>
      <c r="AF609" s="16" t="n">
        <f aca="false">AE609-X609</f>
        <v>-0.0110401891162472</v>
      </c>
      <c r="AG609" s="16" t="n">
        <f aca="false">AF609-p_spc_lo*Y609/1000</f>
        <v>-0.0135280282634433</v>
      </c>
      <c r="AH609" s="16" t="n">
        <f aca="false">AF609-p_spc_hi*Y609/1000</f>
        <v>-0.0160158674106395</v>
      </c>
      <c r="AI609" s="16" t="n">
        <f aca="false">Q609*J609</f>
        <v>0.0891944159463649</v>
      </c>
      <c r="AJ609" s="16" t="n">
        <f aca="false">S609*J609</f>
        <v>0.0756474955599493</v>
      </c>
      <c r="AK609" s="16" t="n">
        <f aca="false">T609*J609</f>
        <v>0.0994131024397142</v>
      </c>
      <c r="AL609" s="16" t="n">
        <f aca="false">U609*J609</f>
        <v>0.0222351811045982</v>
      </c>
      <c r="AM609" s="16" t="n">
        <f aca="false">AI609-AJ609</f>
        <v>0.0135469203864156</v>
      </c>
      <c r="AN609" s="16" t="n">
        <f aca="false">J609*Country_Data!$EB$91</f>
        <v>0.728046131643933</v>
      </c>
      <c r="AO609" s="16" t="n">
        <f aca="false">L609*Country_Data!$EB$91</f>
        <v>0.174731071594544</v>
      </c>
    </row>
    <row r="610" customFormat="false" ht="15" hidden="false" customHeight="false" outlineLevel="0" collapsed="false">
      <c r="A610" s="14" t="str">
        <f aca="false">Country_Data!$A$91</f>
        <v>AZE</v>
      </c>
      <c r="B610" s="14" t="str">
        <f aca="false">Country_Data!$E$91</f>
        <v>EMDC</v>
      </c>
      <c r="C610" s="35" t="s">
        <v>477</v>
      </c>
      <c r="D610" s="37" t="n">
        <f aca="false">IF(Country_Data!$CB$91="","",Country_Data!$CB$91)</f>
        <v>0.192075274794894</v>
      </c>
      <c r="E610" s="40" t="n">
        <f aca="false">Country_Data!$BW$91</f>
        <v>256.56</v>
      </c>
      <c r="F610" s="41" t="n">
        <f aca="false">Country_Data!$BX$91</f>
        <v>0.290091986280013</v>
      </c>
      <c r="G610" s="42" t="n">
        <f aca="false">IF(D610="","",D610/SUMIFS($D$5:$D$1369,$B$5:$B$1369,B610,$C$5:$C$1369,C610))</f>
        <v>0.00605671828355555</v>
      </c>
      <c r="H610" s="42" t="n">
        <f aca="false">E610/SUMIFS($E$5:$E$1369,$B$5:$B$1369,B610,$C$5:$C$1369,C610)</f>
        <v>0.00317792634360474</v>
      </c>
      <c r="I610" s="43" t="n">
        <f aca="false">IF(G610="",H610,p_beta_alloc*G610+(1-p_beta_alloc)*H610)*F610^p_phi</f>
        <v>0.00248689848354876</v>
      </c>
      <c r="J610" s="16" t="n">
        <f aca="false">INDEX(Sector_Params!$C$19:$E$19,MATCH(B610,Sector_Params!$C$15:$E$15,0))*I610/SUMIFS($I$5:$I$1369,$B$5:$B$1369,B610,$C$5:$C$1369,C610)</f>
        <v>0.800439603210295</v>
      </c>
      <c r="K610" s="28" t="n">
        <f aca="false">INDEX(Sector_Params!$F$8:$H$8,MATCH(B610,Sector_Params!$C$15:$E$15,0))</f>
        <v>0.24</v>
      </c>
      <c r="L610" s="16" t="n">
        <f aca="false">J610*K610</f>
        <v>0.192105504770471</v>
      </c>
      <c r="M610" s="44" t="n">
        <f aca="false">Country_Data!$DW$91+Sector_Params!$E$8</f>
        <v>0.0914000000000002</v>
      </c>
      <c r="N610" s="44" t="n">
        <f aca="false">Country_Data!$DX$91+Sector_Params!$E$8</f>
        <v>0.1364</v>
      </c>
      <c r="O610" s="11" t="n">
        <f aca="false">IF(p_use_ibrd=1,p_r_ibrd,p_r_wb)</f>
        <v>0.06</v>
      </c>
      <c r="P610" s="45" t="n">
        <f aca="false">Sector_Params!$D$8</f>
        <v>25</v>
      </c>
      <c r="Q610" s="46" t="n">
        <f aca="false">M610/(1-(1+M610)^-P610)</f>
        <v>0.10296335770851</v>
      </c>
      <c r="R610" s="46" t="n">
        <f aca="false">N610/(1-(1+N610)^-P610)</f>
        <v>0.142216606513441</v>
      </c>
      <c r="S610" s="46" t="n">
        <f aca="false">O610/(1-(1+O610)^-P610)</f>
        <v>0.078226718212274</v>
      </c>
      <c r="T610" s="37" t="n">
        <f aca="false">Country_Data!$CM$91*Sector_Params!$I$8</f>
        <v>0.136502155802202</v>
      </c>
      <c r="U610" s="37" t="n">
        <f aca="false">Country_Data!$CN$91*Sector_Params!$J$8</f>
        <v>0.0956473788721094</v>
      </c>
      <c r="V610" s="37" t="n">
        <f aca="false">p_a</f>
        <v>0.35</v>
      </c>
      <c r="W610" s="16" t="n">
        <f aca="false">T610*L610</f>
        <v>0.0262228155426394</v>
      </c>
      <c r="X610" s="16" t="n">
        <f aca="false">U610*L610</f>
        <v>0.018374387998199</v>
      </c>
      <c r="Y610" s="16" t="n">
        <f aca="false">V610*L610</f>
        <v>0.0672369266696648</v>
      </c>
      <c r="Z610" s="16" t="n">
        <f aca="false">Q610*L610</f>
        <v>0.0197798278054558</v>
      </c>
      <c r="AA610" s="16" t="n">
        <f aca="false">R610*L610</f>
        <v>0.0273205929810081</v>
      </c>
      <c r="AB610" s="16" t="n">
        <f aca="false">S610*L610</f>
        <v>0.0150277831887063</v>
      </c>
      <c r="AC610" s="16" t="n">
        <f aca="false">Z610-W610</f>
        <v>-0.00644298773718358</v>
      </c>
      <c r="AD610" s="16" t="n">
        <f aca="false">AA610-W610</f>
        <v>0.00109777743836865</v>
      </c>
      <c r="AE610" s="16" t="n">
        <f aca="false">AB610-W610</f>
        <v>-0.0111950323539331</v>
      </c>
      <c r="AF610" s="16" t="n">
        <f aca="false">AE610-X610</f>
        <v>-0.0295694203521322</v>
      </c>
      <c r="AG610" s="16" t="n">
        <f aca="false">AF610-p_spc_lo*Y610/1000</f>
        <v>-0.0329312666856154</v>
      </c>
      <c r="AH610" s="16" t="n">
        <f aca="false">AF610-p_spc_hi*Y610/1000</f>
        <v>-0.0362931130190987</v>
      </c>
      <c r="AI610" s="16" t="n">
        <f aca="false">Q610*J610</f>
        <v>0.0824159491893994</v>
      </c>
      <c r="AJ610" s="16" t="n">
        <f aca="false">S610*J610</f>
        <v>0.0626157632862761</v>
      </c>
      <c r="AK610" s="16" t="n">
        <f aca="false">T610*J610</f>
        <v>0.109261731427664</v>
      </c>
      <c r="AL610" s="16" t="n">
        <f aca="false">U610*J610</f>
        <v>0.076559949992496</v>
      </c>
      <c r="AM610" s="16" t="n">
        <f aca="false">AI610-AJ610</f>
        <v>0.0198001859031232</v>
      </c>
      <c r="AN610" s="16" t="n">
        <f aca="false">J610*Country_Data!$EB$91</f>
        <v>0.918860804781133</v>
      </c>
      <c r="AO610" s="16" t="n">
        <f aca="false">L610*Country_Data!$EB$91</f>
        <v>0.220526593147472</v>
      </c>
    </row>
    <row r="611" customFormat="false" ht="15" hidden="false" customHeight="false" outlineLevel="0" collapsed="false">
      <c r="A611" s="14" t="str">
        <f aca="false">Country_Data!$A$91</f>
        <v>AZE</v>
      </c>
      <c r="B611" s="14" t="str">
        <f aca="false">Country_Data!$E$91</f>
        <v>EMDC</v>
      </c>
      <c r="C611" s="35" t="s">
        <v>481</v>
      </c>
      <c r="D611" s="37" t="n">
        <f aca="false">IF(Country_Data!$CC$91="","",Country_Data!$CC$91)</f>
        <v>0.112004895208727</v>
      </c>
      <c r="E611" s="40" t="n">
        <f aca="false">Country_Data!$BW$91</f>
        <v>256.56</v>
      </c>
      <c r="F611" s="41" t="n">
        <f aca="false">Country_Data!$BX$91</f>
        <v>0.290091986280013</v>
      </c>
      <c r="G611" s="42" t="n">
        <f aca="false">IF(D611="","",D611/SUMIFS($D$5:$D$1369,$B$5:$B$1369,B611,$C$5:$C$1369,C611))</f>
        <v>0.0015999040551751</v>
      </c>
      <c r="H611" s="42" t="n">
        <f aca="false">E611/SUMIFS($E$5:$E$1369,$B$5:$B$1369,B611,$C$5:$C$1369,C611)</f>
        <v>0.00317792634360474</v>
      </c>
      <c r="I611" s="43" t="n">
        <f aca="false">IF(G611="",H611,p_beta_alloc*G611+(1-p_beta_alloc)*H611)*F611^p_phi</f>
        <v>0.00128667422008123</v>
      </c>
      <c r="J611" s="16" t="n">
        <f aca="false">INDEX(Sector_Params!$C$20:$E$20,MATCH(B611,Sector_Params!$C$15:$E$15,0))*I611/SUMIFS($I$5:$I$1369,$B$5:$B$1369,B611,$C$5:$C$1369,C611)</f>
        <v>0.234843955807539</v>
      </c>
      <c r="K611" s="28" t="n">
        <f aca="false">INDEX(Sector_Params!$F$9:$H$9,MATCH(B611,Sector_Params!$C$15:$E$15,0))</f>
        <v>0.24</v>
      </c>
      <c r="L611" s="16" t="n">
        <f aca="false">J611*K611</f>
        <v>0.0563625493938092</v>
      </c>
      <c r="M611" s="44" t="n">
        <f aca="false">Country_Data!$DW$91+Sector_Params!$E$9</f>
        <v>0.0914000000000002</v>
      </c>
      <c r="N611" s="44" t="n">
        <f aca="false">Country_Data!$DX$91+Sector_Params!$E$9</f>
        <v>0.1364</v>
      </c>
      <c r="O611" s="11" t="n">
        <f aca="false">IF(p_use_ibrd=1,p_r_ibrd,p_r_wb)</f>
        <v>0.06</v>
      </c>
      <c r="P611" s="45" t="n">
        <f aca="false">Sector_Params!$D$9</f>
        <v>25</v>
      </c>
      <c r="Q611" s="46" t="n">
        <f aca="false">M611/(1-(1+M611)^-P611)</f>
        <v>0.10296335770851</v>
      </c>
      <c r="R611" s="46" t="n">
        <f aca="false">N611/(1-(1+N611)^-P611)</f>
        <v>0.142216606513441</v>
      </c>
      <c r="S611" s="46" t="n">
        <f aca="false">O611/(1-(1+O611)^-P611)</f>
        <v>0.078226718212274</v>
      </c>
      <c r="T611" s="37" t="n">
        <f aca="false">Country_Data!$CM$91*Sector_Params!$I$9</f>
        <v>0.136502155802202</v>
      </c>
      <c r="U611" s="37" t="n">
        <f aca="false">Country_Data!$CN$91*Sector_Params!$J$9</f>
        <v>0.0956473788721094</v>
      </c>
      <c r="V611" s="37" t="n">
        <f aca="false">p_a</f>
        <v>0.35</v>
      </c>
      <c r="W611" s="16" t="n">
        <f aca="false">T611*L611</f>
        <v>0.00769360949876304</v>
      </c>
      <c r="X611" s="16" t="n">
        <f aca="false">U611*L611</f>
        <v>0.00539093011606765</v>
      </c>
      <c r="Y611" s="16" t="n">
        <f aca="false">V611*L611</f>
        <v>0.0197268922878332</v>
      </c>
      <c r="Z611" s="16" t="n">
        <f aca="false">Q611*L611</f>
        <v>0.00580327733459834</v>
      </c>
      <c r="AA611" s="16" t="n">
        <f aca="false">R611*L611</f>
        <v>0.00801569050923377</v>
      </c>
      <c r="AB611" s="16" t="n">
        <f aca="false">S611*L611</f>
        <v>0.00440905726915489</v>
      </c>
      <c r="AC611" s="16" t="n">
        <f aca="false">Z611-W611</f>
        <v>-0.0018903321641647</v>
      </c>
      <c r="AD611" s="16" t="n">
        <f aca="false">AA611-W611</f>
        <v>0.000322081010470727</v>
      </c>
      <c r="AE611" s="16" t="n">
        <f aca="false">AB611-W611</f>
        <v>-0.00328455222960815</v>
      </c>
      <c r="AF611" s="16" t="n">
        <f aca="false">AE611-X611</f>
        <v>-0.0086754823456758</v>
      </c>
      <c r="AG611" s="16" t="n">
        <f aca="false">AF611-p_spc_lo*Y611/1000</f>
        <v>-0.00966182696006747</v>
      </c>
      <c r="AH611" s="16" t="n">
        <f aca="false">AF611-p_spc_hi*Y611/1000</f>
        <v>-0.0106481715744591</v>
      </c>
      <c r="AI611" s="16" t="n">
        <f aca="false">Q611*J611</f>
        <v>0.0241803222274931</v>
      </c>
      <c r="AJ611" s="16" t="n">
        <f aca="false">S611*J611</f>
        <v>0.018371071954812</v>
      </c>
      <c r="AK611" s="16" t="n">
        <f aca="false">T611*J611</f>
        <v>0.032056706244846</v>
      </c>
      <c r="AL611" s="16" t="n">
        <f aca="false">U611*J611</f>
        <v>0.0224622088169485</v>
      </c>
      <c r="AM611" s="16" t="n">
        <f aca="false">AI611-AJ611</f>
        <v>0.00580925027268105</v>
      </c>
      <c r="AN611" s="16" t="n">
        <f aca="false">J611*Country_Data!$EB$91</f>
        <v>0.269587993105092</v>
      </c>
      <c r="AO611" s="16" t="n">
        <f aca="false">L611*Country_Data!$EB$91</f>
        <v>0.0647011183452221</v>
      </c>
    </row>
    <row r="612" customFormat="false" ht="15" hidden="false" customHeight="false" outlineLevel="0" collapsed="false">
      <c r="A612" s="14" t="str">
        <f aca="false">Country_Data!$A$91</f>
        <v>AZE</v>
      </c>
      <c r="B612" s="14" t="str">
        <f aca="false">Country_Data!$E$91</f>
        <v>EMDC</v>
      </c>
      <c r="C612" s="35" t="s">
        <v>484</v>
      </c>
      <c r="D612" s="37" t="n">
        <f aca="false">IF(Country_Data!$CD$91="","",Country_Data!$CD$91)</f>
        <v>0.563170194159786</v>
      </c>
      <c r="E612" s="40" t="n">
        <f aca="false">Country_Data!$BW$91</f>
        <v>256.56</v>
      </c>
      <c r="F612" s="41" t="n">
        <f aca="false">Country_Data!$BX$91</f>
        <v>0.290091986280013</v>
      </c>
      <c r="G612" s="42" t="n">
        <f aca="false">IF(D612="","",D612/SUMIFS($D$5:$D$1369,$B$5:$B$1369,B612,$C$5:$C$1369,C612))</f>
        <v>0.00314494810114564</v>
      </c>
      <c r="H612" s="42" t="n">
        <f aca="false">E612/SUMIFS($E$5:$E$1369,$B$5:$B$1369,B612,$C$5:$C$1369,C612)</f>
        <v>0.00317792634360474</v>
      </c>
      <c r="I612" s="43" t="n">
        <f aca="false">IF(G612="",H612,p_beta_alloc*G612+(1-p_beta_alloc)*H612)*F612^p_phi</f>
        <v>0.00170275603482039</v>
      </c>
      <c r="J612" s="16" t="n">
        <f aca="false">INDEX(Sector_Params!$C$21:$E$21,MATCH(B612,Sector_Params!$C$15:$E$15,0))*I612/SUMIFS($I$5:$I$1369,$B$5:$B$1369,B612,$C$5:$C$1369,C612)</f>
        <v>0.37765396512163</v>
      </c>
      <c r="K612" s="28" t="n">
        <f aca="false">INDEX(Sector_Params!$F$10:$H$10,MATCH(B612,Sector_Params!$C$15:$E$15,0))</f>
        <v>0.24</v>
      </c>
      <c r="L612" s="16" t="n">
        <f aca="false">J612*K612</f>
        <v>0.0906369516291911</v>
      </c>
      <c r="M612" s="44" t="n">
        <f aca="false">Country_Data!$DW$91+Sector_Params!$E$10</f>
        <v>0.0914000000000002</v>
      </c>
      <c r="N612" s="44" t="n">
        <f aca="false">Country_Data!$DX$91+Sector_Params!$E$10</f>
        <v>0.1364</v>
      </c>
      <c r="O612" s="11" t="n">
        <f aca="false">IF(p_use_ibrd=1,p_r_ibrd,p_r_wb)</f>
        <v>0.06</v>
      </c>
      <c r="P612" s="45" t="n">
        <f aca="false">Sector_Params!$D$10</f>
        <v>20</v>
      </c>
      <c r="Q612" s="46" t="n">
        <f aca="false">M612/(1-(1+M612)^-P612)</f>
        <v>0.110641507559999</v>
      </c>
      <c r="R612" s="46" t="n">
        <f aca="false">N612/(1-(1+N612)^-P612)</f>
        <v>0.147861189539746</v>
      </c>
      <c r="S612" s="46" t="n">
        <f aca="false">O612/(1-(1+O612)^-P612)</f>
        <v>0.0871845569768514</v>
      </c>
      <c r="T612" s="37" t="n">
        <f aca="false">0*Sector_Params!$I$10</f>
        <v>0</v>
      </c>
      <c r="U612" s="37" t="n">
        <f aca="false">0*Sector_Params!$J$10</f>
        <v>0</v>
      </c>
      <c r="V612" s="37" t="n">
        <f aca="false">1000*p_r_wb/(1-(1+p_r_wb)^-Sector_Params!$D$10)/p_cpt_fuel</f>
        <v>0.871845569768514</v>
      </c>
      <c r="W612" s="16" t="n">
        <f aca="false">T612*L612</f>
        <v>0</v>
      </c>
      <c r="X612" s="16" t="n">
        <f aca="false">U612*L612</f>
        <v>0</v>
      </c>
      <c r="Y612" s="16" t="n">
        <f aca="false">V612*L612</f>
        <v>0.0790214247352334</v>
      </c>
      <c r="Z612" s="16" t="n">
        <f aca="false">Q612*L612</f>
        <v>0.0100282089688964</v>
      </c>
      <c r="AA612" s="16" t="n">
        <f aca="false">R612*L612</f>
        <v>0.0134016874841486</v>
      </c>
      <c r="AB612" s="16" t="n">
        <f aca="false">S612*L612</f>
        <v>0.00790214247352333</v>
      </c>
      <c r="AC612" s="16" t="n">
        <f aca="false">Z612-W612</f>
        <v>0.0100282089688964</v>
      </c>
      <c r="AD612" s="16" t="n">
        <f aca="false">AA612-W612</f>
        <v>0.0134016874841486</v>
      </c>
      <c r="AE612" s="16" t="n">
        <f aca="false">AB612-W612</f>
        <v>0.00790214247352333</v>
      </c>
      <c r="AF612" s="16" t="n">
        <f aca="false">AE612-X612</f>
        <v>0.00790214247352333</v>
      </c>
      <c r="AG612" s="16" t="n">
        <f aca="false">AF612-p_spc_lo*Y612/1000</f>
        <v>0.00395107123676167</v>
      </c>
      <c r="AH612" s="16" t="n">
        <f aca="false">AF612-p_spc_hi*Y612/1000</f>
        <v>0</v>
      </c>
      <c r="AI612" s="16" t="n">
        <f aca="false">Q612*J612</f>
        <v>0.0417842040370683</v>
      </c>
      <c r="AJ612" s="16" t="n">
        <f aca="false">S612*J612</f>
        <v>0.0329255936396806</v>
      </c>
      <c r="AK612" s="16" t="n">
        <f aca="false">T612*J612</f>
        <v>0</v>
      </c>
      <c r="AL612" s="16" t="n">
        <f aca="false">U612*J612</f>
        <v>0</v>
      </c>
      <c r="AM612" s="16" t="n">
        <f aca="false">AI612-AJ612</f>
        <v>0.00885861039738777</v>
      </c>
      <c r="AN612" s="16" t="n">
        <f aca="false">J612*Country_Data!$EB$91</f>
        <v>0.433526058591679</v>
      </c>
      <c r="AO612" s="16" t="n">
        <f aca="false">L612*Country_Data!$EB$91</f>
        <v>0.104046254062003</v>
      </c>
    </row>
    <row r="613" customFormat="false" ht="15" hidden="false" customHeight="false" outlineLevel="0" collapsed="false">
      <c r="A613" s="14" t="str">
        <f aca="false">Country_Data!$A$91</f>
        <v>AZE</v>
      </c>
      <c r="B613" s="14" t="str">
        <f aca="false">Country_Data!$E$91</f>
        <v>EMDC</v>
      </c>
      <c r="C613" s="35" t="s">
        <v>488</v>
      </c>
      <c r="D613" s="37" t="n">
        <f aca="false">IF(Country_Data!$CE$91="","",Country_Data!$CE$91)</f>
        <v>33.631</v>
      </c>
      <c r="E613" s="40" t="n">
        <f aca="false">Country_Data!$BW$91</f>
        <v>256.56</v>
      </c>
      <c r="F613" s="41" t="n">
        <f aca="false">Country_Data!$BX$91</f>
        <v>0.290091986280013</v>
      </c>
      <c r="G613" s="42" t="n">
        <f aca="false">IF(D613="","",D613/SUMIFS($D$5:$D$1369,$B$5:$B$1369,B613,$C$5:$C$1369,C613))</f>
        <v>0.00275571098588918</v>
      </c>
      <c r="H613" s="42" t="n">
        <f aca="false">E613/SUMIFS($E$5:$E$1369,$B$5:$B$1369,B613,$C$5:$C$1369,C613)</f>
        <v>0.00317792634360474</v>
      </c>
      <c r="I613" s="43" t="n">
        <f aca="false">IF(G613="",H613,p_beta_alloc*G613+(1-p_beta_alloc)*H613)*F613^p_phi</f>
        <v>0.00159793411359289</v>
      </c>
      <c r="J613" s="16" t="n">
        <f aca="false">INDEX(Sector_Params!$C$22:$E$22,MATCH(B613,Sector_Params!$C$15:$E$15,0))*I613/SUMIFS($I$5:$I$1369,$B$5:$B$1369,B613,$C$5:$C$1369,C613)</f>
        <v>0.963248087494923</v>
      </c>
      <c r="K613" s="28" t="n">
        <f aca="false">INDEX(Sector_Params!$F$11:$H$11,MATCH(B613,Sector_Params!$C$15:$E$15,0))</f>
        <v>0.24</v>
      </c>
      <c r="L613" s="16" t="n">
        <f aca="false">J613*K613</f>
        <v>0.231179540998782</v>
      </c>
      <c r="M613" s="44" t="n">
        <f aca="false">Country_Data!$DW$91+Sector_Params!$E$11</f>
        <v>0.0914000000000002</v>
      </c>
      <c r="N613" s="44" t="n">
        <f aca="false">Country_Data!$DX$91+Sector_Params!$E$11</f>
        <v>0.1364</v>
      </c>
      <c r="O613" s="11" t="n">
        <f aca="false">IF(p_use_ibrd=1,p_r_ibrd,p_r_wb)</f>
        <v>0.06</v>
      </c>
      <c r="P613" s="45" t="n">
        <f aca="false">Sector_Params!$D$11</f>
        <v>30</v>
      </c>
      <c r="Q613" s="46" t="n">
        <f aca="false">M613/(1-(1+M613)^-P613)</f>
        <v>0.0985470202694995</v>
      </c>
      <c r="R613" s="46" t="n">
        <f aca="false">N613/(1-(1+N613)^-P613)</f>
        <v>0.139408517608104</v>
      </c>
      <c r="S613" s="46" t="n">
        <f aca="false">O613/(1-(1+O613)^-P613)</f>
        <v>0.0726489114900472</v>
      </c>
      <c r="T613" s="37" t="n">
        <f aca="false">0*Sector_Params!$I$11</f>
        <v>0</v>
      </c>
      <c r="U613" s="37" t="n">
        <f aca="false">p_c*Sector_Params!$J$11</f>
        <v>0.129</v>
      </c>
      <c r="V613" s="37" t="n">
        <f aca="false">1000*p_r_wb/(1-(1+p_r_wb)^-Sector_Params!$D$11)/p_cpt_afolu</f>
        <v>1.45297822980094</v>
      </c>
      <c r="W613" s="16" t="n">
        <f aca="false">T613*L613</f>
        <v>0</v>
      </c>
      <c r="X613" s="16" t="n">
        <f aca="false">U613*L613</f>
        <v>0.0298221607888428</v>
      </c>
      <c r="Y613" s="16" t="n">
        <f aca="false">V613*L613</f>
        <v>0.335898840246604</v>
      </c>
      <c r="Z613" s="16" t="n">
        <f aca="false">Q613*L613</f>
        <v>0.0227820549127005</v>
      </c>
      <c r="AA613" s="16" t="n">
        <f aca="false">R613*L613</f>
        <v>0.032228397111962</v>
      </c>
      <c r="AB613" s="16" t="n">
        <f aca="false">S613*L613</f>
        <v>0.0167949420123302</v>
      </c>
      <c r="AC613" s="16" t="n">
        <f aca="false">Z613-W613</f>
        <v>0.0227820549127005</v>
      </c>
      <c r="AD613" s="16" t="n">
        <f aca="false">AA613-W613</f>
        <v>0.032228397111962</v>
      </c>
      <c r="AE613" s="16" t="n">
        <f aca="false">AB613-W613</f>
        <v>0.0167949420123302</v>
      </c>
      <c r="AF613" s="16" t="n">
        <f aca="false">AE613-X613</f>
        <v>-0.0130272187765126</v>
      </c>
      <c r="AG613" s="16" t="n">
        <f aca="false">AF613-p_spc_lo*Y613/1000</f>
        <v>-0.0298221607888428</v>
      </c>
      <c r="AH613" s="16" t="n">
        <f aca="false">AF613-p_spc_hi*Y613/1000</f>
        <v>-0.046617102801173</v>
      </c>
      <c r="AI613" s="16" t="n">
        <f aca="false">Q613*J613</f>
        <v>0.0949252288029188</v>
      </c>
      <c r="AJ613" s="16" t="n">
        <f aca="false">S613*J613</f>
        <v>0.0699789250513759</v>
      </c>
      <c r="AK613" s="16" t="n">
        <f aca="false">T613*J613</f>
        <v>0</v>
      </c>
      <c r="AL613" s="16" t="n">
        <f aca="false">U613*J613</f>
        <v>0.124259003286845</v>
      </c>
      <c r="AM613" s="16" t="n">
        <f aca="false">AI613-AJ613</f>
        <v>0.0249463037515429</v>
      </c>
      <c r="AN613" s="16" t="n">
        <f aca="false">J613*Country_Data!$EB$91</f>
        <v>1.10575602372705</v>
      </c>
      <c r="AO613" s="16" t="n">
        <f aca="false">L613*Country_Data!$EB$91</f>
        <v>0.265381445694492</v>
      </c>
    </row>
    <row r="614" customFormat="false" ht="15" hidden="false" customHeight="false" outlineLevel="0" collapsed="false">
      <c r="A614" s="14" t="str">
        <f aca="false">Country_Data!$A$92</f>
        <v>SVN</v>
      </c>
      <c r="B614" s="14" t="str">
        <f aca="false">Country_Data!$E$92</f>
        <v>AE</v>
      </c>
      <c r="C614" s="35" t="s">
        <v>466</v>
      </c>
      <c r="D614" s="37" t="n">
        <f aca="false">IF(Country_Data!$BZ$92="","",Country_Data!$BZ$92)</f>
        <v>15.1855981761281</v>
      </c>
      <c r="E614" s="40" t="n">
        <f aca="false">Country_Data!$BW$92</f>
        <v>118.759</v>
      </c>
      <c r="F614" s="41" t="n">
        <f aca="false">Country_Data!$BX$92</f>
        <v>0.614269234331714</v>
      </c>
      <c r="G614" s="42" t="n">
        <f aca="false">IF(D614="","",D614/SUMIFS($D$5:$D$1369,$B$5:$B$1369,B614,$C$5:$C$1369,C614))</f>
        <v>0.00155186255571526</v>
      </c>
      <c r="H614" s="42" t="n">
        <f aca="false">E614/SUMIFS($E$5:$E$1369,$B$5:$B$1369,B614,$C$5:$C$1369,C614)</f>
        <v>0.00150547283153264</v>
      </c>
      <c r="I614" s="43" t="n">
        <f aca="false">IF(G614="",H614,p_beta_alloc*G614+(1-p_beta_alloc)*H614)*F614^p_phi</f>
        <v>0.001198098348575</v>
      </c>
      <c r="J614" s="16" t="n">
        <f aca="false">INDEX(Sector_Params!$C$16:$E$16,MATCH(B614,Sector_Params!$C$15:$E$15,0))*I614/SUMIFS($I$5:$I$1369,$B$5:$B$1369,B614,$C$5:$C$1369,C614)</f>
        <v>1.07464068840703</v>
      </c>
      <c r="K614" s="28" t="n">
        <f aca="false">INDEX(Sector_Params!$F$5:$H$5,MATCH(B614,Sector_Params!$C$15:$E$15,0))</f>
        <v>0.38</v>
      </c>
      <c r="L614" s="16" t="n">
        <f aca="false">J614*K614</f>
        <v>0.408363461594671</v>
      </c>
      <c r="M614" s="44" t="n">
        <f aca="false">Country_Data!$DW$92+Sector_Params!$E$5</f>
        <v>0.045</v>
      </c>
      <c r="N614" s="44" t="n">
        <f aca="false">Country_Data!$DX$92+Sector_Params!$E$5</f>
        <v>0.06</v>
      </c>
      <c r="O614" s="11" t="n">
        <f aca="false">IF(p_use_ibrd=1,p_r_ibrd,p_r_wb)</f>
        <v>0.06</v>
      </c>
      <c r="P614" s="45" t="n">
        <f aca="false">Sector_Params!$D$5</f>
        <v>25</v>
      </c>
      <c r="Q614" s="46" t="n">
        <f aca="false">M614/(1-(1+M614)^-P614)</f>
        <v>0.0674390280386945</v>
      </c>
      <c r="R614" s="46" t="n">
        <f aca="false">N614/(1-(1+N614)^-P614)</f>
        <v>0.078226718212274</v>
      </c>
      <c r="S614" s="46" t="n">
        <f aca="false">O614/(1-(1+O614)^-P614)</f>
        <v>0.078226718212274</v>
      </c>
      <c r="T614" s="37" t="n">
        <f aca="false">IF(AND(p_eng=1,ISNUMBER(Country_Data!$CZ$92)),Country_Data!$CZ$92,Country_Data!$CM$92)*Sector_Params!$I$5</f>
        <v>0.0157964454821125</v>
      </c>
      <c r="U614" s="37" t="n">
        <f aca="false">IF(AND(p_eng=1,ISNUMBER(Country_Data!$DA$92)),Country_Data!$DA$92,Country_Data!$CN$92)*Sector_Params!$J$5</f>
        <v>0.00392176693927782</v>
      </c>
      <c r="V614" s="37" t="n">
        <f aca="false">IF(AND(p_eng=1,ISNUMBER(Country_Data!$DB$92)),Country_Data!$DB$92,p_a)</f>
        <v>0.38006160089877</v>
      </c>
      <c r="W614" s="16" t="n">
        <f aca="false">T614*L614</f>
        <v>0.00645069115796696</v>
      </c>
      <c r="X614" s="16" t="n">
        <f aca="false">U614*L614</f>
        <v>0.00160150632289103</v>
      </c>
      <c r="Y614" s="16" t="n">
        <f aca="false">V614*L614</f>
        <v>0.155203270962234</v>
      </c>
      <c r="Z614" s="16" t="n">
        <f aca="false">Q614*L614</f>
        <v>0.0275396349364614</v>
      </c>
      <c r="AA614" s="16" t="n">
        <f aca="false">R614*L614</f>
        <v>0.0319449334383551</v>
      </c>
      <c r="AB614" s="16" t="n">
        <f aca="false">S614*L614</f>
        <v>0.0319449334383551</v>
      </c>
      <c r="AC614" s="16" t="n">
        <f aca="false">Z614-W614</f>
        <v>0.0210889437784944</v>
      </c>
      <c r="AD614" s="16" t="n">
        <f aca="false">AA614-W614</f>
        <v>0.0254942422803881</v>
      </c>
      <c r="AE614" s="16" t="n">
        <f aca="false">AB614-W614</f>
        <v>0.0254942422803881</v>
      </c>
      <c r="AF614" s="16" t="n">
        <f aca="false">AE614-X614</f>
        <v>0.0238927359574971</v>
      </c>
      <c r="AG614" s="16" t="n">
        <f aca="false">AF614-p_spc_lo*Y614/1000</f>
        <v>0.0161325724093854</v>
      </c>
      <c r="AH614" s="16" t="n">
        <f aca="false">AF614-p_spc_hi*Y614/1000</f>
        <v>0.00837240886127371</v>
      </c>
      <c r="AI614" s="16" t="n">
        <f aca="false">Q614*J614</f>
        <v>0.0724727235170037</v>
      </c>
      <c r="AJ614" s="16" t="n">
        <f aca="false">S614*J614</f>
        <v>0.0840656143114608</v>
      </c>
      <c r="AK614" s="16" t="n">
        <f aca="false">T614*J614</f>
        <v>0.0169755030472815</v>
      </c>
      <c r="AL614" s="16" t="n">
        <f aca="false">U614*J614</f>
        <v>0.00421449032339745</v>
      </c>
      <c r="AM614" s="16" t="n">
        <f aca="false">AI614-AJ614</f>
        <v>-0.0115928907944571</v>
      </c>
      <c r="AN614" s="16" t="n">
        <f aca="false">J614*Country_Data!$EB$92</f>
        <v>1.12281423650803</v>
      </c>
      <c r="AO614" s="16" t="n">
        <f aca="false">L614*Country_Data!$EB$92</f>
        <v>0.426669409873053</v>
      </c>
    </row>
    <row r="615" customFormat="false" ht="15" hidden="false" customHeight="false" outlineLevel="0" collapsed="false">
      <c r="A615" s="14" t="str">
        <f aca="false">Country_Data!$A$92</f>
        <v>SVN</v>
      </c>
      <c r="B615" s="14" t="str">
        <f aca="false">Country_Data!$E$92</f>
        <v>AE</v>
      </c>
      <c r="C615" s="35" t="s">
        <v>470</v>
      </c>
      <c r="D615" s="37" t="n">
        <f aca="false">IF(Country_Data!$BZ$92="","",Country_Data!$BZ$92)</f>
        <v>15.1855981761281</v>
      </c>
      <c r="E615" s="40" t="n">
        <f aca="false">Country_Data!$BW$92</f>
        <v>118.759</v>
      </c>
      <c r="F615" s="41" t="n">
        <f aca="false">Country_Data!$BX$92</f>
        <v>0.614269234331714</v>
      </c>
      <c r="G615" s="42" t="n">
        <f aca="false">IF(D615="","",D615/SUMIFS($D$5:$D$1369,$B$5:$B$1369,B615,$C$5:$C$1369,C615))</f>
        <v>0.00155186255571526</v>
      </c>
      <c r="H615" s="42" t="n">
        <f aca="false">E615/SUMIFS($E$5:$E$1369,$B$5:$B$1369,B615,$C$5:$C$1369,C615)</f>
        <v>0.00150547283153264</v>
      </c>
      <c r="I615" s="43" t="n">
        <f aca="false">IF(G615="",H615,p_beta_alloc*G615+(1-p_beta_alloc)*H615)*F615^p_phi</f>
        <v>0.001198098348575</v>
      </c>
      <c r="J615" s="16" t="n">
        <f aca="false">INDEX(Sector_Params!$C$17:$E$17,MATCH(B615,Sector_Params!$C$15:$E$15,0))*I615/SUMIFS($I$5:$I$1369,$B$5:$B$1369,B615,$C$5:$C$1369,C615)</f>
        <v>0.736896472050534</v>
      </c>
      <c r="K615" s="28" t="n">
        <f aca="false">INDEX(Sector_Params!$F$6:$H$6,MATCH(B615,Sector_Params!$C$15:$E$15,0))</f>
        <v>0.38</v>
      </c>
      <c r="L615" s="16" t="n">
        <f aca="false">J615*K615</f>
        <v>0.280020659379203</v>
      </c>
      <c r="M615" s="44" t="n">
        <f aca="false">Country_Data!$DW$92+Sector_Params!$E$6</f>
        <v>0.045</v>
      </c>
      <c r="N615" s="44" t="n">
        <f aca="false">Country_Data!$DX$92+Sector_Params!$E$6</f>
        <v>0.06</v>
      </c>
      <c r="O615" s="11" t="n">
        <f aca="false">IF(p_use_ibrd=1,p_r_ibrd,p_r_wb)</f>
        <v>0.06</v>
      </c>
      <c r="P615" s="45" t="n">
        <f aca="false">Sector_Params!$D$6</f>
        <v>40</v>
      </c>
      <c r="Q615" s="46" t="n">
        <f aca="false">M615/(1-(1+M615)^-P615)</f>
        <v>0.0543431466095894</v>
      </c>
      <c r="R615" s="46" t="n">
        <f aca="false">N615/(1-(1+N615)^-P615)</f>
        <v>0.0664615359206755</v>
      </c>
      <c r="S615" s="46" t="n">
        <f aca="false">O615/(1-(1+O615)^-P615)</f>
        <v>0.0664615359206755</v>
      </c>
      <c r="T615" s="37" t="n">
        <f aca="false">p_grid_credit*IF(AND(p_eng=1,ISNUMBER(Country_Data!$CZ$92)),Country_Data!$CZ$92,Country_Data!$CM$92)*Sector_Params!$I$6</f>
        <v>0</v>
      </c>
      <c r="U615" s="37" t="n">
        <f aca="false">p_grid_credit*IF(AND(p_eng=1,ISNUMBER(Country_Data!$DA$92)),Country_Data!$DA$92,Country_Data!$CN$92)*Sector_Params!$J$6</f>
        <v>0</v>
      </c>
      <c r="V615" s="37" t="n">
        <f aca="false">p_grid_credit*IF(AND(p_eng=1,ISNUMBER(Country_Data!$DB$92)),Country_Data!$DB$92,p_a)</f>
        <v>0</v>
      </c>
      <c r="W615" s="16" t="n">
        <f aca="false">T615*L615</f>
        <v>0</v>
      </c>
      <c r="X615" s="16" t="n">
        <f aca="false">U615*L615</f>
        <v>0</v>
      </c>
      <c r="Y615" s="16" t="n">
        <f aca="false">V615*L615</f>
        <v>0</v>
      </c>
      <c r="Z615" s="16" t="n">
        <f aca="false">Q615*L615</f>
        <v>0.0152172037463579</v>
      </c>
      <c r="AA615" s="16" t="n">
        <f aca="false">R615*L615</f>
        <v>0.0186106031118621</v>
      </c>
      <c r="AB615" s="16" t="n">
        <f aca="false">S615*L615</f>
        <v>0.0186106031118621</v>
      </c>
      <c r="AC615" s="16" t="n">
        <f aca="false">Z615-W615</f>
        <v>0.0152172037463579</v>
      </c>
      <c r="AD615" s="16" t="n">
        <f aca="false">AA615-W615</f>
        <v>0.0186106031118621</v>
      </c>
      <c r="AE615" s="16" t="n">
        <f aca="false">AB615-W615</f>
        <v>0.0186106031118621</v>
      </c>
      <c r="AF615" s="16" t="n">
        <f aca="false">AE615-X615</f>
        <v>0.0186106031118621</v>
      </c>
      <c r="AG615" s="16" t="n">
        <f aca="false">AF615-p_spc_lo*Y615/1000</f>
        <v>0.0186106031118621</v>
      </c>
      <c r="AH615" s="16" t="n">
        <f aca="false">AF615-p_spc_hi*Y615/1000</f>
        <v>0.0186106031118621</v>
      </c>
      <c r="AI615" s="16" t="n">
        <f aca="false">Q615*J615</f>
        <v>0.0400452730167314</v>
      </c>
      <c r="AJ615" s="16" t="n">
        <f aca="false">S615*J615</f>
        <v>0.0489752713470056</v>
      </c>
      <c r="AK615" s="16" t="n">
        <f aca="false">T615*J615</f>
        <v>0</v>
      </c>
      <c r="AL615" s="16" t="n">
        <f aca="false">U615*J615</f>
        <v>0</v>
      </c>
      <c r="AM615" s="16" t="n">
        <f aca="false">AI615-AJ615</f>
        <v>-0.00892999833027427</v>
      </c>
      <c r="AN615" s="16" t="n">
        <f aca="false">J615*Country_Data!$EB$92</f>
        <v>0.769929762176938</v>
      </c>
      <c r="AO615" s="16" t="n">
        <f aca="false">L615*Country_Data!$EB$92</f>
        <v>0.292573309627236</v>
      </c>
    </row>
    <row r="616" customFormat="false" ht="15" hidden="false" customHeight="false" outlineLevel="0" collapsed="false">
      <c r="A616" s="14" t="str">
        <f aca="false">Country_Data!$A$92</f>
        <v>SVN</v>
      </c>
      <c r="B616" s="14" t="str">
        <f aca="false">Country_Data!$E$92</f>
        <v>AE</v>
      </c>
      <c r="C616" s="35" t="s">
        <v>473</v>
      </c>
      <c r="D616" s="37" t="n">
        <f aca="false">IF(Country_Data!$CA$92="","",Country_Data!$CA$92)</f>
        <v>0.0952048921140227</v>
      </c>
      <c r="E616" s="40" t="n">
        <f aca="false">Country_Data!$BW$92</f>
        <v>118.759</v>
      </c>
      <c r="F616" s="41" t="n">
        <f aca="false">Country_Data!$BX$92</f>
        <v>0.614269234331714</v>
      </c>
      <c r="G616" s="42" t="n">
        <f aca="false">IF(D616="","",D616/SUMIFS($D$5:$D$1369,$B$5:$B$1369,B616,$C$5:$C$1369,C616))</f>
        <v>0.00186372810691283</v>
      </c>
      <c r="H616" s="42" t="n">
        <f aca="false">E616/SUMIFS($E$5:$E$1369,$B$5:$B$1369,B616,$C$5:$C$1369,C616)</f>
        <v>0.00150547283153264</v>
      </c>
      <c r="I616" s="43" t="n">
        <f aca="false">IF(G616="",H616,p_beta_alloc*G616+(1-p_beta_alloc)*H616)*F616^p_phi</f>
        <v>0.00132031117593628</v>
      </c>
      <c r="J616" s="16" t="n">
        <f aca="false">INDEX(Sector_Params!$C$18:$E$18,MATCH(B616,Sector_Params!$C$15:$E$15,0))*I616/SUMIFS($I$5:$I$1369,$B$5:$B$1369,B616,$C$5:$C$1369,C616)</f>
        <v>0.497563439877579</v>
      </c>
      <c r="K616" s="28" t="n">
        <f aca="false">INDEX(Sector_Params!$F$7:$H$7,MATCH(B616,Sector_Params!$C$15:$E$15,0))</f>
        <v>0.38</v>
      </c>
      <c r="L616" s="16" t="n">
        <f aca="false">J616*K616</f>
        <v>0.18907410715348</v>
      </c>
      <c r="M616" s="44" t="n">
        <f aca="false">Country_Data!$DW$92+Sector_Params!$E$7</f>
        <v>0.045</v>
      </c>
      <c r="N616" s="44" t="n">
        <f aca="false">Country_Data!$DX$92+Sector_Params!$E$7</f>
        <v>0.06</v>
      </c>
      <c r="O616" s="11" t="n">
        <f aca="false">IF(p_use_ibrd=1,p_r_ibrd,p_r_wb)</f>
        <v>0.06</v>
      </c>
      <c r="P616" s="45" t="n">
        <f aca="false">Sector_Params!$D$7</f>
        <v>12</v>
      </c>
      <c r="Q616" s="46" t="n">
        <f aca="false">M616/(1-(1+M616)^-P616)</f>
        <v>0.109666188636493</v>
      </c>
      <c r="R616" s="46" t="n">
        <f aca="false">N616/(1-(1+N616)^-P616)</f>
        <v>0.119277029380664</v>
      </c>
      <c r="S616" s="46" t="n">
        <f aca="false">O616/(1-(1+O616)^-P616)</f>
        <v>0.119277029380664</v>
      </c>
      <c r="T616" s="37" t="n">
        <f aca="false">IF(AND(p_eng=1,ISNUMBER(Country_Data!$DE$92)),Country_Data!$DE$92,Country_Data!$CM$92)*Sector_Params!$I$7</f>
        <v>0.122690565</v>
      </c>
      <c r="U616" s="37" t="n">
        <f aca="false">IF(AND(p_eng=1,ISNUMBER(Country_Data!$DF$92)),Country_Data!$DF$92,Country_Data!$CN$92)*Sector_Params!$J$7</f>
        <v>0.00532395</v>
      </c>
      <c r="V616" s="37" t="n">
        <f aca="false">IF(AND(p_eng=1,ISNUMBER(Country_Data!$DG$92)),Country_Data!$DG$92,p_a)</f>
        <v>0.444081609690444</v>
      </c>
      <c r="W616" s="16" t="n">
        <f aca="false">T616*L616</f>
        <v>0.023197609033531</v>
      </c>
      <c r="X616" s="16" t="n">
        <f aca="false">U616*L616</f>
        <v>0.00100662109277977</v>
      </c>
      <c r="Y616" s="16" t="n">
        <f aca="false">V616*L616</f>
        <v>0.0839643338555009</v>
      </c>
      <c r="Z616" s="16" t="n">
        <f aca="false">Q616*L616</f>
        <v>0.0207350367013701</v>
      </c>
      <c r="AA616" s="16" t="n">
        <f aca="false">R616*L616</f>
        <v>0.0225521978340684</v>
      </c>
      <c r="AB616" s="16" t="n">
        <f aca="false">S616*L616</f>
        <v>0.0225521978340684</v>
      </c>
      <c r="AC616" s="16" t="n">
        <f aca="false">Z616-W616</f>
        <v>-0.00246257233216093</v>
      </c>
      <c r="AD616" s="16" t="n">
        <f aca="false">AA616-W616</f>
        <v>-0.000645411199462639</v>
      </c>
      <c r="AE616" s="16" t="n">
        <f aca="false">AB616-W616</f>
        <v>-0.000645411199462643</v>
      </c>
      <c r="AF616" s="16" t="n">
        <f aca="false">AE616-X616</f>
        <v>-0.00165203229224241</v>
      </c>
      <c r="AG616" s="16" t="n">
        <f aca="false">AF616-p_spc_lo*Y616/1000</f>
        <v>-0.00585024898501746</v>
      </c>
      <c r="AH616" s="16" t="n">
        <f aca="false">AF616-p_spc_hi*Y616/1000</f>
        <v>-0.0100484656777925</v>
      </c>
      <c r="AI616" s="16" t="n">
        <f aca="false">Q616*J616</f>
        <v>0.054565886056237</v>
      </c>
      <c r="AJ616" s="16" t="n">
        <f aca="false">S616*J616</f>
        <v>0.059347889037022</v>
      </c>
      <c r="AK616" s="16" t="n">
        <f aca="false">T616*J616</f>
        <v>0.0610463395619237</v>
      </c>
      <c r="AL616" s="16" t="n">
        <f aca="false">U616*J616</f>
        <v>0.00264900287573624</v>
      </c>
      <c r="AM616" s="16" t="n">
        <f aca="false">AI616-AJ616</f>
        <v>-0.00478200298078496</v>
      </c>
      <c r="AN616" s="16" t="n">
        <f aca="false">J616*Country_Data!$EB$92</f>
        <v>0.519868007872091</v>
      </c>
      <c r="AO616" s="16" t="n">
        <f aca="false">L616*Country_Data!$EB$92</f>
        <v>0.197549842991395</v>
      </c>
    </row>
    <row r="617" customFormat="false" ht="15" hidden="false" customHeight="false" outlineLevel="0" collapsed="false">
      <c r="A617" s="14" t="str">
        <f aca="false">Country_Data!$A$92</f>
        <v>SVN</v>
      </c>
      <c r="B617" s="14" t="str">
        <f aca="false">Country_Data!$E$92</f>
        <v>AE</v>
      </c>
      <c r="C617" s="35" t="s">
        <v>477</v>
      </c>
      <c r="D617" s="37" t="n">
        <f aca="false">IF(Country_Data!$CB$92="","",Country_Data!$CB$92)</f>
        <v>0.0288210085094195</v>
      </c>
      <c r="E617" s="40" t="n">
        <f aca="false">Country_Data!$BW$92</f>
        <v>118.759</v>
      </c>
      <c r="F617" s="41" t="n">
        <f aca="false">Country_Data!$BX$92</f>
        <v>0.614269234331714</v>
      </c>
      <c r="G617" s="42" t="n">
        <f aca="false">IF(D617="","",D617/SUMIFS($D$5:$D$1369,$B$5:$B$1369,B617,$C$5:$C$1369,C617))</f>
        <v>0.000741135320663476</v>
      </c>
      <c r="H617" s="42" t="n">
        <f aca="false">E617/SUMIFS($E$5:$E$1369,$B$5:$B$1369,B617,$C$5:$C$1369,C617)</f>
        <v>0.00150547283153264</v>
      </c>
      <c r="I617" s="43" t="n">
        <f aca="false">IF(G617="",H617,p_beta_alloc*G617+(1-p_beta_alloc)*H617)*F617^p_phi</f>
        <v>0.000880393275879437</v>
      </c>
      <c r="J617" s="16" t="n">
        <f aca="false">INDEX(Sector_Params!$C$19:$E$19,MATCH(B617,Sector_Params!$C$15:$E$15,0))*I617/SUMIFS($I$5:$I$1369,$B$5:$B$1369,B617,$C$5:$C$1369,C617)</f>
        <v>0.258797693564037</v>
      </c>
      <c r="K617" s="28" t="n">
        <f aca="false">INDEX(Sector_Params!$F$8:$H$8,MATCH(B617,Sector_Params!$C$15:$E$15,0))</f>
        <v>0.38</v>
      </c>
      <c r="L617" s="16" t="n">
        <f aca="false">J617*K617</f>
        <v>0.0983431235543341</v>
      </c>
      <c r="M617" s="44" t="n">
        <f aca="false">Country_Data!$DW$92+Sector_Params!$E$8</f>
        <v>0.045</v>
      </c>
      <c r="N617" s="44" t="n">
        <f aca="false">Country_Data!$DX$92+Sector_Params!$E$8</f>
        <v>0.06</v>
      </c>
      <c r="O617" s="11" t="n">
        <f aca="false">IF(p_use_ibrd=1,p_r_ibrd,p_r_wb)</f>
        <v>0.06</v>
      </c>
      <c r="P617" s="45" t="n">
        <f aca="false">Sector_Params!$D$8</f>
        <v>25</v>
      </c>
      <c r="Q617" s="46" t="n">
        <f aca="false">M617/(1-(1+M617)^-P617)</f>
        <v>0.0674390280386945</v>
      </c>
      <c r="R617" s="46" t="n">
        <f aca="false">N617/(1-(1+N617)^-P617)</f>
        <v>0.078226718212274</v>
      </c>
      <c r="S617" s="46" t="n">
        <f aca="false">O617/(1-(1+O617)^-P617)</f>
        <v>0.078226718212274</v>
      </c>
      <c r="T617" s="37" t="n">
        <f aca="false">Country_Data!$CM$92*Sector_Params!$I$8</f>
        <v>0.193798613053663</v>
      </c>
      <c r="U617" s="37" t="n">
        <f aca="false">Country_Data!$CN$92*Sector_Params!$J$8</f>
        <v>0.03225</v>
      </c>
      <c r="V617" s="37" t="n">
        <f aca="false">p_a</f>
        <v>0.35</v>
      </c>
      <c r="W617" s="16" t="n">
        <f aca="false">T617*L617</f>
        <v>0.019058760948195</v>
      </c>
      <c r="X617" s="16" t="n">
        <f aca="false">U617*L617</f>
        <v>0.00317156573462728</v>
      </c>
      <c r="Y617" s="16" t="n">
        <f aca="false">V617*L617</f>
        <v>0.0344200932440169</v>
      </c>
      <c r="Z617" s="16" t="n">
        <f aca="false">Q617*L617</f>
        <v>0.00663216466679354</v>
      </c>
      <c r="AA617" s="16" t="n">
        <f aca="false">R617*L617</f>
        <v>0.00769305981439974</v>
      </c>
      <c r="AB617" s="16" t="n">
        <f aca="false">S617*L617</f>
        <v>0.00769305981439974</v>
      </c>
      <c r="AC617" s="16" t="n">
        <f aca="false">Z617-W617</f>
        <v>-0.0124265962814014</v>
      </c>
      <c r="AD617" s="16" t="n">
        <f aca="false">AA617-W617</f>
        <v>-0.0113657011337952</v>
      </c>
      <c r="AE617" s="16" t="n">
        <f aca="false">AB617-W617</f>
        <v>-0.0113657011337952</v>
      </c>
      <c r="AF617" s="16" t="n">
        <f aca="false">AE617-X617</f>
        <v>-0.0145372668684225</v>
      </c>
      <c r="AG617" s="16" t="n">
        <f aca="false">AF617-p_spc_lo*Y617/1000</f>
        <v>-0.0162582715306234</v>
      </c>
      <c r="AH617" s="16" t="n">
        <f aca="false">AF617-p_spc_hi*Y617/1000</f>
        <v>-0.0179792761928242</v>
      </c>
      <c r="AI617" s="16" t="n">
        <f aca="false">Q617*J617</f>
        <v>0.0174530649126146</v>
      </c>
      <c r="AJ617" s="16" t="n">
        <f aca="false">S617*J617</f>
        <v>0.0202448942484204</v>
      </c>
      <c r="AK617" s="16" t="n">
        <f aca="false">T617*J617</f>
        <v>0.0501546340741973</v>
      </c>
      <c r="AL617" s="16" t="n">
        <f aca="false">U617*J617</f>
        <v>0.0083462256174402</v>
      </c>
      <c r="AM617" s="16" t="n">
        <f aca="false">AI617-AJ617</f>
        <v>-0.00279182933580578</v>
      </c>
      <c r="AN617" s="16" t="n">
        <f aca="false">J617*Country_Data!$EB$92</f>
        <v>0.270398969482425</v>
      </c>
      <c r="AO617" s="16" t="n">
        <f aca="false">L617*Country_Data!$EB$92</f>
        <v>0.102751608403322</v>
      </c>
    </row>
    <row r="618" customFormat="false" ht="15" hidden="false" customHeight="false" outlineLevel="0" collapsed="false">
      <c r="A618" s="14" t="str">
        <f aca="false">Country_Data!$A$92</f>
        <v>SVN</v>
      </c>
      <c r="B618" s="14" t="str">
        <f aca="false">Country_Data!$E$92</f>
        <v>AE</v>
      </c>
      <c r="C618" s="35" t="s">
        <v>481</v>
      </c>
      <c r="D618" s="37" t="n">
        <f aca="false">IF(Country_Data!$CC$92="","",Country_Data!$CC$92)</f>
        <v>0.0710706735111765</v>
      </c>
      <c r="E618" s="40" t="n">
        <f aca="false">Country_Data!$BW$92</f>
        <v>118.759</v>
      </c>
      <c r="F618" s="41" t="n">
        <f aca="false">Country_Data!$BX$92</f>
        <v>0.614269234331714</v>
      </c>
      <c r="G618" s="42" t="n">
        <f aca="false">IF(D618="","",D618/SUMIFS($D$5:$D$1369,$B$5:$B$1369,B618,$C$5:$C$1369,C618))</f>
        <v>0.00129404508759124</v>
      </c>
      <c r="H618" s="42" t="n">
        <f aca="false">E618/SUMIFS($E$5:$E$1369,$B$5:$B$1369,B618,$C$5:$C$1369,C618)</f>
        <v>0.00150547283153264</v>
      </c>
      <c r="I618" s="43" t="n">
        <f aca="false">IF(G618="",H618,p_beta_alloc*G618+(1-p_beta_alloc)*H618)*F618^p_phi</f>
        <v>0.0010970657029315</v>
      </c>
      <c r="J618" s="16" t="n">
        <f aca="false">INDEX(Sector_Params!$C$20:$E$20,MATCH(B618,Sector_Params!$C$15:$E$15,0))*I618/SUMIFS($I$5:$I$1369,$B$5:$B$1369,B618,$C$5:$C$1369,C618)</f>
        <v>0.186300792375488</v>
      </c>
      <c r="K618" s="28" t="n">
        <f aca="false">INDEX(Sector_Params!$F$9:$H$9,MATCH(B618,Sector_Params!$C$15:$E$15,0))</f>
        <v>0.38</v>
      </c>
      <c r="L618" s="16" t="n">
        <f aca="false">J618*K618</f>
        <v>0.0707943011026855</v>
      </c>
      <c r="M618" s="44" t="n">
        <f aca="false">Country_Data!$DW$92+Sector_Params!$E$9</f>
        <v>0.045</v>
      </c>
      <c r="N618" s="44" t="n">
        <f aca="false">Country_Data!$DX$92+Sector_Params!$E$9</f>
        <v>0.06</v>
      </c>
      <c r="O618" s="11" t="n">
        <f aca="false">IF(p_use_ibrd=1,p_r_ibrd,p_r_wb)</f>
        <v>0.06</v>
      </c>
      <c r="P618" s="45" t="n">
        <f aca="false">Sector_Params!$D$9</f>
        <v>25</v>
      </c>
      <c r="Q618" s="46" t="n">
        <f aca="false">M618/(1-(1+M618)^-P618)</f>
        <v>0.0674390280386945</v>
      </c>
      <c r="R618" s="46" t="n">
        <f aca="false">N618/(1-(1+N618)^-P618)</f>
        <v>0.078226718212274</v>
      </c>
      <c r="S618" s="46" t="n">
        <f aca="false">O618/(1-(1+O618)^-P618)</f>
        <v>0.078226718212274</v>
      </c>
      <c r="T618" s="37" t="n">
        <f aca="false">Country_Data!$CM$92*Sector_Params!$I$9</f>
        <v>0.193798613053663</v>
      </c>
      <c r="U618" s="37" t="n">
        <f aca="false">Country_Data!$CN$92*Sector_Params!$J$9</f>
        <v>0.03225</v>
      </c>
      <c r="V618" s="37" t="n">
        <f aca="false">p_a</f>
        <v>0.35</v>
      </c>
      <c r="W618" s="16" t="n">
        <f aca="false">T618*L618</f>
        <v>0.0137198373658039</v>
      </c>
      <c r="X618" s="16" t="n">
        <f aca="false">U618*L618</f>
        <v>0.00228311621056161</v>
      </c>
      <c r="Y618" s="16" t="n">
        <f aca="false">V618*L618</f>
        <v>0.0247780053859399</v>
      </c>
      <c r="Z618" s="16" t="n">
        <f aca="false">Q618*L618</f>
        <v>0.00477429885704379</v>
      </c>
      <c r="AA618" s="16" t="n">
        <f aca="false">R618*L618</f>
        <v>0.00553800584339465</v>
      </c>
      <c r="AB618" s="16" t="n">
        <f aca="false">S618*L618</f>
        <v>0.00553800584339465</v>
      </c>
      <c r="AC618" s="16" t="n">
        <f aca="false">Z618-W618</f>
        <v>-0.00894553850876007</v>
      </c>
      <c r="AD618" s="16" t="n">
        <f aca="false">AA618-W618</f>
        <v>-0.00818183152240921</v>
      </c>
      <c r="AE618" s="16" t="n">
        <f aca="false">AB618-W618</f>
        <v>-0.00818183152240921</v>
      </c>
      <c r="AF618" s="16" t="n">
        <f aca="false">AE618-X618</f>
        <v>-0.0104649477329708</v>
      </c>
      <c r="AG618" s="16" t="n">
        <f aca="false">AF618-p_spc_lo*Y618/1000</f>
        <v>-0.0117038480022678</v>
      </c>
      <c r="AH618" s="16" t="n">
        <f aca="false">AF618-p_spc_hi*Y618/1000</f>
        <v>-0.0129427482715648</v>
      </c>
      <c r="AI618" s="16" t="n">
        <f aca="false">Q618*J618</f>
        <v>0.0125639443606416</v>
      </c>
      <c r="AJ618" s="16" t="n">
        <f aca="false">S618*J618</f>
        <v>0.0145736995878807</v>
      </c>
      <c r="AK618" s="16" t="n">
        <f aca="false">T618*J618</f>
        <v>0.0361048351731681</v>
      </c>
      <c r="AL618" s="16" t="n">
        <f aca="false">U618*J618</f>
        <v>0.00600820055410949</v>
      </c>
      <c r="AM618" s="16" t="n">
        <f aca="false">AI618-AJ618</f>
        <v>-0.00200975522723911</v>
      </c>
      <c r="AN618" s="16" t="n">
        <f aca="false">J618*Country_Data!$EB$92</f>
        <v>0.194652207206113</v>
      </c>
      <c r="AO618" s="16" t="n">
        <f aca="false">L618*Country_Data!$EB$92</f>
        <v>0.0739678387383231</v>
      </c>
    </row>
    <row r="619" customFormat="false" ht="15" hidden="false" customHeight="false" outlineLevel="0" collapsed="false">
      <c r="A619" s="14" t="str">
        <f aca="false">Country_Data!$A$92</f>
        <v>SVN</v>
      </c>
      <c r="B619" s="14" t="str">
        <f aca="false">Country_Data!$E$92</f>
        <v>AE</v>
      </c>
      <c r="C619" s="35" t="s">
        <v>484</v>
      </c>
      <c r="D619" s="37" t="n">
        <f aca="false">IF(Country_Data!$CD$92="","",Country_Data!$CD$92)</f>
        <v>0.168901279484205</v>
      </c>
      <c r="E619" s="40" t="n">
        <f aca="false">Country_Data!$BW$92</f>
        <v>118.759</v>
      </c>
      <c r="F619" s="41" t="n">
        <f aca="false">Country_Data!$BX$92</f>
        <v>0.614269234331714</v>
      </c>
      <c r="G619" s="42" t="n">
        <f aca="false">IF(D619="","",D619/SUMIFS($D$5:$D$1369,$B$5:$B$1369,B619,$C$5:$C$1369,C619))</f>
        <v>0.00114276791900783</v>
      </c>
      <c r="H619" s="42" t="n">
        <f aca="false">E619/SUMIFS($E$5:$E$1369,$B$5:$B$1369,B619,$C$5:$C$1369,C619)</f>
        <v>0.00150547283153264</v>
      </c>
      <c r="I619" s="43" t="n">
        <f aca="false">IF(G619="",H619,p_beta_alloc*G619+(1-p_beta_alloc)*H619)*F619^p_phi</f>
        <v>0.00103778371293038</v>
      </c>
      <c r="J619" s="16" t="n">
        <f aca="false">INDEX(Sector_Params!$C$21:$E$21,MATCH(B619,Sector_Params!$C$15:$E$15,0))*I619/SUMIFS($I$5:$I$1369,$B$5:$B$1369,B619,$C$5:$C$1369,C619)</f>
        <v>0.211448157259261</v>
      </c>
      <c r="K619" s="28" t="n">
        <f aca="false">INDEX(Sector_Params!$F$10:$H$10,MATCH(B619,Sector_Params!$C$15:$E$15,0))</f>
        <v>0.38</v>
      </c>
      <c r="L619" s="16" t="n">
        <f aca="false">J619*K619</f>
        <v>0.0803502997585191</v>
      </c>
      <c r="M619" s="44" t="n">
        <f aca="false">Country_Data!$DW$92+Sector_Params!$E$10</f>
        <v>0.045</v>
      </c>
      <c r="N619" s="44" t="n">
        <f aca="false">Country_Data!$DX$92+Sector_Params!$E$10</f>
        <v>0.06</v>
      </c>
      <c r="O619" s="11" t="n">
        <f aca="false">IF(p_use_ibrd=1,p_r_ibrd,p_r_wb)</f>
        <v>0.06</v>
      </c>
      <c r="P619" s="45" t="n">
        <f aca="false">Sector_Params!$D$10</f>
        <v>20</v>
      </c>
      <c r="Q619" s="46" t="n">
        <f aca="false">M619/(1-(1+M619)^-P619)</f>
        <v>0.0768761443240481</v>
      </c>
      <c r="R619" s="46" t="n">
        <f aca="false">N619/(1-(1+N619)^-P619)</f>
        <v>0.0871845569768514</v>
      </c>
      <c r="S619" s="46" t="n">
        <f aca="false">O619/(1-(1+O619)^-P619)</f>
        <v>0.0871845569768514</v>
      </c>
      <c r="T619" s="37" t="n">
        <f aca="false">0*Sector_Params!$I$10</f>
        <v>0</v>
      </c>
      <c r="U619" s="37" t="n">
        <f aca="false">0*Sector_Params!$J$10</f>
        <v>0</v>
      </c>
      <c r="V619" s="37" t="n">
        <f aca="false">1000*p_r_wb/(1-(1+p_r_wb)^-Sector_Params!$D$10)/p_cpt_fuel</f>
        <v>0.871845569768514</v>
      </c>
      <c r="W619" s="16" t="n">
        <f aca="false">T619*L619</f>
        <v>0</v>
      </c>
      <c r="X619" s="16" t="n">
        <f aca="false">U619*L619</f>
        <v>0</v>
      </c>
      <c r="Y619" s="16" t="n">
        <f aca="false">V619*L619</f>
        <v>0.070053052874037</v>
      </c>
      <c r="Z619" s="16" t="n">
        <f aca="false">Q619*L619</f>
        <v>0.00617702124071644</v>
      </c>
      <c r="AA619" s="16" t="n">
        <f aca="false">R619*L619</f>
        <v>0.0070053052874037</v>
      </c>
      <c r="AB619" s="16" t="n">
        <f aca="false">S619*L619</f>
        <v>0.0070053052874037</v>
      </c>
      <c r="AC619" s="16" t="n">
        <f aca="false">Z619-W619</f>
        <v>0.00617702124071644</v>
      </c>
      <c r="AD619" s="16" t="n">
        <f aca="false">AA619-W619</f>
        <v>0.0070053052874037</v>
      </c>
      <c r="AE619" s="16" t="n">
        <f aca="false">AB619-W619</f>
        <v>0.0070053052874037</v>
      </c>
      <c r="AF619" s="16" t="n">
        <f aca="false">AE619-X619</f>
        <v>0.0070053052874037</v>
      </c>
      <c r="AG619" s="16" t="n">
        <f aca="false">AF619-p_spc_lo*Y619/1000</f>
        <v>0.00350265264370185</v>
      </c>
      <c r="AH619" s="16" t="n">
        <f aca="false">AF619-p_spc_hi*Y619/1000</f>
        <v>0</v>
      </c>
      <c r="AI619" s="16" t="n">
        <f aca="false">Q619*J619</f>
        <v>0.016255319054517</v>
      </c>
      <c r="AJ619" s="16" t="n">
        <f aca="false">S619*J619</f>
        <v>0.0184350139142202</v>
      </c>
      <c r="AK619" s="16" t="n">
        <f aca="false">T619*J619</f>
        <v>0</v>
      </c>
      <c r="AL619" s="16" t="n">
        <f aca="false">U619*J619</f>
        <v>0</v>
      </c>
      <c r="AM619" s="16" t="n">
        <f aca="false">AI619-AJ619</f>
        <v>-0.0021796948597033</v>
      </c>
      <c r="AN619" s="16" t="n">
        <f aca="false">J619*Country_Data!$EB$92</f>
        <v>0.22092686775709</v>
      </c>
      <c r="AO619" s="16" t="n">
        <f aca="false">L619*Country_Data!$EB$92</f>
        <v>0.0839522097476941</v>
      </c>
    </row>
    <row r="620" customFormat="false" ht="15" hidden="false" customHeight="false" outlineLevel="0" collapsed="false">
      <c r="A620" s="14" t="str">
        <f aca="false">Country_Data!$A$92</f>
        <v>SVN</v>
      </c>
      <c r="B620" s="14" t="str">
        <f aca="false">Country_Data!$E$92</f>
        <v>AE</v>
      </c>
      <c r="C620" s="35" t="s">
        <v>488</v>
      </c>
      <c r="D620" s="37" t="n">
        <f aca="false">IF(Country_Data!$CE$92="","",Country_Data!$CE$92)</f>
        <v>3.163</v>
      </c>
      <c r="E620" s="40" t="n">
        <f aca="false">Country_Data!$BW$92</f>
        <v>118.759</v>
      </c>
      <c r="F620" s="41" t="n">
        <f aca="false">Country_Data!$BX$92</f>
        <v>0.614269234331714</v>
      </c>
      <c r="G620" s="42" t="n">
        <f aca="false">IF(D620="","",D620/SUMIFS($D$5:$D$1369,$B$5:$B$1369,B620,$C$5:$C$1369,C620))</f>
        <v>0.0012071256670104</v>
      </c>
      <c r="H620" s="42" t="n">
        <f aca="false">E620/SUMIFS($E$5:$E$1369,$B$5:$B$1369,B620,$C$5:$C$1369,C620)</f>
        <v>0.00150547283153264</v>
      </c>
      <c r="I620" s="43" t="n">
        <f aca="false">IF(G620="",H620,p_beta_alloc*G620+(1-p_beta_alloc)*H620)*F620^p_phi</f>
        <v>0.00106300401160009</v>
      </c>
      <c r="J620" s="16" t="n">
        <f aca="false">INDEX(Sector_Params!$C$22:$E$22,MATCH(B620,Sector_Params!$C$15:$E$15,0))*I620/SUMIFS($I$5:$I$1369,$B$5:$B$1369,B620,$C$5:$C$1369,C620)</f>
        <v>0.0411888783449883</v>
      </c>
      <c r="K620" s="28" t="n">
        <f aca="false">INDEX(Sector_Params!$F$11:$H$11,MATCH(B620,Sector_Params!$C$15:$E$15,0))</f>
        <v>0.38</v>
      </c>
      <c r="L620" s="16" t="n">
        <f aca="false">J620*K620</f>
        <v>0.0156517737710955</v>
      </c>
      <c r="M620" s="44" t="n">
        <f aca="false">Country_Data!$DW$92+Sector_Params!$E$11</f>
        <v>0.045</v>
      </c>
      <c r="N620" s="44" t="n">
        <f aca="false">Country_Data!$DX$92+Sector_Params!$E$11</f>
        <v>0.06</v>
      </c>
      <c r="O620" s="11" t="n">
        <f aca="false">IF(p_use_ibrd=1,p_r_ibrd,p_r_wb)</f>
        <v>0.06</v>
      </c>
      <c r="P620" s="45" t="n">
        <f aca="false">Sector_Params!$D$11</f>
        <v>30</v>
      </c>
      <c r="Q620" s="46" t="n">
        <f aca="false">M620/(1-(1+M620)^-P620)</f>
        <v>0.0613915429085932</v>
      </c>
      <c r="R620" s="46" t="n">
        <f aca="false">N620/(1-(1+N620)^-P620)</f>
        <v>0.0726489114900472</v>
      </c>
      <c r="S620" s="46" t="n">
        <f aca="false">O620/(1-(1+O620)^-P620)</f>
        <v>0.0726489114900472</v>
      </c>
      <c r="T620" s="37" t="n">
        <f aca="false">0*Sector_Params!$I$11</f>
        <v>0</v>
      </c>
      <c r="U620" s="37" t="n">
        <f aca="false">p_c*Sector_Params!$J$11</f>
        <v>0.129</v>
      </c>
      <c r="V620" s="37" t="n">
        <f aca="false">1000*p_r_wb/(1-(1+p_r_wb)^-Sector_Params!$D$11)/p_cpt_afolu</f>
        <v>1.45297822980094</v>
      </c>
      <c r="W620" s="16" t="n">
        <f aca="false">T620*L620</f>
        <v>0</v>
      </c>
      <c r="X620" s="16" t="n">
        <f aca="false">U620*L620</f>
        <v>0.00201907881647133</v>
      </c>
      <c r="Y620" s="16" t="n">
        <f aca="false">V620*L620</f>
        <v>0.0227416865471712</v>
      </c>
      <c r="Z620" s="16" t="n">
        <f aca="false">Q620*L620</f>
        <v>0.000960886541063806</v>
      </c>
      <c r="AA620" s="16" t="n">
        <f aca="false">R620*L620</f>
        <v>0.00113708432735856</v>
      </c>
      <c r="AB620" s="16" t="n">
        <f aca="false">S620*L620</f>
        <v>0.00113708432735856</v>
      </c>
      <c r="AC620" s="16" t="n">
        <f aca="false">Z620-W620</f>
        <v>0.000960886541063806</v>
      </c>
      <c r="AD620" s="16" t="n">
        <f aca="false">AA620-W620</f>
        <v>0.00113708432735856</v>
      </c>
      <c r="AE620" s="16" t="n">
        <f aca="false">AB620-W620</f>
        <v>0.00113708432735856</v>
      </c>
      <c r="AF620" s="16" t="n">
        <f aca="false">AE620-X620</f>
        <v>-0.000881994489112763</v>
      </c>
      <c r="AG620" s="16" t="n">
        <f aca="false">AF620-p_spc_lo*Y620/1000</f>
        <v>-0.00201907881647133</v>
      </c>
      <c r="AH620" s="16" t="n">
        <f aca="false">AF620-p_spc_hi*Y620/1000</f>
        <v>-0.00315616314382989</v>
      </c>
      <c r="AI620" s="16" t="n">
        <f aca="false">Q620*J620</f>
        <v>0.00252864879227317</v>
      </c>
      <c r="AJ620" s="16" t="n">
        <f aca="false">S620*J620</f>
        <v>0.00299232717725937</v>
      </c>
      <c r="AK620" s="16" t="n">
        <f aca="false">T620*J620</f>
        <v>0</v>
      </c>
      <c r="AL620" s="16" t="n">
        <f aca="false">U620*J620</f>
        <v>0.00531336530650349</v>
      </c>
      <c r="AM620" s="16" t="n">
        <f aca="false">AI620-AJ620</f>
        <v>-0.000463678384986203</v>
      </c>
      <c r="AN620" s="16" t="n">
        <f aca="false">J620*Country_Data!$EB$92</f>
        <v>0.0430352763397636</v>
      </c>
      <c r="AO620" s="16" t="n">
        <f aca="false">L620*Country_Data!$EB$92</f>
        <v>0.0163534050091102</v>
      </c>
    </row>
    <row r="621" customFormat="false" ht="15" hidden="false" customHeight="false" outlineLevel="0" collapsed="false">
      <c r="A621" s="14" t="str">
        <f aca="false">Country_Data!$A$93</f>
        <v>TKM</v>
      </c>
      <c r="B621" s="14" t="str">
        <f aca="false">Country_Data!$E$93</f>
        <v>EMDC</v>
      </c>
      <c r="C621" s="35" t="s">
        <v>466</v>
      </c>
      <c r="D621" s="37" t="n">
        <f aca="false">IF(Country_Data!$BZ$93="","",Country_Data!$BZ$93)</f>
        <v>9.99518811365109</v>
      </c>
      <c r="E621" s="40" t="n">
        <f aca="false">Country_Data!$BW$93</f>
        <v>146.269</v>
      </c>
      <c r="F621" s="41" t="n">
        <f aca="false">Country_Data!$BX$93</f>
        <v>0.469511653186936</v>
      </c>
      <c r="G621" s="42" t="n">
        <f aca="false">IF(D621="","",D621/SUMIFS($D$5:$D$1369,$B$5:$B$1369,B621,$C$5:$C$1369,C621))</f>
        <v>0.00114107201907037</v>
      </c>
      <c r="H621" s="42" t="n">
        <f aca="false">E621/SUMIFS($E$5:$E$1369,$B$5:$B$1369,B621,$C$5:$C$1369,C621)</f>
        <v>0.0018117871388865</v>
      </c>
      <c r="I621" s="43" t="n">
        <f aca="false">IF(G621="",H621,p_beta_alloc*G621+(1-p_beta_alloc)*H621)*F621^p_phi</f>
        <v>0.0010116631365099</v>
      </c>
      <c r="J621" s="16" t="n">
        <f aca="false">INDEX(Sector_Params!$C$16:$E$16,MATCH(B621,Sector_Params!$C$15:$E$15,0))*I621/SUMIFS($I$5:$I$1369,$B$5:$B$1369,B621,$C$5:$C$1369,C621)</f>
        <v>0.978506233504166</v>
      </c>
      <c r="K621" s="28" t="n">
        <f aca="false">INDEX(Sector_Params!$F$5:$H$5,MATCH(B621,Sector_Params!$C$15:$E$15,0))</f>
        <v>0.24</v>
      </c>
      <c r="L621" s="16" t="n">
        <f aca="false">J621*K621</f>
        <v>0.234841496041</v>
      </c>
      <c r="M621" s="44" t="n">
        <f aca="false">Country_Data!$DW$93+Sector_Params!$E$5</f>
        <v>0.105</v>
      </c>
      <c r="N621" s="44" t="n">
        <f aca="false">Country_Data!$DX$93+Sector_Params!$E$5</f>
        <v>0.15</v>
      </c>
      <c r="O621" s="11" t="n">
        <f aca="false">IF(p_use_ibrd=1,p_r_ibrd,p_r_wb)</f>
        <v>0.06</v>
      </c>
      <c r="P621" s="45" t="n">
        <f aca="false">Sector_Params!$D$5</f>
        <v>25</v>
      </c>
      <c r="Q621" s="46" t="n">
        <f aca="false">M621/(1-(1+M621)^-P621)</f>
        <v>0.114429319813103</v>
      </c>
      <c r="R621" s="46" t="n">
        <f aca="false">N621/(1-(1+N621)^-P621)</f>
        <v>0.154699402320206</v>
      </c>
      <c r="S621" s="46" t="n">
        <f aca="false">O621/(1-(1+O621)^-P621)</f>
        <v>0.078226718212274</v>
      </c>
      <c r="T621" s="37" t="n">
        <f aca="false">IF(AND(p_eng=1,ISNUMBER(Country_Data!$CZ$93)),Country_Data!$CZ$93,Country_Data!$CM$93)*Sector_Params!$I$5</f>
        <v>0.137943317424022</v>
      </c>
      <c r="U621" s="37" t="n">
        <f aca="false">IF(AND(p_eng=1,ISNUMBER(Country_Data!$DA$93)),Country_Data!$DA$93,Country_Data!$CN$93)*Sector_Params!$J$5</f>
        <v>0.000315480101058305</v>
      </c>
      <c r="V621" s="37" t="n">
        <f aca="false">IF(AND(p_eng=1,ISNUMBER(Country_Data!$DB$93)),Country_Data!$DB$93,p_a)</f>
        <v>0.967973838841114</v>
      </c>
      <c r="W621" s="16" t="n">
        <f aca="false">T621*L621</f>
        <v>0.0323948150327159</v>
      </c>
      <c r="X621" s="16" t="n">
        <f aca="false">U621*L621</f>
        <v>7.40878189036983E-005</v>
      </c>
      <c r="Y621" s="16" t="n">
        <f aca="false">V621*L621</f>
        <v>0.227320424441997</v>
      </c>
      <c r="Z621" s="16" t="n">
        <f aca="false">Q621*L621</f>
        <v>0.0268727526558632</v>
      </c>
      <c r="AA621" s="16" t="n">
        <f aca="false">R621*L621</f>
        <v>0.0363298390775258</v>
      </c>
      <c r="AB621" s="16" t="n">
        <f aca="false">S621*L621</f>
        <v>0.0183708795353481</v>
      </c>
      <c r="AC621" s="16" t="n">
        <f aca="false">Z621-W621</f>
        <v>-0.00552206237685265</v>
      </c>
      <c r="AD621" s="16" t="n">
        <f aca="false">AA621-W621</f>
        <v>0.00393502404480994</v>
      </c>
      <c r="AE621" s="16" t="n">
        <f aca="false">AB621-W621</f>
        <v>-0.0140239354973677</v>
      </c>
      <c r="AF621" s="16" t="n">
        <f aca="false">AE621-X621</f>
        <v>-0.0140980233162714</v>
      </c>
      <c r="AG621" s="16" t="n">
        <f aca="false">AF621-p_spc_lo*Y621/1000</f>
        <v>-0.0254640445383713</v>
      </c>
      <c r="AH621" s="16" t="n">
        <f aca="false">AF621-p_spc_hi*Y621/1000</f>
        <v>-0.0368300657604711</v>
      </c>
      <c r="AI621" s="16" t="n">
        <f aca="false">Q621*J621</f>
        <v>0.111969802732763</v>
      </c>
      <c r="AJ621" s="16" t="n">
        <f aca="false">S621*J621</f>
        <v>0.0765453313972839</v>
      </c>
      <c r="AK621" s="16" t="n">
        <f aca="false">T621*J621</f>
        <v>0.134978395969649</v>
      </c>
      <c r="AL621" s="16" t="n">
        <f aca="false">U621*J621</f>
        <v>0.000308699245432076</v>
      </c>
      <c r="AM621" s="16" t="n">
        <f aca="false">AI621-AJ621</f>
        <v>0.0354244713354795</v>
      </c>
      <c r="AN621" s="16" t="n">
        <f aca="false">J621*Country_Data!$EB$93</f>
        <v>1.12327153928286</v>
      </c>
      <c r="AO621" s="16" t="n">
        <f aca="false">L621*Country_Data!$EB$93</f>
        <v>0.269585169427887</v>
      </c>
    </row>
    <row r="622" customFormat="false" ht="15" hidden="false" customHeight="false" outlineLevel="0" collapsed="false">
      <c r="A622" s="14" t="str">
        <f aca="false">Country_Data!$A$93</f>
        <v>TKM</v>
      </c>
      <c r="B622" s="14" t="str">
        <f aca="false">Country_Data!$E$93</f>
        <v>EMDC</v>
      </c>
      <c r="C622" s="35" t="s">
        <v>470</v>
      </c>
      <c r="D622" s="37" t="n">
        <f aca="false">IF(Country_Data!$BZ$93="","",Country_Data!$BZ$93)</f>
        <v>9.99518811365109</v>
      </c>
      <c r="E622" s="40" t="n">
        <f aca="false">Country_Data!$BW$93</f>
        <v>146.269</v>
      </c>
      <c r="F622" s="41" t="n">
        <f aca="false">Country_Data!$BX$93</f>
        <v>0.469511653186936</v>
      </c>
      <c r="G622" s="42" t="n">
        <f aca="false">IF(D622="","",D622/SUMIFS($D$5:$D$1369,$B$5:$B$1369,B622,$C$5:$C$1369,C622))</f>
        <v>0.00114107201907037</v>
      </c>
      <c r="H622" s="42" t="n">
        <f aca="false">E622/SUMIFS($E$5:$E$1369,$B$5:$B$1369,B622,$C$5:$C$1369,C622)</f>
        <v>0.0018117871388865</v>
      </c>
      <c r="I622" s="43" t="n">
        <f aca="false">IF(G622="",H622,p_beta_alloc*G622+(1-p_beta_alloc)*H622)*F622^p_phi</f>
        <v>0.0010116631365099</v>
      </c>
      <c r="J622" s="16" t="n">
        <f aca="false">INDEX(Sector_Params!$C$17:$E$17,MATCH(B622,Sector_Params!$C$15:$E$15,0))*I622/SUMIFS($I$5:$I$1369,$B$5:$B$1369,B622,$C$5:$C$1369,C622)</f>
        <v>0.670975702974285</v>
      </c>
      <c r="K622" s="28" t="n">
        <f aca="false">INDEX(Sector_Params!$F$6:$H$6,MATCH(B622,Sector_Params!$C$15:$E$15,0))</f>
        <v>0.24</v>
      </c>
      <c r="L622" s="16" t="n">
        <f aca="false">J622*K622</f>
        <v>0.161034168713828</v>
      </c>
      <c r="M622" s="44" t="n">
        <f aca="false">Country_Data!$DW$93+Sector_Params!$E$6</f>
        <v>0.105</v>
      </c>
      <c r="N622" s="44" t="n">
        <f aca="false">Country_Data!$DX$93+Sector_Params!$E$6</f>
        <v>0.15</v>
      </c>
      <c r="O622" s="11" t="n">
        <f aca="false">IF(p_use_ibrd=1,p_r_ibrd,p_r_wb)</f>
        <v>0.06</v>
      </c>
      <c r="P622" s="45" t="n">
        <f aca="false">Sector_Params!$D$6</f>
        <v>40</v>
      </c>
      <c r="Q622" s="46" t="n">
        <f aca="false">M622/(1-(1+M622)^-P622)</f>
        <v>0.10697140835497</v>
      </c>
      <c r="R622" s="46" t="n">
        <f aca="false">N622/(1-(1+N622)^-P622)</f>
        <v>0.150562085013545</v>
      </c>
      <c r="S622" s="46" t="n">
        <f aca="false">O622/(1-(1+O622)^-P622)</f>
        <v>0.0664615359206755</v>
      </c>
      <c r="T622" s="37" t="n">
        <f aca="false">p_grid_credit*IF(AND(p_eng=1,ISNUMBER(Country_Data!$CZ$93)),Country_Data!$CZ$93,Country_Data!$CM$93)*Sector_Params!$I$6</f>
        <v>0</v>
      </c>
      <c r="U622" s="37" t="n">
        <f aca="false">p_grid_credit*IF(AND(p_eng=1,ISNUMBER(Country_Data!$DA$93)),Country_Data!$DA$93,Country_Data!$CN$93)*Sector_Params!$J$6</f>
        <v>0</v>
      </c>
      <c r="V622" s="37" t="n">
        <f aca="false">p_grid_credit*IF(AND(p_eng=1,ISNUMBER(Country_Data!$DB$93)),Country_Data!$DB$93,p_a)</f>
        <v>0</v>
      </c>
      <c r="W622" s="16" t="n">
        <f aca="false">T622*L622</f>
        <v>0</v>
      </c>
      <c r="X622" s="16" t="n">
        <f aca="false">U622*L622</f>
        <v>0</v>
      </c>
      <c r="Y622" s="16" t="n">
        <f aca="false">V622*L622</f>
        <v>0</v>
      </c>
      <c r="Z622" s="16" t="n">
        <f aca="false">Q622*L622</f>
        <v>0.0172260518205901</v>
      </c>
      <c r="AA622" s="16" t="n">
        <f aca="false">R622*L622</f>
        <v>0.024245640199977</v>
      </c>
      <c r="AB622" s="16" t="n">
        <f aca="false">S622*L622</f>
        <v>0.0107025781884302</v>
      </c>
      <c r="AC622" s="16" t="n">
        <f aca="false">Z622-W622</f>
        <v>0.0172260518205901</v>
      </c>
      <c r="AD622" s="16" t="n">
        <f aca="false">AA622-W622</f>
        <v>0.024245640199977</v>
      </c>
      <c r="AE622" s="16" t="n">
        <f aca="false">AB622-W622</f>
        <v>0.0107025781884302</v>
      </c>
      <c r="AF622" s="16" t="n">
        <f aca="false">AE622-X622</f>
        <v>0.0107025781884302</v>
      </c>
      <c r="AG622" s="16" t="n">
        <f aca="false">AF622-p_spc_lo*Y622/1000</f>
        <v>0.0107025781884302</v>
      </c>
      <c r="AH622" s="16" t="n">
        <f aca="false">AF622-p_spc_hi*Y622/1000</f>
        <v>0.0107025781884302</v>
      </c>
      <c r="AI622" s="16" t="n">
        <f aca="false">Q622*J622</f>
        <v>0.0717752159191256</v>
      </c>
      <c r="AJ622" s="16" t="n">
        <f aca="false">S622*J622</f>
        <v>0.044594075785126</v>
      </c>
      <c r="AK622" s="16" t="n">
        <f aca="false">T622*J622</f>
        <v>0</v>
      </c>
      <c r="AL622" s="16" t="n">
        <f aca="false">U622*J622</f>
        <v>0</v>
      </c>
      <c r="AM622" s="16" t="n">
        <f aca="false">AI622-AJ622</f>
        <v>0.0271811401339996</v>
      </c>
      <c r="AN622" s="16" t="n">
        <f aca="false">J622*Country_Data!$EB$93</f>
        <v>0.770243341222536</v>
      </c>
      <c r="AO622" s="16" t="n">
        <f aca="false">L622*Country_Data!$EB$93</f>
        <v>0.184858401893409</v>
      </c>
    </row>
    <row r="623" customFormat="false" ht="15" hidden="false" customHeight="false" outlineLevel="0" collapsed="false">
      <c r="A623" s="14" t="str">
        <f aca="false">Country_Data!$A$93</f>
        <v>TKM</v>
      </c>
      <c r="B623" s="14" t="str">
        <f aca="false">Country_Data!$E$93</f>
        <v>EMDC</v>
      </c>
      <c r="C623" s="35" t="s">
        <v>473</v>
      </c>
      <c r="D623" s="37" t="n">
        <f aca="false">IF(Country_Data!$CA$93="","",Country_Data!$CA$93)</f>
        <v>0.150161551118264</v>
      </c>
      <c r="E623" s="40" t="n">
        <f aca="false">Country_Data!$BW$93</f>
        <v>146.269</v>
      </c>
      <c r="F623" s="41" t="n">
        <f aca="false">Country_Data!$BX$93</f>
        <v>0.469511653186936</v>
      </c>
      <c r="G623" s="42" t="n">
        <f aca="false">IF(D623="","",D623/SUMIFS($D$5:$D$1369,$B$5:$B$1369,B623,$C$5:$C$1369,C623))</f>
        <v>0.00346908121387677</v>
      </c>
      <c r="H623" s="42" t="n">
        <f aca="false">E623/SUMIFS($E$5:$E$1369,$B$5:$B$1369,B623,$C$5:$C$1369,C623)</f>
        <v>0.0018117871388865</v>
      </c>
      <c r="I623" s="43" t="n">
        <f aca="false">IF(G623="",H623,p_beta_alloc*G623+(1-p_beta_alloc)*H623)*F623^p_phi</f>
        <v>0.00180924980009845</v>
      </c>
      <c r="J623" s="16" t="n">
        <f aca="false">INDEX(Sector_Params!$C$18:$E$18,MATCH(B623,Sector_Params!$C$15:$E$15,0))*I623/SUMIFS($I$5:$I$1369,$B$5:$B$1369,B623,$C$5:$C$1369,C623)</f>
        <v>0.74084498409303</v>
      </c>
      <c r="K623" s="28" t="n">
        <f aca="false">INDEX(Sector_Params!$F$7:$H$7,MATCH(B623,Sector_Params!$C$15:$E$15,0))</f>
        <v>0.24</v>
      </c>
      <c r="L623" s="16" t="n">
        <f aca="false">J623*K623</f>
        <v>0.177802796182327</v>
      </c>
      <c r="M623" s="44" t="n">
        <f aca="false">Country_Data!$DW$93+Sector_Params!$E$7</f>
        <v>0.105</v>
      </c>
      <c r="N623" s="44" t="n">
        <f aca="false">Country_Data!$DX$93+Sector_Params!$E$7</f>
        <v>0.15</v>
      </c>
      <c r="O623" s="11" t="n">
        <f aca="false">IF(p_use_ibrd=1,p_r_ibrd,p_r_wb)</f>
        <v>0.06</v>
      </c>
      <c r="P623" s="45" t="n">
        <f aca="false">Sector_Params!$D$7</f>
        <v>12</v>
      </c>
      <c r="Q623" s="46" t="n">
        <f aca="false">M623/(1-(1+M623)^-P623)</f>
        <v>0.150376745634766</v>
      </c>
      <c r="R623" s="46" t="n">
        <f aca="false">N623/(1-(1+N623)^-P623)</f>
        <v>0.18448077613084</v>
      </c>
      <c r="S623" s="46" t="n">
        <f aca="false">O623/(1-(1+O623)^-P623)</f>
        <v>0.119277029380664</v>
      </c>
      <c r="T623" s="37" t="n">
        <f aca="false">IF(AND(p_eng=1,ISNUMBER(Country_Data!$DE$93)),Country_Data!$DE$93,Country_Data!$CM$93)*Sector_Params!$I$7</f>
        <v>0.16640658</v>
      </c>
      <c r="U623" s="37" t="n">
        <f aca="false">IF(AND(p_eng=1,ISNUMBER(Country_Data!$DF$93)),Country_Data!$DF$93,Country_Data!$CN$93)*Sector_Params!$J$7</f>
        <v>0.010119825</v>
      </c>
      <c r="V623" s="37" t="n">
        <f aca="false">IF(AND(p_eng=1,ISNUMBER(Country_Data!$DG$93)),Country_Data!$DG$93,p_a)</f>
        <v>0.306127329142684</v>
      </c>
      <c r="W623" s="16" t="n">
        <f aca="false">T623*L623</f>
        <v>0.0295875552271381</v>
      </c>
      <c r="X623" s="16" t="n">
        <f aca="false">U623*L623</f>
        <v>0.00179933318187582</v>
      </c>
      <c r="Y623" s="16" t="n">
        <f aca="false">V623*L623</f>
        <v>0.0544302951093968</v>
      </c>
      <c r="Z623" s="16" t="n">
        <f aca="false">Q623*L623</f>
        <v>0.0267374058546599</v>
      </c>
      <c r="AA623" s="16" t="n">
        <f aca="false">R623*L623</f>
        <v>0.0328011978379492</v>
      </c>
      <c r="AB623" s="16" t="n">
        <f aca="false">S623*L623</f>
        <v>0.0212077893442036</v>
      </c>
      <c r="AC623" s="16" t="n">
        <f aca="false">Z623-W623</f>
        <v>-0.00285014937247821</v>
      </c>
      <c r="AD623" s="16" t="n">
        <f aca="false">AA623-W623</f>
        <v>0.00321364261081107</v>
      </c>
      <c r="AE623" s="16" t="n">
        <f aca="false">AB623-W623</f>
        <v>-0.00837976588293455</v>
      </c>
      <c r="AF623" s="16" t="n">
        <f aca="false">AE623-X623</f>
        <v>-0.0101790990648104</v>
      </c>
      <c r="AG623" s="16" t="n">
        <f aca="false">AF623-p_spc_lo*Y623/1000</f>
        <v>-0.0129006138202802</v>
      </c>
      <c r="AH623" s="16" t="n">
        <f aca="false">AF623-p_spc_hi*Y623/1000</f>
        <v>-0.01562212857575</v>
      </c>
      <c r="AI623" s="16" t="n">
        <f aca="false">Q623*J623</f>
        <v>0.11140585772775</v>
      </c>
      <c r="AJ623" s="16" t="n">
        <f aca="false">S623*J623</f>
        <v>0.0883657889341815</v>
      </c>
      <c r="AK623" s="16" t="n">
        <f aca="false">T623*J623</f>
        <v>0.123281480113075</v>
      </c>
      <c r="AL623" s="16" t="n">
        <f aca="false">U623*J623</f>
        <v>0.00749722159114924</v>
      </c>
      <c r="AM623" s="16" t="n">
        <f aca="false">AI623-AJ623</f>
        <v>0.0230400687935681</v>
      </c>
      <c r="AN623" s="16" t="n">
        <f aca="false">J623*Country_Data!$EB$93</f>
        <v>0.850449447493094</v>
      </c>
      <c r="AO623" s="16" t="n">
        <f aca="false">L623*Country_Data!$EB$93</f>
        <v>0.204107867398343</v>
      </c>
    </row>
    <row r="624" customFormat="false" ht="15" hidden="false" customHeight="false" outlineLevel="0" collapsed="false">
      <c r="A624" s="14" t="str">
        <f aca="false">Country_Data!$A$93</f>
        <v>TKM</v>
      </c>
      <c r="B624" s="14" t="str">
        <f aca="false">Country_Data!$E$93</f>
        <v>EMDC</v>
      </c>
      <c r="C624" s="35" t="s">
        <v>477</v>
      </c>
      <c r="D624" s="37" t="n">
        <f aca="false">IF(Country_Data!$CB$93="","",Country_Data!$CB$93)</f>
        <v>0.542875906843191</v>
      </c>
      <c r="E624" s="40" t="n">
        <f aca="false">Country_Data!$BW$93</f>
        <v>146.269</v>
      </c>
      <c r="F624" s="41" t="n">
        <f aca="false">Country_Data!$BX$93</f>
        <v>0.469511653186936</v>
      </c>
      <c r="G624" s="42" t="n">
        <f aca="false">IF(D624="","",D624/SUMIFS($D$5:$D$1369,$B$5:$B$1369,B624,$C$5:$C$1369,C624))</f>
        <v>0.017118530400074</v>
      </c>
      <c r="H624" s="42" t="n">
        <f aca="false">E624/SUMIFS($E$5:$E$1369,$B$5:$B$1369,B624,$C$5:$C$1369,C624)</f>
        <v>0.0018117871388865</v>
      </c>
      <c r="I624" s="43" t="n">
        <f aca="false">IF(G624="",H624,p_beta_alloc*G624+(1-p_beta_alloc)*H624)*F624^p_phi</f>
        <v>0.00648561390575907</v>
      </c>
      <c r="J624" s="16" t="n">
        <f aca="false">INDEX(Sector_Params!$C$19:$E$19,MATCH(B624,Sector_Params!$C$15:$E$15,0))*I624/SUMIFS($I$5:$I$1369,$B$5:$B$1369,B624,$C$5:$C$1369,C624)</f>
        <v>2.08747653176941</v>
      </c>
      <c r="K624" s="28" t="n">
        <f aca="false">INDEX(Sector_Params!$F$8:$H$8,MATCH(B624,Sector_Params!$C$15:$E$15,0))</f>
        <v>0.24</v>
      </c>
      <c r="L624" s="16" t="n">
        <f aca="false">J624*K624</f>
        <v>0.500994367624658</v>
      </c>
      <c r="M624" s="44" t="n">
        <f aca="false">Country_Data!$DW$93+Sector_Params!$E$8</f>
        <v>0.105</v>
      </c>
      <c r="N624" s="44" t="n">
        <f aca="false">Country_Data!$DX$93+Sector_Params!$E$8</f>
        <v>0.15</v>
      </c>
      <c r="O624" s="11" t="n">
        <f aca="false">IF(p_use_ibrd=1,p_r_ibrd,p_r_wb)</f>
        <v>0.06</v>
      </c>
      <c r="P624" s="45" t="n">
        <f aca="false">Sector_Params!$D$8</f>
        <v>25</v>
      </c>
      <c r="Q624" s="46" t="n">
        <f aca="false">M624/(1-(1+M624)^-P624)</f>
        <v>0.114429319813103</v>
      </c>
      <c r="R624" s="46" t="n">
        <f aca="false">N624/(1-(1+N624)^-P624)</f>
        <v>0.154699402320206</v>
      </c>
      <c r="S624" s="46" t="n">
        <f aca="false">O624/(1-(1+O624)^-P624)</f>
        <v>0.078226718212274</v>
      </c>
      <c r="T624" s="37" t="n">
        <f aca="false">Country_Data!$CM$93*Sector_Params!$I$8</f>
        <v>0.202188778558059</v>
      </c>
      <c r="U624" s="37" t="n">
        <f aca="false">Country_Data!$CN$93*Sector_Params!$J$8</f>
        <v>0.0365063149924557</v>
      </c>
      <c r="V624" s="37" t="n">
        <f aca="false">p_a</f>
        <v>0.35</v>
      </c>
      <c r="W624" s="16" t="n">
        <f aca="false">T624*L624</f>
        <v>0.101295439254497</v>
      </c>
      <c r="X624" s="16" t="n">
        <f aca="false">U624*L624</f>
        <v>0.0182894581939519</v>
      </c>
      <c r="Y624" s="16" t="n">
        <f aca="false">V624*L624</f>
        <v>0.17534802866863</v>
      </c>
      <c r="Z624" s="16" t="n">
        <f aca="false">Q624*L624</f>
        <v>0.0573284447174855</v>
      </c>
      <c r="AA624" s="16" t="n">
        <f aca="false">R624*L624</f>
        <v>0.0775035292373244</v>
      </c>
      <c r="AB624" s="16" t="n">
        <f aca="false">S624*L624</f>
        <v>0.0391911452221105</v>
      </c>
      <c r="AC624" s="16" t="n">
        <f aca="false">Z624-W624</f>
        <v>-0.0439669945370113</v>
      </c>
      <c r="AD624" s="16" t="n">
        <f aca="false">AA624-W624</f>
        <v>-0.0237919100171724</v>
      </c>
      <c r="AE624" s="16" t="n">
        <f aca="false">AB624-W624</f>
        <v>-0.0621042940323863</v>
      </c>
      <c r="AF624" s="16" t="n">
        <f aca="false">AE624-X624</f>
        <v>-0.0803937522263382</v>
      </c>
      <c r="AG624" s="16" t="n">
        <f aca="false">AF624-p_spc_lo*Y624/1000</f>
        <v>-0.0891611536597697</v>
      </c>
      <c r="AH624" s="16" t="n">
        <f aca="false">AF624-p_spc_hi*Y624/1000</f>
        <v>-0.0979285550932012</v>
      </c>
      <c r="AI624" s="16" t="n">
        <f aca="false">Q624*J624</f>
        <v>0.23886851965619</v>
      </c>
      <c r="AJ624" s="16" t="n">
        <f aca="false">S624*J624</f>
        <v>0.163296438425461</v>
      </c>
      <c r="AK624" s="16" t="n">
        <f aca="false">T624*J624</f>
        <v>0.42206433022707</v>
      </c>
      <c r="AL624" s="16" t="n">
        <f aca="false">U624*J624</f>
        <v>0.076206075808133</v>
      </c>
      <c r="AM624" s="16" t="n">
        <f aca="false">AI624-AJ624</f>
        <v>0.075572081230729</v>
      </c>
      <c r="AN624" s="16" t="n">
        <f aca="false">J624*Country_Data!$EB$93</f>
        <v>2.39630867619557</v>
      </c>
      <c r="AO624" s="16" t="n">
        <f aca="false">L624*Country_Data!$EB$93</f>
        <v>0.575114082286937</v>
      </c>
    </row>
    <row r="625" customFormat="false" ht="15" hidden="false" customHeight="false" outlineLevel="0" collapsed="false">
      <c r="A625" s="14" t="str">
        <f aca="false">Country_Data!$A$93</f>
        <v>TKM</v>
      </c>
      <c r="B625" s="14" t="str">
        <f aca="false">Country_Data!$E$93</f>
        <v>EMDC</v>
      </c>
      <c r="C625" s="35" t="s">
        <v>481</v>
      </c>
      <c r="D625" s="37" t="n">
        <f aca="false">IF(Country_Data!$CC$93="","",Country_Data!$CC$93)</f>
        <v>0.597731105606038</v>
      </c>
      <c r="E625" s="40" t="n">
        <f aca="false">Country_Data!$BW$93</f>
        <v>146.269</v>
      </c>
      <c r="F625" s="41" t="n">
        <f aca="false">Country_Data!$BX$93</f>
        <v>0.469511653186936</v>
      </c>
      <c r="G625" s="42" t="n">
        <f aca="false">IF(D625="","",D625/SUMIFS($D$5:$D$1369,$B$5:$B$1369,B625,$C$5:$C$1369,C625))</f>
        <v>0.00853813056992968</v>
      </c>
      <c r="H625" s="42" t="n">
        <f aca="false">E625/SUMIFS($E$5:$E$1369,$B$5:$B$1369,B625,$C$5:$C$1369,C625)</f>
        <v>0.0018117871388865</v>
      </c>
      <c r="I625" s="43" t="n">
        <f aca="false">IF(G625="",H625,p_beta_alloc*G625+(1-p_beta_alloc)*H625)*F625^p_phi</f>
        <v>0.0035459294371375</v>
      </c>
      <c r="J625" s="16" t="n">
        <f aca="false">INDEX(Sector_Params!$C$20:$E$20,MATCH(B625,Sector_Params!$C$15:$E$15,0))*I625/SUMIFS($I$5:$I$1369,$B$5:$B$1369,B625,$C$5:$C$1369,C625)</f>
        <v>0.647203529094723</v>
      </c>
      <c r="K625" s="28" t="n">
        <f aca="false">INDEX(Sector_Params!$F$9:$H$9,MATCH(B625,Sector_Params!$C$15:$E$15,0))</f>
        <v>0.24</v>
      </c>
      <c r="L625" s="16" t="n">
        <f aca="false">J625*K625</f>
        <v>0.155328846982733</v>
      </c>
      <c r="M625" s="44" t="n">
        <f aca="false">Country_Data!$DW$93+Sector_Params!$E$9</f>
        <v>0.105</v>
      </c>
      <c r="N625" s="44" t="n">
        <f aca="false">Country_Data!$DX$93+Sector_Params!$E$9</f>
        <v>0.15</v>
      </c>
      <c r="O625" s="11" t="n">
        <f aca="false">IF(p_use_ibrd=1,p_r_ibrd,p_r_wb)</f>
        <v>0.06</v>
      </c>
      <c r="P625" s="45" t="n">
        <f aca="false">Sector_Params!$D$9</f>
        <v>25</v>
      </c>
      <c r="Q625" s="46" t="n">
        <f aca="false">M625/(1-(1+M625)^-P625)</f>
        <v>0.114429319813103</v>
      </c>
      <c r="R625" s="46" t="n">
        <f aca="false">N625/(1-(1+N625)^-P625)</f>
        <v>0.154699402320206</v>
      </c>
      <c r="S625" s="46" t="n">
        <f aca="false">O625/(1-(1+O625)^-P625)</f>
        <v>0.078226718212274</v>
      </c>
      <c r="T625" s="37" t="n">
        <f aca="false">Country_Data!$CM$93*Sector_Params!$I$9</f>
        <v>0.202188778558059</v>
      </c>
      <c r="U625" s="37" t="n">
        <f aca="false">Country_Data!$CN$93*Sector_Params!$J$9</f>
        <v>0.0365063149924557</v>
      </c>
      <c r="V625" s="37" t="n">
        <f aca="false">p_a</f>
        <v>0.35</v>
      </c>
      <c r="W625" s="16" t="n">
        <f aca="false">T625*L625</f>
        <v>0.0314057498462705</v>
      </c>
      <c r="X625" s="16" t="n">
        <f aca="false">U625*L625</f>
        <v>0.00567048381536661</v>
      </c>
      <c r="Y625" s="16" t="n">
        <f aca="false">V625*L625</f>
        <v>0.0543650964439567</v>
      </c>
      <c r="Z625" s="16" t="n">
        <f aca="false">Q625*L625</f>
        <v>0.0177741743075878</v>
      </c>
      <c r="AA625" s="16" t="n">
        <f aca="false">R625*L625</f>
        <v>0.0240292797913157</v>
      </c>
      <c r="AB625" s="16" t="n">
        <f aca="false">S625*L625</f>
        <v>0.0121508659431557</v>
      </c>
      <c r="AC625" s="16" t="n">
        <f aca="false">Z625-W625</f>
        <v>-0.0136315755386827</v>
      </c>
      <c r="AD625" s="16" t="n">
        <f aca="false">AA625-W625</f>
        <v>-0.00737647005495484</v>
      </c>
      <c r="AE625" s="16" t="n">
        <f aca="false">AB625-W625</f>
        <v>-0.0192548839031148</v>
      </c>
      <c r="AF625" s="16" t="n">
        <f aca="false">AE625-X625</f>
        <v>-0.0249253677184814</v>
      </c>
      <c r="AG625" s="16" t="n">
        <f aca="false">AF625-p_spc_lo*Y625/1000</f>
        <v>-0.0276436225406792</v>
      </c>
      <c r="AH625" s="16" t="n">
        <f aca="false">AF625-p_spc_hi*Y625/1000</f>
        <v>-0.0303618773628771</v>
      </c>
      <c r="AI625" s="16" t="n">
        <f aca="false">Q625*J625</f>
        <v>0.0740590596149491</v>
      </c>
      <c r="AJ625" s="16" t="n">
        <f aca="false">S625*J625</f>
        <v>0.0506286080964821</v>
      </c>
      <c r="AK625" s="16" t="n">
        <f aca="false">T625*J625</f>
        <v>0.130857291026127</v>
      </c>
      <c r="AL625" s="16" t="n">
        <f aca="false">U625*J625</f>
        <v>0.0236270158973609</v>
      </c>
      <c r="AM625" s="16" t="n">
        <f aca="false">AI625-AJ625</f>
        <v>0.023430451518467</v>
      </c>
      <c r="AN625" s="16" t="n">
        <f aca="false">J625*Country_Data!$EB$93</f>
        <v>0.742954188193668</v>
      </c>
      <c r="AO625" s="16" t="n">
        <f aca="false">L625*Country_Data!$EB$93</f>
        <v>0.17830900516648</v>
      </c>
    </row>
    <row r="626" customFormat="false" ht="15" hidden="false" customHeight="false" outlineLevel="0" collapsed="false">
      <c r="A626" s="14" t="str">
        <f aca="false">Country_Data!$A$93</f>
        <v>TKM</v>
      </c>
      <c r="B626" s="14" t="str">
        <f aca="false">Country_Data!$E$93</f>
        <v>EMDC</v>
      </c>
      <c r="C626" s="35" t="s">
        <v>484</v>
      </c>
      <c r="D626" s="37" t="n">
        <f aca="false">IF(Country_Data!$CD$93="","",Country_Data!$CD$93)</f>
        <v>1.53330654013692</v>
      </c>
      <c r="E626" s="40" t="n">
        <f aca="false">Country_Data!$BW$93</f>
        <v>146.269</v>
      </c>
      <c r="F626" s="41" t="n">
        <f aca="false">Country_Data!$BX$93</f>
        <v>0.469511653186936</v>
      </c>
      <c r="G626" s="42" t="n">
        <f aca="false">IF(D626="","",D626/SUMIFS($D$5:$D$1369,$B$5:$B$1369,B626,$C$5:$C$1369,C626))</f>
        <v>0.00856254386664082</v>
      </c>
      <c r="H626" s="42" t="n">
        <f aca="false">E626/SUMIFS($E$5:$E$1369,$B$5:$B$1369,B626,$C$5:$C$1369,C626)</f>
        <v>0.0018117871388865</v>
      </c>
      <c r="I626" s="43" t="n">
        <f aca="false">IF(G626="",H626,p_beta_alloc*G626+(1-p_beta_alloc)*H626)*F626^p_phi</f>
        <v>0.0035542935449402</v>
      </c>
      <c r="J626" s="16" t="n">
        <f aca="false">INDEX(Sector_Params!$C$21:$E$21,MATCH(B626,Sector_Params!$C$15:$E$15,0))*I626/SUMIFS($I$5:$I$1369,$B$5:$B$1369,B626,$C$5:$C$1369,C626)</f>
        <v>0.788306147800243</v>
      </c>
      <c r="K626" s="28" t="n">
        <f aca="false">INDEX(Sector_Params!$F$10:$H$10,MATCH(B626,Sector_Params!$C$15:$E$15,0))</f>
        <v>0.24</v>
      </c>
      <c r="L626" s="16" t="n">
        <f aca="false">J626*K626</f>
        <v>0.189193475472058</v>
      </c>
      <c r="M626" s="44" t="n">
        <f aca="false">Country_Data!$DW$93+Sector_Params!$E$10</f>
        <v>0.105</v>
      </c>
      <c r="N626" s="44" t="n">
        <f aca="false">Country_Data!$DX$93+Sector_Params!$E$10</f>
        <v>0.15</v>
      </c>
      <c r="O626" s="11" t="n">
        <f aca="false">IF(p_use_ibrd=1,p_r_ibrd,p_r_wb)</f>
        <v>0.06</v>
      </c>
      <c r="P626" s="45" t="n">
        <f aca="false">Sector_Params!$D$10</f>
        <v>20</v>
      </c>
      <c r="Q626" s="46" t="n">
        <f aca="false">M626/(1-(1+M626)^-P626)</f>
        <v>0.121493265267016</v>
      </c>
      <c r="R626" s="46" t="n">
        <f aca="false">N626/(1-(1+N626)^-P626)</f>
        <v>0.159761470405744</v>
      </c>
      <c r="S626" s="46" t="n">
        <f aca="false">O626/(1-(1+O626)^-P626)</f>
        <v>0.0871845569768514</v>
      </c>
      <c r="T626" s="37" t="n">
        <f aca="false">0*Sector_Params!$I$10</f>
        <v>0</v>
      </c>
      <c r="U626" s="37" t="n">
        <f aca="false">0*Sector_Params!$J$10</f>
        <v>0</v>
      </c>
      <c r="V626" s="37" t="n">
        <f aca="false">1000*p_r_wb/(1-(1+p_r_wb)^-Sector_Params!$D$10)/p_cpt_fuel</f>
        <v>0.871845569768514</v>
      </c>
      <c r="W626" s="16" t="n">
        <f aca="false">T626*L626</f>
        <v>0</v>
      </c>
      <c r="X626" s="16" t="n">
        <f aca="false">U626*L626</f>
        <v>0</v>
      </c>
      <c r="Y626" s="16" t="n">
        <f aca="false">V626*L626</f>
        <v>0.164947493419422</v>
      </c>
      <c r="Z626" s="16" t="n">
        <f aca="false">Q626*L626</f>
        <v>0.0229857331023155</v>
      </c>
      <c r="AA626" s="16" t="n">
        <f aca="false">R626*L626</f>
        <v>0.0302258278325891</v>
      </c>
      <c r="AB626" s="16" t="n">
        <f aca="false">S626*L626</f>
        <v>0.0164947493419422</v>
      </c>
      <c r="AC626" s="16" t="n">
        <f aca="false">Z626-W626</f>
        <v>0.0229857331023155</v>
      </c>
      <c r="AD626" s="16" t="n">
        <f aca="false">AA626-W626</f>
        <v>0.0302258278325891</v>
      </c>
      <c r="AE626" s="16" t="n">
        <f aca="false">AB626-W626</f>
        <v>0.0164947493419422</v>
      </c>
      <c r="AF626" s="16" t="n">
        <f aca="false">AE626-X626</f>
        <v>0.0164947493419422</v>
      </c>
      <c r="AG626" s="16" t="n">
        <f aca="false">AF626-p_spc_lo*Y626/1000</f>
        <v>0.0082473746709711</v>
      </c>
      <c r="AH626" s="16" t="n">
        <f aca="false">AF626-p_spc_hi*Y626/1000</f>
        <v>0</v>
      </c>
      <c r="AI626" s="16" t="n">
        <f aca="false">Q626*J626</f>
        <v>0.0957738879263146</v>
      </c>
      <c r="AJ626" s="16" t="n">
        <f aca="false">S626*J626</f>
        <v>0.0687281222580925</v>
      </c>
      <c r="AK626" s="16" t="n">
        <f aca="false">T626*J626</f>
        <v>0</v>
      </c>
      <c r="AL626" s="16" t="n">
        <f aca="false">U626*J626</f>
        <v>0</v>
      </c>
      <c r="AM626" s="16" t="n">
        <f aca="false">AI626-AJ626</f>
        <v>0.027045765668222</v>
      </c>
      <c r="AN626" s="16" t="n">
        <f aca="false">J626*Country_Data!$EB$93</f>
        <v>0.904932262817265</v>
      </c>
      <c r="AO626" s="16" t="n">
        <f aca="false">L626*Country_Data!$EB$93</f>
        <v>0.217183743076144</v>
      </c>
    </row>
    <row r="627" customFormat="false" ht="15" hidden="false" customHeight="false" outlineLevel="0" collapsed="false">
      <c r="A627" s="14" t="str">
        <f aca="false">Country_Data!$A$93</f>
        <v>TKM</v>
      </c>
      <c r="B627" s="14" t="str">
        <f aca="false">Country_Data!$E$93</f>
        <v>EMDC</v>
      </c>
      <c r="C627" s="35" t="s">
        <v>488</v>
      </c>
      <c r="D627" s="37" t="n">
        <f aca="false">IF(Country_Data!$CE$93="","",Country_Data!$CE$93)</f>
        <v>63.684</v>
      </c>
      <c r="E627" s="40" t="n">
        <f aca="false">Country_Data!$BW$93</f>
        <v>146.269</v>
      </c>
      <c r="F627" s="41" t="n">
        <f aca="false">Country_Data!$BX$93</f>
        <v>0.469511653186936</v>
      </c>
      <c r="G627" s="42" t="n">
        <f aca="false">IF(D627="","",D627/SUMIFS($D$5:$D$1369,$B$5:$B$1369,B627,$C$5:$C$1369,C627))</f>
        <v>0.00521824205124339</v>
      </c>
      <c r="H627" s="42" t="n">
        <f aca="false">E627/SUMIFS($E$5:$E$1369,$B$5:$B$1369,B627,$C$5:$C$1369,C627)</f>
        <v>0.0018117871388865</v>
      </c>
      <c r="I627" s="43" t="n">
        <f aca="false">IF(G627="",H627,p_beta_alloc*G627+(1-p_beta_alloc)*H627)*F627^p_phi</f>
        <v>0.00240852035258054</v>
      </c>
      <c r="J627" s="16" t="n">
        <f aca="false">INDEX(Sector_Params!$C$22:$E$22,MATCH(B627,Sector_Params!$C$15:$E$15,0))*I627/SUMIFS($I$5:$I$1369,$B$5:$B$1369,B627,$C$5:$C$1369,C627)</f>
        <v>1.45187627173149</v>
      </c>
      <c r="K627" s="28" t="n">
        <f aca="false">INDEX(Sector_Params!$F$11:$H$11,MATCH(B627,Sector_Params!$C$15:$E$15,0))</f>
        <v>0.24</v>
      </c>
      <c r="L627" s="16" t="n">
        <f aca="false">J627*K627</f>
        <v>0.348450305215556</v>
      </c>
      <c r="M627" s="44" t="n">
        <f aca="false">Country_Data!$DW$93+Sector_Params!$E$11</f>
        <v>0.105</v>
      </c>
      <c r="N627" s="44" t="n">
        <f aca="false">Country_Data!$DX$93+Sector_Params!$E$11</f>
        <v>0.15</v>
      </c>
      <c r="O627" s="11" t="n">
        <f aca="false">IF(p_use_ibrd=1,p_r_ibrd,p_r_wb)</f>
        <v>0.06</v>
      </c>
      <c r="P627" s="45" t="n">
        <f aca="false">Sector_Params!$D$11</f>
        <v>30</v>
      </c>
      <c r="Q627" s="46" t="n">
        <f aca="false">M627/(1-(1+M627)^-P627)</f>
        <v>0.110528481529605</v>
      </c>
      <c r="R627" s="46" t="n">
        <f aca="false">N627/(1-(1+N627)^-P627)</f>
        <v>0.152300198192734</v>
      </c>
      <c r="S627" s="46" t="n">
        <f aca="false">O627/(1-(1+O627)^-P627)</f>
        <v>0.0726489114900472</v>
      </c>
      <c r="T627" s="37" t="n">
        <f aca="false">0*Sector_Params!$I$11</f>
        <v>0</v>
      </c>
      <c r="U627" s="37" t="n">
        <f aca="false">p_c*Sector_Params!$J$11</f>
        <v>0.129</v>
      </c>
      <c r="V627" s="37" t="n">
        <f aca="false">1000*p_r_wb/(1-(1+p_r_wb)^-Sector_Params!$D$11)/p_cpt_afolu</f>
        <v>1.45297822980094</v>
      </c>
      <c r="W627" s="16" t="n">
        <f aca="false">T627*L627</f>
        <v>0</v>
      </c>
      <c r="X627" s="16" t="n">
        <f aca="false">U627*L627</f>
        <v>0.0449500893728068</v>
      </c>
      <c r="Y627" s="16" t="n">
        <f aca="false">V627*L627</f>
        <v>0.506290707645698</v>
      </c>
      <c r="Z627" s="16" t="n">
        <f aca="false">Q627*L627</f>
        <v>0.0385136831240029</v>
      </c>
      <c r="AA627" s="16" t="n">
        <f aca="false">R627*L627</f>
        <v>0.053069050544648</v>
      </c>
      <c r="AB627" s="16" t="n">
        <f aca="false">S627*L627</f>
        <v>0.0253145353822849</v>
      </c>
      <c r="AC627" s="16" t="n">
        <f aca="false">Z627-W627</f>
        <v>0.0385136831240029</v>
      </c>
      <c r="AD627" s="16" t="n">
        <f aca="false">AA627-W627</f>
        <v>0.053069050544648</v>
      </c>
      <c r="AE627" s="16" t="n">
        <f aca="false">AB627-W627</f>
        <v>0.0253145353822849</v>
      </c>
      <c r="AF627" s="16" t="n">
        <f aca="false">AE627-X627</f>
        <v>-0.0196355539905219</v>
      </c>
      <c r="AG627" s="16" t="n">
        <f aca="false">AF627-p_spc_lo*Y627/1000</f>
        <v>-0.0449500893728068</v>
      </c>
      <c r="AH627" s="16" t="n">
        <f aca="false">AF627-p_spc_hi*Y627/1000</f>
        <v>-0.0702646247550917</v>
      </c>
      <c r="AI627" s="16" t="n">
        <f aca="false">Q627*J627</f>
        <v>0.160473679683345</v>
      </c>
      <c r="AJ627" s="16" t="n">
        <f aca="false">S627*J627</f>
        <v>0.10547723075952</v>
      </c>
      <c r="AK627" s="16" t="n">
        <f aca="false">T627*J627</f>
        <v>0</v>
      </c>
      <c r="AL627" s="16" t="n">
        <f aca="false">U627*J627</f>
        <v>0.187292039053362</v>
      </c>
      <c r="AM627" s="16" t="n">
        <f aca="false">AI627-AJ627</f>
        <v>0.0549964489238251</v>
      </c>
      <c r="AN627" s="16" t="n">
        <f aca="false">J627*Country_Data!$EB$93</f>
        <v>1.66667440508354</v>
      </c>
      <c r="AO627" s="16" t="n">
        <f aca="false">L627*Country_Data!$EB$93</f>
        <v>0.40000185722005</v>
      </c>
    </row>
    <row r="628" customFormat="false" ht="15" hidden="false" customHeight="false" outlineLevel="0" collapsed="false">
      <c r="A628" s="14" t="str">
        <f aca="false">Country_Data!$A$94</f>
        <v>JOR</v>
      </c>
      <c r="B628" s="14" t="str">
        <f aca="false">Country_Data!$E$94</f>
        <v>EMDC</v>
      </c>
      <c r="C628" s="35" t="s">
        <v>466</v>
      </c>
      <c r="D628" s="37" t="n">
        <f aca="false">IF(Country_Data!$BZ$94="","",Country_Data!$BZ$94)</f>
        <v>22.9033013898469</v>
      </c>
      <c r="E628" s="40" t="n">
        <f aca="false">Country_Data!$BW$94</f>
        <v>137.668</v>
      </c>
      <c r="F628" s="41" t="n">
        <f aca="false">Country_Data!$BX$94</f>
        <v>0.426395386001104</v>
      </c>
      <c r="G628" s="42" t="n">
        <f aca="false">IF(D628="","",D628/SUMIFS($D$5:$D$1369,$B$5:$B$1369,B628,$C$5:$C$1369,C628))</f>
        <v>0.00261468979504212</v>
      </c>
      <c r="H628" s="42" t="n">
        <f aca="false">E628/SUMIFS($E$5:$E$1369,$B$5:$B$1369,B628,$C$5:$C$1369,C628)</f>
        <v>0.00170524931349929</v>
      </c>
      <c r="I628" s="43" t="n">
        <f aca="false">IF(G628="",H628,p_beta_alloc*G628+(1-p_beta_alloc)*H628)*F628^p_phi</f>
        <v>0.00141043760281485</v>
      </c>
      <c r="J628" s="16" t="n">
        <f aca="false">INDEX(Sector_Params!$C$16:$E$16,MATCH(B628,Sector_Params!$C$15:$E$15,0))*I628/SUMIFS($I$5:$I$1369,$B$5:$B$1369,B628,$C$5:$C$1369,C628)</f>
        <v>1.36421100711867</v>
      </c>
      <c r="K628" s="28" t="n">
        <f aca="false">INDEX(Sector_Params!$F$5:$H$5,MATCH(B628,Sector_Params!$C$15:$E$15,0))</f>
        <v>0.24</v>
      </c>
      <c r="L628" s="16" t="n">
        <f aca="false">J628*K628</f>
        <v>0.32741064170848</v>
      </c>
      <c r="M628" s="44" t="n">
        <f aca="false">Country_Data!$DW$94+Sector_Params!$E$5</f>
        <v>0.0966200000000001</v>
      </c>
      <c r="N628" s="44" t="n">
        <f aca="false">Country_Data!$DX$94+Sector_Params!$E$5</f>
        <v>0.14162</v>
      </c>
      <c r="O628" s="11" t="n">
        <f aca="false">IF(p_use_ibrd=1,p_r_ibrd,p_r_wb)</f>
        <v>0.06</v>
      </c>
      <c r="P628" s="45" t="n">
        <f aca="false">Sector_Params!$D$5</f>
        <v>25</v>
      </c>
      <c r="Q628" s="46" t="n">
        <f aca="false">M628/(1-(1+M628)^-P628)</f>
        <v>0.107317067637466</v>
      </c>
      <c r="R628" s="46" t="n">
        <f aca="false">N628/(1-(1+N628)^-P628)</f>
        <v>0.146980694795884</v>
      </c>
      <c r="S628" s="46" t="n">
        <f aca="false">O628/(1-(1+O628)^-P628)</f>
        <v>0.078226718212274</v>
      </c>
      <c r="T628" s="37" t="n">
        <f aca="false">IF(AND(p_eng=1,ISNUMBER(Country_Data!$CZ$94)),Country_Data!$CZ$94,Country_Data!$CM$94)*Sector_Params!$I$5</f>
        <v>0.126415356935185</v>
      </c>
      <c r="U628" s="37" t="n">
        <f aca="false">IF(AND(p_eng=1,ISNUMBER(Country_Data!$DA$94)),Country_Data!$DA$94,Country_Data!$CN$94)*Sector_Params!$J$5</f>
        <v>0.0158671477384026</v>
      </c>
      <c r="V628" s="37" t="n">
        <f aca="false">IF(AND(p_eng=1,ISNUMBER(Country_Data!$DB$94)),Country_Data!$DB$94,p_a)</f>
        <v>0.860850364097769</v>
      </c>
      <c r="W628" s="16" t="n">
        <f aca="false">T628*L628</f>
        <v>0.0413897331359554</v>
      </c>
      <c r="X628" s="16" t="n">
        <f aca="false">U628*L628</f>
        <v>0.00519507302311365</v>
      </c>
      <c r="Y628" s="16" t="n">
        <f aca="false">V628*L628</f>
        <v>0.28185157012423</v>
      </c>
      <c r="Z628" s="16" t="n">
        <f aca="false">Q628*L628</f>
        <v>0.0351367499814553</v>
      </c>
      <c r="AA628" s="16" t="n">
        <f aca="false">R628*L628</f>
        <v>0.0481230436018785</v>
      </c>
      <c r="AB628" s="16" t="n">
        <f aca="false">S628*L628</f>
        <v>0.0256122600086291</v>
      </c>
      <c r="AC628" s="16" t="n">
        <f aca="false">Z628-W628</f>
        <v>-0.00625298315450014</v>
      </c>
      <c r="AD628" s="16" t="n">
        <f aca="false">AA628-W628</f>
        <v>0.00673331046592311</v>
      </c>
      <c r="AE628" s="16" t="n">
        <f aca="false">AB628-W628</f>
        <v>-0.0157774731273263</v>
      </c>
      <c r="AF628" s="16" t="n">
        <f aca="false">AE628-X628</f>
        <v>-0.02097254615044</v>
      </c>
      <c r="AG628" s="16" t="n">
        <f aca="false">AF628-p_spc_lo*Y628/1000</f>
        <v>-0.0350651246566515</v>
      </c>
      <c r="AH628" s="16" t="n">
        <f aca="false">AF628-p_spc_hi*Y628/1000</f>
        <v>-0.0491577031628629</v>
      </c>
      <c r="AI628" s="16" t="n">
        <f aca="false">Q628*J628</f>
        <v>0.14640312492273</v>
      </c>
      <c r="AJ628" s="16" t="n">
        <f aca="false">S628*J628</f>
        <v>0.106717750035955</v>
      </c>
      <c r="AK628" s="16" t="n">
        <f aca="false">T628*J628</f>
        <v>0.172457221399814</v>
      </c>
      <c r="AL628" s="16" t="n">
        <f aca="false">U628*J628</f>
        <v>0.0216461375963069</v>
      </c>
      <c r="AM628" s="16" t="n">
        <f aca="false">AI628-AJ628</f>
        <v>0.0396853748867758</v>
      </c>
      <c r="AN628" s="16" t="n">
        <f aca="false">J628*Country_Data!$EB$94</f>
        <v>1.72800060901698</v>
      </c>
      <c r="AO628" s="16" t="n">
        <f aca="false">L628*Country_Data!$EB$94</f>
        <v>0.414720146164075</v>
      </c>
    </row>
    <row r="629" customFormat="false" ht="15" hidden="false" customHeight="false" outlineLevel="0" collapsed="false">
      <c r="A629" s="14" t="str">
        <f aca="false">Country_Data!$A$94</f>
        <v>JOR</v>
      </c>
      <c r="B629" s="14" t="str">
        <f aca="false">Country_Data!$E$94</f>
        <v>EMDC</v>
      </c>
      <c r="C629" s="35" t="s">
        <v>470</v>
      </c>
      <c r="D629" s="37" t="n">
        <f aca="false">IF(Country_Data!$BZ$94="","",Country_Data!$BZ$94)</f>
        <v>22.9033013898469</v>
      </c>
      <c r="E629" s="40" t="n">
        <f aca="false">Country_Data!$BW$94</f>
        <v>137.668</v>
      </c>
      <c r="F629" s="41" t="n">
        <f aca="false">Country_Data!$BX$94</f>
        <v>0.426395386001104</v>
      </c>
      <c r="G629" s="42" t="n">
        <f aca="false">IF(D629="","",D629/SUMIFS($D$5:$D$1369,$B$5:$B$1369,B629,$C$5:$C$1369,C629))</f>
        <v>0.00261468979504212</v>
      </c>
      <c r="H629" s="42" t="n">
        <f aca="false">E629/SUMIFS($E$5:$E$1369,$B$5:$B$1369,B629,$C$5:$C$1369,C629)</f>
        <v>0.00170524931349929</v>
      </c>
      <c r="I629" s="43" t="n">
        <f aca="false">IF(G629="",H629,p_beta_alloc*G629+(1-p_beta_alloc)*H629)*F629^p_phi</f>
        <v>0.00141043760281485</v>
      </c>
      <c r="J629" s="16" t="n">
        <f aca="false">INDEX(Sector_Params!$C$17:$E$17,MATCH(B629,Sector_Params!$C$15:$E$15,0))*I629/SUMIFS($I$5:$I$1369,$B$5:$B$1369,B629,$C$5:$C$1369,C629)</f>
        <v>0.935458976309944</v>
      </c>
      <c r="K629" s="28" t="n">
        <f aca="false">INDEX(Sector_Params!$F$6:$H$6,MATCH(B629,Sector_Params!$C$15:$E$15,0))</f>
        <v>0.24</v>
      </c>
      <c r="L629" s="16" t="n">
        <f aca="false">J629*K629</f>
        <v>0.224510154314387</v>
      </c>
      <c r="M629" s="44" t="n">
        <f aca="false">Country_Data!$DW$94+Sector_Params!$E$6</f>
        <v>0.0966200000000001</v>
      </c>
      <c r="N629" s="44" t="n">
        <f aca="false">Country_Data!$DX$94+Sector_Params!$E$6</f>
        <v>0.14162</v>
      </c>
      <c r="O629" s="11" t="n">
        <f aca="false">IF(p_use_ibrd=1,p_r_ibrd,p_r_wb)</f>
        <v>0.06</v>
      </c>
      <c r="P629" s="45" t="n">
        <f aca="false">Sector_Params!$D$6</f>
        <v>40</v>
      </c>
      <c r="Q629" s="46" t="n">
        <f aca="false">M629/(1-(1+M629)^-P629)</f>
        <v>0.099096344988496</v>
      </c>
      <c r="R629" s="46" t="n">
        <f aca="false">N629/(1-(1+N629)^-P629)</f>
        <v>0.142331933792285</v>
      </c>
      <c r="S629" s="46" t="n">
        <f aca="false">O629/(1-(1+O629)^-P629)</f>
        <v>0.0664615359206755</v>
      </c>
      <c r="T629" s="37" t="n">
        <f aca="false">p_grid_credit*IF(AND(p_eng=1,ISNUMBER(Country_Data!$CZ$94)),Country_Data!$CZ$94,Country_Data!$CM$94)*Sector_Params!$I$6</f>
        <v>0</v>
      </c>
      <c r="U629" s="37" t="n">
        <f aca="false">p_grid_credit*IF(AND(p_eng=1,ISNUMBER(Country_Data!$DA$94)),Country_Data!$DA$94,Country_Data!$CN$94)*Sector_Params!$J$6</f>
        <v>0</v>
      </c>
      <c r="V629" s="37" t="n">
        <f aca="false">p_grid_credit*IF(AND(p_eng=1,ISNUMBER(Country_Data!$DB$94)),Country_Data!$DB$94,p_a)</f>
        <v>0</v>
      </c>
      <c r="W629" s="16" t="n">
        <f aca="false">T629*L629</f>
        <v>0</v>
      </c>
      <c r="X629" s="16" t="n">
        <f aca="false">U629*L629</f>
        <v>0</v>
      </c>
      <c r="Y629" s="16" t="n">
        <f aca="false">V629*L629</f>
        <v>0</v>
      </c>
      <c r="Z629" s="16" t="n">
        <f aca="false">Q629*L629</f>
        <v>0.0222481357053589</v>
      </c>
      <c r="AA629" s="16" t="n">
        <f aca="false">R629*L629</f>
        <v>0.0319549644195709</v>
      </c>
      <c r="AB629" s="16" t="n">
        <f aca="false">S629*L629</f>
        <v>0.014921289685522</v>
      </c>
      <c r="AC629" s="16" t="n">
        <f aca="false">Z629-W629</f>
        <v>0.0222481357053589</v>
      </c>
      <c r="AD629" s="16" t="n">
        <f aca="false">AA629-W629</f>
        <v>0.0319549644195709</v>
      </c>
      <c r="AE629" s="16" t="n">
        <f aca="false">AB629-W629</f>
        <v>0.014921289685522</v>
      </c>
      <c r="AF629" s="16" t="n">
        <f aca="false">AE629-X629</f>
        <v>0.014921289685522</v>
      </c>
      <c r="AG629" s="16" t="n">
        <f aca="false">AF629-p_spc_lo*Y629/1000</f>
        <v>0.014921289685522</v>
      </c>
      <c r="AH629" s="16" t="n">
        <f aca="false">AF629-p_spc_hi*Y629/1000</f>
        <v>0.014921289685522</v>
      </c>
      <c r="AI629" s="16" t="n">
        <f aca="false">Q629*J629</f>
        <v>0.0927005654389955</v>
      </c>
      <c r="AJ629" s="16" t="n">
        <f aca="false">S629*J629</f>
        <v>0.0621720403563417</v>
      </c>
      <c r="AK629" s="16" t="n">
        <f aca="false">T629*J629</f>
        <v>0</v>
      </c>
      <c r="AL629" s="16" t="n">
        <f aca="false">U629*J629</f>
        <v>0</v>
      </c>
      <c r="AM629" s="16" t="n">
        <f aca="false">AI629-AJ629</f>
        <v>0.0305285250826538</v>
      </c>
      <c r="AN629" s="16" t="n">
        <f aca="false">J629*Country_Data!$EB$94</f>
        <v>1.18491470332593</v>
      </c>
      <c r="AO629" s="16" t="n">
        <f aca="false">L629*Country_Data!$EB$94</f>
        <v>0.284379528798223</v>
      </c>
    </row>
    <row r="630" customFormat="false" ht="15" hidden="false" customHeight="false" outlineLevel="0" collapsed="false">
      <c r="A630" s="14" t="str">
        <f aca="false">Country_Data!$A$94</f>
        <v>JOR</v>
      </c>
      <c r="B630" s="14" t="str">
        <f aca="false">Country_Data!$E$94</f>
        <v>EMDC</v>
      </c>
      <c r="C630" s="35" t="s">
        <v>473</v>
      </c>
      <c r="D630" s="37" t="n">
        <f aca="false">IF(Country_Data!$CA$94="","",Country_Data!$CA$94)</f>
        <v>0.144230976558137</v>
      </c>
      <c r="E630" s="40" t="n">
        <f aca="false">Country_Data!$BW$94</f>
        <v>137.668</v>
      </c>
      <c r="F630" s="41" t="n">
        <f aca="false">Country_Data!$BX$94</f>
        <v>0.426395386001104</v>
      </c>
      <c r="G630" s="42" t="n">
        <f aca="false">IF(D630="","",D630/SUMIFS($D$5:$D$1369,$B$5:$B$1369,B630,$C$5:$C$1369,C630))</f>
        <v>0.00333207114278454</v>
      </c>
      <c r="H630" s="42" t="n">
        <f aca="false">E630/SUMIFS($E$5:$E$1369,$B$5:$B$1369,B630,$C$5:$C$1369,C630)</f>
        <v>0.00170524931349929</v>
      </c>
      <c r="I630" s="43" t="n">
        <f aca="false">IF(G630="",H630,p_beta_alloc*G630+(1-p_beta_alloc)*H630)*F630^p_phi</f>
        <v>0.00164465887376131</v>
      </c>
      <c r="J630" s="16" t="n">
        <f aca="false">INDEX(Sector_Params!$C$18:$E$18,MATCH(B630,Sector_Params!$C$15:$E$15,0))*I630/SUMIFS($I$5:$I$1369,$B$5:$B$1369,B630,$C$5:$C$1369,C630)</f>
        <v>0.673448894179155</v>
      </c>
      <c r="K630" s="28" t="n">
        <f aca="false">INDEX(Sector_Params!$F$7:$H$7,MATCH(B630,Sector_Params!$C$15:$E$15,0))</f>
        <v>0.24</v>
      </c>
      <c r="L630" s="16" t="n">
        <f aca="false">J630*K630</f>
        <v>0.161627734602997</v>
      </c>
      <c r="M630" s="44" t="n">
        <f aca="false">Country_Data!$DW$94+Sector_Params!$E$7</f>
        <v>0.0966200000000001</v>
      </c>
      <c r="N630" s="44" t="n">
        <f aca="false">Country_Data!$DX$94+Sector_Params!$E$7</f>
        <v>0.14162</v>
      </c>
      <c r="O630" s="11" t="n">
        <f aca="false">IF(p_use_ibrd=1,p_r_ibrd,p_r_wb)</f>
        <v>0.06</v>
      </c>
      <c r="P630" s="45" t="n">
        <f aca="false">Sector_Params!$D$7</f>
        <v>12</v>
      </c>
      <c r="Q630" s="46" t="n">
        <f aca="false">M630/(1-(1+M630)^-P630)</f>
        <v>0.144342022248567</v>
      </c>
      <c r="R630" s="46" t="n">
        <f aca="false">N630/(1-(1+N630)^-P630)</f>
        <v>0.177926229941553</v>
      </c>
      <c r="S630" s="46" t="n">
        <f aca="false">O630/(1-(1+O630)^-P630)</f>
        <v>0.119277029380664</v>
      </c>
      <c r="T630" s="37" t="n">
        <f aca="false">IF(AND(p_eng=1,ISNUMBER(Country_Data!$DE$94)),Country_Data!$DE$94,Country_Data!$CM$94)*Sector_Params!$I$7</f>
        <v>0.1429956</v>
      </c>
      <c r="U630" s="37" t="n">
        <f aca="false">IF(AND(p_eng=1,ISNUMBER(Country_Data!$DF$94)),Country_Data!$DF$94,Country_Data!$CN$94)*Sector_Params!$J$7</f>
        <v>0.00820845</v>
      </c>
      <c r="V630" s="37" t="n">
        <f aca="false">IF(AND(p_eng=1,ISNUMBER(Country_Data!$DG$94)),Country_Data!$DG$94,p_a)</f>
        <v>0.331263975285171</v>
      </c>
      <c r="W630" s="16" t="n">
        <f aca="false">T630*L630</f>
        <v>0.0231120548861963</v>
      </c>
      <c r="X630" s="16" t="n">
        <f aca="false">U630*L630</f>
        <v>0.00132671317810197</v>
      </c>
      <c r="Y630" s="16" t="n">
        <f aca="false">V630*L630</f>
        <v>0.0535414458809254</v>
      </c>
      <c r="Z630" s="16" t="n">
        <f aca="false">Q630*L630</f>
        <v>0.0233296740640513</v>
      </c>
      <c r="AA630" s="16" t="n">
        <f aca="false">R630*L630</f>
        <v>0.0287578134719051</v>
      </c>
      <c r="AB630" s="16" t="n">
        <f aca="false">S630*L630</f>
        <v>0.0192784760489718</v>
      </c>
      <c r="AC630" s="16" t="n">
        <f aca="false">Z630-W630</f>
        <v>0.000217619177854941</v>
      </c>
      <c r="AD630" s="16" t="n">
        <f aca="false">AA630-W630</f>
        <v>0.0056457585857088</v>
      </c>
      <c r="AE630" s="16" t="n">
        <f aca="false">AB630-W630</f>
        <v>-0.00383357883722456</v>
      </c>
      <c r="AF630" s="16" t="n">
        <f aca="false">AE630-X630</f>
        <v>-0.00516029201532653</v>
      </c>
      <c r="AG630" s="16" t="n">
        <f aca="false">AF630-p_spc_lo*Y630/1000</f>
        <v>-0.0078373643093728</v>
      </c>
      <c r="AH630" s="16" t="n">
        <f aca="false">AF630-p_spc_hi*Y630/1000</f>
        <v>-0.0105144366034191</v>
      </c>
      <c r="AI630" s="16" t="n">
        <f aca="false">Q630*J630</f>
        <v>0.0972069752668803</v>
      </c>
      <c r="AJ630" s="16" t="n">
        <f aca="false">S630*J630</f>
        <v>0.0803269835373824</v>
      </c>
      <c r="AK630" s="16" t="n">
        <f aca="false">T630*J630</f>
        <v>0.0963002286924847</v>
      </c>
      <c r="AL630" s="16" t="n">
        <f aca="false">U630*J630</f>
        <v>0.00552797157542488</v>
      </c>
      <c r="AM630" s="16" t="n">
        <f aca="false">AI630-AJ630</f>
        <v>0.0168799917294979</v>
      </c>
      <c r="AN630" s="16" t="n">
        <f aca="false">J630*Country_Data!$EB$94</f>
        <v>0.853035265960263</v>
      </c>
      <c r="AO630" s="16" t="n">
        <f aca="false">L630*Country_Data!$EB$94</f>
        <v>0.204728463830463</v>
      </c>
    </row>
    <row r="631" customFormat="false" ht="15" hidden="false" customHeight="false" outlineLevel="0" collapsed="false">
      <c r="A631" s="14" t="str">
        <f aca="false">Country_Data!$A$94</f>
        <v>JOR</v>
      </c>
      <c r="B631" s="14" t="str">
        <f aca="false">Country_Data!$E$94</f>
        <v>EMDC</v>
      </c>
      <c r="C631" s="35" t="s">
        <v>477</v>
      </c>
      <c r="D631" s="37" t="n">
        <f aca="false">IF(Country_Data!$CB$94="","",Country_Data!$CB$94)</f>
        <v>0.0627986750131931</v>
      </c>
      <c r="E631" s="40" t="n">
        <f aca="false">Country_Data!$BW$94</f>
        <v>137.668</v>
      </c>
      <c r="F631" s="41" t="n">
        <f aca="false">Country_Data!$BX$94</f>
        <v>0.426395386001104</v>
      </c>
      <c r="G631" s="42" t="n">
        <f aca="false">IF(D631="","",D631/SUMIFS($D$5:$D$1369,$B$5:$B$1369,B631,$C$5:$C$1369,C631))</f>
        <v>0.00198023344515127</v>
      </c>
      <c r="H631" s="42" t="n">
        <f aca="false">E631/SUMIFS($E$5:$E$1369,$B$5:$B$1369,B631,$C$5:$C$1369,C631)</f>
        <v>0.00170524931349929</v>
      </c>
      <c r="I631" s="43" t="n">
        <f aca="false">IF(G631="",H631,p_beta_alloc*G631+(1-p_beta_alloc)*H631)*F631^p_phi</f>
        <v>0.00120329091145029</v>
      </c>
      <c r="J631" s="16" t="n">
        <f aca="false">INDEX(Sector_Params!$C$19:$E$19,MATCH(B631,Sector_Params!$C$15:$E$15,0))*I631/SUMIFS($I$5:$I$1369,$B$5:$B$1369,B631,$C$5:$C$1369,C631)</f>
        <v>0.387294337134909</v>
      </c>
      <c r="K631" s="28" t="n">
        <f aca="false">INDEX(Sector_Params!$F$8:$H$8,MATCH(B631,Sector_Params!$C$15:$E$15,0))</f>
        <v>0.24</v>
      </c>
      <c r="L631" s="16" t="n">
        <f aca="false">J631*K631</f>
        <v>0.0929506409123781</v>
      </c>
      <c r="M631" s="44" t="n">
        <f aca="false">Country_Data!$DW$94+Sector_Params!$E$8</f>
        <v>0.0966200000000001</v>
      </c>
      <c r="N631" s="44" t="n">
        <f aca="false">Country_Data!$DX$94+Sector_Params!$E$8</f>
        <v>0.14162</v>
      </c>
      <c r="O631" s="11" t="n">
        <f aca="false">IF(p_use_ibrd=1,p_r_ibrd,p_r_wb)</f>
        <v>0.06</v>
      </c>
      <c r="P631" s="45" t="n">
        <f aca="false">Sector_Params!$D$8</f>
        <v>25</v>
      </c>
      <c r="Q631" s="46" t="n">
        <f aca="false">M631/(1-(1+M631)^-P631)</f>
        <v>0.107317067637466</v>
      </c>
      <c r="R631" s="46" t="n">
        <f aca="false">N631/(1-(1+N631)^-P631)</f>
        <v>0.146980694795884</v>
      </c>
      <c r="S631" s="46" t="n">
        <f aca="false">O631/(1-(1+O631)^-P631)</f>
        <v>0.078226718212274</v>
      </c>
      <c r="T631" s="37" t="n">
        <f aca="false">Country_Data!$CM$94*Sector_Params!$I$8</f>
        <v>0.174591138663126</v>
      </c>
      <c r="U631" s="37" t="n">
        <f aca="false">Country_Data!$CN$94*Sector_Params!$J$8</f>
        <v>0.0343397646054484</v>
      </c>
      <c r="V631" s="37" t="n">
        <f aca="false">p_a</f>
        <v>0.35</v>
      </c>
      <c r="W631" s="16" t="n">
        <f aca="false">T631*L631</f>
        <v>0.0162283582363594</v>
      </c>
      <c r="X631" s="16" t="n">
        <f aca="false">U631*L631</f>
        <v>0.00319190312885662</v>
      </c>
      <c r="Y631" s="16" t="n">
        <f aca="false">V631*L631</f>
        <v>0.0325327243193323</v>
      </c>
      <c r="Z631" s="16" t="n">
        <f aca="false">Q631*L631</f>
        <v>0.00997519021773953</v>
      </c>
      <c r="AA631" s="16" t="n">
        <f aca="false">R631*L631</f>
        <v>0.013661949783024</v>
      </c>
      <c r="AB631" s="16" t="n">
        <f aca="false">S631*L631</f>
        <v>0.00727122359430286</v>
      </c>
      <c r="AC631" s="16" t="n">
        <f aca="false">Z631-W631</f>
        <v>-0.00625316801861992</v>
      </c>
      <c r="AD631" s="16" t="n">
        <f aca="false">AA631-W631</f>
        <v>-0.00256640845333544</v>
      </c>
      <c r="AE631" s="16" t="n">
        <f aca="false">AB631-W631</f>
        <v>-0.00895713464205659</v>
      </c>
      <c r="AF631" s="16" t="n">
        <f aca="false">AE631-X631</f>
        <v>-0.0121490377709132</v>
      </c>
      <c r="AG631" s="16" t="n">
        <f aca="false">AF631-p_spc_lo*Y631/1000</f>
        <v>-0.0137756739868798</v>
      </c>
      <c r="AH631" s="16" t="n">
        <f aca="false">AF631-p_spc_hi*Y631/1000</f>
        <v>-0.0154023102028464</v>
      </c>
      <c r="AI631" s="16" t="n">
        <f aca="false">Q631*J631</f>
        <v>0.0415632925739147</v>
      </c>
      <c r="AJ631" s="16" t="n">
        <f aca="false">S631*J631</f>
        <v>0.0302967649762619</v>
      </c>
      <c r="AK631" s="16" t="n">
        <f aca="false">T631*J631</f>
        <v>0.0676181593181644</v>
      </c>
      <c r="AL631" s="16" t="n">
        <f aca="false">U631*J631</f>
        <v>0.0132995963702359</v>
      </c>
      <c r="AM631" s="16" t="n">
        <f aca="false">AI631-AJ631</f>
        <v>0.0112665275976528</v>
      </c>
      <c r="AN631" s="16" t="n">
        <f aca="false">J631*Country_Data!$EB$94</f>
        <v>0.490572827037551</v>
      </c>
      <c r="AO631" s="16" t="n">
        <f aca="false">L631*Country_Data!$EB$94</f>
        <v>0.117737478489012</v>
      </c>
    </row>
    <row r="632" customFormat="false" ht="15" hidden="false" customHeight="false" outlineLevel="0" collapsed="false">
      <c r="A632" s="14" t="str">
        <f aca="false">Country_Data!$A$94</f>
        <v>JOR</v>
      </c>
      <c r="B632" s="14" t="str">
        <f aca="false">Country_Data!$E$94</f>
        <v>EMDC</v>
      </c>
      <c r="C632" s="35" t="s">
        <v>481</v>
      </c>
      <c r="D632" s="37" t="n">
        <f aca="false">IF(Country_Data!$CC$94="","",Country_Data!$CC$94)</f>
        <v>0.0660639354207919</v>
      </c>
      <c r="E632" s="40" t="n">
        <f aca="false">Country_Data!$BW$94</f>
        <v>137.668</v>
      </c>
      <c r="F632" s="41" t="n">
        <f aca="false">Country_Data!$BX$94</f>
        <v>0.426395386001104</v>
      </c>
      <c r="G632" s="42" t="n">
        <f aca="false">IF(D632="","",D632/SUMIFS($D$5:$D$1369,$B$5:$B$1369,B632,$C$5:$C$1369,C632))</f>
        <v>0.000943672667016755</v>
      </c>
      <c r="H632" s="42" t="n">
        <f aca="false">E632/SUMIFS($E$5:$E$1369,$B$5:$B$1369,B632,$C$5:$C$1369,C632)</f>
        <v>0.00170524931349929</v>
      </c>
      <c r="I632" s="43" t="n">
        <f aca="false">IF(G632="",H632,p_beta_alloc*G632+(1-p_beta_alloc)*H632)*F632^p_phi</f>
        <v>0.000864859220088425</v>
      </c>
      <c r="J632" s="16" t="n">
        <f aca="false">INDEX(Sector_Params!$C$20:$E$20,MATCH(B632,Sector_Params!$C$15:$E$15,0))*I632/SUMIFS($I$5:$I$1369,$B$5:$B$1369,B632,$C$5:$C$1369,C632)</f>
        <v>0.157854223930411</v>
      </c>
      <c r="K632" s="28" t="n">
        <f aca="false">INDEX(Sector_Params!$F$9:$H$9,MATCH(B632,Sector_Params!$C$15:$E$15,0))</f>
        <v>0.24</v>
      </c>
      <c r="L632" s="16" t="n">
        <f aca="false">J632*K632</f>
        <v>0.0378850137432986</v>
      </c>
      <c r="M632" s="44" t="n">
        <f aca="false">Country_Data!$DW$94+Sector_Params!$E$9</f>
        <v>0.0966200000000001</v>
      </c>
      <c r="N632" s="44" t="n">
        <f aca="false">Country_Data!$DX$94+Sector_Params!$E$9</f>
        <v>0.14162</v>
      </c>
      <c r="O632" s="11" t="n">
        <f aca="false">IF(p_use_ibrd=1,p_r_ibrd,p_r_wb)</f>
        <v>0.06</v>
      </c>
      <c r="P632" s="45" t="n">
        <f aca="false">Sector_Params!$D$9</f>
        <v>25</v>
      </c>
      <c r="Q632" s="46" t="n">
        <f aca="false">M632/(1-(1+M632)^-P632)</f>
        <v>0.107317067637466</v>
      </c>
      <c r="R632" s="46" t="n">
        <f aca="false">N632/(1-(1+N632)^-P632)</f>
        <v>0.146980694795884</v>
      </c>
      <c r="S632" s="46" t="n">
        <f aca="false">O632/(1-(1+O632)^-P632)</f>
        <v>0.078226718212274</v>
      </c>
      <c r="T632" s="37" t="n">
        <f aca="false">Country_Data!$CM$94*Sector_Params!$I$9</f>
        <v>0.174591138663126</v>
      </c>
      <c r="U632" s="37" t="n">
        <f aca="false">Country_Data!$CN$94*Sector_Params!$J$9</f>
        <v>0.0343397646054484</v>
      </c>
      <c r="V632" s="37" t="n">
        <f aca="false">p_a</f>
        <v>0.35</v>
      </c>
      <c r="W632" s="16" t="n">
        <f aca="false">T632*L632</f>
        <v>0.00661438768771068</v>
      </c>
      <c r="X632" s="16" t="n">
        <f aca="false">U632*L632</f>
        <v>0.00130096245401905</v>
      </c>
      <c r="Y632" s="16" t="n">
        <f aca="false">V632*L632</f>
        <v>0.0132597548101545</v>
      </c>
      <c r="Z632" s="16" t="n">
        <f aca="false">Q632*L632</f>
        <v>0.00406570858233592</v>
      </c>
      <c r="AA632" s="16" t="n">
        <f aca="false">R632*L632</f>
        <v>0.00556836564234162</v>
      </c>
      <c r="AB632" s="16" t="n">
        <f aca="false">S632*L632</f>
        <v>0.00296362029456514</v>
      </c>
      <c r="AC632" s="16" t="n">
        <f aca="false">Z632-W632</f>
        <v>-0.00254867910537476</v>
      </c>
      <c r="AD632" s="16" t="n">
        <f aca="false">AA632-W632</f>
        <v>-0.00104602204536906</v>
      </c>
      <c r="AE632" s="16" t="n">
        <f aca="false">AB632-W632</f>
        <v>-0.00365076739314554</v>
      </c>
      <c r="AF632" s="16" t="n">
        <f aca="false">AE632-X632</f>
        <v>-0.00495172984716459</v>
      </c>
      <c r="AG632" s="16" t="n">
        <f aca="false">AF632-p_spc_lo*Y632/1000</f>
        <v>-0.00561471758767231</v>
      </c>
      <c r="AH632" s="16" t="n">
        <f aca="false">AF632-p_spc_hi*Y632/1000</f>
        <v>-0.00627770532818004</v>
      </c>
      <c r="AI632" s="16" t="n">
        <f aca="false">Q632*J632</f>
        <v>0.0169404524263997</v>
      </c>
      <c r="AJ632" s="16" t="n">
        <f aca="false">S632*J632</f>
        <v>0.0123484178940214</v>
      </c>
      <c r="AK632" s="16" t="n">
        <f aca="false">T632*J632</f>
        <v>0.0275599486987945</v>
      </c>
      <c r="AL632" s="16" t="n">
        <f aca="false">U632*J632</f>
        <v>0.00542067689174604</v>
      </c>
      <c r="AM632" s="16" t="n">
        <f aca="false">AI632-AJ632</f>
        <v>0.00459203453237823</v>
      </c>
      <c r="AN632" s="16" t="n">
        <f aca="false">J632*Country_Data!$EB$94</f>
        <v>0.199948683645187</v>
      </c>
      <c r="AO632" s="16" t="n">
        <f aca="false">L632*Country_Data!$EB$94</f>
        <v>0.0479876840748449</v>
      </c>
    </row>
    <row r="633" customFormat="false" ht="15" hidden="false" customHeight="false" outlineLevel="0" collapsed="false">
      <c r="A633" s="14" t="str">
        <f aca="false">Country_Data!$A$94</f>
        <v>JOR</v>
      </c>
      <c r="B633" s="14" t="str">
        <f aca="false">Country_Data!$E$94</f>
        <v>EMDC</v>
      </c>
      <c r="C633" s="35" t="s">
        <v>484</v>
      </c>
      <c r="D633" s="37" t="n">
        <f aca="false">IF(Country_Data!$CD$94="","",Country_Data!$CD$94)</f>
        <v>0.336228462807321</v>
      </c>
      <c r="E633" s="40" t="n">
        <f aca="false">Country_Data!$BW$94</f>
        <v>137.668</v>
      </c>
      <c r="F633" s="41" t="n">
        <f aca="false">Country_Data!$BX$94</f>
        <v>0.426395386001104</v>
      </c>
      <c r="G633" s="42" t="n">
        <f aca="false">IF(D633="","",D633/SUMIFS($D$5:$D$1369,$B$5:$B$1369,B633,$C$5:$C$1369,C633))</f>
        <v>0.00187762256707247</v>
      </c>
      <c r="H633" s="42" t="n">
        <f aca="false">E633/SUMIFS($E$5:$E$1369,$B$5:$B$1369,B633,$C$5:$C$1369,C633)</f>
        <v>0.00170524931349929</v>
      </c>
      <c r="I633" s="43" t="n">
        <f aca="false">IF(G633="",H633,p_beta_alloc*G633+(1-p_beta_alloc)*H633)*F633^p_phi</f>
        <v>0.00116978899457974</v>
      </c>
      <c r="J633" s="16" t="n">
        <f aca="false">INDEX(Sector_Params!$C$21:$E$21,MATCH(B633,Sector_Params!$C$15:$E$15,0))*I633/SUMIFS($I$5:$I$1369,$B$5:$B$1369,B633,$C$5:$C$1369,C633)</f>
        <v>0.259447297865712</v>
      </c>
      <c r="K633" s="28" t="n">
        <f aca="false">INDEX(Sector_Params!$F$10:$H$10,MATCH(B633,Sector_Params!$C$15:$E$15,0))</f>
        <v>0.24</v>
      </c>
      <c r="L633" s="16" t="n">
        <f aca="false">J633*K633</f>
        <v>0.0622673514877708</v>
      </c>
      <c r="M633" s="44" t="n">
        <f aca="false">Country_Data!$DW$94+Sector_Params!$E$10</f>
        <v>0.0966200000000001</v>
      </c>
      <c r="N633" s="44" t="n">
        <f aca="false">Country_Data!$DX$94+Sector_Params!$E$10</f>
        <v>0.14162</v>
      </c>
      <c r="O633" s="11" t="n">
        <f aca="false">IF(p_use_ibrd=1,p_r_ibrd,p_r_wb)</f>
        <v>0.06</v>
      </c>
      <c r="P633" s="45" t="n">
        <f aca="false">Sector_Params!$D$10</f>
        <v>20</v>
      </c>
      <c r="Q633" s="46" t="n">
        <f aca="false">M633/(1-(1+M633)^-P633)</f>
        <v>0.114761489012428</v>
      </c>
      <c r="R633" s="46" t="n">
        <f aca="false">N633/(1-(1+N633)^-P633)</f>
        <v>0.152398259506663</v>
      </c>
      <c r="S633" s="46" t="n">
        <f aca="false">O633/(1-(1+O633)^-P633)</f>
        <v>0.0871845569768514</v>
      </c>
      <c r="T633" s="37" t="n">
        <f aca="false">0*Sector_Params!$I$10</f>
        <v>0</v>
      </c>
      <c r="U633" s="37" t="n">
        <f aca="false">0*Sector_Params!$J$10</f>
        <v>0</v>
      </c>
      <c r="V633" s="37" t="n">
        <f aca="false">1000*p_r_wb/(1-(1+p_r_wb)^-Sector_Params!$D$10)/p_cpt_fuel</f>
        <v>0.871845569768514</v>
      </c>
      <c r="W633" s="16" t="n">
        <f aca="false">T633*L633</f>
        <v>0</v>
      </c>
      <c r="X633" s="16" t="n">
        <f aca="false">U633*L633</f>
        <v>0</v>
      </c>
      <c r="Y633" s="16" t="n">
        <f aca="false">V633*L633</f>
        <v>0.0542875145358318</v>
      </c>
      <c r="Z633" s="16" t="n">
        <f aca="false">Q633*L633</f>
        <v>0.00714589397359677</v>
      </c>
      <c r="AA633" s="16" t="n">
        <f aca="false">R633*L633</f>
        <v>0.00948943599082591</v>
      </c>
      <c r="AB633" s="16" t="n">
        <f aca="false">S633*L633</f>
        <v>0.00542875145358318</v>
      </c>
      <c r="AC633" s="16" t="n">
        <f aca="false">Z633-W633</f>
        <v>0.00714589397359677</v>
      </c>
      <c r="AD633" s="16" t="n">
        <f aca="false">AA633-W633</f>
        <v>0.00948943599082591</v>
      </c>
      <c r="AE633" s="16" t="n">
        <f aca="false">AB633-W633</f>
        <v>0.00542875145358318</v>
      </c>
      <c r="AF633" s="16" t="n">
        <f aca="false">AE633-X633</f>
        <v>0.00542875145358318</v>
      </c>
      <c r="AG633" s="16" t="n">
        <f aca="false">AF633-p_spc_lo*Y633/1000</f>
        <v>0.00271437572679159</v>
      </c>
      <c r="AH633" s="16" t="n">
        <f aca="false">AF633-p_spc_hi*Y633/1000</f>
        <v>0</v>
      </c>
      <c r="AI633" s="16" t="n">
        <f aca="false">Q633*J633</f>
        <v>0.0297745582233199</v>
      </c>
      <c r="AJ633" s="16" t="n">
        <f aca="false">S633*J633</f>
        <v>0.0226197977232633</v>
      </c>
      <c r="AK633" s="16" t="n">
        <f aca="false">T633*J633</f>
        <v>0</v>
      </c>
      <c r="AL633" s="16" t="n">
        <f aca="false">U633*J633</f>
        <v>0</v>
      </c>
      <c r="AM633" s="16" t="n">
        <f aca="false">AI633-AJ633</f>
        <v>0.0071547605000566</v>
      </c>
      <c r="AN633" s="16" t="n">
        <f aca="false">J633*Country_Data!$EB$94</f>
        <v>0.328633243963235</v>
      </c>
      <c r="AO633" s="16" t="n">
        <f aca="false">L633*Country_Data!$EB$94</f>
        <v>0.0788719785511763</v>
      </c>
    </row>
    <row r="634" customFormat="false" ht="15" hidden="false" customHeight="false" outlineLevel="0" collapsed="false">
      <c r="A634" s="14" t="str">
        <f aca="false">Country_Data!$A$94</f>
        <v>JOR</v>
      </c>
      <c r="B634" s="14" t="str">
        <f aca="false">Country_Data!$E$94</f>
        <v>EMDC</v>
      </c>
      <c r="C634" s="35" t="s">
        <v>488</v>
      </c>
      <c r="D634" s="37" t="n">
        <f aca="false">IF(Country_Data!$CE$94="","",Country_Data!$CE$94)</f>
        <v>11.325</v>
      </c>
      <c r="E634" s="40" t="n">
        <f aca="false">Country_Data!$BW$94</f>
        <v>137.668</v>
      </c>
      <c r="F634" s="41" t="n">
        <f aca="false">Country_Data!$BX$94</f>
        <v>0.426395386001104</v>
      </c>
      <c r="G634" s="42" t="n">
        <f aca="false">IF(D634="","",D634/SUMIFS($D$5:$D$1369,$B$5:$B$1369,B634,$C$5:$C$1369,C634))</f>
        <v>0.000927966070446759</v>
      </c>
      <c r="H634" s="42" t="n">
        <f aca="false">E634/SUMIFS($E$5:$E$1369,$B$5:$B$1369,B634,$C$5:$C$1369,C634)</f>
        <v>0.00170524931349929</v>
      </c>
      <c r="I634" s="43" t="n">
        <f aca="false">IF(G634="",H634,p_beta_alloc*G634+(1-p_beta_alloc)*H634)*F634^p_phi</f>
        <v>0.000859731098173289</v>
      </c>
      <c r="J634" s="16" t="n">
        <f aca="false">INDEX(Sector_Params!$C$22:$E$22,MATCH(B634,Sector_Params!$C$15:$E$15,0))*I634/SUMIFS($I$5:$I$1369,$B$5:$B$1369,B634,$C$5:$C$1369,C634)</f>
        <v>0.518253117591503</v>
      </c>
      <c r="K634" s="28" t="n">
        <f aca="false">INDEX(Sector_Params!$F$11:$H$11,MATCH(B634,Sector_Params!$C$15:$E$15,0))</f>
        <v>0.24</v>
      </c>
      <c r="L634" s="16" t="n">
        <f aca="false">J634*K634</f>
        <v>0.124380748221961</v>
      </c>
      <c r="M634" s="44" t="n">
        <f aca="false">Country_Data!$DW$94+Sector_Params!$E$11</f>
        <v>0.0966200000000001</v>
      </c>
      <c r="N634" s="44" t="n">
        <f aca="false">Country_Data!$DX$94+Sector_Params!$E$11</f>
        <v>0.14162</v>
      </c>
      <c r="O634" s="11" t="n">
        <f aca="false">IF(p_use_ibrd=1,p_r_ibrd,p_r_wb)</f>
        <v>0.06</v>
      </c>
      <c r="P634" s="45" t="n">
        <f aca="false">Sector_Params!$D$11</f>
        <v>30</v>
      </c>
      <c r="Q634" s="46" t="n">
        <f aca="false">M634/(1-(1+M634)^-P634)</f>
        <v>0.103099980779471</v>
      </c>
      <c r="R634" s="46" t="n">
        <f aca="false">N634/(1-(1+N634)^-P634)</f>
        <v>0.144334711811567</v>
      </c>
      <c r="S634" s="46" t="n">
        <f aca="false">O634/(1-(1+O634)^-P634)</f>
        <v>0.0726489114900472</v>
      </c>
      <c r="T634" s="37" t="n">
        <f aca="false">0*Sector_Params!$I$11</f>
        <v>0</v>
      </c>
      <c r="U634" s="37" t="n">
        <f aca="false">p_c*Sector_Params!$J$11</f>
        <v>0.129</v>
      </c>
      <c r="V634" s="37" t="n">
        <f aca="false">1000*p_r_wb/(1-(1+p_r_wb)^-Sector_Params!$D$11)/p_cpt_afolu</f>
        <v>1.45297822980094</v>
      </c>
      <c r="W634" s="16" t="n">
        <f aca="false">T634*L634</f>
        <v>0</v>
      </c>
      <c r="X634" s="16" t="n">
        <f aca="false">U634*L634</f>
        <v>0.0160451165206329</v>
      </c>
      <c r="Y634" s="16" t="n">
        <f aca="false">V634*L634</f>
        <v>0.180722519372861</v>
      </c>
      <c r="Z634" s="16" t="n">
        <f aca="false">Q634*L634</f>
        <v>0.0128236527510204</v>
      </c>
      <c r="AA634" s="16" t="n">
        <f aca="false">R634*L634</f>
        <v>0.0179524594495238</v>
      </c>
      <c r="AB634" s="16" t="n">
        <f aca="false">S634*L634</f>
        <v>0.00903612596864307</v>
      </c>
      <c r="AC634" s="16" t="n">
        <f aca="false">Z634-W634</f>
        <v>0.0128236527510204</v>
      </c>
      <c r="AD634" s="16" t="n">
        <f aca="false">AA634-W634</f>
        <v>0.0179524594495238</v>
      </c>
      <c r="AE634" s="16" t="n">
        <f aca="false">AB634-W634</f>
        <v>0.00903612596864307</v>
      </c>
      <c r="AF634" s="16" t="n">
        <f aca="false">AE634-X634</f>
        <v>-0.00700899055198987</v>
      </c>
      <c r="AG634" s="16" t="n">
        <f aca="false">AF634-p_spc_lo*Y634/1000</f>
        <v>-0.0160451165206329</v>
      </c>
      <c r="AH634" s="16" t="n">
        <f aca="false">AF634-p_spc_hi*Y634/1000</f>
        <v>-0.025081242489276</v>
      </c>
      <c r="AI634" s="16" t="n">
        <f aca="false">Q634*J634</f>
        <v>0.0534318864625849</v>
      </c>
      <c r="AJ634" s="16" t="n">
        <f aca="false">S634*J634</f>
        <v>0.0376505248693461</v>
      </c>
      <c r="AK634" s="16" t="n">
        <f aca="false">T634*J634</f>
        <v>0</v>
      </c>
      <c r="AL634" s="16" t="n">
        <f aca="false">U634*J634</f>
        <v>0.0668546521693039</v>
      </c>
      <c r="AM634" s="16" t="n">
        <f aca="false">AI634-AJ634</f>
        <v>0.0157813615932388</v>
      </c>
      <c r="AN634" s="16" t="n">
        <f aca="false">J634*Country_Data!$EB$94</f>
        <v>0.656453948949237</v>
      </c>
      <c r="AO634" s="16" t="n">
        <f aca="false">L634*Country_Data!$EB$94</f>
        <v>0.157548947747817</v>
      </c>
    </row>
    <row r="635" customFormat="false" ht="15" hidden="false" customHeight="false" outlineLevel="0" collapsed="false">
      <c r="A635" s="14" t="str">
        <f aca="false">Country_Data!$A$95</f>
        <v>UGA</v>
      </c>
      <c r="B635" s="14" t="str">
        <f aca="false">Country_Data!$E$95</f>
        <v>EMDC</v>
      </c>
      <c r="C635" s="35" t="s">
        <v>466</v>
      </c>
      <c r="D635" s="37" t="n">
        <f aca="false">IF(Country_Data!$BZ$95="","",Country_Data!$BZ$95)</f>
        <v>4.31719200240817</v>
      </c>
      <c r="E635" s="40" t="n">
        <f aca="false">Country_Data!$BW$95</f>
        <v>171.686</v>
      </c>
      <c r="F635" s="41" t="n">
        <f aca="false">Country_Data!$BX$95</f>
        <v>0.332356744288993</v>
      </c>
      <c r="G635" s="42" t="n">
        <f aca="false">IF(D635="","",D635/SUMIFS($D$5:$D$1369,$B$5:$B$1369,B635,$C$5:$C$1369,C635))</f>
        <v>0.000492859858052524</v>
      </c>
      <c r="H635" s="42" t="n">
        <f aca="false">E635/SUMIFS($E$5:$E$1369,$B$5:$B$1369,B635,$C$5:$C$1369,C635)</f>
        <v>0.0021266193569852</v>
      </c>
      <c r="I635" s="43" t="n">
        <f aca="false">IF(G635="",H635,p_beta_alloc*G635+(1-p_beta_alloc)*H635)*F635^p_phi</f>
        <v>0.000755069988963073</v>
      </c>
      <c r="J635" s="16" t="n">
        <f aca="false">INDEX(Sector_Params!$C$16:$E$16,MATCH(B635,Sector_Params!$C$15:$E$15,0))*I635/SUMIFS($I$5:$I$1369,$B$5:$B$1369,B635,$C$5:$C$1369,C635)</f>
        <v>0.730322835999727</v>
      </c>
      <c r="K635" s="28" t="n">
        <f aca="false">INDEX(Sector_Params!$F$5:$H$5,MATCH(B635,Sector_Params!$C$15:$E$15,0))</f>
        <v>0.24</v>
      </c>
      <c r="L635" s="16" t="n">
        <f aca="false">J635*K635</f>
        <v>0.175277480639935</v>
      </c>
      <c r="M635" s="44" t="n">
        <f aca="false">Country_Data!$DW$95+Sector_Params!$E$5</f>
        <v>0.08504</v>
      </c>
      <c r="N635" s="44" t="n">
        <f aca="false">Country_Data!$DX$95+Sector_Params!$E$5</f>
        <v>0.13004</v>
      </c>
      <c r="O635" s="11" t="n">
        <f aca="false">IF(p_use_ibrd=1,p_r_ibrd,p_r_wb)</f>
        <v>0.06</v>
      </c>
      <c r="P635" s="45" t="n">
        <f aca="false">Sector_Params!$D$5</f>
        <v>25</v>
      </c>
      <c r="Q635" s="46" t="n">
        <f aca="false">M635/(1-(1+M635)^-P635)</f>
        <v>0.0977441985077357</v>
      </c>
      <c r="R635" s="46" t="n">
        <f aca="false">N635/(1-(1+N635)^-P635)</f>
        <v>0.136461938227424</v>
      </c>
      <c r="S635" s="46" t="n">
        <f aca="false">O635/(1-(1+O635)^-P635)</f>
        <v>0.078226718212274</v>
      </c>
      <c r="T635" s="37" t="n">
        <f aca="false">IF(AND(p_eng=1,ISNUMBER(Country_Data!$CZ$95)),Country_Data!$CZ$95,Country_Data!$CM$95)*Sector_Params!$I$5</f>
        <v>-0.00548518404698122</v>
      </c>
      <c r="U635" s="37" t="n">
        <f aca="false">IF(AND(p_eng=1,ISNUMBER(Country_Data!$DA$95)),Country_Data!$DA$95,Country_Data!$CN$95)*Sector_Params!$J$5</f>
        <v>3.65658918137009E-005</v>
      </c>
      <c r="V635" s="37" t="n">
        <f aca="false">IF(AND(p_eng=1,ISNUMBER(Country_Data!$DB$95)),Country_Data!$DB$95,p_a)</f>
        <v>0.0547235330505324</v>
      </c>
      <c r="W635" s="16" t="n">
        <f aca="false">T635*L635</f>
        <v>-0.000961429240601228</v>
      </c>
      <c r="X635" s="16" t="n">
        <f aca="false">U635*L635</f>
        <v>6.40917739445791E-006</v>
      </c>
      <c r="Y635" s="16" t="n">
        <f aca="false">V635*L635</f>
        <v>0.00959180300481351</v>
      </c>
      <c r="Z635" s="16" t="n">
        <f aca="false">Q635*L635</f>
        <v>0.0171323568616056</v>
      </c>
      <c r="AA635" s="16" t="n">
        <f aca="false">R635*L635</f>
        <v>0.0239187047357453</v>
      </c>
      <c r="AB635" s="16" t="n">
        <f aca="false">S635*L635</f>
        <v>0.0137113820869775</v>
      </c>
      <c r="AC635" s="16" t="n">
        <f aca="false">Z635-W635</f>
        <v>0.0180937861022068</v>
      </c>
      <c r="AD635" s="16" t="n">
        <f aca="false">AA635-W635</f>
        <v>0.0248801339763465</v>
      </c>
      <c r="AE635" s="16" t="n">
        <f aca="false">AB635-W635</f>
        <v>0.0146728113275787</v>
      </c>
      <c r="AF635" s="16" t="n">
        <f aca="false">AE635-X635</f>
        <v>0.0146664021501842</v>
      </c>
      <c r="AG635" s="16" t="n">
        <f aca="false">AF635-p_spc_lo*Y635/1000</f>
        <v>0.0141868119999436</v>
      </c>
      <c r="AH635" s="16" t="n">
        <f aca="false">AF635-p_spc_hi*Y635/1000</f>
        <v>0.0137072218497029</v>
      </c>
      <c r="AI635" s="16" t="n">
        <f aca="false">Q635*J635</f>
        <v>0.0713848202566898</v>
      </c>
      <c r="AJ635" s="16" t="n">
        <f aca="false">S635*J635</f>
        <v>0.0571307586957394</v>
      </c>
      <c r="AK635" s="16" t="n">
        <f aca="false">T635*J635</f>
        <v>-0.00400595516917178</v>
      </c>
      <c r="AL635" s="16" t="n">
        <f aca="false">U635*J635</f>
        <v>2.67049058102413E-005</v>
      </c>
      <c r="AM635" s="16" t="n">
        <f aca="false">AI635-AJ635</f>
        <v>0.0142540615609504</v>
      </c>
      <c r="AN635" s="16" t="n">
        <f aca="false">J635*Country_Data!$EB$95</f>
        <v>0.891107088266334</v>
      </c>
      <c r="AO635" s="16" t="n">
        <f aca="false">L635*Country_Data!$EB$95</f>
        <v>0.21386570118392</v>
      </c>
    </row>
    <row r="636" customFormat="false" ht="15" hidden="false" customHeight="false" outlineLevel="0" collapsed="false">
      <c r="A636" s="14" t="str">
        <f aca="false">Country_Data!$A$95</f>
        <v>UGA</v>
      </c>
      <c r="B636" s="14" t="str">
        <f aca="false">Country_Data!$E$95</f>
        <v>EMDC</v>
      </c>
      <c r="C636" s="35" t="s">
        <v>470</v>
      </c>
      <c r="D636" s="37" t="n">
        <f aca="false">IF(Country_Data!$BZ$95="","",Country_Data!$BZ$95)</f>
        <v>4.31719200240817</v>
      </c>
      <c r="E636" s="40" t="n">
        <f aca="false">Country_Data!$BW$95</f>
        <v>171.686</v>
      </c>
      <c r="F636" s="41" t="n">
        <f aca="false">Country_Data!$BX$95</f>
        <v>0.332356744288993</v>
      </c>
      <c r="G636" s="42" t="n">
        <f aca="false">IF(D636="","",D636/SUMIFS($D$5:$D$1369,$B$5:$B$1369,B636,$C$5:$C$1369,C636))</f>
        <v>0.000492859858052524</v>
      </c>
      <c r="H636" s="42" t="n">
        <f aca="false">E636/SUMIFS($E$5:$E$1369,$B$5:$B$1369,B636,$C$5:$C$1369,C636)</f>
        <v>0.0021266193569852</v>
      </c>
      <c r="I636" s="43" t="n">
        <f aca="false">IF(G636="",H636,p_beta_alloc*G636+(1-p_beta_alloc)*H636)*F636^p_phi</f>
        <v>0.000755069988963073</v>
      </c>
      <c r="J636" s="16" t="n">
        <f aca="false">INDEX(Sector_Params!$C$17:$E$17,MATCH(B636,Sector_Params!$C$15:$E$15,0))*I636/SUMIFS($I$5:$I$1369,$B$5:$B$1369,B636,$C$5:$C$1369,C636)</f>
        <v>0.500792801828384</v>
      </c>
      <c r="K636" s="28" t="n">
        <f aca="false">INDEX(Sector_Params!$F$6:$H$6,MATCH(B636,Sector_Params!$C$15:$E$15,0))</f>
        <v>0.24</v>
      </c>
      <c r="L636" s="16" t="n">
        <f aca="false">J636*K636</f>
        <v>0.120190272438812</v>
      </c>
      <c r="M636" s="44" t="n">
        <f aca="false">Country_Data!$DW$95+Sector_Params!$E$6</f>
        <v>0.08504</v>
      </c>
      <c r="N636" s="44" t="n">
        <f aca="false">Country_Data!$DX$95+Sector_Params!$E$6</f>
        <v>0.13004</v>
      </c>
      <c r="O636" s="11" t="n">
        <f aca="false">IF(p_use_ibrd=1,p_r_ibrd,p_r_wb)</f>
        <v>0.06</v>
      </c>
      <c r="P636" s="45" t="n">
        <f aca="false">Sector_Params!$D$6</f>
        <v>40</v>
      </c>
      <c r="Q636" s="46" t="n">
        <f aca="false">M636/(1-(1+M636)^-P636)</f>
        <v>0.0884184132118487</v>
      </c>
      <c r="R636" s="46" t="n">
        <f aca="false">N636/(1-(1+N636)^-P636)</f>
        <v>0.131025377773231</v>
      </c>
      <c r="S636" s="46" t="n">
        <f aca="false">O636/(1-(1+O636)^-P636)</f>
        <v>0.0664615359206755</v>
      </c>
      <c r="T636" s="37" t="n">
        <f aca="false">p_grid_credit*IF(AND(p_eng=1,ISNUMBER(Country_Data!$CZ$95)),Country_Data!$CZ$95,Country_Data!$CM$95)*Sector_Params!$I$6</f>
        <v>-0</v>
      </c>
      <c r="U636" s="37" t="n">
        <f aca="false">p_grid_credit*IF(AND(p_eng=1,ISNUMBER(Country_Data!$DA$95)),Country_Data!$DA$95,Country_Data!$CN$95)*Sector_Params!$J$6</f>
        <v>0</v>
      </c>
      <c r="V636" s="37" t="n">
        <f aca="false">p_grid_credit*IF(AND(p_eng=1,ISNUMBER(Country_Data!$DB$95)),Country_Data!$DB$95,p_a)</f>
        <v>0</v>
      </c>
      <c r="W636" s="16" t="n">
        <f aca="false">T636*L636</f>
        <v>-0</v>
      </c>
      <c r="X636" s="16" t="n">
        <f aca="false">U636*L636</f>
        <v>0</v>
      </c>
      <c r="Y636" s="16" t="n">
        <f aca="false">V636*L636</f>
        <v>0</v>
      </c>
      <c r="Z636" s="16" t="n">
        <f aca="false">Q636*L636</f>
        <v>0.0106270331725396</v>
      </c>
      <c r="AA636" s="16" t="n">
        <f aca="false">R636*L636</f>
        <v>0.0157479758509629</v>
      </c>
      <c r="AB636" s="16" t="n">
        <f aca="false">S636*L636</f>
        <v>0.00798803010900789</v>
      </c>
      <c r="AC636" s="16" t="n">
        <f aca="false">Z636-W636</f>
        <v>0.0106270331725396</v>
      </c>
      <c r="AD636" s="16" t="n">
        <f aca="false">AA636-W636</f>
        <v>0.0157479758509629</v>
      </c>
      <c r="AE636" s="16" t="n">
        <f aca="false">AB636-W636</f>
        <v>0.00798803010900789</v>
      </c>
      <c r="AF636" s="16" t="n">
        <f aca="false">AE636-X636</f>
        <v>0.00798803010900789</v>
      </c>
      <c r="AG636" s="16" t="n">
        <f aca="false">AF636-p_spc_lo*Y636/1000</f>
        <v>0.00798803010900789</v>
      </c>
      <c r="AH636" s="16" t="n">
        <f aca="false">AF636-p_spc_hi*Y636/1000</f>
        <v>0.00798803010900789</v>
      </c>
      <c r="AI636" s="16" t="n">
        <f aca="false">Q636*J636</f>
        <v>0.0442793048855815</v>
      </c>
      <c r="AJ636" s="16" t="n">
        <f aca="false">S636*J636</f>
        <v>0.0332834587875329</v>
      </c>
      <c r="AK636" s="16" t="n">
        <f aca="false">T636*J636</f>
        <v>-0</v>
      </c>
      <c r="AL636" s="16" t="n">
        <f aca="false">U636*J636</f>
        <v>0</v>
      </c>
      <c r="AM636" s="16" t="n">
        <f aca="false">AI636-AJ636</f>
        <v>0.0109958460980487</v>
      </c>
      <c r="AN636" s="16" t="n">
        <f aca="false">J636*Country_Data!$EB$95</f>
        <v>0.611044860525486</v>
      </c>
      <c r="AO636" s="16" t="n">
        <f aca="false">L636*Country_Data!$EB$95</f>
        <v>0.146650766526117</v>
      </c>
    </row>
    <row r="637" customFormat="false" ht="15" hidden="false" customHeight="false" outlineLevel="0" collapsed="false">
      <c r="A637" s="14" t="str">
        <f aca="false">Country_Data!$A$95</f>
        <v>UGA</v>
      </c>
      <c r="B637" s="14" t="str">
        <f aca="false">Country_Data!$E$95</f>
        <v>EMDC</v>
      </c>
      <c r="C637" s="35" t="s">
        <v>473</v>
      </c>
      <c r="D637" s="37" t="n">
        <f aca="false">IF(Country_Data!$CA$95="","",Country_Data!$CA$95)</f>
        <v>0.0795158128474046</v>
      </c>
      <c r="E637" s="40" t="n">
        <f aca="false">Country_Data!$BW$95</f>
        <v>171.686</v>
      </c>
      <c r="F637" s="41" t="n">
        <f aca="false">Country_Data!$BX$95</f>
        <v>0.332356744288993</v>
      </c>
      <c r="G637" s="42" t="n">
        <f aca="false">IF(D637="","",D637/SUMIFS($D$5:$D$1369,$B$5:$B$1369,B637,$C$5:$C$1369,C637))</f>
        <v>0.00183700028736265</v>
      </c>
      <c r="H637" s="42" t="n">
        <f aca="false">E637/SUMIFS($E$5:$E$1369,$B$5:$B$1369,B637,$C$5:$C$1369,C637)</f>
        <v>0.0021266193569852</v>
      </c>
      <c r="I637" s="43" t="n">
        <f aca="false">IF(G637="",H637,p_beta_alloc*G637+(1-p_beta_alloc)*H637)*F637^p_phi</f>
        <v>0.00114252108737135</v>
      </c>
      <c r="J637" s="16" t="n">
        <f aca="false">INDEX(Sector_Params!$C$18:$E$18,MATCH(B637,Sector_Params!$C$15:$E$15,0))*I637/SUMIFS($I$5:$I$1369,$B$5:$B$1369,B637,$C$5:$C$1369,C637)</f>
        <v>0.467835351842249</v>
      </c>
      <c r="K637" s="28" t="n">
        <f aca="false">INDEX(Sector_Params!$F$7:$H$7,MATCH(B637,Sector_Params!$C$15:$E$15,0))</f>
        <v>0.24</v>
      </c>
      <c r="L637" s="16" t="n">
        <f aca="false">J637*K637</f>
        <v>0.11228048444214</v>
      </c>
      <c r="M637" s="44" t="n">
        <f aca="false">Country_Data!$DW$95+Sector_Params!$E$7</f>
        <v>0.08504</v>
      </c>
      <c r="N637" s="44" t="n">
        <f aca="false">Country_Data!$DX$95+Sector_Params!$E$7</f>
        <v>0.13004</v>
      </c>
      <c r="O637" s="11" t="n">
        <f aca="false">IF(p_use_ibrd=1,p_r_ibrd,p_r_wb)</f>
        <v>0.06</v>
      </c>
      <c r="P637" s="45" t="n">
        <f aca="false">Sector_Params!$D$7</f>
        <v>12</v>
      </c>
      <c r="Q637" s="46" t="n">
        <f aca="false">M637/(1-(1+M637)^-P637)</f>
        <v>0.136180682846574</v>
      </c>
      <c r="R637" s="46" t="n">
        <f aca="false">N637/(1-(1+N637)^-P637)</f>
        <v>0.169016554658216</v>
      </c>
      <c r="S637" s="46" t="n">
        <f aca="false">O637/(1-(1+O637)^-P637)</f>
        <v>0.119277029380664</v>
      </c>
      <c r="T637" s="37" t="n">
        <f aca="false">IF(AND(p_eng=1,ISNUMBER(Country_Data!$DE$95)),Country_Data!$DE$95,Country_Data!$CM$95)*Sector_Params!$I$7</f>
        <v>0.11677203</v>
      </c>
      <c r="U637" s="37" t="n">
        <f aca="false">IF(AND(p_eng=1,ISNUMBER(Country_Data!$DF$95)),Country_Data!$DF$95,Country_Data!$CN$95)*Sector_Params!$J$7</f>
        <v>8.595E-005</v>
      </c>
      <c r="V637" s="37" t="n">
        <f aca="false">IF(AND(p_eng=1,ISNUMBER(Country_Data!$DG$95)),Country_Data!$DG$95,p_a)</f>
        <v>0.520422560240964</v>
      </c>
      <c r="W637" s="16" t="n">
        <f aca="false">T637*L637</f>
        <v>0.0131112200976921</v>
      </c>
      <c r="X637" s="16" t="n">
        <f aca="false">U637*L637</f>
        <v>9.65050763780192E-006</v>
      </c>
      <c r="Y637" s="16" t="n">
        <f aca="false">V637*L637</f>
        <v>0.0584332971784741</v>
      </c>
      <c r="Z637" s="16" t="n">
        <f aca="false">Q637*L637</f>
        <v>0.0152904330416748</v>
      </c>
      <c r="AA637" s="16" t="n">
        <f aca="false">R637*L637</f>
        <v>0.0189772606357659</v>
      </c>
      <c r="AB637" s="16" t="n">
        <f aca="false">S637*L637</f>
        <v>0.0133924826416803</v>
      </c>
      <c r="AC637" s="16" t="n">
        <f aca="false">Z637-W637</f>
        <v>0.00217921294398269</v>
      </c>
      <c r="AD637" s="16" t="n">
        <f aca="false">AA637-W637</f>
        <v>0.00586604053807384</v>
      </c>
      <c r="AE637" s="16" t="n">
        <f aca="false">AB637-W637</f>
        <v>0.000281262543988163</v>
      </c>
      <c r="AF637" s="16" t="n">
        <f aca="false">AE637-X637</f>
        <v>0.000271612036350361</v>
      </c>
      <c r="AG637" s="16" t="n">
        <f aca="false">AF637-p_spc_lo*Y637/1000</f>
        <v>-0.00265005282257335</v>
      </c>
      <c r="AH637" s="16" t="n">
        <f aca="false">AF637-p_spc_hi*Y637/1000</f>
        <v>-0.00557171768149705</v>
      </c>
      <c r="AI637" s="16" t="n">
        <f aca="false">Q637*J637</f>
        <v>0.0637101376736449</v>
      </c>
      <c r="AJ637" s="16" t="n">
        <f aca="false">S637*J637</f>
        <v>0.055802011007001</v>
      </c>
      <c r="AK637" s="16" t="n">
        <f aca="false">T637*J637</f>
        <v>0.0546300837403837</v>
      </c>
      <c r="AL637" s="16" t="n">
        <f aca="false">U637*J637</f>
        <v>4.02104484908413E-005</v>
      </c>
      <c r="AM637" s="16" t="n">
        <f aca="false">AI637-AJ637</f>
        <v>0.00790812666664387</v>
      </c>
      <c r="AN637" s="16" t="n">
        <f aca="false">J637*Country_Data!$EB$95</f>
        <v>0.570831661860233</v>
      </c>
      <c r="AO637" s="16" t="n">
        <f aca="false">L637*Country_Data!$EB$95</f>
        <v>0.136999598846456</v>
      </c>
    </row>
    <row r="638" customFormat="false" ht="15" hidden="false" customHeight="false" outlineLevel="0" collapsed="false">
      <c r="A638" s="14" t="str">
        <f aca="false">Country_Data!$A$95</f>
        <v>UGA</v>
      </c>
      <c r="B638" s="14" t="str">
        <f aca="false">Country_Data!$E$95</f>
        <v>EMDC</v>
      </c>
      <c r="C638" s="35" t="s">
        <v>477</v>
      </c>
      <c r="D638" s="37" t="n">
        <f aca="false">IF(Country_Data!$CB$95="","",Country_Data!$CB$95)</f>
        <v>0.00652540221094543</v>
      </c>
      <c r="E638" s="40" t="n">
        <f aca="false">Country_Data!$BW$95</f>
        <v>171.686</v>
      </c>
      <c r="F638" s="41" t="n">
        <f aca="false">Country_Data!$BX$95</f>
        <v>0.332356744288993</v>
      </c>
      <c r="G638" s="42" t="n">
        <f aca="false">IF(D638="","",D638/SUMIFS($D$5:$D$1369,$B$5:$B$1369,B638,$C$5:$C$1369,C638))</f>
        <v>0.000205765801562907</v>
      </c>
      <c r="H638" s="42" t="n">
        <f aca="false">E638/SUMIFS($E$5:$E$1369,$B$5:$B$1369,B638,$C$5:$C$1369,C638)</f>
        <v>0.0021266193569852</v>
      </c>
      <c r="I638" s="43" t="n">
        <f aca="false">IF(G638="",H638,p_beta_alloc*G638+(1-p_beta_alloc)*H638)*F638^p_phi</f>
        <v>0.00067231456764859</v>
      </c>
      <c r="J638" s="16" t="n">
        <f aca="false">INDEX(Sector_Params!$C$19:$E$19,MATCH(B638,Sector_Params!$C$15:$E$15,0))*I638/SUMIFS($I$5:$I$1369,$B$5:$B$1369,B638,$C$5:$C$1369,C638)</f>
        <v>0.216392912425284</v>
      </c>
      <c r="K638" s="28" t="n">
        <f aca="false">INDEX(Sector_Params!$F$8:$H$8,MATCH(B638,Sector_Params!$C$15:$E$15,0))</f>
        <v>0.24</v>
      </c>
      <c r="L638" s="16" t="n">
        <f aca="false">J638*K638</f>
        <v>0.0519342989820683</v>
      </c>
      <c r="M638" s="44" t="n">
        <f aca="false">Country_Data!$DW$95+Sector_Params!$E$8</f>
        <v>0.08504</v>
      </c>
      <c r="N638" s="44" t="n">
        <f aca="false">Country_Data!$DX$95+Sector_Params!$E$8</f>
        <v>0.13004</v>
      </c>
      <c r="O638" s="11" t="n">
        <f aca="false">IF(p_use_ibrd=1,p_r_ibrd,p_r_wb)</f>
        <v>0.06</v>
      </c>
      <c r="P638" s="45" t="n">
        <f aca="false">Sector_Params!$D$8</f>
        <v>25</v>
      </c>
      <c r="Q638" s="46" t="n">
        <f aca="false">M638/(1-(1+M638)^-P638)</f>
        <v>0.0977441985077357</v>
      </c>
      <c r="R638" s="46" t="n">
        <f aca="false">N638/(1-(1+N638)^-P638)</f>
        <v>0.136461938227424</v>
      </c>
      <c r="S638" s="46" t="n">
        <f aca="false">O638/(1-(1+O638)^-P638)</f>
        <v>0.078226718212274</v>
      </c>
      <c r="T638" s="37" t="n">
        <f aca="false">Country_Data!$CM$95*Sector_Params!$I$8</f>
        <v>0.198589421655562</v>
      </c>
      <c r="U638" s="37" t="n">
        <f aca="false">Country_Data!$CN$95*Sector_Params!$J$8</f>
        <v>0.03225</v>
      </c>
      <c r="V638" s="37" t="n">
        <f aca="false">p_a</f>
        <v>0.35</v>
      </c>
      <c r="W638" s="16" t="n">
        <f aca="false">T638*L638</f>
        <v>0.010313602398936</v>
      </c>
      <c r="X638" s="16" t="n">
        <f aca="false">U638*L638</f>
        <v>0.0016748811421717</v>
      </c>
      <c r="Y638" s="16" t="n">
        <f aca="false">V638*L638</f>
        <v>0.0181770046437239</v>
      </c>
      <c r="Z638" s="16" t="n">
        <f aca="false">Q638*L638</f>
        <v>0.00507627642906338</v>
      </c>
      <c r="AA638" s="16" t="n">
        <f aca="false">R638*L638</f>
        <v>0.00708705509957558</v>
      </c>
      <c r="AB638" s="16" t="n">
        <f aca="false">S638*L638</f>
        <v>0.00406264977202224</v>
      </c>
      <c r="AC638" s="16" t="n">
        <f aca="false">Z638-W638</f>
        <v>-0.00523732596987262</v>
      </c>
      <c r="AD638" s="16" t="n">
        <f aca="false">AA638-W638</f>
        <v>-0.00322654729936041</v>
      </c>
      <c r="AE638" s="16" t="n">
        <f aca="false">AB638-W638</f>
        <v>-0.00625095262691376</v>
      </c>
      <c r="AF638" s="16" t="n">
        <f aca="false">AE638-X638</f>
        <v>-0.00792583376908546</v>
      </c>
      <c r="AG638" s="16" t="n">
        <f aca="false">AF638-p_spc_lo*Y638/1000</f>
        <v>-0.00883468400127165</v>
      </c>
      <c r="AH638" s="16" t="n">
        <f aca="false">AF638-p_spc_hi*Y638/1000</f>
        <v>-0.00974353423345785</v>
      </c>
      <c r="AI638" s="16" t="n">
        <f aca="false">Q638*J638</f>
        <v>0.0211511517877641</v>
      </c>
      <c r="AJ638" s="16" t="n">
        <f aca="false">S638*J638</f>
        <v>0.016927707383426</v>
      </c>
      <c r="AK638" s="16" t="n">
        <f aca="false">T638*J638</f>
        <v>0.0429733433289</v>
      </c>
      <c r="AL638" s="16" t="n">
        <f aca="false">U638*J638</f>
        <v>0.00697867142571542</v>
      </c>
      <c r="AM638" s="16" t="n">
        <f aca="false">AI638-AJ638</f>
        <v>0.00422344440433807</v>
      </c>
      <c r="AN638" s="16" t="n">
        <f aca="false">J638*Country_Data!$EB$95</f>
        <v>0.264032902447595</v>
      </c>
      <c r="AO638" s="16" t="n">
        <f aca="false">L638*Country_Data!$EB$95</f>
        <v>0.0633678965874228</v>
      </c>
    </row>
    <row r="639" customFormat="false" ht="15" hidden="false" customHeight="false" outlineLevel="0" collapsed="false">
      <c r="A639" s="14" t="str">
        <f aca="false">Country_Data!$A$95</f>
        <v>UGA</v>
      </c>
      <c r="B639" s="14" t="str">
        <f aca="false">Country_Data!$E$95</f>
        <v>EMDC</v>
      </c>
      <c r="C639" s="35" t="s">
        <v>481</v>
      </c>
      <c r="D639" s="37" t="n">
        <f aca="false">IF(Country_Data!$CC$95="","",Country_Data!$CC$95)</f>
        <v>0.0178718441510195</v>
      </c>
      <c r="E639" s="40" t="n">
        <f aca="false">Country_Data!$BW$95</f>
        <v>171.686</v>
      </c>
      <c r="F639" s="41" t="n">
        <f aca="false">Country_Data!$BX$95</f>
        <v>0.332356744288993</v>
      </c>
      <c r="G639" s="42" t="n">
        <f aca="false">IF(D639="","",D639/SUMIFS($D$5:$D$1369,$B$5:$B$1369,B639,$C$5:$C$1369,C639))</f>
        <v>0.000255285591557304</v>
      </c>
      <c r="H639" s="42" t="n">
        <f aca="false">E639/SUMIFS($E$5:$E$1369,$B$5:$B$1369,B639,$C$5:$C$1369,C639)</f>
        <v>0.0021266193569852</v>
      </c>
      <c r="I639" s="43" t="n">
        <f aca="false">IF(G639="",H639,p_beta_alloc*G639+(1-p_beta_alloc)*H639)*F639^p_phi</f>
        <v>0.000686588743625964</v>
      </c>
      <c r="J639" s="16" t="n">
        <f aca="false">INDEX(Sector_Params!$C$20:$E$20,MATCH(B639,Sector_Params!$C$15:$E$15,0))*I639/SUMIFS($I$5:$I$1369,$B$5:$B$1369,B639,$C$5:$C$1369,C639)</f>
        <v>0.125316272020955</v>
      </c>
      <c r="K639" s="28" t="n">
        <f aca="false">INDEX(Sector_Params!$F$9:$H$9,MATCH(B639,Sector_Params!$C$15:$E$15,0))</f>
        <v>0.24</v>
      </c>
      <c r="L639" s="16" t="n">
        <f aca="false">J639*K639</f>
        <v>0.0300759052850293</v>
      </c>
      <c r="M639" s="44" t="n">
        <f aca="false">Country_Data!$DW$95+Sector_Params!$E$9</f>
        <v>0.08504</v>
      </c>
      <c r="N639" s="44" t="n">
        <f aca="false">Country_Data!$DX$95+Sector_Params!$E$9</f>
        <v>0.13004</v>
      </c>
      <c r="O639" s="11" t="n">
        <f aca="false">IF(p_use_ibrd=1,p_r_ibrd,p_r_wb)</f>
        <v>0.06</v>
      </c>
      <c r="P639" s="45" t="n">
        <f aca="false">Sector_Params!$D$9</f>
        <v>25</v>
      </c>
      <c r="Q639" s="46" t="n">
        <f aca="false">M639/(1-(1+M639)^-P639)</f>
        <v>0.0977441985077357</v>
      </c>
      <c r="R639" s="46" t="n">
        <f aca="false">N639/(1-(1+N639)^-P639)</f>
        <v>0.136461938227424</v>
      </c>
      <c r="S639" s="46" t="n">
        <f aca="false">O639/(1-(1+O639)^-P639)</f>
        <v>0.078226718212274</v>
      </c>
      <c r="T639" s="37" t="n">
        <f aca="false">Country_Data!$CM$95*Sector_Params!$I$9</f>
        <v>0.198589421655562</v>
      </c>
      <c r="U639" s="37" t="n">
        <f aca="false">Country_Data!$CN$95*Sector_Params!$J$9</f>
        <v>0.03225</v>
      </c>
      <c r="V639" s="37" t="n">
        <f aca="false">p_a</f>
        <v>0.35</v>
      </c>
      <c r="W639" s="16" t="n">
        <f aca="false">T639*L639</f>
        <v>0.00597275663632143</v>
      </c>
      <c r="X639" s="16" t="n">
        <f aca="false">U639*L639</f>
        <v>0.000969947945442194</v>
      </c>
      <c r="Y639" s="16" t="n">
        <f aca="false">V639*L639</f>
        <v>0.0105265668497602</v>
      </c>
      <c r="Z639" s="16" t="n">
        <f aca="false">Q639*L639</f>
        <v>0.00293974525647976</v>
      </c>
      <c r="AA639" s="16" t="n">
        <f aca="false">R639*L639</f>
        <v>0.00410421632913953</v>
      </c>
      <c r="AB639" s="16" t="n">
        <f aca="false">S639*L639</f>
        <v>0.00235273936771103</v>
      </c>
      <c r="AC639" s="16" t="n">
        <f aca="false">Z639-W639</f>
        <v>-0.00303301137984168</v>
      </c>
      <c r="AD639" s="16" t="n">
        <f aca="false">AA639-W639</f>
        <v>-0.00186854030718191</v>
      </c>
      <c r="AE639" s="16" t="n">
        <f aca="false">AB639-W639</f>
        <v>-0.00362001726861041</v>
      </c>
      <c r="AF639" s="16" t="n">
        <f aca="false">AE639-X639</f>
        <v>-0.0045899652140526</v>
      </c>
      <c r="AG639" s="16" t="n">
        <f aca="false">AF639-p_spc_lo*Y639/1000</f>
        <v>-0.00511629355654061</v>
      </c>
      <c r="AH639" s="16" t="n">
        <f aca="false">AF639-p_spc_hi*Y639/1000</f>
        <v>-0.00564262189902863</v>
      </c>
      <c r="AI639" s="16" t="n">
        <f aca="false">Q639*J639</f>
        <v>0.0122489385686657</v>
      </c>
      <c r="AJ639" s="16" t="n">
        <f aca="false">S639*J639</f>
        <v>0.00980308069879594</v>
      </c>
      <c r="AK639" s="16" t="n">
        <f aca="false">T639*J639</f>
        <v>0.0248864859846726</v>
      </c>
      <c r="AL639" s="16" t="n">
        <f aca="false">U639*J639</f>
        <v>0.00404144977267581</v>
      </c>
      <c r="AM639" s="16" t="n">
        <f aca="false">AI639-AJ639</f>
        <v>0.00244585786986972</v>
      </c>
      <c r="AN639" s="16" t="n">
        <f aca="false">J639*Country_Data!$EB$95</f>
        <v>0.152905280744949</v>
      </c>
      <c r="AO639" s="16" t="n">
        <f aca="false">L639*Country_Data!$EB$95</f>
        <v>0.0366972673787876</v>
      </c>
    </row>
    <row r="640" customFormat="false" ht="15" hidden="false" customHeight="false" outlineLevel="0" collapsed="false">
      <c r="A640" s="14" t="str">
        <f aca="false">Country_Data!$A$95</f>
        <v>UGA</v>
      </c>
      <c r="B640" s="14" t="str">
        <f aca="false">Country_Data!$E$95</f>
        <v>EMDC</v>
      </c>
      <c r="C640" s="35" t="s">
        <v>484</v>
      </c>
      <c r="D640" s="37" t="n">
        <f aca="false">IF(Country_Data!$CD$95="","",Country_Data!$CD$95)</f>
        <v>0.0883711680007001</v>
      </c>
      <c r="E640" s="40" t="n">
        <f aca="false">Country_Data!$BW$95</f>
        <v>171.686</v>
      </c>
      <c r="F640" s="41" t="n">
        <f aca="false">Country_Data!$BX$95</f>
        <v>0.332356744288993</v>
      </c>
      <c r="G640" s="42" t="n">
        <f aca="false">IF(D640="","",D640/SUMIFS($D$5:$D$1369,$B$5:$B$1369,B640,$C$5:$C$1369,C640))</f>
        <v>0.000493496885811698</v>
      </c>
      <c r="H640" s="42" t="n">
        <f aca="false">E640/SUMIFS($E$5:$E$1369,$B$5:$B$1369,B640,$C$5:$C$1369,C640)</f>
        <v>0.0021266193569852</v>
      </c>
      <c r="I640" s="43" t="n">
        <f aca="false">IF(G640="",H640,p_beta_alloc*G640+(1-p_beta_alloc)*H640)*F640^p_phi</f>
        <v>0.000755253613456189</v>
      </c>
      <c r="J640" s="16" t="n">
        <f aca="false">INDEX(Sector_Params!$C$21:$E$21,MATCH(B640,Sector_Params!$C$15:$E$15,0))*I640/SUMIFS($I$5:$I$1369,$B$5:$B$1369,B640,$C$5:$C$1369,C640)</f>
        <v>0.167507567708755</v>
      </c>
      <c r="K640" s="28" t="n">
        <f aca="false">INDEX(Sector_Params!$F$10:$H$10,MATCH(B640,Sector_Params!$C$15:$E$15,0))</f>
        <v>0.24</v>
      </c>
      <c r="L640" s="16" t="n">
        <f aca="false">J640*K640</f>
        <v>0.0402018162501013</v>
      </c>
      <c r="M640" s="44" t="n">
        <f aca="false">Country_Data!$DW$95+Sector_Params!$E$10</f>
        <v>0.08504</v>
      </c>
      <c r="N640" s="44" t="n">
        <f aca="false">Country_Data!$DX$95+Sector_Params!$E$10</f>
        <v>0.13004</v>
      </c>
      <c r="O640" s="11" t="n">
        <f aca="false">IF(p_use_ibrd=1,p_r_ibrd,p_r_wb)</f>
        <v>0.06</v>
      </c>
      <c r="P640" s="45" t="n">
        <f aca="false">Sector_Params!$D$10</f>
        <v>20</v>
      </c>
      <c r="Q640" s="46" t="n">
        <f aca="false">M640/(1-(1+M640)^-P640)</f>
        <v>0.105701755925734</v>
      </c>
      <c r="R640" s="46" t="n">
        <f aca="false">N640/(1-(1+N640)^-P640)</f>
        <v>0.142388013690436</v>
      </c>
      <c r="S640" s="46" t="n">
        <f aca="false">O640/(1-(1+O640)^-P640)</f>
        <v>0.0871845569768514</v>
      </c>
      <c r="T640" s="37" t="n">
        <f aca="false">0*Sector_Params!$I$10</f>
        <v>0</v>
      </c>
      <c r="U640" s="37" t="n">
        <f aca="false">0*Sector_Params!$J$10</f>
        <v>0</v>
      </c>
      <c r="V640" s="37" t="n">
        <f aca="false">1000*p_r_wb/(1-(1+p_r_wb)^-Sector_Params!$D$10)/p_cpt_fuel</f>
        <v>0.871845569768514</v>
      </c>
      <c r="W640" s="16" t="n">
        <f aca="false">T640*L640</f>
        <v>0</v>
      </c>
      <c r="X640" s="16" t="n">
        <f aca="false">U640*L640</f>
        <v>0</v>
      </c>
      <c r="Y640" s="16" t="n">
        <f aca="false">V640*L640</f>
        <v>0.0350497753942986</v>
      </c>
      <c r="Z640" s="16" t="n">
        <f aca="false">Q640*L640</f>
        <v>0.00424940256903941</v>
      </c>
      <c r="AA640" s="16" t="n">
        <f aca="false">R640*L640</f>
        <v>0.0057242567625998</v>
      </c>
      <c r="AB640" s="16" t="n">
        <f aca="false">S640*L640</f>
        <v>0.00350497753942986</v>
      </c>
      <c r="AC640" s="16" t="n">
        <f aca="false">Z640-W640</f>
        <v>0.00424940256903941</v>
      </c>
      <c r="AD640" s="16" t="n">
        <f aca="false">AA640-W640</f>
        <v>0.0057242567625998</v>
      </c>
      <c r="AE640" s="16" t="n">
        <f aca="false">AB640-W640</f>
        <v>0.00350497753942986</v>
      </c>
      <c r="AF640" s="16" t="n">
        <f aca="false">AE640-X640</f>
        <v>0.00350497753942986</v>
      </c>
      <c r="AG640" s="16" t="n">
        <f aca="false">AF640-p_spc_lo*Y640/1000</f>
        <v>0.00175248876971493</v>
      </c>
      <c r="AH640" s="16" t="n">
        <f aca="false">AF640-p_spc_hi*Y640/1000</f>
        <v>0</v>
      </c>
      <c r="AI640" s="16" t="n">
        <f aca="false">Q640*J640</f>
        <v>0.0177058440376642</v>
      </c>
      <c r="AJ640" s="16" t="n">
        <f aca="false">S640*J640</f>
        <v>0.0146040730809578</v>
      </c>
      <c r="AK640" s="16" t="n">
        <f aca="false">T640*J640</f>
        <v>0</v>
      </c>
      <c r="AL640" s="16" t="n">
        <f aca="false">U640*J640</f>
        <v>0</v>
      </c>
      <c r="AM640" s="16" t="n">
        <f aca="false">AI640-AJ640</f>
        <v>0.00310177095670644</v>
      </c>
      <c r="AN640" s="16" t="n">
        <f aca="false">J640*Country_Data!$EB$95</f>
        <v>0.204385202770218</v>
      </c>
      <c r="AO640" s="16" t="n">
        <f aca="false">L640*Country_Data!$EB$95</f>
        <v>0.0490524486648522</v>
      </c>
    </row>
    <row r="641" customFormat="false" ht="15" hidden="false" customHeight="false" outlineLevel="0" collapsed="false">
      <c r="A641" s="14" t="str">
        <f aca="false">Country_Data!$A$95</f>
        <v>UGA</v>
      </c>
      <c r="B641" s="14" t="str">
        <f aca="false">Country_Data!$E$95</f>
        <v>EMDC</v>
      </c>
      <c r="C641" s="35" t="s">
        <v>488</v>
      </c>
      <c r="D641" s="37" t="n">
        <f aca="false">IF(Country_Data!$CE$95="","",Country_Data!$CE$95)</f>
        <v>64.633</v>
      </c>
      <c r="E641" s="40" t="n">
        <f aca="false">Country_Data!$BW$95</f>
        <v>171.686</v>
      </c>
      <c r="F641" s="41" t="n">
        <f aca="false">Country_Data!$BX$95</f>
        <v>0.332356744288993</v>
      </c>
      <c r="G641" s="42" t="n">
        <f aca="false">IF(D641="","",D641/SUMIFS($D$5:$D$1369,$B$5:$B$1369,B641,$C$5:$C$1369,C641))</f>
        <v>0.00529600274006052</v>
      </c>
      <c r="H641" s="42" t="n">
        <f aca="false">E641/SUMIFS($E$5:$E$1369,$B$5:$B$1369,B641,$C$5:$C$1369,C641)</f>
        <v>0.0021266193569852</v>
      </c>
      <c r="I641" s="43" t="n">
        <f aca="false">IF(G641="",H641,p_beta_alloc*G641+(1-p_beta_alloc)*H641)*F641^p_phi</f>
        <v>0.00213958528577699</v>
      </c>
      <c r="J641" s="16" t="n">
        <f aca="false">INDEX(Sector_Params!$C$22:$E$22,MATCH(B641,Sector_Params!$C$15:$E$15,0))*I641/SUMIFS($I$5:$I$1369,$B$5:$B$1369,B641,$C$5:$C$1369,C641)</f>
        <v>1.2897599575761</v>
      </c>
      <c r="K641" s="28" t="n">
        <f aca="false">INDEX(Sector_Params!$F$11:$H$11,MATCH(B641,Sector_Params!$C$15:$E$15,0))</f>
        <v>0.24</v>
      </c>
      <c r="L641" s="16" t="n">
        <f aca="false">J641*K641</f>
        <v>0.309542389818263</v>
      </c>
      <c r="M641" s="44" t="n">
        <f aca="false">Country_Data!$DW$95+Sector_Params!$E$11</f>
        <v>0.08504</v>
      </c>
      <c r="N641" s="44" t="n">
        <f aca="false">Country_Data!$DX$95+Sector_Params!$E$11</f>
        <v>0.13004</v>
      </c>
      <c r="O641" s="11" t="n">
        <f aca="false">IF(p_use_ibrd=1,p_r_ibrd,p_r_wb)</f>
        <v>0.06</v>
      </c>
      <c r="P641" s="45" t="n">
        <f aca="false">Sector_Params!$D$11</f>
        <v>30</v>
      </c>
      <c r="Q641" s="46" t="n">
        <f aca="false">M641/(1-(1+M641)^-P641)</f>
        <v>0.0930846186503947</v>
      </c>
      <c r="R641" s="46" t="n">
        <f aca="false">N641/(1-(1+N641)^-P641)</f>
        <v>0.133447983807647</v>
      </c>
      <c r="S641" s="46" t="n">
        <f aca="false">O641/(1-(1+O641)^-P641)</f>
        <v>0.0726489114900472</v>
      </c>
      <c r="T641" s="37" t="n">
        <f aca="false">0*Sector_Params!$I$11</f>
        <v>0</v>
      </c>
      <c r="U641" s="37" t="n">
        <f aca="false">p_c*Sector_Params!$J$11</f>
        <v>0.129</v>
      </c>
      <c r="V641" s="37" t="n">
        <f aca="false">1000*p_r_wb/(1-(1+p_r_wb)^-Sector_Params!$D$11)/p_cpt_afolu</f>
        <v>1.45297822980094</v>
      </c>
      <c r="W641" s="16" t="n">
        <f aca="false">T641*L641</f>
        <v>0</v>
      </c>
      <c r="X641" s="16" t="n">
        <f aca="false">U641*L641</f>
        <v>0.039930968286556</v>
      </c>
      <c r="Y641" s="16" t="n">
        <f aca="false">V641*L641</f>
        <v>0.449758353606494</v>
      </c>
      <c r="Z641" s="16" t="n">
        <f aca="false">Q641*L641</f>
        <v>0.0288136353123649</v>
      </c>
      <c r="AA641" s="16" t="n">
        <f aca="false">R641*L641</f>
        <v>0.0413078078242478</v>
      </c>
      <c r="AB641" s="16" t="n">
        <f aca="false">S641*L641</f>
        <v>0.0224879176803247</v>
      </c>
      <c r="AC641" s="16" t="n">
        <f aca="false">Z641-W641</f>
        <v>0.0288136353123649</v>
      </c>
      <c r="AD641" s="16" t="n">
        <f aca="false">AA641-W641</f>
        <v>0.0413078078242478</v>
      </c>
      <c r="AE641" s="16" t="n">
        <f aca="false">AB641-W641</f>
        <v>0.0224879176803247</v>
      </c>
      <c r="AF641" s="16" t="n">
        <f aca="false">AE641-X641</f>
        <v>-0.0174430506062313</v>
      </c>
      <c r="AG641" s="16" t="n">
        <f aca="false">AF641-p_spc_lo*Y641/1000</f>
        <v>-0.039930968286556</v>
      </c>
      <c r="AH641" s="16" t="n">
        <f aca="false">AF641-p_spc_hi*Y641/1000</f>
        <v>-0.0624188859668807</v>
      </c>
      <c r="AI641" s="16" t="n">
        <f aca="false">Q641*J641</f>
        <v>0.12005681380152</v>
      </c>
      <c r="AJ641" s="16" t="n">
        <f aca="false">S641*J641</f>
        <v>0.0936996570013529</v>
      </c>
      <c r="AK641" s="16" t="n">
        <f aca="false">T641*J641</f>
        <v>0</v>
      </c>
      <c r="AL641" s="16" t="n">
        <f aca="false">U641*J641</f>
        <v>0.166379034527317</v>
      </c>
      <c r="AM641" s="16" t="n">
        <f aca="false">AI641-AJ641</f>
        <v>0.0263571568001673</v>
      </c>
      <c r="AN641" s="16" t="n">
        <f aca="false">J641*Country_Data!$EB$95</f>
        <v>1.57370711102696</v>
      </c>
      <c r="AO641" s="16" t="n">
        <f aca="false">L641*Country_Data!$EB$95</f>
        <v>0.37768970664647</v>
      </c>
    </row>
    <row r="642" customFormat="false" ht="15" hidden="false" customHeight="false" outlineLevel="0" collapsed="false">
      <c r="A642" s="14" t="str">
        <f aca="false">Country_Data!$A$96</f>
        <v>BOL</v>
      </c>
      <c r="B642" s="14" t="str">
        <f aca="false">Country_Data!$E$96</f>
        <v>EMDC</v>
      </c>
      <c r="C642" s="35" t="s">
        <v>466</v>
      </c>
      <c r="D642" s="37" t="n">
        <f aca="false">IF(Country_Data!$BZ$96="","",Country_Data!$BZ$96)</f>
        <v>9.85437581363479</v>
      </c>
      <c r="E642" s="40" t="n">
        <f aca="false">Country_Data!$BW$96</f>
        <v>160.086</v>
      </c>
      <c r="F642" s="41" t="n">
        <f aca="false">Country_Data!$BX$96</f>
        <v>0.345320640155916</v>
      </c>
      <c r="G642" s="42" t="n">
        <f aca="false">IF(D642="","",D642/SUMIFS($D$5:$D$1369,$B$5:$B$1369,B642,$C$5:$C$1369,C642))</f>
        <v>0.00112499658620582</v>
      </c>
      <c r="H642" s="42" t="n">
        <f aca="false">E642/SUMIFS($E$5:$E$1369,$B$5:$B$1369,B642,$C$5:$C$1369,C642)</f>
        <v>0.0019829338815182</v>
      </c>
      <c r="I642" s="43" t="n">
        <f aca="false">IF(G642="",H642,p_beta_alloc*G642+(1-p_beta_alloc)*H642)*F642^p_phi</f>
        <v>0.000913171958874584</v>
      </c>
      <c r="J642" s="16" t="n">
        <f aca="false">INDEX(Sector_Params!$C$16:$E$16,MATCH(B642,Sector_Params!$C$15:$E$15,0))*I642/SUMIFS($I$5:$I$1369,$B$5:$B$1369,B642,$C$5:$C$1369,C642)</f>
        <v>0.883243069528655</v>
      </c>
      <c r="K642" s="28" t="n">
        <f aca="false">INDEX(Sector_Params!$F$5:$H$5,MATCH(B642,Sector_Params!$C$15:$E$15,0))</f>
        <v>0.24</v>
      </c>
      <c r="L642" s="16" t="n">
        <f aca="false">J642*K642</f>
        <v>0.211978336686877</v>
      </c>
      <c r="M642" s="44" t="n">
        <f aca="false">Country_Data!$DW$96+Sector_Params!$E$5</f>
        <v>0.105</v>
      </c>
      <c r="N642" s="44" t="n">
        <f aca="false">Country_Data!$DX$96+Sector_Params!$E$5</f>
        <v>0.15</v>
      </c>
      <c r="O642" s="11" t="n">
        <f aca="false">IF(p_use_ibrd=1,p_r_ibrd,p_r_wb)</f>
        <v>0.06</v>
      </c>
      <c r="P642" s="45" t="n">
        <f aca="false">Sector_Params!$D$5</f>
        <v>25</v>
      </c>
      <c r="Q642" s="46" t="n">
        <f aca="false">M642/(1-(1+M642)^-P642)</f>
        <v>0.114429319813103</v>
      </c>
      <c r="R642" s="46" t="n">
        <f aca="false">N642/(1-(1+N642)^-P642)</f>
        <v>0.154699402320206</v>
      </c>
      <c r="S642" s="46" t="n">
        <f aca="false">O642/(1-(1+O642)^-P642)</f>
        <v>0.078226718212274</v>
      </c>
      <c r="T642" s="37" t="n">
        <f aca="false">IF(AND(p_eng=1,ISNUMBER(Country_Data!$CZ$96)),Country_Data!$CZ$96,Country_Data!$CM$96)*Sector_Params!$I$5</f>
        <v>0.0787830697395789</v>
      </c>
      <c r="U642" s="37" t="n">
        <f aca="false">IF(AND(p_eng=1,ISNUMBER(Country_Data!$DA$96)),Country_Data!$DA$96,Country_Data!$CN$96)*Sector_Params!$J$5</f>
        <v>0.00461970006047338</v>
      </c>
      <c r="V642" s="37" t="n">
        <f aca="false">IF(AND(p_eng=1,ISNUMBER(Country_Data!$DB$96)),Country_Data!$DB$96,p_a)</f>
        <v>0.631988628855293</v>
      </c>
      <c r="W642" s="16" t="n">
        <f aca="false">T642*L642</f>
        <v>0.0167003040824822</v>
      </c>
      <c r="X642" s="16" t="n">
        <f aca="false">U642*L642</f>
        <v>0.000979276334811412</v>
      </c>
      <c r="Y642" s="16" t="n">
        <f aca="false">V642*L642</f>
        <v>0.133967898349765</v>
      </c>
      <c r="Z642" s="16" t="n">
        <f aca="false">Q642*L642</f>
        <v>0.0242565368821924</v>
      </c>
      <c r="AA642" s="16" t="n">
        <f aca="false">R642*L642</f>
        <v>0.0327929219902914</v>
      </c>
      <c r="AB642" s="16" t="n">
        <f aca="false">S642*L642</f>
        <v>0.0165823696111109</v>
      </c>
      <c r="AC642" s="16" t="n">
        <f aca="false">Z642-W642</f>
        <v>0.00755623279971017</v>
      </c>
      <c r="AD642" s="16" t="n">
        <f aca="false">AA642-W642</f>
        <v>0.0160926179078092</v>
      </c>
      <c r="AE642" s="16" t="n">
        <f aca="false">AB642-W642</f>
        <v>-0.000117934471371314</v>
      </c>
      <c r="AF642" s="16" t="n">
        <f aca="false">AE642-X642</f>
        <v>-0.00109721080618273</v>
      </c>
      <c r="AG642" s="16" t="n">
        <f aca="false">AF642-p_spc_lo*Y642/1000</f>
        <v>-0.00779560572367098</v>
      </c>
      <c r="AH642" s="16" t="n">
        <f aca="false">AF642-p_spc_hi*Y642/1000</f>
        <v>-0.0144940006411592</v>
      </c>
      <c r="AI642" s="16" t="n">
        <f aca="false">Q642*J642</f>
        <v>0.101068903675801</v>
      </c>
      <c r="AJ642" s="16" t="n">
        <f aca="false">S642*J642</f>
        <v>0.069093206712962</v>
      </c>
      <c r="AK642" s="16" t="n">
        <f aca="false">T642*J642</f>
        <v>0.0695846003436758</v>
      </c>
      <c r="AL642" s="16" t="n">
        <f aca="false">U642*J642</f>
        <v>0.00408031806171422</v>
      </c>
      <c r="AM642" s="16" t="n">
        <f aca="false">AI642-AJ642</f>
        <v>0.0319756969628395</v>
      </c>
      <c r="AN642" s="16" t="n">
        <f aca="false">J642*Country_Data!$EB$96</f>
        <v>1.07769348173496</v>
      </c>
      <c r="AO642" s="16" t="n">
        <f aca="false">L642*Country_Data!$EB$96</f>
        <v>0.258646435616391</v>
      </c>
    </row>
    <row r="643" customFormat="false" ht="15" hidden="false" customHeight="false" outlineLevel="0" collapsed="false">
      <c r="A643" s="14" t="str">
        <f aca="false">Country_Data!$A$96</f>
        <v>BOL</v>
      </c>
      <c r="B643" s="14" t="str">
        <f aca="false">Country_Data!$E$96</f>
        <v>EMDC</v>
      </c>
      <c r="C643" s="35" t="s">
        <v>470</v>
      </c>
      <c r="D643" s="37" t="n">
        <f aca="false">IF(Country_Data!$BZ$96="","",Country_Data!$BZ$96)</f>
        <v>9.85437581363479</v>
      </c>
      <c r="E643" s="40" t="n">
        <f aca="false">Country_Data!$BW$96</f>
        <v>160.086</v>
      </c>
      <c r="F643" s="41" t="n">
        <f aca="false">Country_Data!$BX$96</f>
        <v>0.345320640155916</v>
      </c>
      <c r="G643" s="42" t="n">
        <f aca="false">IF(D643="","",D643/SUMIFS($D$5:$D$1369,$B$5:$B$1369,B643,$C$5:$C$1369,C643))</f>
        <v>0.00112499658620582</v>
      </c>
      <c r="H643" s="42" t="n">
        <f aca="false">E643/SUMIFS($E$5:$E$1369,$B$5:$B$1369,B643,$C$5:$C$1369,C643)</f>
        <v>0.0019829338815182</v>
      </c>
      <c r="I643" s="43" t="n">
        <f aca="false">IF(G643="",H643,p_beta_alloc*G643+(1-p_beta_alloc)*H643)*F643^p_phi</f>
        <v>0.000913171958874584</v>
      </c>
      <c r="J643" s="16" t="n">
        <f aca="false">INDEX(Sector_Params!$C$17:$E$17,MATCH(B643,Sector_Params!$C$15:$E$15,0))*I643/SUMIFS($I$5:$I$1369,$B$5:$B$1369,B643,$C$5:$C$1369,C643)</f>
        <v>0.605652390533935</v>
      </c>
      <c r="K643" s="28" t="n">
        <f aca="false">INDEX(Sector_Params!$F$6:$H$6,MATCH(B643,Sector_Params!$C$15:$E$15,0))</f>
        <v>0.24</v>
      </c>
      <c r="L643" s="16" t="n">
        <f aca="false">J643*K643</f>
        <v>0.145356573728144</v>
      </c>
      <c r="M643" s="44" t="n">
        <f aca="false">Country_Data!$DW$96+Sector_Params!$E$6</f>
        <v>0.105</v>
      </c>
      <c r="N643" s="44" t="n">
        <f aca="false">Country_Data!$DX$96+Sector_Params!$E$6</f>
        <v>0.15</v>
      </c>
      <c r="O643" s="11" t="n">
        <f aca="false">IF(p_use_ibrd=1,p_r_ibrd,p_r_wb)</f>
        <v>0.06</v>
      </c>
      <c r="P643" s="45" t="n">
        <f aca="false">Sector_Params!$D$6</f>
        <v>40</v>
      </c>
      <c r="Q643" s="46" t="n">
        <f aca="false">M643/(1-(1+M643)^-P643)</f>
        <v>0.10697140835497</v>
      </c>
      <c r="R643" s="46" t="n">
        <f aca="false">N643/(1-(1+N643)^-P643)</f>
        <v>0.150562085013545</v>
      </c>
      <c r="S643" s="46" t="n">
        <f aca="false">O643/(1-(1+O643)^-P643)</f>
        <v>0.0664615359206755</v>
      </c>
      <c r="T643" s="37" t="n">
        <f aca="false">p_grid_credit*IF(AND(p_eng=1,ISNUMBER(Country_Data!$CZ$96)),Country_Data!$CZ$96,Country_Data!$CM$96)*Sector_Params!$I$6</f>
        <v>0</v>
      </c>
      <c r="U643" s="37" t="n">
        <f aca="false">p_grid_credit*IF(AND(p_eng=1,ISNUMBER(Country_Data!$DA$96)),Country_Data!$DA$96,Country_Data!$CN$96)*Sector_Params!$J$6</f>
        <v>0</v>
      </c>
      <c r="V643" s="37" t="n">
        <f aca="false">p_grid_credit*IF(AND(p_eng=1,ISNUMBER(Country_Data!$DB$96)),Country_Data!$DB$96,p_a)</f>
        <v>0</v>
      </c>
      <c r="W643" s="16" t="n">
        <f aca="false">T643*L643</f>
        <v>0</v>
      </c>
      <c r="X643" s="16" t="n">
        <f aca="false">U643*L643</f>
        <v>0</v>
      </c>
      <c r="Y643" s="16" t="n">
        <f aca="false">V643*L643</f>
        <v>0</v>
      </c>
      <c r="Z643" s="16" t="n">
        <f aca="false">Q643*L643</f>
        <v>0.0155489974053527</v>
      </c>
      <c r="AA643" s="16" t="n">
        <f aca="false">R643*L643</f>
        <v>0.0218851888109345</v>
      </c>
      <c r="AB643" s="16" t="n">
        <f aca="false">S643*L643</f>
        <v>0.00966062114613938</v>
      </c>
      <c r="AC643" s="16" t="n">
        <f aca="false">Z643-W643</f>
        <v>0.0155489974053527</v>
      </c>
      <c r="AD643" s="16" t="n">
        <f aca="false">AA643-W643</f>
        <v>0.0218851888109345</v>
      </c>
      <c r="AE643" s="16" t="n">
        <f aca="false">AB643-W643</f>
        <v>0.00966062114613938</v>
      </c>
      <c r="AF643" s="16" t="n">
        <f aca="false">AE643-X643</f>
        <v>0.00966062114613938</v>
      </c>
      <c r="AG643" s="16" t="n">
        <f aca="false">AF643-p_spc_lo*Y643/1000</f>
        <v>0.00966062114613938</v>
      </c>
      <c r="AH643" s="16" t="n">
        <f aca="false">AF643-p_spc_hi*Y643/1000</f>
        <v>0.00966062114613938</v>
      </c>
      <c r="AI643" s="16" t="n">
        <f aca="false">Q643*J643</f>
        <v>0.0647874891889695</v>
      </c>
      <c r="AJ643" s="16" t="n">
        <f aca="false">S643*J643</f>
        <v>0.0402525881089141</v>
      </c>
      <c r="AK643" s="16" t="n">
        <f aca="false">T643*J643</f>
        <v>0</v>
      </c>
      <c r="AL643" s="16" t="n">
        <f aca="false">U643*J643</f>
        <v>0</v>
      </c>
      <c r="AM643" s="16" t="n">
        <f aca="false">AI643-AJ643</f>
        <v>0.0245349010800554</v>
      </c>
      <c r="AN643" s="16" t="n">
        <f aca="false">J643*Country_Data!$EB$96</f>
        <v>0.738989816046832</v>
      </c>
      <c r="AO643" s="16" t="n">
        <f aca="false">L643*Country_Data!$EB$96</f>
        <v>0.17735755585124</v>
      </c>
    </row>
    <row r="644" customFormat="false" ht="15" hidden="false" customHeight="false" outlineLevel="0" collapsed="false">
      <c r="A644" s="14" t="str">
        <f aca="false">Country_Data!$A$96</f>
        <v>BOL</v>
      </c>
      <c r="B644" s="14" t="str">
        <f aca="false">Country_Data!$E$96</f>
        <v>EMDC</v>
      </c>
      <c r="C644" s="35" t="s">
        <v>473</v>
      </c>
      <c r="D644" s="37" t="n">
        <f aca="false">IF(Country_Data!$CA$96="","",Country_Data!$CA$96)</f>
        <v>0.148781363736673</v>
      </c>
      <c r="E644" s="40" t="n">
        <f aca="false">Country_Data!$BW$96</f>
        <v>160.086</v>
      </c>
      <c r="F644" s="41" t="n">
        <f aca="false">Country_Data!$BX$96</f>
        <v>0.345320640155916</v>
      </c>
      <c r="G644" s="42" t="n">
        <f aca="false">IF(D644="","",D644/SUMIFS($D$5:$D$1369,$B$5:$B$1369,B644,$C$5:$C$1369,C644))</f>
        <v>0.00343719567406013</v>
      </c>
      <c r="H644" s="42" t="n">
        <f aca="false">E644/SUMIFS($E$5:$E$1369,$B$5:$B$1369,B644,$C$5:$C$1369,C644)</f>
        <v>0.0019829338815182</v>
      </c>
      <c r="I644" s="43" t="n">
        <f aca="false">IF(G644="",H644,p_beta_alloc*G644+(1-p_beta_alloc)*H644)*F644^p_phi</f>
        <v>0.00159254216753636</v>
      </c>
      <c r="J644" s="16" t="n">
        <f aca="false">INDEX(Sector_Params!$C$18:$E$18,MATCH(B644,Sector_Params!$C$15:$E$15,0))*I644/SUMIFS($I$5:$I$1369,$B$5:$B$1369,B644,$C$5:$C$1369,C644)</f>
        <v>0.652108336124592</v>
      </c>
      <c r="K644" s="28" t="n">
        <f aca="false">INDEX(Sector_Params!$F$7:$H$7,MATCH(B644,Sector_Params!$C$15:$E$15,0))</f>
        <v>0.24</v>
      </c>
      <c r="L644" s="16" t="n">
        <f aca="false">J644*K644</f>
        <v>0.156506000669902</v>
      </c>
      <c r="M644" s="44" t="n">
        <f aca="false">Country_Data!$DW$96+Sector_Params!$E$7</f>
        <v>0.105</v>
      </c>
      <c r="N644" s="44" t="n">
        <f aca="false">Country_Data!$DX$96+Sector_Params!$E$7</f>
        <v>0.15</v>
      </c>
      <c r="O644" s="11" t="n">
        <f aca="false">IF(p_use_ibrd=1,p_r_ibrd,p_r_wb)</f>
        <v>0.06</v>
      </c>
      <c r="P644" s="45" t="n">
        <f aca="false">Sector_Params!$D$7</f>
        <v>12</v>
      </c>
      <c r="Q644" s="46" t="n">
        <f aca="false">M644/(1-(1+M644)^-P644)</f>
        <v>0.150376745634766</v>
      </c>
      <c r="R644" s="46" t="n">
        <f aca="false">N644/(1-(1+N644)^-P644)</f>
        <v>0.18448077613084</v>
      </c>
      <c r="S644" s="46" t="n">
        <f aca="false">O644/(1-(1+O644)^-P644)</f>
        <v>0.119277029380664</v>
      </c>
      <c r="T644" s="37" t="n">
        <f aca="false">IF(AND(p_eng=1,ISNUMBER(Country_Data!$DE$96)),Country_Data!$DE$96,Country_Data!$CM$96)*Sector_Params!$I$7</f>
        <v>0.17177976</v>
      </c>
      <c r="U644" s="37" t="n">
        <f aca="false">IF(AND(p_eng=1,ISNUMBER(Country_Data!$DF$96)),Country_Data!$DF$96,Country_Data!$CN$96)*Sector_Params!$J$7</f>
        <v>0.003519</v>
      </c>
      <c r="V644" s="37" t="n">
        <f aca="false">IF(AND(p_eng=1,ISNUMBER(Country_Data!$DG$96)),Country_Data!$DG$96,p_a)</f>
        <v>0.38496664380044</v>
      </c>
      <c r="W644" s="16" t="n">
        <f aca="false">T644*L644</f>
        <v>0.0268845632336356</v>
      </c>
      <c r="X644" s="16" t="n">
        <f aca="false">U644*L644</f>
        <v>0.000550744616357385</v>
      </c>
      <c r="Y644" s="16" t="n">
        <f aca="false">V644*L644</f>
        <v>0.0602495898125216</v>
      </c>
      <c r="Z644" s="16" t="n">
        <f aca="false">Q644*L644</f>
        <v>0.0235348630530523</v>
      </c>
      <c r="AA644" s="16" t="n">
        <f aca="false">R644*L644</f>
        <v>0.0288723484727172</v>
      </c>
      <c r="AB644" s="16" t="n">
        <f aca="false">S644*L644</f>
        <v>0.018667570840154</v>
      </c>
      <c r="AC644" s="16" t="n">
        <f aca="false">Z644-W644</f>
        <v>-0.00334970018058327</v>
      </c>
      <c r="AD644" s="16" t="n">
        <f aca="false">AA644-W644</f>
        <v>0.00198778523908161</v>
      </c>
      <c r="AE644" s="16" t="n">
        <f aca="false">AB644-W644</f>
        <v>-0.00821699239348155</v>
      </c>
      <c r="AF644" s="16" t="n">
        <f aca="false">AE644-X644</f>
        <v>-0.00876773700983893</v>
      </c>
      <c r="AG644" s="16" t="n">
        <f aca="false">AF644-p_spc_lo*Y644/1000</f>
        <v>-0.011780216500465</v>
      </c>
      <c r="AH644" s="16" t="n">
        <f aca="false">AF644-p_spc_hi*Y644/1000</f>
        <v>-0.0147926959910911</v>
      </c>
      <c r="AI644" s="16" t="n">
        <f aca="false">Q644*J644</f>
        <v>0.098061929387718</v>
      </c>
      <c r="AJ644" s="16" t="n">
        <f aca="false">S644*J644</f>
        <v>0.0777815451673085</v>
      </c>
      <c r="AK644" s="16" t="n">
        <f aca="false">T644*J644</f>
        <v>0.112019013473482</v>
      </c>
      <c r="AL644" s="16" t="n">
        <f aca="false">U644*J644</f>
        <v>0.00229476923482244</v>
      </c>
      <c r="AM644" s="16" t="n">
        <f aca="false">AI644-AJ644</f>
        <v>0.0202803842204095</v>
      </c>
      <c r="AN644" s="16" t="n">
        <f aca="false">J644*Country_Data!$EB$96</f>
        <v>0.795673272139618</v>
      </c>
      <c r="AO644" s="16" t="n">
        <f aca="false">L644*Country_Data!$EB$96</f>
        <v>0.190961585313508</v>
      </c>
    </row>
    <row r="645" customFormat="false" ht="15" hidden="false" customHeight="false" outlineLevel="0" collapsed="false">
      <c r="A645" s="14" t="str">
        <f aca="false">Country_Data!$A$96</f>
        <v>BOL</v>
      </c>
      <c r="B645" s="14" t="str">
        <f aca="false">Country_Data!$E$96</f>
        <v>EMDC</v>
      </c>
      <c r="C645" s="35" t="s">
        <v>477</v>
      </c>
      <c r="D645" s="37" t="n">
        <f aca="false">IF(Country_Data!$CB$96="","",Country_Data!$CB$96)</f>
        <v>0.0513454646319173</v>
      </c>
      <c r="E645" s="40" t="n">
        <f aca="false">Country_Data!$BW$96</f>
        <v>160.086</v>
      </c>
      <c r="F645" s="41" t="n">
        <f aca="false">Country_Data!$BX$96</f>
        <v>0.345320640155916</v>
      </c>
      <c r="G645" s="42" t="n">
        <f aca="false">IF(D645="","",D645/SUMIFS($D$5:$D$1369,$B$5:$B$1369,B645,$C$5:$C$1369,C645))</f>
        <v>0.00161907884680041</v>
      </c>
      <c r="H645" s="42" t="n">
        <f aca="false">E645/SUMIFS($E$5:$E$1369,$B$5:$B$1369,B645,$C$5:$C$1369,C645)</f>
        <v>0.0019829338815182</v>
      </c>
      <c r="I645" s="43" t="n">
        <f aca="false">IF(G645="",H645,p_beta_alloc*G645+(1-p_beta_alloc)*H645)*F645^p_phi</f>
        <v>0.00105834318147364</v>
      </c>
      <c r="J645" s="16" t="n">
        <f aca="false">INDEX(Sector_Params!$C$19:$E$19,MATCH(B645,Sector_Params!$C$15:$E$15,0))*I645/SUMIFS($I$5:$I$1369,$B$5:$B$1369,B645,$C$5:$C$1369,C645)</f>
        <v>0.340641084404148</v>
      </c>
      <c r="K645" s="28" t="n">
        <f aca="false">INDEX(Sector_Params!$F$8:$H$8,MATCH(B645,Sector_Params!$C$15:$E$15,0))</f>
        <v>0.24</v>
      </c>
      <c r="L645" s="16" t="n">
        <f aca="false">J645*K645</f>
        <v>0.0817538602569955</v>
      </c>
      <c r="M645" s="44" t="n">
        <f aca="false">Country_Data!$DW$96+Sector_Params!$E$8</f>
        <v>0.105</v>
      </c>
      <c r="N645" s="44" t="n">
        <f aca="false">Country_Data!$DX$96+Sector_Params!$E$8</f>
        <v>0.15</v>
      </c>
      <c r="O645" s="11" t="n">
        <f aca="false">IF(p_use_ibrd=1,p_r_ibrd,p_r_wb)</f>
        <v>0.06</v>
      </c>
      <c r="P645" s="45" t="n">
        <f aca="false">Sector_Params!$D$8</f>
        <v>25</v>
      </c>
      <c r="Q645" s="46" t="n">
        <f aca="false">M645/(1-(1+M645)^-P645)</f>
        <v>0.114429319813103</v>
      </c>
      <c r="R645" s="46" t="n">
        <f aca="false">N645/(1-(1+N645)^-P645)</f>
        <v>0.154699402320206</v>
      </c>
      <c r="S645" s="46" t="n">
        <f aca="false">O645/(1-(1+O645)^-P645)</f>
        <v>0.078226718212274</v>
      </c>
      <c r="T645" s="37" t="n">
        <f aca="false">Country_Data!$CM$96*Sector_Params!$I$8</f>
        <v>0.186239400069073</v>
      </c>
      <c r="U645" s="37" t="n">
        <f aca="false">Country_Data!$CN$96*Sector_Params!$J$8</f>
        <v>0.03225</v>
      </c>
      <c r="V645" s="37" t="n">
        <f aca="false">p_a</f>
        <v>0.35</v>
      </c>
      <c r="W645" s="16" t="n">
        <f aca="false">T645*L645</f>
        <v>0.0152257898875936</v>
      </c>
      <c r="X645" s="16" t="n">
        <f aca="false">U645*L645</f>
        <v>0.0026365619932881</v>
      </c>
      <c r="Y645" s="16" t="n">
        <f aca="false">V645*L645</f>
        <v>0.0286138510899484</v>
      </c>
      <c r="Z645" s="16" t="n">
        <f aca="false">Q645*L645</f>
        <v>0.00935503862130349</v>
      </c>
      <c r="AA645" s="16" t="n">
        <f aca="false">R645*L645</f>
        <v>0.0126472733191269</v>
      </c>
      <c r="AB645" s="16" t="n">
        <f aca="false">S645*L645</f>
        <v>0.00639533618908961</v>
      </c>
      <c r="AC645" s="16" t="n">
        <f aca="false">Z645-W645</f>
        <v>-0.00587075126629016</v>
      </c>
      <c r="AD645" s="16" t="n">
        <f aca="false">AA645-W645</f>
        <v>-0.00257851656846677</v>
      </c>
      <c r="AE645" s="16" t="n">
        <f aca="false">AB645-W645</f>
        <v>-0.00883045369850404</v>
      </c>
      <c r="AF645" s="16" t="n">
        <f aca="false">AE645-X645</f>
        <v>-0.0114670156917921</v>
      </c>
      <c r="AG645" s="16" t="n">
        <f aca="false">AF645-p_spc_lo*Y645/1000</f>
        <v>-0.0128977082462896</v>
      </c>
      <c r="AH645" s="16" t="n">
        <f aca="false">AF645-p_spc_hi*Y645/1000</f>
        <v>-0.014328400800787</v>
      </c>
      <c r="AI645" s="16" t="n">
        <f aca="false">Q645*J645</f>
        <v>0.0389793275887645</v>
      </c>
      <c r="AJ645" s="16" t="n">
        <f aca="false">S645*J645</f>
        <v>0.0266472341212067</v>
      </c>
      <c r="AK645" s="16" t="n">
        <f aca="false">T645*J645</f>
        <v>0.0634407911983069</v>
      </c>
      <c r="AL645" s="16" t="n">
        <f aca="false">U645*J645</f>
        <v>0.0109856749720338</v>
      </c>
      <c r="AM645" s="16" t="n">
        <f aca="false">AI645-AJ645</f>
        <v>0.0123320934675579</v>
      </c>
      <c r="AN645" s="16" t="n">
        <f aca="false">J645*Country_Data!$EB$96</f>
        <v>0.415634935544286</v>
      </c>
      <c r="AO645" s="16" t="n">
        <f aca="false">L645*Country_Data!$EB$96</f>
        <v>0.0997523845306286</v>
      </c>
    </row>
    <row r="646" customFormat="false" ht="15" hidden="false" customHeight="false" outlineLevel="0" collapsed="false">
      <c r="A646" s="14" t="str">
        <f aca="false">Country_Data!$A$96</f>
        <v>BOL</v>
      </c>
      <c r="B646" s="14" t="str">
        <f aca="false">Country_Data!$E$96</f>
        <v>EMDC</v>
      </c>
      <c r="C646" s="35" t="s">
        <v>481</v>
      </c>
      <c r="D646" s="37" t="n">
        <f aca="false">IF(Country_Data!$CC$96="","",Country_Data!$CC$96)</f>
        <v>0.103115909585863</v>
      </c>
      <c r="E646" s="40" t="n">
        <f aca="false">Country_Data!$BW$96</f>
        <v>160.086</v>
      </c>
      <c r="F646" s="41" t="n">
        <f aca="false">Country_Data!$BX$96</f>
        <v>0.345320640155916</v>
      </c>
      <c r="G646" s="42" t="n">
        <f aca="false">IF(D646="","",D646/SUMIFS($D$5:$D$1369,$B$5:$B$1369,B646,$C$5:$C$1369,C646))</f>
        <v>0.00147293171063686</v>
      </c>
      <c r="H646" s="42" t="n">
        <f aca="false">E646/SUMIFS($E$5:$E$1369,$B$5:$B$1369,B646,$C$5:$C$1369,C646)</f>
        <v>0.0019829338815182</v>
      </c>
      <c r="I646" s="43" t="n">
        <f aca="false">IF(G646="",H646,p_beta_alloc*G646+(1-p_beta_alloc)*H646)*F646^p_phi</f>
        <v>0.00101540223797431</v>
      </c>
      <c r="J646" s="16" t="n">
        <f aca="false">INDEX(Sector_Params!$C$20:$E$20,MATCH(B646,Sector_Params!$C$15:$E$15,0))*I646/SUMIFS($I$5:$I$1369,$B$5:$B$1369,B646,$C$5:$C$1369,C646)</f>
        <v>0.185331356282759</v>
      </c>
      <c r="K646" s="28" t="n">
        <f aca="false">INDEX(Sector_Params!$F$9:$H$9,MATCH(B646,Sector_Params!$C$15:$E$15,0))</f>
        <v>0.24</v>
      </c>
      <c r="L646" s="16" t="n">
        <f aca="false">J646*K646</f>
        <v>0.0444795255078621</v>
      </c>
      <c r="M646" s="44" t="n">
        <f aca="false">Country_Data!$DW$96+Sector_Params!$E$9</f>
        <v>0.105</v>
      </c>
      <c r="N646" s="44" t="n">
        <f aca="false">Country_Data!$DX$96+Sector_Params!$E$9</f>
        <v>0.15</v>
      </c>
      <c r="O646" s="11" t="n">
        <f aca="false">IF(p_use_ibrd=1,p_r_ibrd,p_r_wb)</f>
        <v>0.06</v>
      </c>
      <c r="P646" s="45" t="n">
        <f aca="false">Sector_Params!$D$9</f>
        <v>25</v>
      </c>
      <c r="Q646" s="46" t="n">
        <f aca="false">M646/(1-(1+M646)^-P646)</f>
        <v>0.114429319813103</v>
      </c>
      <c r="R646" s="46" t="n">
        <f aca="false">N646/(1-(1+N646)^-P646)</f>
        <v>0.154699402320206</v>
      </c>
      <c r="S646" s="46" t="n">
        <f aca="false">O646/(1-(1+O646)^-P646)</f>
        <v>0.078226718212274</v>
      </c>
      <c r="T646" s="37" t="n">
        <f aca="false">Country_Data!$CM$96*Sector_Params!$I$9</f>
        <v>0.186239400069073</v>
      </c>
      <c r="U646" s="37" t="n">
        <f aca="false">Country_Data!$CN$96*Sector_Params!$J$9</f>
        <v>0.03225</v>
      </c>
      <c r="V646" s="37" t="n">
        <f aca="false">p_a</f>
        <v>0.35</v>
      </c>
      <c r="W646" s="16" t="n">
        <f aca="false">T646*L646</f>
        <v>0.00828384014594126</v>
      </c>
      <c r="X646" s="16" t="n">
        <f aca="false">U646*L646</f>
        <v>0.00143446469762855</v>
      </c>
      <c r="Y646" s="16" t="n">
        <f aca="false">V646*L646</f>
        <v>0.0155678339277517</v>
      </c>
      <c r="Z646" s="16" t="n">
        <f aca="false">Q646*L646</f>
        <v>0.00508976184947424</v>
      </c>
      <c r="AA646" s="16" t="n">
        <f aca="false">R646*L646</f>
        <v>0.00688095601155265</v>
      </c>
      <c r="AB646" s="16" t="n">
        <f aca="false">S646*L646</f>
        <v>0.00347948730811918</v>
      </c>
      <c r="AC646" s="16" t="n">
        <f aca="false">Z646-W646</f>
        <v>-0.00319407829646702</v>
      </c>
      <c r="AD646" s="16" t="n">
        <f aca="false">AA646-W646</f>
        <v>-0.00140288413438861</v>
      </c>
      <c r="AE646" s="16" t="n">
        <f aca="false">AB646-W646</f>
        <v>-0.00480435283782208</v>
      </c>
      <c r="AF646" s="16" t="n">
        <f aca="false">AE646-X646</f>
        <v>-0.00623881753545063</v>
      </c>
      <c r="AG646" s="16" t="n">
        <f aca="false">AF646-p_spc_lo*Y646/1000</f>
        <v>-0.00701720923183822</v>
      </c>
      <c r="AH646" s="16" t="n">
        <f aca="false">AF646-p_spc_hi*Y646/1000</f>
        <v>-0.00779560092822581</v>
      </c>
      <c r="AI646" s="16" t="n">
        <f aca="false">Q646*J646</f>
        <v>0.021207341039476</v>
      </c>
      <c r="AJ646" s="16" t="n">
        <f aca="false">S646*J646</f>
        <v>0.0144978637838299</v>
      </c>
      <c r="AK646" s="16" t="n">
        <f aca="false">T646*J646</f>
        <v>0.0345160006080886</v>
      </c>
      <c r="AL646" s="16" t="n">
        <f aca="false">U646*J646</f>
        <v>0.00597693624011897</v>
      </c>
      <c r="AM646" s="16" t="n">
        <f aca="false">AI646-AJ646</f>
        <v>0.00670947725564608</v>
      </c>
      <c r="AN646" s="16" t="n">
        <f aca="false">J646*Country_Data!$EB$96</f>
        <v>0.226132988208575</v>
      </c>
      <c r="AO646" s="16" t="n">
        <f aca="false">L646*Country_Data!$EB$96</f>
        <v>0.0542719171700581</v>
      </c>
    </row>
    <row r="647" customFormat="false" ht="15" hidden="false" customHeight="false" outlineLevel="0" collapsed="false">
      <c r="A647" s="14" t="str">
        <f aca="false">Country_Data!$A$96</f>
        <v>BOL</v>
      </c>
      <c r="B647" s="14" t="str">
        <f aca="false">Country_Data!$E$96</f>
        <v>EMDC</v>
      </c>
      <c r="C647" s="35" t="s">
        <v>484</v>
      </c>
      <c r="D647" s="37" t="n">
        <f aca="false">IF(Country_Data!$CD$96="","",Country_Data!$CD$96)</f>
        <v>0.329125927309312</v>
      </c>
      <c r="E647" s="40" t="n">
        <f aca="false">Country_Data!$BW$96</f>
        <v>160.086</v>
      </c>
      <c r="F647" s="41" t="n">
        <f aca="false">Country_Data!$BX$96</f>
        <v>0.345320640155916</v>
      </c>
      <c r="G647" s="42" t="n">
        <f aca="false">IF(D647="","",D647/SUMIFS($D$5:$D$1369,$B$5:$B$1369,B647,$C$5:$C$1369,C647))</f>
        <v>0.00183795941415809</v>
      </c>
      <c r="H647" s="42" t="n">
        <f aca="false">E647/SUMIFS($E$5:$E$1369,$B$5:$B$1369,B647,$C$5:$C$1369,C647)</f>
        <v>0.0019829338815182</v>
      </c>
      <c r="I647" s="43" t="n">
        <f aca="false">IF(G647="",H647,p_beta_alloc*G647+(1-p_beta_alloc)*H647)*F647^p_phi</f>
        <v>0.00112265465772103</v>
      </c>
      <c r="J647" s="16" t="n">
        <f aca="false">INDEX(Sector_Params!$C$21:$E$21,MATCH(B647,Sector_Params!$C$15:$E$15,0))*I647/SUMIFS($I$5:$I$1369,$B$5:$B$1369,B647,$C$5:$C$1369,C647)</f>
        <v>0.248993381483058</v>
      </c>
      <c r="K647" s="28" t="n">
        <f aca="false">INDEX(Sector_Params!$F$10:$H$10,MATCH(B647,Sector_Params!$C$15:$E$15,0))</f>
        <v>0.24</v>
      </c>
      <c r="L647" s="16" t="n">
        <f aca="false">J647*K647</f>
        <v>0.059758411555934</v>
      </c>
      <c r="M647" s="44" t="n">
        <f aca="false">Country_Data!$DW$96+Sector_Params!$E$10</f>
        <v>0.105</v>
      </c>
      <c r="N647" s="44" t="n">
        <f aca="false">Country_Data!$DX$96+Sector_Params!$E$10</f>
        <v>0.15</v>
      </c>
      <c r="O647" s="11" t="n">
        <f aca="false">IF(p_use_ibrd=1,p_r_ibrd,p_r_wb)</f>
        <v>0.06</v>
      </c>
      <c r="P647" s="45" t="n">
        <f aca="false">Sector_Params!$D$10</f>
        <v>20</v>
      </c>
      <c r="Q647" s="46" t="n">
        <f aca="false">M647/(1-(1+M647)^-P647)</f>
        <v>0.121493265267016</v>
      </c>
      <c r="R647" s="46" t="n">
        <f aca="false">N647/(1-(1+N647)^-P647)</f>
        <v>0.159761470405744</v>
      </c>
      <c r="S647" s="46" t="n">
        <f aca="false">O647/(1-(1+O647)^-P647)</f>
        <v>0.0871845569768514</v>
      </c>
      <c r="T647" s="37" t="n">
        <f aca="false">0*Sector_Params!$I$10</f>
        <v>0</v>
      </c>
      <c r="U647" s="37" t="n">
        <f aca="false">0*Sector_Params!$J$10</f>
        <v>0</v>
      </c>
      <c r="V647" s="37" t="n">
        <f aca="false">1000*p_r_wb/(1-(1+p_r_wb)^-Sector_Params!$D$10)/p_cpt_fuel</f>
        <v>0.871845569768514</v>
      </c>
      <c r="W647" s="16" t="n">
        <f aca="false">T647*L647</f>
        <v>0</v>
      </c>
      <c r="X647" s="16" t="n">
        <f aca="false">U647*L647</f>
        <v>0</v>
      </c>
      <c r="Y647" s="16" t="n">
        <f aca="false">V647*L647</f>
        <v>0.0521001063714446</v>
      </c>
      <c r="Z647" s="16" t="n">
        <f aca="false">Q647*L647</f>
        <v>0.00726024454710062</v>
      </c>
      <c r="AA647" s="16" t="n">
        <f aca="false">R647*L647</f>
        <v>0.00954709169928761</v>
      </c>
      <c r="AB647" s="16" t="n">
        <f aca="false">S647*L647</f>
        <v>0.00521001063714446</v>
      </c>
      <c r="AC647" s="16" t="n">
        <f aca="false">Z647-W647</f>
        <v>0.00726024454710062</v>
      </c>
      <c r="AD647" s="16" t="n">
        <f aca="false">AA647-W647</f>
        <v>0.00954709169928761</v>
      </c>
      <c r="AE647" s="16" t="n">
        <f aca="false">AB647-W647</f>
        <v>0.00521001063714446</v>
      </c>
      <c r="AF647" s="16" t="n">
        <f aca="false">AE647-X647</f>
        <v>0.00521001063714446</v>
      </c>
      <c r="AG647" s="16" t="n">
        <f aca="false">AF647-p_spc_lo*Y647/1000</f>
        <v>0.00260500531857223</v>
      </c>
      <c r="AH647" s="16" t="n">
        <f aca="false">AF647-p_spc_hi*Y647/1000</f>
        <v>0</v>
      </c>
      <c r="AI647" s="16" t="n">
        <f aca="false">Q647*J647</f>
        <v>0.0302510189462526</v>
      </c>
      <c r="AJ647" s="16" t="n">
        <f aca="false">S647*J647</f>
        <v>0.0217083776547686</v>
      </c>
      <c r="AK647" s="16" t="n">
        <f aca="false">T647*J647</f>
        <v>0</v>
      </c>
      <c r="AL647" s="16" t="n">
        <f aca="false">U647*J647</f>
        <v>0</v>
      </c>
      <c r="AM647" s="16" t="n">
        <f aca="false">AI647-AJ647</f>
        <v>0.00854264129148397</v>
      </c>
      <c r="AN647" s="16" t="n">
        <f aca="false">J647*Country_Data!$EB$96</f>
        <v>0.303810529034367</v>
      </c>
      <c r="AO647" s="16" t="n">
        <f aca="false">L647*Country_Data!$EB$96</f>
        <v>0.0729145269682482</v>
      </c>
    </row>
    <row r="648" customFormat="false" ht="15" hidden="false" customHeight="false" outlineLevel="0" collapsed="false">
      <c r="A648" s="14" t="str">
        <f aca="false">Country_Data!$A$96</f>
        <v>BOL</v>
      </c>
      <c r="B648" s="14" t="str">
        <f aca="false">Country_Data!$E$96</f>
        <v>EMDC</v>
      </c>
      <c r="C648" s="35" t="s">
        <v>488</v>
      </c>
      <c r="D648" s="37" t="n">
        <f aca="false">IF(Country_Data!$CE$96="","",Country_Data!$CE$96)</f>
        <v>104.997</v>
      </c>
      <c r="E648" s="40" t="n">
        <f aca="false">Country_Data!$BW$96</f>
        <v>160.086</v>
      </c>
      <c r="F648" s="41" t="n">
        <f aca="false">Country_Data!$BX$96</f>
        <v>0.345320640155916</v>
      </c>
      <c r="G648" s="42" t="n">
        <f aca="false">IF(D648="","",D648/SUMIFS($D$5:$D$1369,$B$5:$B$1369,B648,$C$5:$C$1369,C648))</f>
        <v>0.00860341311246785</v>
      </c>
      <c r="H648" s="42" t="n">
        <f aca="false">E648/SUMIFS($E$5:$E$1369,$B$5:$B$1369,B648,$C$5:$C$1369,C648)</f>
        <v>0.0019829338815182</v>
      </c>
      <c r="I648" s="43" t="n">
        <f aca="false">IF(G648="",H648,p_beta_alloc*G648+(1-p_beta_alloc)*H648)*F648^p_phi</f>
        <v>0.00311047989078845</v>
      </c>
      <c r="J648" s="16" t="n">
        <f aca="false">INDEX(Sector_Params!$C$22:$E$22,MATCH(B648,Sector_Params!$C$15:$E$15,0))*I648/SUMIFS($I$5:$I$1369,$B$5:$B$1369,B648,$C$5:$C$1369,C648)</f>
        <v>1.87502336955348</v>
      </c>
      <c r="K648" s="28" t="n">
        <f aca="false">INDEX(Sector_Params!$F$11:$H$11,MATCH(B648,Sector_Params!$C$15:$E$15,0))</f>
        <v>0.24</v>
      </c>
      <c r="L648" s="16" t="n">
        <f aca="false">J648*K648</f>
        <v>0.450005608692835</v>
      </c>
      <c r="M648" s="44" t="n">
        <f aca="false">Country_Data!$DW$96+Sector_Params!$E$11</f>
        <v>0.105</v>
      </c>
      <c r="N648" s="44" t="n">
        <f aca="false">Country_Data!$DX$96+Sector_Params!$E$11</f>
        <v>0.15</v>
      </c>
      <c r="O648" s="11" t="n">
        <f aca="false">IF(p_use_ibrd=1,p_r_ibrd,p_r_wb)</f>
        <v>0.06</v>
      </c>
      <c r="P648" s="45" t="n">
        <f aca="false">Sector_Params!$D$11</f>
        <v>30</v>
      </c>
      <c r="Q648" s="46" t="n">
        <f aca="false">M648/(1-(1+M648)^-P648)</f>
        <v>0.110528481529605</v>
      </c>
      <c r="R648" s="46" t="n">
        <f aca="false">N648/(1-(1+N648)^-P648)</f>
        <v>0.152300198192734</v>
      </c>
      <c r="S648" s="46" t="n">
        <f aca="false">O648/(1-(1+O648)^-P648)</f>
        <v>0.0726489114900472</v>
      </c>
      <c r="T648" s="37" t="n">
        <f aca="false">0*Sector_Params!$I$11</f>
        <v>0</v>
      </c>
      <c r="U648" s="37" t="n">
        <f aca="false">p_c*Sector_Params!$J$11</f>
        <v>0.129</v>
      </c>
      <c r="V648" s="37" t="n">
        <f aca="false">1000*p_r_wb/(1-(1+p_r_wb)^-Sector_Params!$D$11)/p_cpt_afolu</f>
        <v>1.45297822980094</v>
      </c>
      <c r="W648" s="16" t="n">
        <f aca="false">T648*L648</f>
        <v>0</v>
      </c>
      <c r="X648" s="16" t="n">
        <f aca="false">U648*L648</f>
        <v>0.0580507235213757</v>
      </c>
      <c r="Y648" s="16" t="n">
        <f aca="false">V648*L648</f>
        <v>0.653848352719012</v>
      </c>
      <c r="Z648" s="16" t="n">
        <f aca="false">Q648*L648</f>
        <v>0.0497384366086247</v>
      </c>
      <c r="AA648" s="16" t="n">
        <f aca="false">R648*L648</f>
        <v>0.0685359433917608</v>
      </c>
      <c r="AB648" s="16" t="n">
        <f aca="false">S648*L648</f>
        <v>0.0326924176359506</v>
      </c>
      <c r="AC648" s="16" t="n">
        <f aca="false">Z648-W648</f>
        <v>0.0497384366086247</v>
      </c>
      <c r="AD648" s="16" t="n">
        <f aca="false">AA648-W648</f>
        <v>0.0685359433917608</v>
      </c>
      <c r="AE648" s="16" t="n">
        <f aca="false">AB648-W648</f>
        <v>0.0326924176359506</v>
      </c>
      <c r="AF648" s="16" t="n">
        <f aca="false">AE648-X648</f>
        <v>-0.0253583058854251</v>
      </c>
      <c r="AG648" s="16" t="n">
        <f aca="false">AF648-p_spc_lo*Y648/1000</f>
        <v>-0.0580507235213757</v>
      </c>
      <c r="AH648" s="16" t="n">
        <f aca="false">AF648-p_spc_hi*Y648/1000</f>
        <v>-0.0907431411573263</v>
      </c>
      <c r="AI648" s="16" t="n">
        <f aca="false">Q648*J648</f>
        <v>0.20724348586927</v>
      </c>
      <c r="AJ648" s="16" t="n">
        <f aca="false">S648*J648</f>
        <v>0.136218406816461</v>
      </c>
      <c r="AK648" s="16" t="n">
        <f aca="false">T648*J648</f>
        <v>0</v>
      </c>
      <c r="AL648" s="16" t="n">
        <f aca="false">U648*J648</f>
        <v>0.241878014672399</v>
      </c>
      <c r="AM648" s="16" t="n">
        <f aca="false">AI648-AJ648</f>
        <v>0.0710250790528089</v>
      </c>
      <c r="AN648" s="16" t="n">
        <f aca="false">J648*Country_Data!$EB$96</f>
        <v>2.28781921215285</v>
      </c>
      <c r="AO648" s="16" t="n">
        <f aca="false">L648*Country_Data!$EB$96</f>
        <v>0.549076610916684</v>
      </c>
    </row>
    <row r="649" customFormat="false" ht="15" hidden="false" customHeight="false" outlineLevel="0" collapsed="false">
      <c r="A649" s="14" t="str">
        <f aca="false">Country_Data!$A$97</f>
        <v>CMR</v>
      </c>
      <c r="B649" s="14" t="str">
        <f aca="false">Country_Data!$E$97</f>
        <v>EMDC</v>
      </c>
      <c r="C649" s="35" t="s">
        <v>466</v>
      </c>
      <c r="D649" s="37" t="n">
        <f aca="false">IF(Country_Data!$BZ$97="","",Country_Data!$BZ$97)</f>
        <v>6.20670951143421</v>
      </c>
      <c r="E649" s="40" t="n">
        <f aca="false">Country_Data!$BW$97</f>
        <v>163.008</v>
      </c>
      <c r="F649" s="41" t="n">
        <f aca="false">Country_Data!$BX$97</f>
        <v>0.327026894385552</v>
      </c>
      <c r="G649" s="42" t="n">
        <f aca="false">IF(D649="","",D649/SUMIFS($D$5:$D$1369,$B$5:$B$1369,B649,$C$5:$C$1369,C649))</f>
        <v>0.000708571211813687</v>
      </c>
      <c r="H649" s="42" t="n">
        <f aca="false">E649/SUMIFS($E$5:$E$1369,$B$5:$B$1369,B649,$C$5:$C$1369,C649)</f>
        <v>0.00201912775732118</v>
      </c>
      <c r="I649" s="43" t="n">
        <f aca="false">IF(G649="",H649,p_beta_alloc*G649+(1-p_beta_alloc)*H649)*F649^p_phi</f>
        <v>0.00077993458512095</v>
      </c>
      <c r="J649" s="16" t="n">
        <f aca="false">INDEX(Sector_Params!$C$16:$E$16,MATCH(B649,Sector_Params!$C$15:$E$15,0))*I649/SUMIFS($I$5:$I$1369,$B$5:$B$1369,B649,$C$5:$C$1369,C649)</f>
        <v>0.754372503775487</v>
      </c>
      <c r="K649" s="28" t="n">
        <f aca="false">INDEX(Sector_Params!$F$5:$H$5,MATCH(B649,Sector_Params!$C$15:$E$15,0))</f>
        <v>0.24</v>
      </c>
      <c r="L649" s="16" t="n">
        <f aca="false">J649*K649</f>
        <v>0.181049400906117</v>
      </c>
      <c r="M649" s="44" t="n">
        <f aca="false">Country_Data!$DW$97+Sector_Params!$E$5</f>
        <v>0.105</v>
      </c>
      <c r="N649" s="44" t="n">
        <f aca="false">Country_Data!$DX$97+Sector_Params!$E$5</f>
        <v>0.15</v>
      </c>
      <c r="O649" s="11" t="n">
        <f aca="false">IF(p_use_ibrd=1,p_r_ibrd,p_r_wb)</f>
        <v>0.06</v>
      </c>
      <c r="P649" s="45" t="n">
        <f aca="false">Sector_Params!$D$5</f>
        <v>25</v>
      </c>
      <c r="Q649" s="46" t="n">
        <f aca="false">M649/(1-(1+M649)^-P649)</f>
        <v>0.114429319813103</v>
      </c>
      <c r="R649" s="46" t="n">
        <f aca="false">N649/(1-(1+N649)^-P649)</f>
        <v>0.154699402320206</v>
      </c>
      <c r="S649" s="46" t="n">
        <f aca="false">O649/(1-(1+O649)^-P649)</f>
        <v>0.078226718212274</v>
      </c>
      <c r="T649" s="37" t="n">
        <f aca="false">IF(AND(p_eng=1,ISNUMBER(Country_Data!$CZ$97)),Country_Data!$CZ$97,Country_Data!$CM$97)*Sector_Params!$I$5</f>
        <v>0.0320961036275223</v>
      </c>
      <c r="U649" s="37" t="n">
        <f aca="false">IF(AND(p_eng=1,ISNUMBER(Country_Data!$DA$97)),Country_Data!$DA$97,Country_Data!$CN$97)*Sector_Params!$J$5</f>
        <v>0.000895864312806377</v>
      </c>
      <c r="V649" s="37" t="n">
        <f aca="false">IF(AND(p_eng=1,ISNUMBER(Country_Data!$DB$97)),Country_Data!$DB$97,p_a)</f>
        <v>0.303556127964182</v>
      </c>
      <c r="W649" s="16" t="n">
        <f aca="false">T649*L649</f>
        <v>0.00581098033318355</v>
      </c>
      <c r="X649" s="16" t="n">
        <f aca="false">U649*L649</f>
        <v>0.000162195697126765</v>
      </c>
      <c r="Y649" s="16" t="n">
        <f aca="false">V649*L649</f>
        <v>0.0549586551092957</v>
      </c>
      <c r="Z649" s="16" t="n">
        <f aca="false">Q649*L649</f>
        <v>0.0207173597982568</v>
      </c>
      <c r="AA649" s="16" t="n">
        <f aca="false">R649*L649</f>
        <v>0.0280082341106077</v>
      </c>
      <c r="AB649" s="16" t="n">
        <f aca="false">S649*L649</f>
        <v>0.0141629004671838</v>
      </c>
      <c r="AC649" s="16" t="n">
        <f aca="false">Z649-W649</f>
        <v>0.0149063794650732</v>
      </c>
      <c r="AD649" s="16" t="n">
        <f aca="false">AA649-W649</f>
        <v>0.0221972537774242</v>
      </c>
      <c r="AE649" s="16" t="n">
        <f aca="false">AB649-W649</f>
        <v>0.00835192013400026</v>
      </c>
      <c r="AF649" s="16" t="n">
        <f aca="false">AE649-X649</f>
        <v>0.0081897244368735</v>
      </c>
      <c r="AG649" s="16" t="n">
        <f aca="false">AF649-p_spc_lo*Y649/1000</f>
        <v>0.00544179168140871</v>
      </c>
      <c r="AH649" s="16" t="n">
        <f aca="false">AF649-p_spc_hi*Y649/1000</f>
        <v>0.00269385892594392</v>
      </c>
      <c r="AI649" s="16" t="n">
        <f aca="false">Q649*J649</f>
        <v>0.0863223324927366</v>
      </c>
      <c r="AJ649" s="16" t="n">
        <f aca="false">S649*J649</f>
        <v>0.0590120852799326</v>
      </c>
      <c r="AK649" s="16" t="n">
        <f aca="false">T649*J649</f>
        <v>0.0242124180549315</v>
      </c>
      <c r="AL649" s="16" t="n">
        <f aca="false">U649*J649</f>
        <v>0.000675815404694852</v>
      </c>
      <c r="AM649" s="16" t="n">
        <f aca="false">AI649-AJ649</f>
        <v>0.0273102472128041</v>
      </c>
      <c r="AN649" s="16" t="n">
        <f aca="false">J649*Country_Data!$EB$97</f>
        <v>0.920451411583423</v>
      </c>
      <c r="AO649" s="16" t="n">
        <f aca="false">L649*Country_Data!$EB$97</f>
        <v>0.220908338780022</v>
      </c>
    </row>
    <row r="650" customFormat="false" ht="15" hidden="false" customHeight="false" outlineLevel="0" collapsed="false">
      <c r="A650" s="14" t="str">
        <f aca="false">Country_Data!$A$97</f>
        <v>CMR</v>
      </c>
      <c r="B650" s="14" t="str">
        <f aca="false">Country_Data!$E$97</f>
        <v>EMDC</v>
      </c>
      <c r="C650" s="35" t="s">
        <v>470</v>
      </c>
      <c r="D650" s="37" t="n">
        <f aca="false">IF(Country_Data!$BZ$97="","",Country_Data!$BZ$97)</f>
        <v>6.20670951143421</v>
      </c>
      <c r="E650" s="40" t="n">
        <f aca="false">Country_Data!$BW$97</f>
        <v>163.008</v>
      </c>
      <c r="F650" s="41" t="n">
        <f aca="false">Country_Data!$BX$97</f>
        <v>0.327026894385552</v>
      </c>
      <c r="G650" s="42" t="n">
        <f aca="false">IF(D650="","",D650/SUMIFS($D$5:$D$1369,$B$5:$B$1369,B650,$C$5:$C$1369,C650))</f>
        <v>0.000708571211813687</v>
      </c>
      <c r="H650" s="42" t="n">
        <f aca="false">E650/SUMIFS($E$5:$E$1369,$B$5:$B$1369,B650,$C$5:$C$1369,C650)</f>
        <v>0.00201912775732118</v>
      </c>
      <c r="I650" s="43" t="n">
        <f aca="false">IF(G650="",H650,p_beta_alloc*G650+(1-p_beta_alloc)*H650)*F650^p_phi</f>
        <v>0.00077993458512095</v>
      </c>
      <c r="J650" s="16" t="n">
        <f aca="false">INDEX(Sector_Params!$C$17:$E$17,MATCH(B650,Sector_Params!$C$15:$E$15,0))*I650/SUMIFS($I$5:$I$1369,$B$5:$B$1369,B650,$C$5:$C$1369,C650)</f>
        <v>0.517284002588905</v>
      </c>
      <c r="K650" s="28" t="n">
        <f aca="false">INDEX(Sector_Params!$F$6:$H$6,MATCH(B650,Sector_Params!$C$15:$E$15,0))</f>
        <v>0.24</v>
      </c>
      <c r="L650" s="16" t="n">
        <f aca="false">J650*K650</f>
        <v>0.124148160621337</v>
      </c>
      <c r="M650" s="44" t="n">
        <f aca="false">Country_Data!$DW$97+Sector_Params!$E$6</f>
        <v>0.105</v>
      </c>
      <c r="N650" s="44" t="n">
        <f aca="false">Country_Data!$DX$97+Sector_Params!$E$6</f>
        <v>0.15</v>
      </c>
      <c r="O650" s="11" t="n">
        <f aca="false">IF(p_use_ibrd=1,p_r_ibrd,p_r_wb)</f>
        <v>0.06</v>
      </c>
      <c r="P650" s="45" t="n">
        <f aca="false">Sector_Params!$D$6</f>
        <v>40</v>
      </c>
      <c r="Q650" s="46" t="n">
        <f aca="false">M650/(1-(1+M650)^-P650)</f>
        <v>0.10697140835497</v>
      </c>
      <c r="R650" s="46" t="n">
        <f aca="false">N650/(1-(1+N650)^-P650)</f>
        <v>0.150562085013545</v>
      </c>
      <c r="S650" s="46" t="n">
        <f aca="false">O650/(1-(1+O650)^-P650)</f>
        <v>0.0664615359206755</v>
      </c>
      <c r="T650" s="37" t="n">
        <f aca="false">p_grid_credit*IF(AND(p_eng=1,ISNUMBER(Country_Data!$CZ$97)),Country_Data!$CZ$97,Country_Data!$CM$97)*Sector_Params!$I$6</f>
        <v>0</v>
      </c>
      <c r="U650" s="37" t="n">
        <f aca="false">p_grid_credit*IF(AND(p_eng=1,ISNUMBER(Country_Data!$DA$97)),Country_Data!$DA$97,Country_Data!$CN$97)*Sector_Params!$J$6</f>
        <v>0</v>
      </c>
      <c r="V650" s="37" t="n">
        <f aca="false">p_grid_credit*IF(AND(p_eng=1,ISNUMBER(Country_Data!$DB$97)),Country_Data!$DB$97,p_a)</f>
        <v>0</v>
      </c>
      <c r="W650" s="16" t="n">
        <f aca="false">T650*L650</f>
        <v>0</v>
      </c>
      <c r="X650" s="16" t="n">
        <f aca="false">U650*L650</f>
        <v>0</v>
      </c>
      <c r="Y650" s="16" t="n">
        <f aca="false">V650*L650</f>
        <v>0</v>
      </c>
      <c r="Z650" s="16" t="n">
        <f aca="false">Q650*L650</f>
        <v>0.0132803035863435</v>
      </c>
      <c r="AA650" s="16" t="n">
        <f aca="false">R650*L650</f>
        <v>0.018692005913745</v>
      </c>
      <c r="AB650" s="16" t="n">
        <f aca="false">S650*L650</f>
        <v>0.00825107743662079</v>
      </c>
      <c r="AC650" s="16" t="n">
        <f aca="false">Z650-W650</f>
        <v>0.0132803035863435</v>
      </c>
      <c r="AD650" s="16" t="n">
        <f aca="false">AA650-W650</f>
        <v>0.018692005913745</v>
      </c>
      <c r="AE650" s="16" t="n">
        <f aca="false">AB650-W650</f>
        <v>0.00825107743662079</v>
      </c>
      <c r="AF650" s="16" t="n">
        <f aca="false">AE650-X650</f>
        <v>0.00825107743662079</v>
      </c>
      <c r="AG650" s="16" t="n">
        <f aca="false">AF650-p_spc_lo*Y650/1000</f>
        <v>0.00825107743662079</v>
      </c>
      <c r="AH650" s="16" t="n">
        <f aca="false">AF650-p_spc_hi*Y650/1000</f>
        <v>0.00825107743662079</v>
      </c>
      <c r="AI650" s="16" t="n">
        <f aca="false">Q650*J650</f>
        <v>0.0553345982764313</v>
      </c>
      <c r="AJ650" s="16" t="n">
        <f aca="false">S650*J650</f>
        <v>0.0343794893192533</v>
      </c>
      <c r="AK650" s="16" t="n">
        <f aca="false">T650*J650</f>
        <v>0</v>
      </c>
      <c r="AL650" s="16" t="n">
        <f aca="false">U650*J650</f>
        <v>0</v>
      </c>
      <c r="AM650" s="16" t="n">
        <f aca="false">AI650-AJ650</f>
        <v>0.020955108957178</v>
      </c>
      <c r="AN650" s="16" t="n">
        <f aca="false">J650*Country_Data!$EB$97</f>
        <v>0.631166682228633</v>
      </c>
      <c r="AO650" s="16" t="n">
        <f aca="false">L650*Country_Data!$EB$97</f>
        <v>0.151480003734872</v>
      </c>
    </row>
    <row r="651" customFormat="false" ht="15" hidden="false" customHeight="false" outlineLevel="0" collapsed="false">
      <c r="A651" s="14" t="str">
        <f aca="false">Country_Data!$A$97</f>
        <v>CMR</v>
      </c>
      <c r="B651" s="14" t="str">
        <f aca="false">Country_Data!$E$97</f>
        <v>EMDC</v>
      </c>
      <c r="C651" s="35" t="s">
        <v>473</v>
      </c>
      <c r="D651" s="37" t="n">
        <f aca="false">IF(Country_Data!$CA$97="","",Country_Data!$CA$97)</f>
        <v>0.043119446102946</v>
      </c>
      <c r="E651" s="40" t="n">
        <f aca="false">Country_Data!$BW$97</f>
        <v>163.008</v>
      </c>
      <c r="F651" s="41" t="n">
        <f aca="false">Country_Data!$BX$97</f>
        <v>0.327026894385552</v>
      </c>
      <c r="G651" s="42" t="n">
        <f aca="false">IF(D651="","",D651/SUMIFS($D$5:$D$1369,$B$5:$B$1369,B651,$C$5:$C$1369,C651))</f>
        <v>0.000996159531614667</v>
      </c>
      <c r="H651" s="42" t="n">
        <f aca="false">E651/SUMIFS($E$5:$E$1369,$B$5:$B$1369,B651,$C$5:$C$1369,C651)</f>
        <v>0.00201912775732118</v>
      </c>
      <c r="I651" s="43" t="n">
        <f aca="false">IF(G651="",H651,p_beta_alloc*G651+(1-p_beta_alloc)*H651)*F651^p_phi</f>
        <v>0.000862165094949074</v>
      </c>
      <c r="J651" s="16" t="n">
        <f aca="false">INDEX(Sector_Params!$C$18:$E$18,MATCH(B651,Sector_Params!$C$15:$E$15,0))*I651/SUMIFS($I$5:$I$1369,$B$5:$B$1369,B651,$C$5:$C$1369,C651)</f>
        <v>0.353036206508551</v>
      </c>
      <c r="K651" s="28" t="n">
        <f aca="false">INDEX(Sector_Params!$F$7:$H$7,MATCH(B651,Sector_Params!$C$15:$E$15,0))</f>
        <v>0.24</v>
      </c>
      <c r="L651" s="16" t="n">
        <f aca="false">J651*K651</f>
        <v>0.0847286895620523</v>
      </c>
      <c r="M651" s="44" t="n">
        <f aca="false">Country_Data!$DW$97+Sector_Params!$E$7</f>
        <v>0.105</v>
      </c>
      <c r="N651" s="44" t="n">
        <f aca="false">Country_Data!$DX$97+Sector_Params!$E$7</f>
        <v>0.15</v>
      </c>
      <c r="O651" s="11" t="n">
        <f aca="false">IF(p_use_ibrd=1,p_r_ibrd,p_r_wb)</f>
        <v>0.06</v>
      </c>
      <c r="P651" s="45" t="n">
        <f aca="false">Sector_Params!$D$7</f>
        <v>12</v>
      </c>
      <c r="Q651" s="46" t="n">
        <f aca="false">M651/(1-(1+M651)^-P651)</f>
        <v>0.150376745634766</v>
      </c>
      <c r="R651" s="46" t="n">
        <f aca="false">N651/(1-(1+N651)^-P651)</f>
        <v>0.18448077613084</v>
      </c>
      <c r="S651" s="46" t="n">
        <f aca="false">O651/(1-(1+O651)^-P651)</f>
        <v>0.119277029380664</v>
      </c>
      <c r="T651" s="37" t="n">
        <f aca="false">IF(AND(p_eng=1,ISNUMBER(Country_Data!$DE$97)),Country_Data!$DE$97,Country_Data!$CM$97)*Sector_Params!$I$7</f>
        <v>0.15828606</v>
      </c>
      <c r="U651" s="37" t="n">
        <f aca="false">IF(AND(p_eng=1,ISNUMBER(Country_Data!$DF$97)),Country_Data!$DF$97,Country_Data!$CN$97)*Sector_Params!$J$7</f>
        <v>0.003804075</v>
      </c>
      <c r="V651" s="37" t="n">
        <f aca="false">IF(AND(p_eng=1,ISNUMBER(Country_Data!$DG$97)),Country_Data!$DG$97,p_a)</f>
        <v>0.46203370661157</v>
      </c>
      <c r="W651" s="16" t="n">
        <f aca="false">T651*L651</f>
        <v>0.0134113704397404</v>
      </c>
      <c r="X651" s="16" t="n">
        <f aca="false">U651*L651</f>
        <v>0.000322314289745764</v>
      </c>
      <c r="Y651" s="16" t="n">
        <f aca="false">V651*L651</f>
        <v>0.0391475104946961</v>
      </c>
      <c r="Z651" s="16" t="n">
        <f aca="false">Q651*L651</f>
        <v>0.0127412245982398</v>
      </c>
      <c r="AA651" s="16" t="n">
        <f aca="false">R651*L651</f>
        <v>0.0156308144109564</v>
      </c>
      <c r="AB651" s="16" t="n">
        <f aca="false">S651*L651</f>
        <v>0.010106186394278</v>
      </c>
      <c r="AC651" s="16" t="n">
        <f aca="false">Z651-W651</f>
        <v>-0.000670145841500616</v>
      </c>
      <c r="AD651" s="16" t="n">
        <f aca="false">AA651-W651</f>
        <v>0.00221944397121599</v>
      </c>
      <c r="AE651" s="16" t="n">
        <f aca="false">AB651-W651</f>
        <v>-0.00330518404546235</v>
      </c>
      <c r="AF651" s="16" t="n">
        <f aca="false">AE651-X651</f>
        <v>-0.00362749833520811</v>
      </c>
      <c r="AG651" s="16" t="n">
        <f aca="false">AF651-p_spc_lo*Y651/1000</f>
        <v>-0.00558487385994292</v>
      </c>
      <c r="AH651" s="16" t="n">
        <f aca="false">AF651-p_spc_hi*Y651/1000</f>
        <v>-0.00754224938467772</v>
      </c>
      <c r="AI651" s="16" t="n">
        <f aca="false">Q651*J651</f>
        <v>0.053088435825999</v>
      </c>
      <c r="AJ651" s="16" t="n">
        <f aca="false">S651*J651</f>
        <v>0.0421091099761585</v>
      </c>
      <c r="AK651" s="16" t="n">
        <f aca="false">T651*J651</f>
        <v>0.0558807101655849</v>
      </c>
      <c r="AL651" s="16" t="n">
        <f aca="false">U651*J651</f>
        <v>0.00134297620727402</v>
      </c>
      <c r="AM651" s="16" t="n">
        <f aca="false">AI651-AJ651</f>
        <v>0.0109793258498406</v>
      </c>
      <c r="AN651" s="16" t="n">
        <f aca="false">J651*Country_Data!$EB$97</f>
        <v>0.430758906236015</v>
      </c>
      <c r="AO651" s="16" t="n">
        <f aca="false">L651*Country_Data!$EB$97</f>
        <v>0.103382137496644</v>
      </c>
    </row>
    <row r="652" customFormat="false" ht="15" hidden="false" customHeight="false" outlineLevel="0" collapsed="false">
      <c r="A652" s="14" t="str">
        <f aca="false">Country_Data!$A$97</f>
        <v>CMR</v>
      </c>
      <c r="B652" s="14" t="str">
        <f aca="false">Country_Data!$E$97</f>
        <v>EMDC</v>
      </c>
      <c r="C652" s="35" t="s">
        <v>477</v>
      </c>
      <c r="D652" s="37" t="n">
        <f aca="false">IF(Country_Data!$CB$97="","",Country_Data!$CB$97)</f>
        <v>0.014593412156428</v>
      </c>
      <c r="E652" s="40" t="n">
        <f aca="false">Country_Data!$BW$97</f>
        <v>163.008</v>
      </c>
      <c r="F652" s="41" t="n">
        <f aca="false">Country_Data!$BX$97</f>
        <v>0.327026894385552</v>
      </c>
      <c r="G652" s="42" t="n">
        <f aca="false">IF(D652="","",D652/SUMIFS($D$5:$D$1369,$B$5:$B$1369,B652,$C$5:$C$1369,C652))</f>
        <v>0.000460174722236809</v>
      </c>
      <c r="H652" s="42" t="n">
        <f aca="false">E652/SUMIFS($E$5:$E$1369,$B$5:$B$1369,B652,$C$5:$C$1369,C652)</f>
        <v>0.00201912775732118</v>
      </c>
      <c r="I652" s="43" t="n">
        <f aca="false">IF(G652="",H652,p_beta_alloc*G652+(1-p_beta_alloc)*H652)*F652^p_phi</f>
        <v>0.00070891024730515</v>
      </c>
      <c r="J652" s="16" t="n">
        <f aca="false">INDEX(Sector_Params!$C$19:$E$19,MATCH(B652,Sector_Params!$C$15:$E$15,0))*I652/SUMIFS($I$5:$I$1369,$B$5:$B$1369,B652,$C$5:$C$1369,C652)</f>
        <v>0.22817169290116</v>
      </c>
      <c r="K652" s="28" t="n">
        <f aca="false">INDEX(Sector_Params!$F$8:$H$8,MATCH(B652,Sector_Params!$C$15:$E$15,0))</f>
        <v>0.24</v>
      </c>
      <c r="L652" s="16" t="n">
        <f aca="false">J652*K652</f>
        <v>0.0547612062962784</v>
      </c>
      <c r="M652" s="44" t="n">
        <f aca="false">Country_Data!$DW$97+Sector_Params!$E$8</f>
        <v>0.105</v>
      </c>
      <c r="N652" s="44" t="n">
        <f aca="false">Country_Data!$DX$97+Sector_Params!$E$8</f>
        <v>0.15</v>
      </c>
      <c r="O652" s="11" t="n">
        <f aca="false">IF(p_use_ibrd=1,p_r_ibrd,p_r_wb)</f>
        <v>0.06</v>
      </c>
      <c r="P652" s="45" t="n">
        <f aca="false">Sector_Params!$D$8</f>
        <v>25</v>
      </c>
      <c r="Q652" s="46" t="n">
        <f aca="false">M652/(1-(1+M652)^-P652)</f>
        <v>0.114429319813103</v>
      </c>
      <c r="R652" s="46" t="n">
        <f aca="false">N652/(1-(1+N652)^-P652)</f>
        <v>0.154699402320206</v>
      </c>
      <c r="S652" s="46" t="n">
        <f aca="false">O652/(1-(1+O652)^-P652)</f>
        <v>0.078226718212274</v>
      </c>
      <c r="T652" s="37" t="n">
        <f aca="false">Country_Data!$CM$97*Sector_Params!$I$8</f>
        <v>0.137560245301469</v>
      </c>
      <c r="U652" s="37" t="n">
        <f aca="false">Country_Data!$CN$97*Sector_Params!$J$8</f>
        <v>0.03225</v>
      </c>
      <c r="V652" s="37" t="n">
        <f aca="false">p_a</f>
        <v>0.35</v>
      </c>
      <c r="W652" s="16" t="n">
        <f aca="false">T652*L652</f>
        <v>0.00753296497112041</v>
      </c>
      <c r="X652" s="16" t="n">
        <f aca="false">U652*L652</f>
        <v>0.00176604890305498</v>
      </c>
      <c r="Y652" s="16" t="n">
        <f aca="false">V652*L652</f>
        <v>0.0191664222036974</v>
      </c>
      <c r="Z652" s="16" t="n">
        <f aca="false">Q652*L652</f>
        <v>0.00626628758862816</v>
      </c>
      <c r="AA652" s="16" t="n">
        <f aca="false">R652*L652</f>
        <v>0.00847152588436779</v>
      </c>
      <c r="AB652" s="16" t="n">
        <f aca="false">S652*L652</f>
        <v>0.00428378945390317</v>
      </c>
      <c r="AC652" s="16" t="n">
        <f aca="false">Z652-W652</f>
        <v>-0.00126667738249225</v>
      </c>
      <c r="AD652" s="16" t="n">
        <f aca="false">AA652-W652</f>
        <v>0.000938560913247379</v>
      </c>
      <c r="AE652" s="16" t="n">
        <f aca="false">AB652-W652</f>
        <v>-0.00324917551721724</v>
      </c>
      <c r="AF652" s="16" t="n">
        <f aca="false">AE652-X652</f>
        <v>-0.00501522442027222</v>
      </c>
      <c r="AG652" s="16" t="n">
        <f aca="false">AF652-p_spc_lo*Y652/1000</f>
        <v>-0.00597354553045709</v>
      </c>
      <c r="AH652" s="16" t="n">
        <f aca="false">AF652-p_spc_hi*Y652/1000</f>
        <v>-0.00693186664064196</v>
      </c>
      <c r="AI652" s="16" t="n">
        <f aca="false">Q652*J652</f>
        <v>0.026109531619284</v>
      </c>
      <c r="AJ652" s="16" t="n">
        <f aca="false">S652*J652</f>
        <v>0.0178491227245965</v>
      </c>
      <c r="AK652" s="16" t="n">
        <f aca="false">T652*J652</f>
        <v>0.031387354046335</v>
      </c>
      <c r="AL652" s="16" t="n">
        <f aca="false">U652*J652</f>
        <v>0.0073585370960624</v>
      </c>
      <c r="AM652" s="16" t="n">
        <f aca="false">AI652-AJ652</f>
        <v>0.00826040889468748</v>
      </c>
      <c r="AN652" s="16" t="n">
        <f aca="false">J652*Country_Data!$EB$97</f>
        <v>0.278404840795679</v>
      </c>
      <c r="AO652" s="16" t="n">
        <f aca="false">L652*Country_Data!$EB$97</f>
        <v>0.0668171617909629</v>
      </c>
    </row>
    <row r="653" customFormat="false" ht="15" hidden="false" customHeight="false" outlineLevel="0" collapsed="false">
      <c r="A653" s="14" t="str">
        <f aca="false">Country_Data!$A$97</f>
        <v>CMR</v>
      </c>
      <c r="B653" s="14" t="str">
        <f aca="false">Country_Data!$E$97</f>
        <v>EMDC</v>
      </c>
      <c r="C653" s="35" t="s">
        <v>481</v>
      </c>
      <c r="D653" s="37" t="n">
        <f aca="false">IF(Country_Data!$CC$97="","",Country_Data!$CC$97)</f>
        <v>0.0173833981566021</v>
      </c>
      <c r="E653" s="40" t="n">
        <f aca="false">Country_Data!$BW$97</f>
        <v>163.008</v>
      </c>
      <c r="F653" s="41" t="n">
        <f aca="false">Country_Data!$BX$97</f>
        <v>0.327026894385552</v>
      </c>
      <c r="G653" s="42" t="n">
        <f aca="false">IF(D653="","",D653/SUMIFS($D$5:$D$1369,$B$5:$B$1369,B653,$C$5:$C$1369,C653))</f>
        <v>0.00024830851501305</v>
      </c>
      <c r="H653" s="42" t="n">
        <f aca="false">E653/SUMIFS($E$5:$E$1369,$B$5:$B$1369,B653,$C$5:$C$1369,C653)</f>
        <v>0.00201912775732118</v>
      </c>
      <c r="I653" s="43" t="n">
        <f aca="false">IF(G653="",H653,p_beta_alloc*G653+(1-p_beta_alloc)*H653)*F653^p_phi</f>
        <v>0.000648331061587813</v>
      </c>
      <c r="J653" s="16" t="n">
        <f aca="false">INDEX(Sector_Params!$C$20:$E$20,MATCH(B653,Sector_Params!$C$15:$E$15,0))*I653/SUMIFS($I$5:$I$1369,$B$5:$B$1369,B653,$C$5:$C$1369,C653)</f>
        <v>0.118333474627766</v>
      </c>
      <c r="K653" s="28" t="n">
        <f aca="false">INDEX(Sector_Params!$F$9:$H$9,MATCH(B653,Sector_Params!$C$15:$E$15,0))</f>
        <v>0.24</v>
      </c>
      <c r="L653" s="16" t="n">
        <f aca="false">J653*K653</f>
        <v>0.0284000339106639</v>
      </c>
      <c r="M653" s="44" t="n">
        <f aca="false">Country_Data!$DW$97+Sector_Params!$E$9</f>
        <v>0.105</v>
      </c>
      <c r="N653" s="44" t="n">
        <f aca="false">Country_Data!$DX$97+Sector_Params!$E$9</f>
        <v>0.15</v>
      </c>
      <c r="O653" s="11" t="n">
        <f aca="false">IF(p_use_ibrd=1,p_r_ibrd,p_r_wb)</f>
        <v>0.06</v>
      </c>
      <c r="P653" s="45" t="n">
        <f aca="false">Sector_Params!$D$9</f>
        <v>25</v>
      </c>
      <c r="Q653" s="46" t="n">
        <f aca="false">M653/(1-(1+M653)^-P653)</f>
        <v>0.114429319813103</v>
      </c>
      <c r="R653" s="46" t="n">
        <f aca="false">N653/(1-(1+N653)^-P653)</f>
        <v>0.154699402320206</v>
      </c>
      <c r="S653" s="46" t="n">
        <f aca="false">O653/(1-(1+O653)^-P653)</f>
        <v>0.078226718212274</v>
      </c>
      <c r="T653" s="37" t="n">
        <f aca="false">Country_Data!$CM$97*Sector_Params!$I$9</f>
        <v>0.137560245301469</v>
      </c>
      <c r="U653" s="37" t="n">
        <f aca="false">Country_Data!$CN$97*Sector_Params!$J$9</f>
        <v>0.03225</v>
      </c>
      <c r="V653" s="37" t="n">
        <f aca="false">p_a</f>
        <v>0.35</v>
      </c>
      <c r="W653" s="16" t="n">
        <f aca="false">T653*L653</f>
        <v>0.00390671563132097</v>
      </c>
      <c r="X653" s="16" t="n">
        <f aca="false">U653*L653</f>
        <v>0.000915901093618912</v>
      </c>
      <c r="Y653" s="16" t="n">
        <f aca="false">V653*L653</f>
        <v>0.00994001186873238</v>
      </c>
      <c r="Z653" s="16" t="n">
        <f aca="false">Q653*L653</f>
        <v>0.00324979656306634</v>
      </c>
      <c r="AA653" s="16" t="n">
        <f aca="false">R653*L653</f>
        <v>0.00439346827185331</v>
      </c>
      <c r="AB653" s="16" t="n">
        <f aca="false">S653*L653</f>
        <v>0.00222164144994853</v>
      </c>
      <c r="AC653" s="16" t="n">
        <f aca="false">Z653-W653</f>
        <v>-0.000656919068254631</v>
      </c>
      <c r="AD653" s="16" t="n">
        <f aca="false">AA653-W653</f>
        <v>0.000486752640532333</v>
      </c>
      <c r="AE653" s="16" t="n">
        <f aca="false">AB653-W653</f>
        <v>-0.00168507418137244</v>
      </c>
      <c r="AF653" s="16" t="n">
        <f aca="false">AE653-X653</f>
        <v>-0.00260097527499135</v>
      </c>
      <c r="AG653" s="16" t="n">
        <f aca="false">AF653-p_spc_lo*Y653/1000</f>
        <v>-0.00309797586842797</v>
      </c>
      <c r="AH653" s="16" t="n">
        <f aca="false">AF653-p_spc_hi*Y653/1000</f>
        <v>-0.00359497646186459</v>
      </c>
      <c r="AI653" s="16" t="n">
        <f aca="false">Q653*J653</f>
        <v>0.0135408190127764</v>
      </c>
      <c r="AJ653" s="16" t="n">
        <f aca="false">S653*J653</f>
        <v>0.00925683937478555</v>
      </c>
      <c r="AK653" s="16" t="n">
        <f aca="false">T653*J653</f>
        <v>0.0162779817971707</v>
      </c>
      <c r="AL653" s="16" t="n">
        <f aca="false">U653*J653</f>
        <v>0.00381625455674547</v>
      </c>
      <c r="AM653" s="16" t="n">
        <f aca="false">AI653-AJ653</f>
        <v>0.00428397963799088</v>
      </c>
      <c r="AN653" s="16" t="n">
        <f aca="false">J653*Country_Data!$EB$97</f>
        <v>0.144385185321011</v>
      </c>
      <c r="AO653" s="16" t="n">
        <f aca="false">L653*Country_Data!$EB$97</f>
        <v>0.0346524444770426</v>
      </c>
    </row>
    <row r="654" customFormat="false" ht="15" hidden="false" customHeight="false" outlineLevel="0" collapsed="false">
      <c r="A654" s="14" t="str">
        <f aca="false">Country_Data!$A$97</f>
        <v>CMR</v>
      </c>
      <c r="B654" s="14" t="str">
        <f aca="false">Country_Data!$E$97</f>
        <v>EMDC</v>
      </c>
      <c r="C654" s="35" t="s">
        <v>484</v>
      </c>
      <c r="D654" s="37" t="n">
        <f aca="false">IF(Country_Data!$CD$97="","",Country_Data!$CD$97)</f>
        <v>0.0748182069077368</v>
      </c>
      <c r="E654" s="40" t="n">
        <f aca="false">Country_Data!$BW$97</f>
        <v>163.008</v>
      </c>
      <c r="F654" s="41" t="n">
        <f aca="false">Country_Data!$BX$97</f>
        <v>0.327026894385552</v>
      </c>
      <c r="G654" s="42" t="n">
        <f aca="false">IF(D654="","",D654/SUMIFS($D$5:$D$1369,$B$5:$B$1369,B654,$C$5:$C$1369,C654))</f>
        <v>0.00041781219990994</v>
      </c>
      <c r="H654" s="42" t="n">
        <f aca="false">E654/SUMIFS($E$5:$E$1369,$B$5:$B$1369,B654,$C$5:$C$1369,C654)</f>
        <v>0.00201912775732118</v>
      </c>
      <c r="I654" s="43" t="n">
        <f aca="false">IF(G654="",H654,p_beta_alloc*G654+(1-p_beta_alloc)*H654)*F654^p_phi</f>
        <v>0.00069679747509328</v>
      </c>
      <c r="J654" s="16" t="n">
        <f aca="false">INDEX(Sector_Params!$C$21:$E$21,MATCH(B654,Sector_Params!$C$15:$E$15,0))*I654/SUMIFS($I$5:$I$1369,$B$5:$B$1369,B654,$C$5:$C$1369,C654)</f>
        <v>0.154542590937564</v>
      </c>
      <c r="K654" s="28" t="n">
        <f aca="false">INDEX(Sector_Params!$F$10:$H$10,MATCH(B654,Sector_Params!$C$15:$E$15,0))</f>
        <v>0.24</v>
      </c>
      <c r="L654" s="16" t="n">
        <f aca="false">J654*K654</f>
        <v>0.0370902218250155</v>
      </c>
      <c r="M654" s="44" t="n">
        <f aca="false">Country_Data!$DW$97+Sector_Params!$E$10</f>
        <v>0.105</v>
      </c>
      <c r="N654" s="44" t="n">
        <f aca="false">Country_Data!$DX$97+Sector_Params!$E$10</f>
        <v>0.15</v>
      </c>
      <c r="O654" s="11" t="n">
        <f aca="false">IF(p_use_ibrd=1,p_r_ibrd,p_r_wb)</f>
        <v>0.06</v>
      </c>
      <c r="P654" s="45" t="n">
        <f aca="false">Sector_Params!$D$10</f>
        <v>20</v>
      </c>
      <c r="Q654" s="46" t="n">
        <f aca="false">M654/(1-(1+M654)^-P654)</f>
        <v>0.121493265267016</v>
      </c>
      <c r="R654" s="46" t="n">
        <f aca="false">N654/(1-(1+N654)^-P654)</f>
        <v>0.159761470405744</v>
      </c>
      <c r="S654" s="46" t="n">
        <f aca="false">O654/(1-(1+O654)^-P654)</f>
        <v>0.0871845569768514</v>
      </c>
      <c r="T654" s="37" t="n">
        <f aca="false">0*Sector_Params!$I$10</f>
        <v>0</v>
      </c>
      <c r="U654" s="37" t="n">
        <f aca="false">0*Sector_Params!$J$10</f>
        <v>0</v>
      </c>
      <c r="V654" s="37" t="n">
        <f aca="false">1000*p_r_wb/(1-(1+p_r_wb)^-Sector_Params!$D$10)/p_cpt_fuel</f>
        <v>0.871845569768514</v>
      </c>
      <c r="W654" s="16" t="n">
        <f aca="false">T654*L654</f>
        <v>0</v>
      </c>
      <c r="X654" s="16" t="n">
        <f aca="false">U654*L654</f>
        <v>0</v>
      </c>
      <c r="Y654" s="16" t="n">
        <f aca="false">V654*L654</f>
        <v>0.0323369455798712</v>
      </c>
      <c r="Z654" s="16" t="n">
        <f aca="false">Q654*L654</f>
        <v>0.00450621215899908</v>
      </c>
      <c r="AA654" s="16" t="n">
        <f aca="false">R654*L654</f>
        <v>0.00592558837643968</v>
      </c>
      <c r="AB654" s="16" t="n">
        <f aca="false">S654*L654</f>
        <v>0.00323369455798712</v>
      </c>
      <c r="AC654" s="16" t="n">
        <f aca="false">Z654-W654</f>
        <v>0.00450621215899908</v>
      </c>
      <c r="AD654" s="16" t="n">
        <f aca="false">AA654-W654</f>
        <v>0.00592558837643968</v>
      </c>
      <c r="AE654" s="16" t="n">
        <f aca="false">AB654-W654</f>
        <v>0.00323369455798712</v>
      </c>
      <c r="AF654" s="16" t="n">
        <f aca="false">AE654-X654</f>
        <v>0.00323369455798712</v>
      </c>
      <c r="AG654" s="16" t="n">
        <f aca="false">AF654-p_spc_lo*Y654/1000</f>
        <v>0.00161684727899356</v>
      </c>
      <c r="AH654" s="16" t="n">
        <f aca="false">AF654-p_spc_hi*Y654/1000</f>
        <v>0</v>
      </c>
      <c r="AI654" s="16" t="n">
        <f aca="false">Q654*J654</f>
        <v>0.0187758839958295</v>
      </c>
      <c r="AJ654" s="16" t="n">
        <f aca="false">S654*J654</f>
        <v>0.0134737273249463</v>
      </c>
      <c r="AK654" s="16" t="n">
        <f aca="false">T654*J654</f>
        <v>0</v>
      </c>
      <c r="AL654" s="16" t="n">
        <f aca="false">U654*J654</f>
        <v>0</v>
      </c>
      <c r="AM654" s="16" t="n">
        <f aca="false">AI654-AJ654</f>
        <v>0.00530215667088316</v>
      </c>
      <c r="AN654" s="16" t="n">
        <f aca="false">J654*Country_Data!$EB$97</f>
        <v>0.188565921035447</v>
      </c>
      <c r="AO654" s="16" t="n">
        <f aca="false">L654*Country_Data!$EB$97</f>
        <v>0.0452558210485072</v>
      </c>
    </row>
    <row r="655" customFormat="false" ht="15" hidden="false" customHeight="false" outlineLevel="0" collapsed="false">
      <c r="A655" s="14" t="str">
        <f aca="false">Country_Data!$A$97</f>
        <v>CMR</v>
      </c>
      <c r="B655" s="14" t="str">
        <f aca="false">Country_Data!$E$97</f>
        <v>EMDC</v>
      </c>
      <c r="C655" s="35" t="s">
        <v>488</v>
      </c>
      <c r="D655" s="37" t="n">
        <f aca="false">IF(Country_Data!$CE$97="","",Country_Data!$CE$97)</f>
        <v>70.169</v>
      </c>
      <c r="E655" s="40" t="n">
        <f aca="false">Country_Data!$BW$97</f>
        <v>163.008</v>
      </c>
      <c r="F655" s="41" t="n">
        <f aca="false">Country_Data!$BX$97</f>
        <v>0.327026894385552</v>
      </c>
      <c r="G655" s="42" t="n">
        <f aca="false">IF(D655="","",D655/SUMIFS($D$5:$D$1369,$B$5:$B$1369,B655,$C$5:$C$1369,C655))</f>
        <v>0.00574962041476191</v>
      </c>
      <c r="H655" s="42" t="n">
        <f aca="false">E655/SUMIFS($E$5:$E$1369,$B$5:$B$1369,B655,$C$5:$C$1369,C655)</f>
        <v>0.00201912775732118</v>
      </c>
      <c r="I655" s="43" t="n">
        <f aca="false">IF(G655="",H655,p_beta_alloc*G655+(1-p_beta_alloc)*H655)*F655^p_phi</f>
        <v>0.00222132847175013</v>
      </c>
      <c r="J655" s="16" t="n">
        <f aca="false">INDEX(Sector_Params!$C$22:$E$22,MATCH(B655,Sector_Params!$C$15:$E$15,0))*I655/SUMIFS($I$5:$I$1369,$B$5:$B$1369,B655,$C$5:$C$1369,C655)</f>
        <v>1.33903543576045</v>
      </c>
      <c r="K655" s="28" t="n">
        <f aca="false">INDEX(Sector_Params!$F$11:$H$11,MATCH(B655,Sector_Params!$C$15:$E$15,0))</f>
        <v>0.24</v>
      </c>
      <c r="L655" s="16" t="n">
        <f aca="false">J655*K655</f>
        <v>0.321368504582507</v>
      </c>
      <c r="M655" s="44" t="n">
        <f aca="false">Country_Data!$DW$97+Sector_Params!$E$11</f>
        <v>0.105</v>
      </c>
      <c r="N655" s="44" t="n">
        <f aca="false">Country_Data!$DX$97+Sector_Params!$E$11</f>
        <v>0.15</v>
      </c>
      <c r="O655" s="11" t="n">
        <f aca="false">IF(p_use_ibrd=1,p_r_ibrd,p_r_wb)</f>
        <v>0.06</v>
      </c>
      <c r="P655" s="45" t="n">
        <f aca="false">Sector_Params!$D$11</f>
        <v>30</v>
      </c>
      <c r="Q655" s="46" t="n">
        <f aca="false">M655/(1-(1+M655)^-P655)</f>
        <v>0.110528481529605</v>
      </c>
      <c r="R655" s="46" t="n">
        <f aca="false">N655/(1-(1+N655)^-P655)</f>
        <v>0.152300198192734</v>
      </c>
      <c r="S655" s="46" t="n">
        <f aca="false">O655/(1-(1+O655)^-P655)</f>
        <v>0.0726489114900472</v>
      </c>
      <c r="T655" s="37" t="n">
        <f aca="false">0*Sector_Params!$I$11</f>
        <v>0</v>
      </c>
      <c r="U655" s="37" t="n">
        <f aca="false">p_c*Sector_Params!$J$11</f>
        <v>0.129</v>
      </c>
      <c r="V655" s="37" t="n">
        <f aca="false">1000*p_r_wb/(1-(1+p_r_wb)^-Sector_Params!$D$11)/p_cpt_afolu</f>
        <v>1.45297822980094</v>
      </c>
      <c r="W655" s="16" t="n">
        <f aca="false">T655*L655</f>
        <v>0</v>
      </c>
      <c r="X655" s="16" t="n">
        <f aca="false">U655*L655</f>
        <v>0.0414565370911434</v>
      </c>
      <c r="Y655" s="16" t="n">
        <f aca="false">V655*L655</f>
        <v>0.466941440902067</v>
      </c>
      <c r="Z655" s="16" t="n">
        <f aca="false">Q655*L655</f>
        <v>0.0355203728229444</v>
      </c>
      <c r="AA655" s="16" t="n">
        <f aca="false">R655*L655</f>
        <v>0.0489444869408184</v>
      </c>
      <c r="AB655" s="16" t="n">
        <f aca="false">S655*L655</f>
        <v>0.0233470720451034</v>
      </c>
      <c r="AC655" s="16" t="n">
        <f aca="false">Z655-W655</f>
        <v>0.0355203728229444</v>
      </c>
      <c r="AD655" s="16" t="n">
        <f aca="false">AA655-W655</f>
        <v>0.0489444869408184</v>
      </c>
      <c r="AE655" s="16" t="n">
        <f aca="false">AB655-W655</f>
        <v>0.0233470720451034</v>
      </c>
      <c r="AF655" s="16" t="n">
        <f aca="false">AE655-X655</f>
        <v>-0.01810946504604</v>
      </c>
      <c r="AG655" s="16" t="n">
        <f aca="false">AF655-p_spc_lo*Y655/1000</f>
        <v>-0.0414565370911434</v>
      </c>
      <c r="AH655" s="16" t="n">
        <f aca="false">AF655-p_spc_hi*Y655/1000</f>
        <v>-0.0648036091362467</v>
      </c>
      <c r="AI655" s="16" t="n">
        <f aca="false">Q655*J655</f>
        <v>0.148001553428935</v>
      </c>
      <c r="AJ655" s="16" t="n">
        <f aca="false">S655*J655</f>
        <v>0.0972794668545974</v>
      </c>
      <c r="AK655" s="16" t="n">
        <f aca="false">T655*J655</f>
        <v>0</v>
      </c>
      <c r="AL655" s="16" t="n">
        <f aca="false">U655*J655</f>
        <v>0.172735571213097</v>
      </c>
      <c r="AM655" s="16" t="n">
        <f aca="false">AI655-AJ655</f>
        <v>0.0507220865743378</v>
      </c>
      <c r="AN655" s="16" t="n">
        <f aca="false">J655*Country_Data!$EB$97</f>
        <v>1.63383083402088</v>
      </c>
      <c r="AO655" s="16" t="n">
        <f aca="false">L655*Country_Data!$EB$97</f>
        <v>0.392119400165012</v>
      </c>
    </row>
    <row r="656" customFormat="false" ht="15" hidden="false" customHeight="false" outlineLevel="0" collapsed="false">
      <c r="A656" s="14" t="str">
        <f aca="false">Country_Data!$A$98</f>
        <v>TUN</v>
      </c>
      <c r="B656" s="14" t="str">
        <f aca="false">Country_Data!$E$98</f>
        <v>EMDC</v>
      </c>
      <c r="C656" s="35" t="s">
        <v>466</v>
      </c>
      <c r="D656" s="37" t="n">
        <f aca="false">IF(Country_Data!$BZ$98="","",Country_Data!$BZ$98)</f>
        <v>20.1924806201681</v>
      </c>
      <c r="E656" s="40" t="n">
        <f aca="false">Country_Data!$BW$98</f>
        <v>177.546</v>
      </c>
      <c r="F656" s="41" t="n">
        <f aca="false">Country_Data!$BX$98</f>
        <v>0.289113807126041</v>
      </c>
      <c r="G656" s="42" t="n">
        <f aca="false">IF(D656="","",D656/SUMIFS($D$5:$D$1369,$B$5:$B$1369,B656,$C$5:$C$1369,C656))</f>
        <v>0.00230521670720992</v>
      </c>
      <c r="H656" s="42" t="n">
        <f aca="false">E656/SUMIFS($E$5:$E$1369,$B$5:$B$1369,B656,$C$5:$C$1369,C656)</f>
        <v>0.00219920529545388</v>
      </c>
      <c r="I656" s="43" t="n">
        <f aca="false">IF(G656="",H656,p_beta_alloc*G656+(1-p_beta_alloc)*H656)*F656^p_phi</f>
        <v>0.00121099818392639</v>
      </c>
      <c r="J656" s="16" t="n">
        <f aca="false">INDEX(Sector_Params!$C$16:$E$16,MATCH(B656,Sector_Params!$C$15:$E$15,0))*I656/SUMIFS($I$5:$I$1369,$B$5:$B$1369,B656,$C$5:$C$1369,C656)</f>
        <v>1.17130814494455</v>
      </c>
      <c r="K656" s="28" t="n">
        <f aca="false">INDEX(Sector_Params!$F$5:$H$5,MATCH(B656,Sector_Params!$C$15:$E$15,0))</f>
        <v>0.24</v>
      </c>
      <c r="L656" s="16" t="n">
        <f aca="false">J656*K656</f>
        <v>0.281113954786693</v>
      </c>
      <c r="M656" s="44" t="n">
        <f aca="false">Country_Data!$DW$98+Sector_Params!$E$5</f>
        <v>0.11118</v>
      </c>
      <c r="N656" s="44" t="n">
        <f aca="false">Country_Data!$DX$98+Sector_Params!$E$5</f>
        <v>0.15618</v>
      </c>
      <c r="O656" s="11" t="n">
        <f aca="false">IF(p_use_ibrd=1,p_r_ibrd,p_r_wb)</f>
        <v>0.06</v>
      </c>
      <c r="P656" s="45" t="n">
        <f aca="false">Sector_Params!$D$5</f>
        <v>25</v>
      </c>
      <c r="Q656" s="46" t="n">
        <f aca="false">M656/(1-(1+M656)^-P656)</f>
        <v>0.119764557515124</v>
      </c>
      <c r="R656" s="46" t="n">
        <f aca="false">N656/(1-(1+N656)^-P656)</f>
        <v>0.160442688703696</v>
      </c>
      <c r="S656" s="46" t="n">
        <f aca="false">O656/(1-(1+O656)^-P656)</f>
        <v>0.078226718212274</v>
      </c>
      <c r="T656" s="37" t="n">
        <f aca="false">IF(AND(p_eng=1,ISNUMBER(Country_Data!$CZ$98)),Country_Data!$CZ$98,Country_Data!$CM$98)*Sector_Params!$I$5</f>
        <v>0.119180598285185</v>
      </c>
      <c r="U656" s="37" t="n">
        <f aca="false">IF(AND(p_eng=1,ISNUMBER(Country_Data!$DA$98)),Country_Data!$DA$98,Country_Data!$CN$98)*Sector_Params!$J$5</f>
        <v>0.00219236574493509</v>
      </c>
      <c r="V656" s="37" t="n">
        <f aca="false">IF(AND(p_eng=1,ISNUMBER(Country_Data!$DB$98)),Country_Data!$DB$98,p_a)</f>
        <v>0.938505499723822</v>
      </c>
      <c r="W656" s="16" t="n">
        <f aca="false">T656*L656</f>
        <v>0.0335033293177925</v>
      </c>
      <c r="X656" s="16" t="n">
        <f aca="false">U656*L656</f>
        <v>0.000616304604897576</v>
      </c>
      <c r="Y656" s="16" t="n">
        <f aca="false">V656*L656</f>
        <v>0.263826992616425</v>
      </c>
      <c r="Z656" s="16" t="n">
        <f aca="false">Q656*L656</f>
        <v>0.0336674884063548</v>
      </c>
      <c r="AA656" s="16" t="n">
        <f aca="false">R656*L656</f>
        <v>0.0451026787381062</v>
      </c>
      <c r="AB656" s="16" t="n">
        <f aca="false">S656*L656</f>
        <v>0.0219906221266365</v>
      </c>
      <c r="AC656" s="16" t="n">
        <f aca="false">Z656-W656</f>
        <v>0.000164159088562259</v>
      </c>
      <c r="AD656" s="16" t="n">
        <f aca="false">AA656-W656</f>
        <v>0.0115993494203137</v>
      </c>
      <c r="AE656" s="16" t="n">
        <f aca="false">AB656-W656</f>
        <v>-0.011512707191156</v>
      </c>
      <c r="AF656" s="16" t="n">
        <f aca="false">AE656-X656</f>
        <v>-0.0121290117960536</v>
      </c>
      <c r="AG656" s="16" t="n">
        <f aca="false">AF656-p_spc_lo*Y656/1000</f>
        <v>-0.0253203614268748</v>
      </c>
      <c r="AH656" s="16" t="n">
        <f aca="false">AF656-p_spc_hi*Y656/1000</f>
        <v>-0.0385117110576961</v>
      </c>
      <c r="AI656" s="16" t="n">
        <f aca="false">Q656*J656</f>
        <v>0.140281201693145</v>
      </c>
      <c r="AJ656" s="16" t="n">
        <f aca="false">S656*J656</f>
        <v>0.0916275921943189</v>
      </c>
      <c r="AK656" s="16" t="n">
        <f aca="false">T656*J656</f>
        <v>0.139597205490802</v>
      </c>
      <c r="AL656" s="16" t="n">
        <f aca="false">U656*J656</f>
        <v>0.0025679358537399</v>
      </c>
      <c r="AM656" s="16" t="n">
        <f aca="false">AI656-AJ656</f>
        <v>0.048653609498826</v>
      </c>
      <c r="AN656" s="16" t="n">
        <f aca="false">J656*Country_Data!$EB$98</f>
        <v>1.38180410142734</v>
      </c>
      <c r="AO656" s="16" t="n">
        <f aca="false">L656*Country_Data!$EB$98</f>
        <v>0.331632984342562</v>
      </c>
    </row>
    <row r="657" customFormat="false" ht="15" hidden="false" customHeight="false" outlineLevel="0" collapsed="false">
      <c r="A657" s="14" t="str">
        <f aca="false">Country_Data!$A$98</f>
        <v>TUN</v>
      </c>
      <c r="B657" s="14" t="str">
        <f aca="false">Country_Data!$E$98</f>
        <v>EMDC</v>
      </c>
      <c r="C657" s="35" t="s">
        <v>470</v>
      </c>
      <c r="D657" s="37" t="n">
        <f aca="false">IF(Country_Data!$BZ$98="","",Country_Data!$BZ$98)</f>
        <v>20.1924806201681</v>
      </c>
      <c r="E657" s="40" t="n">
        <f aca="false">Country_Data!$BW$98</f>
        <v>177.546</v>
      </c>
      <c r="F657" s="41" t="n">
        <f aca="false">Country_Data!$BX$98</f>
        <v>0.289113807126041</v>
      </c>
      <c r="G657" s="42" t="n">
        <f aca="false">IF(D657="","",D657/SUMIFS($D$5:$D$1369,$B$5:$B$1369,B657,$C$5:$C$1369,C657))</f>
        <v>0.00230521670720992</v>
      </c>
      <c r="H657" s="42" t="n">
        <f aca="false">E657/SUMIFS($E$5:$E$1369,$B$5:$B$1369,B657,$C$5:$C$1369,C657)</f>
        <v>0.00219920529545388</v>
      </c>
      <c r="I657" s="43" t="n">
        <f aca="false">IF(G657="",H657,p_beta_alloc*G657+(1-p_beta_alloc)*H657)*F657^p_phi</f>
        <v>0.00121099818392639</v>
      </c>
      <c r="J657" s="16" t="n">
        <f aca="false">INDEX(Sector_Params!$C$17:$E$17,MATCH(B657,Sector_Params!$C$15:$E$15,0))*I657/SUMIFS($I$5:$I$1369,$B$5:$B$1369,B657,$C$5:$C$1369,C657)</f>
        <v>0.803182727961979</v>
      </c>
      <c r="K657" s="28" t="n">
        <f aca="false">INDEX(Sector_Params!$F$6:$H$6,MATCH(B657,Sector_Params!$C$15:$E$15,0))</f>
        <v>0.24</v>
      </c>
      <c r="L657" s="16" t="n">
        <f aca="false">J657*K657</f>
        <v>0.192763854710875</v>
      </c>
      <c r="M657" s="44" t="n">
        <f aca="false">Country_Data!$DW$98+Sector_Params!$E$6</f>
        <v>0.11118</v>
      </c>
      <c r="N657" s="44" t="n">
        <f aca="false">Country_Data!$DX$98+Sector_Params!$E$6</f>
        <v>0.15618</v>
      </c>
      <c r="O657" s="11" t="n">
        <f aca="false">IF(p_use_ibrd=1,p_r_ibrd,p_r_wb)</f>
        <v>0.06</v>
      </c>
      <c r="P657" s="45" t="n">
        <f aca="false">Sector_Params!$D$6</f>
        <v>40</v>
      </c>
      <c r="Q657" s="46" t="n">
        <f aca="false">M657/(1-(1+M657)^-P657)</f>
        <v>0.112843799779227</v>
      </c>
      <c r="R657" s="46" t="n">
        <f aca="false">N657/(1-(1+N657)^-P657)</f>
        <v>0.156651973668367</v>
      </c>
      <c r="S657" s="46" t="n">
        <f aca="false">O657/(1-(1+O657)^-P657)</f>
        <v>0.0664615359206755</v>
      </c>
      <c r="T657" s="37" t="n">
        <f aca="false">p_grid_credit*IF(AND(p_eng=1,ISNUMBER(Country_Data!$CZ$98)),Country_Data!$CZ$98,Country_Data!$CM$98)*Sector_Params!$I$6</f>
        <v>0</v>
      </c>
      <c r="U657" s="37" t="n">
        <f aca="false">p_grid_credit*IF(AND(p_eng=1,ISNUMBER(Country_Data!$DA$98)),Country_Data!$DA$98,Country_Data!$CN$98)*Sector_Params!$J$6</f>
        <v>0</v>
      </c>
      <c r="V657" s="37" t="n">
        <f aca="false">p_grid_credit*IF(AND(p_eng=1,ISNUMBER(Country_Data!$DB$98)),Country_Data!$DB$98,p_a)</f>
        <v>0</v>
      </c>
      <c r="W657" s="16" t="n">
        <f aca="false">T657*L657</f>
        <v>0</v>
      </c>
      <c r="X657" s="16" t="n">
        <f aca="false">U657*L657</f>
        <v>0</v>
      </c>
      <c r="Y657" s="16" t="n">
        <f aca="false">V657*L657</f>
        <v>0</v>
      </c>
      <c r="Z657" s="16" t="n">
        <f aca="false">Q657*L657</f>
        <v>0.0217522058256659</v>
      </c>
      <c r="AA657" s="16" t="n">
        <f aca="false">R657*L657</f>
        <v>0.030196838292381</v>
      </c>
      <c r="AB657" s="16" t="n">
        <f aca="false">S657*L657</f>
        <v>0.0128113818540747</v>
      </c>
      <c r="AC657" s="16" t="n">
        <f aca="false">Z657-W657</f>
        <v>0.0217522058256659</v>
      </c>
      <c r="AD657" s="16" t="n">
        <f aca="false">AA657-W657</f>
        <v>0.030196838292381</v>
      </c>
      <c r="AE657" s="16" t="n">
        <f aca="false">AB657-W657</f>
        <v>0.0128113818540747</v>
      </c>
      <c r="AF657" s="16" t="n">
        <f aca="false">AE657-X657</f>
        <v>0.0128113818540747</v>
      </c>
      <c r="AG657" s="16" t="n">
        <f aca="false">AF657-p_spc_lo*Y657/1000</f>
        <v>0.0128113818540747</v>
      </c>
      <c r="AH657" s="16" t="n">
        <f aca="false">AF657-p_spc_hi*Y657/1000</f>
        <v>0.0128113818540747</v>
      </c>
      <c r="AI657" s="16" t="n">
        <f aca="false">Q657*J657</f>
        <v>0.0906341909402748</v>
      </c>
      <c r="AJ657" s="16" t="n">
        <f aca="false">S657*J657</f>
        <v>0.0533807577253112</v>
      </c>
      <c r="AK657" s="16" t="n">
        <f aca="false">T657*J657</f>
        <v>0</v>
      </c>
      <c r="AL657" s="16" t="n">
        <f aca="false">U657*J657</f>
        <v>0</v>
      </c>
      <c r="AM657" s="16" t="n">
        <f aca="false">AI657-AJ657</f>
        <v>0.0372534332149636</v>
      </c>
      <c r="AN657" s="16" t="n">
        <f aca="false">J657*Country_Data!$EB$98</f>
        <v>0.94752281240732</v>
      </c>
      <c r="AO657" s="16" t="n">
        <f aca="false">L657*Country_Data!$EB$98</f>
        <v>0.227405474977757</v>
      </c>
    </row>
    <row r="658" customFormat="false" ht="15" hidden="false" customHeight="false" outlineLevel="0" collapsed="false">
      <c r="A658" s="14" t="str">
        <f aca="false">Country_Data!$A$98</f>
        <v>TUN</v>
      </c>
      <c r="B658" s="14" t="str">
        <f aca="false">Country_Data!$E$98</f>
        <v>EMDC</v>
      </c>
      <c r="C658" s="35" t="s">
        <v>473</v>
      </c>
      <c r="D658" s="37" t="n">
        <f aca="false">IF(Country_Data!$CA$98="","",Country_Data!$CA$98)</f>
        <v>0.126658435086402</v>
      </c>
      <c r="E658" s="40" t="n">
        <f aca="false">Country_Data!$BW$98</f>
        <v>177.546</v>
      </c>
      <c r="F658" s="41" t="n">
        <f aca="false">Country_Data!$BX$98</f>
        <v>0.289113807126041</v>
      </c>
      <c r="G658" s="42" t="n">
        <f aca="false">IF(D658="","",D658/SUMIFS($D$5:$D$1369,$B$5:$B$1369,B658,$C$5:$C$1369,C658))</f>
        <v>0.002926104548502</v>
      </c>
      <c r="H658" s="42" t="n">
        <f aca="false">E658/SUMIFS($E$5:$E$1369,$B$5:$B$1369,B658,$C$5:$C$1369,C658)</f>
        <v>0.00219920529545388</v>
      </c>
      <c r="I658" s="43" t="n">
        <f aca="false">IF(G658="",H658,p_beta_alloc*G658+(1-p_beta_alloc)*H658)*F658^p_phi</f>
        <v>0.00137792171990549</v>
      </c>
      <c r="J658" s="16" t="n">
        <f aca="false">INDEX(Sector_Params!$C$18:$E$18,MATCH(B658,Sector_Params!$C$15:$E$15,0))*I658/SUMIFS($I$5:$I$1369,$B$5:$B$1369,B658,$C$5:$C$1369,C658)</f>
        <v>0.564226341000161</v>
      </c>
      <c r="K658" s="28" t="n">
        <f aca="false">INDEX(Sector_Params!$F$7:$H$7,MATCH(B658,Sector_Params!$C$15:$E$15,0))</f>
        <v>0.24</v>
      </c>
      <c r="L658" s="16" t="n">
        <f aca="false">J658*K658</f>
        <v>0.135414321840039</v>
      </c>
      <c r="M658" s="44" t="n">
        <f aca="false">Country_Data!$DW$98+Sector_Params!$E$7</f>
        <v>0.11118</v>
      </c>
      <c r="N658" s="44" t="n">
        <f aca="false">Country_Data!$DX$98+Sector_Params!$E$7</f>
        <v>0.15618</v>
      </c>
      <c r="O658" s="11" t="n">
        <f aca="false">IF(p_use_ibrd=1,p_r_ibrd,p_r_wb)</f>
        <v>0.06</v>
      </c>
      <c r="P658" s="45" t="n">
        <f aca="false">Sector_Params!$D$7</f>
        <v>12</v>
      </c>
      <c r="Q658" s="46" t="n">
        <f aca="false">M658/(1-(1+M658)^-P658)</f>
        <v>0.154894148006127</v>
      </c>
      <c r="R658" s="46" t="n">
        <f aca="false">N658/(1-(1+N658)^-P658)</f>
        <v>0.189369860673686</v>
      </c>
      <c r="S658" s="46" t="n">
        <f aca="false">O658/(1-(1+O658)^-P658)</f>
        <v>0.119277029380664</v>
      </c>
      <c r="T658" s="37" t="n">
        <f aca="false">IF(AND(p_eng=1,ISNUMBER(Country_Data!$DE$98)),Country_Data!$DE$98,Country_Data!$CM$98)*Sector_Params!$I$7</f>
        <v>0.14924934</v>
      </c>
      <c r="U658" s="37" t="n">
        <f aca="false">IF(AND(p_eng=1,ISNUMBER(Country_Data!$DF$98)),Country_Data!$DF$98,Country_Data!$CN$98)*Sector_Params!$J$7</f>
        <v>0.018947925</v>
      </c>
      <c r="V658" s="37" t="n">
        <f aca="false">IF(AND(p_eng=1,ISNUMBER(Country_Data!$DG$98)),Country_Data!$DG$98,p_a)</f>
        <v>0.313042108695652</v>
      </c>
      <c r="W658" s="16" t="n">
        <f aca="false">T658*L658</f>
        <v>0.0202104981611733</v>
      </c>
      <c r="X658" s="16" t="n">
        <f aca="false">U658*L658</f>
        <v>0.00256582041415091</v>
      </c>
      <c r="Y658" s="16" t="n">
        <f aca="false">V658*L658</f>
        <v>0.0423903848563974</v>
      </c>
      <c r="Z658" s="16" t="n">
        <f aca="false">Q658*L658</f>
        <v>0.0209748860092402</v>
      </c>
      <c r="AA658" s="16" t="n">
        <f aca="false">R658*L658</f>
        <v>0.0256433912600698</v>
      </c>
      <c r="AB658" s="16" t="n">
        <f aca="false">S658*L658</f>
        <v>0.0161518180446769</v>
      </c>
      <c r="AC658" s="16" t="n">
        <f aca="false">Z658-W658</f>
        <v>0.000764387848066855</v>
      </c>
      <c r="AD658" s="16" t="n">
        <f aca="false">AA658-W658</f>
        <v>0.00543289309889649</v>
      </c>
      <c r="AE658" s="16" t="n">
        <f aca="false">AB658-W658</f>
        <v>-0.00405868011649643</v>
      </c>
      <c r="AF658" s="16" t="n">
        <f aca="false">AE658-X658</f>
        <v>-0.00662450053064734</v>
      </c>
      <c r="AG658" s="16" t="n">
        <f aca="false">AF658-p_spc_lo*Y658/1000</f>
        <v>-0.00874401977346721</v>
      </c>
      <c r="AH658" s="16" t="n">
        <f aca="false">AF658-p_spc_hi*Y658/1000</f>
        <v>-0.0108635390162871</v>
      </c>
      <c r="AI658" s="16" t="n">
        <f aca="false">Q658*J658</f>
        <v>0.0873953583718341</v>
      </c>
      <c r="AJ658" s="16" t="n">
        <f aca="false">S658*J658</f>
        <v>0.0672992418528205</v>
      </c>
      <c r="AK658" s="16" t="n">
        <f aca="false">T658*J658</f>
        <v>0.0842104090048889</v>
      </c>
      <c r="AL658" s="16" t="n">
        <f aca="false">U658*J658</f>
        <v>0.0106909183922955</v>
      </c>
      <c r="AM658" s="16" t="n">
        <f aca="false">AI658-AJ658</f>
        <v>0.0200961165190137</v>
      </c>
      <c r="AN658" s="16" t="n">
        <f aca="false">J658*Country_Data!$EB$98</f>
        <v>0.665623538513233</v>
      </c>
      <c r="AO658" s="16" t="n">
        <f aca="false">L658*Country_Data!$EB$98</f>
        <v>0.159749649243176</v>
      </c>
    </row>
    <row r="659" customFormat="false" ht="15" hidden="false" customHeight="false" outlineLevel="0" collapsed="false">
      <c r="A659" s="14" t="str">
        <f aca="false">Country_Data!$A$98</f>
        <v>TUN</v>
      </c>
      <c r="B659" s="14" t="str">
        <f aca="false">Country_Data!$E$98</f>
        <v>EMDC</v>
      </c>
      <c r="C659" s="35" t="s">
        <v>477</v>
      </c>
      <c r="D659" s="37" t="n">
        <f aca="false">IF(Country_Data!$CB$98="","",Country_Data!$CB$98)</f>
        <v>0.0760016757380008</v>
      </c>
      <c r="E659" s="40" t="n">
        <f aca="false">Country_Data!$BW$98</f>
        <v>177.546</v>
      </c>
      <c r="F659" s="41" t="n">
        <f aca="false">Country_Data!$BX$98</f>
        <v>0.289113807126041</v>
      </c>
      <c r="G659" s="42" t="n">
        <f aca="false">IF(D659="","",D659/SUMIFS($D$5:$D$1369,$B$5:$B$1369,B659,$C$5:$C$1369,C659))</f>
        <v>0.00239656426114584</v>
      </c>
      <c r="H659" s="42" t="n">
        <f aca="false">E659/SUMIFS($E$5:$E$1369,$B$5:$B$1369,B659,$C$5:$C$1369,C659)</f>
        <v>0.00219920529545388</v>
      </c>
      <c r="I659" s="43" t="n">
        <f aca="false">IF(G659="",H659,p_beta_alloc*G659+(1-p_beta_alloc)*H659)*F659^p_phi</f>
        <v>0.00123555665599164</v>
      </c>
      <c r="J659" s="16" t="n">
        <f aca="false">INDEX(Sector_Params!$C$19:$E$19,MATCH(B659,Sector_Params!$C$15:$E$15,0))*I659/SUMIFS($I$5:$I$1369,$B$5:$B$1369,B659,$C$5:$C$1369,C659)</f>
        <v>0.397679473451816</v>
      </c>
      <c r="K659" s="28" t="n">
        <f aca="false">INDEX(Sector_Params!$F$8:$H$8,MATCH(B659,Sector_Params!$C$15:$E$15,0))</f>
        <v>0.24</v>
      </c>
      <c r="L659" s="16" t="n">
        <f aca="false">J659*K659</f>
        <v>0.0954430736284359</v>
      </c>
      <c r="M659" s="44" t="n">
        <f aca="false">Country_Data!$DW$98+Sector_Params!$E$8</f>
        <v>0.11118</v>
      </c>
      <c r="N659" s="44" t="n">
        <f aca="false">Country_Data!$DX$98+Sector_Params!$E$8</f>
        <v>0.15618</v>
      </c>
      <c r="O659" s="11" t="n">
        <f aca="false">IF(p_use_ibrd=1,p_r_ibrd,p_r_wb)</f>
        <v>0.06</v>
      </c>
      <c r="P659" s="45" t="n">
        <f aca="false">Sector_Params!$D$8</f>
        <v>25</v>
      </c>
      <c r="Q659" s="46" t="n">
        <f aca="false">M659/(1-(1+M659)^-P659)</f>
        <v>0.119764557515124</v>
      </c>
      <c r="R659" s="46" t="n">
        <f aca="false">N659/(1-(1+N659)^-P659)</f>
        <v>0.160442688703696</v>
      </c>
      <c r="S659" s="46" t="n">
        <f aca="false">O659/(1-(1+O659)^-P659)</f>
        <v>0.078226718212274</v>
      </c>
      <c r="T659" s="37" t="n">
        <f aca="false">Country_Data!$CM$98*Sector_Params!$I$8</f>
        <v>0.14057326661718</v>
      </c>
      <c r="U659" s="37" t="n">
        <f aca="false">Country_Data!$CN$98*Sector_Params!$J$8</f>
        <v>0.0895836912590458</v>
      </c>
      <c r="V659" s="37" t="n">
        <f aca="false">p_a</f>
        <v>0.35</v>
      </c>
      <c r="W659" s="16" t="n">
        <f aca="false">T659*L659</f>
        <v>0.0134167446359333</v>
      </c>
      <c r="X659" s="16" t="n">
        <f aca="false">U659*L659</f>
        <v>0.00855014284074418</v>
      </c>
      <c r="Y659" s="16" t="n">
        <f aca="false">V659*L659</f>
        <v>0.0334050757699525</v>
      </c>
      <c r="Z659" s="16" t="n">
        <f aca="false">Q659*L659</f>
        <v>0.011430697480993</v>
      </c>
      <c r="AA659" s="16" t="n">
        <f aca="false">R659*L659</f>
        <v>0.0153131433510911</v>
      </c>
      <c r="AB659" s="16" t="n">
        <f aca="false">S659*L659</f>
        <v>0.00746619842604497</v>
      </c>
      <c r="AC659" s="16" t="n">
        <f aca="false">Z659-W659</f>
        <v>-0.0019860471549403</v>
      </c>
      <c r="AD659" s="16" t="n">
        <f aca="false">AA659-W659</f>
        <v>0.00189639871515778</v>
      </c>
      <c r="AE659" s="16" t="n">
        <f aca="false">AB659-W659</f>
        <v>-0.00595054620988833</v>
      </c>
      <c r="AF659" s="16" t="n">
        <f aca="false">AE659-X659</f>
        <v>-0.0145006890506325</v>
      </c>
      <c r="AG659" s="16" t="n">
        <f aca="false">AF659-p_spc_lo*Y659/1000</f>
        <v>-0.0161709428391301</v>
      </c>
      <c r="AH659" s="16" t="n">
        <f aca="false">AF659-p_spc_hi*Y659/1000</f>
        <v>-0.0178411966276278</v>
      </c>
      <c r="AI659" s="16" t="n">
        <f aca="false">Q659*J659</f>
        <v>0.0476279061708042</v>
      </c>
      <c r="AJ659" s="16" t="n">
        <f aca="false">S659*J659</f>
        <v>0.0311091601085207</v>
      </c>
      <c r="AK659" s="16" t="n">
        <f aca="false">T659*J659</f>
        <v>0.0559031026497221</v>
      </c>
      <c r="AL659" s="16" t="n">
        <f aca="false">U659*J659</f>
        <v>0.0356255951697674</v>
      </c>
      <c r="AM659" s="16" t="n">
        <f aca="false">AI659-AJ659</f>
        <v>0.0165187460622835</v>
      </c>
      <c r="AN659" s="16" t="n">
        <f aca="false">J659*Country_Data!$EB$98</f>
        <v>0.469146509260548</v>
      </c>
      <c r="AO659" s="16" t="n">
        <f aca="false">L659*Country_Data!$EB$98</f>
        <v>0.112595162222532</v>
      </c>
    </row>
    <row r="660" customFormat="false" ht="15" hidden="false" customHeight="false" outlineLevel="0" collapsed="false">
      <c r="A660" s="14" t="str">
        <f aca="false">Country_Data!$A$98</f>
        <v>TUN</v>
      </c>
      <c r="B660" s="14" t="str">
        <f aca="false">Country_Data!$E$98</f>
        <v>EMDC</v>
      </c>
      <c r="C660" s="35" t="s">
        <v>481</v>
      </c>
      <c r="D660" s="37" t="n">
        <f aca="false">IF(Country_Data!$CC$98="","",Country_Data!$CC$98)</f>
        <v>0.134567594214867</v>
      </c>
      <c r="E660" s="40" t="n">
        <f aca="false">Country_Data!$BW$98</f>
        <v>177.546</v>
      </c>
      <c r="F660" s="41" t="n">
        <f aca="false">Country_Data!$BX$98</f>
        <v>0.289113807126041</v>
      </c>
      <c r="G660" s="42" t="n">
        <f aca="false">IF(D660="","",D660/SUMIFS($D$5:$D$1369,$B$5:$B$1369,B660,$C$5:$C$1369,C660))</f>
        <v>0.00192219491191265</v>
      </c>
      <c r="H660" s="42" t="n">
        <f aca="false">E660/SUMIFS($E$5:$E$1369,$B$5:$B$1369,B660,$C$5:$C$1369,C660)</f>
        <v>0.00219920529545388</v>
      </c>
      <c r="I660" s="43" t="n">
        <f aca="false">IF(G660="",H660,p_beta_alloc*G660+(1-p_beta_alloc)*H660)*F660^p_phi</f>
        <v>0.00110802410684504</v>
      </c>
      <c r="J660" s="16" t="n">
        <f aca="false">INDEX(Sector_Params!$C$20:$E$20,MATCH(B660,Sector_Params!$C$15:$E$15,0))*I660/SUMIFS($I$5:$I$1369,$B$5:$B$1369,B660,$C$5:$C$1369,C660)</f>
        <v>0.202236712541872</v>
      </c>
      <c r="K660" s="28" t="n">
        <f aca="false">INDEX(Sector_Params!$F$9:$H$9,MATCH(B660,Sector_Params!$C$15:$E$15,0))</f>
        <v>0.24</v>
      </c>
      <c r="L660" s="16" t="n">
        <f aca="false">J660*K660</f>
        <v>0.0485368110100494</v>
      </c>
      <c r="M660" s="44" t="n">
        <f aca="false">Country_Data!$DW$98+Sector_Params!$E$9</f>
        <v>0.11118</v>
      </c>
      <c r="N660" s="44" t="n">
        <f aca="false">Country_Data!$DX$98+Sector_Params!$E$9</f>
        <v>0.15618</v>
      </c>
      <c r="O660" s="11" t="n">
        <f aca="false">IF(p_use_ibrd=1,p_r_ibrd,p_r_wb)</f>
        <v>0.06</v>
      </c>
      <c r="P660" s="45" t="n">
        <f aca="false">Sector_Params!$D$9</f>
        <v>25</v>
      </c>
      <c r="Q660" s="46" t="n">
        <f aca="false">M660/(1-(1+M660)^-P660)</f>
        <v>0.119764557515124</v>
      </c>
      <c r="R660" s="46" t="n">
        <f aca="false">N660/(1-(1+N660)^-P660)</f>
        <v>0.160442688703696</v>
      </c>
      <c r="S660" s="46" t="n">
        <f aca="false">O660/(1-(1+O660)^-P660)</f>
        <v>0.078226718212274</v>
      </c>
      <c r="T660" s="37" t="n">
        <f aca="false">Country_Data!$CM$98*Sector_Params!$I$9</f>
        <v>0.14057326661718</v>
      </c>
      <c r="U660" s="37" t="n">
        <f aca="false">Country_Data!$CN$98*Sector_Params!$J$9</f>
        <v>0.0895836912590458</v>
      </c>
      <c r="V660" s="37" t="n">
        <f aca="false">p_a</f>
        <v>0.35</v>
      </c>
      <c r="W660" s="16" t="n">
        <f aca="false">T660*L660</f>
        <v>0.00682297807486337</v>
      </c>
      <c r="X660" s="16" t="n">
        <f aca="false">U660*L660</f>
        <v>0.00434810669222292</v>
      </c>
      <c r="Y660" s="16" t="n">
        <f aca="false">V660*L660</f>
        <v>0.0169878838535173</v>
      </c>
      <c r="Z660" s="16" t="n">
        <f aca="false">Q660*L660</f>
        <v>0.00581298969381375</v>
      </c>
      <c r="AA660" s="16" t="n">
        <f aca="false">R660*L660</f>
        <v>0.00778737645955548</v>
      </c>
      <c r="AB660" s="16" t="n">
        <f aca="false">S660*L660</f>
        <v>0.00379687543780553</v>
      </c>
      <c r="AC660" s="16" t="n">
        <f aca="false">Z660-W660</f>
        <v>-0.00100998838104962</v>
      </c>
      <c r="AD660" s="16" t="n">
        <f aca="false">AA660-W660</f>
        <v>0.000964398384692109</v>
      </c>
      <c r="AE660" s="16" t="n">
        <f aca="false">AB660-W660</f>
        <v>-0.00302610263705784</v>
      </c>
      <c r="AF660" s="16" t="n">
        <f aca="false">AE660-X660</f>
        <v>-0.00737420932928077</v>
      </c>
      <c r="AG660" s="16" t="n">
        <f aca="false">AF660-p_spc_lo*Y660/1000</f>
        <v>-0.00822360352195663</v>
      </c>
      <c r="AH660" s="16" t="n">
        <f aca="false">AF660-p_spc_hi*Y660/1000</f>
        <v>-0.00907299771463249</v>
      </c>
      <c r="AI660" s="16" t="n">
        <f aca="false">Q660*J660</f>
        <v>0.0242207903908906</v>
      </c>
      <c r="AJ660" s="16" t="n">
        <f aca="false">S660*J660</f>
        <v>0.0158203143241897</v>
      </c>
      <c r="AK660" s="16" t="n">
        <f aca="false">T660*J660</f>
        <v>0.0284290753119307</v>
      </c>
      <c r="AL660" s="16" t="n">
        <f aca="false">U660*J660</f>
        <v>0.0181171112175955</v>
      </c>
      <c r="AM660" s="16" t="n">
        <f aca="false">AI660-AJ660</f>
        <v>0.00840047606670093</v>
      </c>
      <c r="AN660" s="16" t="n">
        <f aca="false">J660*Country_Data!$EB$98</f>
        <v>0.238580701462441</v>
      </c>
      <c r="AO660" s="16" t="n">
        <f aca="false">L660*Country_Data!$EB$98</f>
        <v>0.0572593683509858</v>
      </c>
    </row>
    <row r="661" customFormat="false" ht="15" hidden="false" customHeight="false" outlineLevel="0" collapsed="false">
      <c r="A661" s="14" t="str">
        <f aca="false">Country_Data!$A$98</f>
        <v>TUN</v>
      </c>
      <c r="B661" s="14" t="str">
        <f aca="false">Country_Data!$E$98</f>
        <v>EMDC</v>
      </c>
      <c r="C661" s="35" t="s">
        <v>484</v>
      </c>
      <c r="D661" s="37" t="n">
        <f aca="false">IF(Country_Data!$CD$98="","",Country_Data!$CD$98)</f>
        <v>0.433322322689816</v>
      </c>
      <c r="E661" s="40" t="n">
        <f aca="false">Country_Data!$BW$98</f>
        <v>177.546</v>
      </c>
      <c r="F661" s="41" t="n">
        <f aca="false">Country_Data!$BX$98</f>
        <v>0.289113807126041</v>
      </c>
      <c r="G661" s="42" t="n">
        <f aca="false">IF(D661="","",D661/SUMIFS($D$5:$D$1369,$B$5:$B$1369,B661,$C$5:$C$1369,C661))</f>
        <v>0.00241983015092006</v>
      </c>
      <c r="H661" s="42" t="n">
        <f aca="false">E661/SUMIFS($E$5:$E$1369,$B$5:$B$1369,B661,$C$5:$C$1369,C661)</f>
        <v>0.00219920529545388</v>
      </c>
      <c r="I661" s="43" t="n">
        <f aca="false">IF(G661="",H661,p_beta_alloc*G661+(1-p_beta_alloc)*H661)*F661^p_phi</f>
        <v>0.00124181160951228</v>
      </c>
      <c r="J661" s="16" t="n">
        <f aca="false">INDEX(Sector_Params!$C$21:$E$21,MATCH(B661,Sector_Params!$C$15:$E$15,0))*I661/SUMIFS($I$5:$I$1369,$B$5:$B$1369,B661,$C$5:$C$1369,C661)</f>
        <v>0.275421181118206</v>
      </c>
      <c r="K661" s="28" t="n">
        <f aca="false">INDEX(Sector_Params!$F$10:$H$10,MATCH(B661,Sector_Params!$C$15:$E$15,0))</f>
        <v>0.24</v>
      </c>
      <c r="L661" s="16" t="n">
        <f aca="false">J661*K661</f>
        <v>0.0661010834683695</v>
      </c>
      <c r="M661" s="44" t="n">
        <f aca="false">Country_Data!$DW$98+Sector_Params!$E$10</f>
        <v>0.11118</v>
      </c>
      <c r="N661" s="44" t="n">
        <f aca="false">Country_Data!$DX$98+Sector_Params!$E$10</f>
        <v>0.15618</v>
      </c>
      <c r="O661" s="11" t="n">
        <f aca="false">IF(p_use_ibrd=1,p_r_ibrd,p_r_wb)</f>
        <v>0.06</v>
      </c>
      <c r="P661" s="45" t="n">
        <f aca="false">Sector_Params!$D$10</f>
        <v>20</v>
      </c>
      <c r="Q661" s="46" t="n">
        <f aca="false">M661/(1-(1+M661)^-P661)</f>
        <v>0.126545970744435</v>
      </c>
      <c r="R661" s="46" t="n">
        <f aca="false">N661/(1-(1+N661)^-P661)</f>
        <v>0.165250555334507</v>
      </c>
      <c r="S661" s="46" t="n">
        <f aca="false">O661/(1-(1+O661)^-P661)</f>
        <v>0.0871845569768514</v>
      </c>
      <c r="T661" s="37" t="n">
        <f aca="false">0*Sector_Params!$I$10</f>
        <v>0</v>
      </c>
      <c r="U661" s="37" t="n">
        <f aca="false">0*Sector_Params!$J$10</f>
        <v>0</v>
      </c>
      <c r="V661" s="37" t="n">
        <f aca="false">1000*p_r_wb/(1-(1+p_r_wb)^-Sector_Params!$D$10)/p_cpt_fuel</f>
        <v>0.871845569768514</v>
      </c>
      <c r="W661" s="16" t="n">
        <f aca="false">T661*L661</f>
        <v>0</v>
      </c>
      <c r="X661" s="16" t="n">
        <f aca="false">U661*L661</f>
        <v>0</v>
      </c>
      <c r="Y661" s="16" t="n">
        <f aca="false">V661*L661</f>
        <v>0.0576299367787967</v>
      </c>
      <c r="Z661" s="16" t="n">
        <f aca="false">Q661*L661</f>
        <v>0.00836482577476374</v>
      </c>
      <c r="AA661" s="16" t="n">
        <f aca="false">R661*L661</f>
        <v>0.0109232407513606</v>
      </c>
      <c r="AB661" s="16" t="n">
        <f aca="false">S661*L661</f>
        <v>0.00576299367787967</v>
      </c>
      <c r="AC661" s="16" t="n">
        <f aca="false">Z661-W661</f>
        <v>0.00836482577476374</v>
      </c>
      <c r="AD661" s="16" t="n">
        <f aca="false">AA661-W661</f>
        <v>0.0109232407513606</v>
      </c>
      <c r="AE661" s="16" t="n">
        <f aca="false">AB661-W661</f>
        <v>0.00576299367787967</v>
      </c>
      <c r="AF661" s="16" t="n">
        <f aca="false">AE661-X661</f>
        <v>0.00576299367787967</v>
      </c>
      <c r="AG661" s="16" t="n">
        <f aca="false">AF661-p_spc_lo*Y661/1000</f>
        <v>0.00288149683893983</v>
      </c>
      <c r="AH661" s="16" t="n">
        <f aca="false">AF661-p_spc_hi*Y661/1000</f>
        <v>0</v>
      </c>
      <c r="AI661" s="16" t="n">
        <f aca="false">Q661*J661</f>
        <v>0.0348534407281822</v>
      </c>
      <c r="AJ661" s="16" t="n">
        <f aca="false">S661*J661</f>
        <v>0.024012473657832</v>
      </c>
      <c r="AK661" s="16" t="n">
        <f aca="false">T661*J661</f>
        <v>0</v>
      </c>
      <c r="AL661" s="16" t="n">
        <f aca="false">U661*J661</f>
        <v>0</v>
      </c>
      <c r="AM661" s="16" t="n">
        <f aca="false">AI661-AJ661</f>
        <v>0.0108409670703503</v>
      </c>
      <c r="AN661" s="16" t="n">
        <f aca="false">J661*Country_Data!$EB$98</f>
        <v>0.324917161493072</v>
      </c>
      <c r="AO661" s="16" t="n">
        <f aca="false">L661*Country_Data!$EB$98</f>
        <v>0.0779801187583373</v>
      </c>
    </row>
    <row r="662" customFormat="false" ht="15" hidden="false" customHeight="false" outlineLevel="0" collapsed="false">
      <c r="A662" s="14" t="str">
        <f aca="false">Country_Data!$A$98</f>
        <v>TUN</v>
      </c>
      <c r="B662" s="14" t="str">
        <f aca="false">Country_Data!$E$98</f>
        <v>EMDC</v>
      </c>
      <c r="C662" s="35" t="s">
        <v>488</v>
      </c>
      <c r="D662" s="37" t="n">
        <f aca="false">IF(Country_Data!$CE$98="","",Country_Data!$CE$98)</f>
        <v>14.404</v>
      </c>
      <c r="E662" s="40" t="n">
        <f aca="false">Country_Data!$BW$98</f>
        <v>177.546</v>
      </c>
      <c r="F662" s="41" t="n">
        <f aca="false">Country_Data!$BX$98</f>
        <v>0.289113807126041</v>
      </c>
      <c r="G662" s="42" t="n">
        <f aca="false">IF(D662="","",D662/SUMIFS($D$5:$D$1369,$B$5:$B$1369,B662,$C$5:$C$1369,C662))</f>
        <v>0.00118025812615586</v>
      </c>
      <c r="H662" s="42" t="n">
        <f aca="false">E662/SUMIFS($E$5:$E$1369,$B$5:$B$1369,B662,$C$5:$C$1369,C662)</f>
        <v>0.00219920529545388</v>
      </c>
      <c r="I662" s="43" t="n">
        <f aca="false">IF(G662="",H662,p_beta_alloc*G662+(1-p_beta_alloc)*H662)*F662^p_phi</f>
        <v>0.000908556983292163</v>
      </c>
      <c r="J662" s="16" t="n">
        <f aca="false">INDEX(Sector_Params!$C$22:$E$22,MATCH(B662,Sector_Params!$C$15:$E$15,0))*I662/SUMIFS($I$5:$I$1369,$B$5:$B$1369,B662,$C$5:$C$1369,C662)</f>
        <v>0.547685770703373</v>
      </c>
      <c r="K662" s="28" t="n">
        <f aca="false">INDEX(Sector_Params!$F$11:$H$11,MATCH(B662,Sector_Params!$C$15:$E$15,0))</f>
        <v>0.24</v>
      </c>
      <c r="L662" s="16" t="n">
        <f aca="false">J662*K662</f>
        <v>0.131444584968809</v>
      </c>
      <c r="M662" s="44" t="n">
        <f aca="false">Country_Data!$DW$98+Sector_Params!$E$11</f>
        <v>0.11118</v>
      </c>
      <c r="N662" s="44" t="n">
        <f aca="false">Country_Data!$DX$98+Sector_Params!$E$11</f>
        <v>0.15618</v>
      </c>
      <c r="O662" s="11" t="n">
        <f aca="false">IF(p_use_ibrd=1,p_r_ibrd,p_r_wb)</f>
        <v>0.06</v>
      </c>
      <c r="P662" s="45" t="n">
        <f aca="false">Sector_Params!$D$11</f>
        <v>30</v>
      </c>
      <c r="Q662" s="46" t="n">
        <f aca="false">M662/(1-(1+M662)^-P662)</f>
        <v>0.116092135291474</v>
      </c>
      <c r="R662" s="46" t="n">
        <f aca="false">N662/(1-(1+N662)^-P662)</f>
        <v>0.158214618706269</v>
      </c>
      <c r="S662" s="46" t="n">
        <f aca="false">O662/(1-(1+O662)^-P662)</f>
        <v>0.0726489114900472</v>
      </c>
      <c r="T662" s="37" t="n">
        <f aca="false">0*Sector_Params!$I$11</f>
        <v>0</v>
      </c>
      <c r="U662" s="37" t="n">
        <f aca="false">p_c*Sector_Params!$J$11</f>
        <v>0.129</v>
      </c>
      <c r="V662" s="37" t="n">
        <f aca="false">1000*p_r_wb/(1-(1+p_r_wb)^-Sector_Params!$D$11)/p_cpt_afolu</f>
        <v>1.45297822980094</v>
      </c>
      <c r="W662" s="16" t="n">
        <f aca="false">T662*L662</f>
        <v>0</v>
      </c>
      <c r="X662" s="16" t="n">
        <f aca="false">U662*L662</f>
        <v>0.0169563514609764</v>
      </c>
      <c r="Y662" s="16" t="n">
        <f aca="false">V662*L662</f>
        <v>0.190986120384901</v>
      </c>
      <c r="Z662" s="16" t="n">
        <f aca="false">Q662*L662</f>
        <v>0.0152596825415306</v>
      </c>
      <c r="AA662" s="16" t="n">
        <f aca="false">R662*L662</f>
        <v>0.020796454891844</v>
      </c>
      <c r="AB662" s="16" t="n">
        <f aca="false">S662*L662</f>
        <v>0.00954930601924503</v>
      </c>
      <c r="AC662" s="16" t="n">
        <f aca="false">Z662-W662</f>
        <v>0.0152596825415306</v>
      </c>
      <c r="AD662" s="16" t="n">
        <f aca="false">AA662-W662</f>
        <v>0.020796454891844</v>
      </c>
      <c r="AE662" s="16" t="n">
        <f aca="false">AB662-W662</f>
        <v>0.00954930601924503</v>
      </c>
      <c r="AF662" s="16" t="n">
        <f aca="false">AE662-X662</f>
        <v>-0.00740704544173139</v>
      </c>
      <c r="AG662" s="16" t="n">
        <f aca="false">AF662-p_spc_lo*Y662/1000</f>
        <v>-0.0169563514609764</v>
      </c>
      <c r="AH662" s="16" t="n">
        <f aca="false">AF662-p_spc_hi*Y662/1000</f>
        <v>-0.0265056574802214</v>
      </c>
      <c r="AI662" s="16" t="n">
        <f aca="false">Q662*J662</f>
        <v>0.0635820105897109</v>
      </c>
      <c r="AJ662" s="16" t="n">
        <f aca="false">S662*J662</f>
        <v>0.0397887750801876</v>
      </c>
      <c r="AK662" s="16" t="n">
        <f aca="false">T662*J662</f>
        <v>0</v>
      </c>
      <c r="AL662" s="16" t="n">
        <f aca="false">U662*J662</f>
        <v>0.0706514644207351</v>
      </c>
      <c r="AM662" s="16" t="n">
        <f aca="false">AI662-AJ662</f>
        <v>0.0237932355095233</v>
      </c>
      <c r="AN662" s="16" t="n">
        <f aca="false">J662*Country_Data!$EB$98</f>
        <v>0.646110459931225</v>
      </c>
      <c r="AO662" s="16" t="n">
        <f aca="false">L662*Country_Data!$EB$98</f>
        <v>0.155066510383494</v>
      </c>
    </row>
    <row r="663" customFormat="false" ht="15" hidden="false" customHeight="false" outlineLevel="0" collapsed="false">
      <c r="A663" s="14" t="str">
        <f aca="false">Country_Data!$A$99</f>
        <v>MAC</v>
      </c>
      <c r="B663" s="14" t="str">
        <f aca="false">Country_Data!$E$99</f>
        <v>AE</v>
      </c>
      <c r="C663" s="35" t="s">
        <v>466</v>
      </c>
      <c r="D663" s="37" t="n">
        <f aca="false">IF(Country_Data!$BZ$99="","",Country_Data!$BZ$99)</f>
        <v>6.94847241886948</v>
      </c>
      <c r="E663" s="40" t="n">
        <f aca="false">Country_Data!$BW$99</f>
        <v>87.348</v>
      </c>
      <c r="F663" s="41" t="n">
        <f aca="false">Country_Data!$BX$99</f>
        <v>0.566320923203737</v>
      </c>
      <c r="G663" s="42" t="n">
        <f aca="false">IF(D663="","",D663/SUMIFS($D$5:$D$1369,$B$5:$B$1369,B663,$C$5:$C$1369,C663))</f>
        <v>0.000710085571947692</v>
      </c>
      <c r="H663" s="42" t="n">
        <f aca="false">E663/SUMIFS($E$5:$E$1369,$B$5:$B$1369,B663,$C$5:$C$1369,C663)</f>
        <v>0.00110728484484302</v>
      </c>
      <c r="I663" s="43" t="n">
        <f aca="false">IF(G663="",H663,p_beta_alloc*G663+(1-p_beta_alloc)*H663)*F663^p_phi</f>
        <v>0.000683824666430943</v>
      </c>
      <c r="J663" s="16" t="n">
        <f aca="false">INDEX(Sector_Params!$C$16:$E$16,MATCH(B663,Sector_Params!$C$15:$E$15,0))*I663/SUMIFS($I$5:$I$1369,$B$5:$B$1369,B663,$C$5:$C$1369,C663)</f>
        <v>0.613360172941639</v>
      </c>
      <c r="K663" s="28" t="n">
        <f aca="false">INDEX(Sector_Params!$F$5:$H$5,MATCH(B663,Sector_Params!$C$15:$E$15,0))</f>
        <v>0.38</v>
      </c>
      <c r="L663" s="16" t="n">
        <f aca="false">J663*K663</f>
        <v>0.233076865717823</v>
      </c>
      <c r="M663" s="44" t="n">
        <f aca="false">Country_Data!$DW$99+Sector_Params!$E$5</f>
        <v>0.055</v>
      </c>
      <c r="N663" s="44" t="n">
        <f aca="false">Country_Data!$DX$99+Sector_Params!$E$5</f>
        <v>0.07</v>
      </c>
      <c r="O663" s="11" t="n">
        <f aca="false">IF(p_use_ibrd=1,p_r_ibrd,p_r_wb)</f>
        <v>0.06</v>
      </c>
      <c r="P663" s="45" t="n">
        <f aca="false">Sector_Params!$D$5</f>
        <v>25</v>
      </c>
      <c r="Q663" s="46" t="n">
        <f aca="false">M663/(1-(1+M663)^-P663)</f>
        <v>0.0745493529464385</v>
      </c>
      <c r="R663" s="46" t="n">
        <f aca="false">N663/(1-(1+N663)^-P663)</f>
        <v>0.0858105172206656</v>
      </c>
      <c r="S663" s="46" t="n">
        <f aca="false">O663/(1-(1+O663)^-P663)</f>
        <v>0.078226718212274</v>
      </c>
      <c r="T663" s="37" t="n">
        <f aca="false">IF(AND(p_eng=1,ISNUMBER(Country_Data!$CZ$99)),Country_Data!$CZ$99,Country_Data!$CM$99)*Sector_Params!$I$5</f>
        <v>0.139289255170267</v>
      </c>
      <c r="U663" s="37" t="n">
        <f aca="false">IF(AND(p_eng=1,ISNUMBER(Country_Data!$DA$99)),Country_Data!$DA$99,Country_Data!$CN$99)*Sector_Params!$J$5</f>
        <v>0</v>
      </c>
      <c r="V663" s="37" t="n">
        <f aca="false">IF(AND(p_eng=1,ISNUMBER(Country_Data!$DB$99)),Country_Data!$DB$99,p_a)</f>
        <v>0.728158681243892</v>
      </c>
      <c r="W663" s="16" t="n">
        <f aca="false">T663*L663</f>
        <v>0.0324651030232559</v>
      </c>
      <c r="X663" s="16" t="n">
        <f aca="false">U663*L663</f>
        <v>0</v>
      </c>
      <c r="Y663" s="16" t="n">
        <f aca="false">V663*L663</f>
        <v>0.16971694316955</v>
      </c>
      <c r="Z663" s="16" t="n">
        <f aca="false">Q663*L663</f>
        <v>0.0173757295260476</v>
      </c>
      <c r="AA663" s="16" t="n">
        <f aca="false">R663*L663</f>
        <v>0.020000446399418</v>
      </c>
      <c r="AB663" s="16" t="n">
        <f aca="false">S663*L663</f>
        <v>0.0182328382963081</v>
      </c>
      <c r="AC663" s="16" t="n">
        <f aca="false">Z663-W663</f>
        <v>-0.0150893734972082</v>
      </c>
      <c r="AD663" s="16" t="n">
        <f aca="false">AA663-W663</f>
        <v>-0.0124646566238379</v>
      </c>
      <c r="AE663" s="16" t="n">
        <f aca="false">AB663-W663</f>
        <v>-0.0142322647269477</v>
      </c>
      <c r="AF663" s="16" t="n">
        <f aca="false">AE663-X663</f>
        <v>-0.0142322647269477</v>
      </c>
      <c r="AG663" s="16" t="n">
        <f aca="false">AF663-p_spc_lo*Y663/1000</f>
        <v>-0.0227181118854252</v>
      </c>
      <c r="AH663" s="16" t="n">
        <f aca="false">AF663-p_spc_hi*Y663/1000</f>
        <v>-0.0312039590439027</v>
      </c>
      <c r="AI663" s="16" t="n">
        <f aca="false">Q663*J663</f>
        <v>0.0457256040159148</v>
      </c>
      <c r="AJ663" s="16" t="n">
        <f aca="false">S663*J663</f>
        <v>0.0479811534113372</v>
      </c>
      <c r="AK663" s="16" t="n">
        <f aca="false">T663*J663</f>
        <v>0.085434481640147</v>
      </c>
      <c r="AL663" s="16" t="n">
        <f aca="false">U663*J663</f>
        <v>0</v>
      </c>
      <c r="AM663" s="16" t="n">
        <f aca="false">AI663-AJ663</f>
        <v>-0.00225554939542239</v>
      </c>
      <c r="AN663" s="16" t="n">
        <f aca="false">J663*Country_Data!$EB$99</f>
        <v>0.640855628970057</v>
      </c>
      <c r="AO663" s="16" t="n">
        <f aca="false">L663*Country_Data!$EB$99</f>
        <v>0.243525139008622</v>
      </c>
    </row>
    <row r="664" customFormat="false" ht="15" hidden="false" customHeight="false" outlineLevel="0" collapsed="false">
      <c r="A664" s="14" t="str">
        <f aca="false">Country_Data!$A$99</f>
        <v>MAC</v>
      </c>
      <c r="B664" s="14" t="str">
        <f aca="false">Country_Data!$E$99</f>
        <v>AE</v>
      </c>
      <c r="C664" s="35" t="s">
        <v>470</v>
      </c>
      <c r="D664" s="37" t="n">
        <f aca="false">IF(Country_Data!$BZ$99="","",Country_Data!$BZ$99)</f>
        <v>6.94847241886948</v>
      </c>
      <c r="E664" s="40" t="n">
        <f aca="false">Country_Data!$BW$99</f>
        <v>87.348</v>
      </c>
      <c r="F664" s="41" t="n">
        <f aca="false">Country_Data!$BX$99</f>
        <v>0.566320923203737</v>
      </c>
      <c r="G664" s="42" t="n">
        <f aca="false">IF(D664="","",D664/SUMIFS($D$5:$D$1369,$B$5:$B$1369,B664,$C$5:$C$1369,C664))</f>
        <v>0.000710085571947692</v>
      </c>
      <c r="H664" s="42" t="n">
        <f aca="false">E664/SUMIFS($E$5:$E$1369,$B$5:$B$1369,B664,$C$5:$C$1369,C664)</f>
        <v>0.00110728484484302</v>
      </c>
      <c r="I664" s="43" t="n">
        <f aca="false">IF(G664="",H664,p_beta_alloc*G664+(1-p_beta_alloc)*H664)*F664^p_phi</f>
        <v>0.000683824666430943</v>
      </c>
      <c r="J664" s="16" t="n">
        <f aca="false">INDEX(Sector_Params!$C$17:$E$17,MATCH(B664,Sector_Params!$C$15:$E$15,0))*I664/SUMIFS($I$5:$I$1369,$B$5:$B$1369,B664,$C$5:$C$1369,C664)</f>
        <v>0.420589832874267</v>
      </c>
      <c r="K664" s="28" t="n">
        <f aca="false">INDEX(Sector_Params!$F$6:$H$6,MATCH(B664,Sector_Params!$C$15:$E$15,0))</f>
        <v>0.38</v>
      </c>
      <c r="L664" s="16" t="n">
        <f aca="false">J664*K664</f>
        <v>0.159824136492221</v>
      </c>
      <c r="M664" s="44" t="n">
        <f aca="false">Country_Data!$DW$99+Sector_Params!$E$6</f>
        <v>0.055</v>
      </c>
      <c r="N664" s="44" t="n">
        <f aca="false">Country_Data!$DX$99+Sector_Params!$E$6</f>
        <v>0.07</v>
      </c>
      <c r="O664" s="11" t="n">
        <f aca="false">IF(p_use_ibrd=1,p_r_ibrd,p_r_wb)</f>
        <v>0.06</v>
      </c>
      <c r="P664" s="45" t="n">
        <f aca="false">Sector_Params!$D$6</f>
        <v>40</v>
      </c>
      <c r="Q664" s="46" t="n">
        <f aca="false">M664/(1-(1+M664)^-P664)</f>
        <v>0.062320343360638</v>
      </c>
      <c r="R664" s="46" t="n">
        <f aca="false">N664/(1-(1+N664)^-P664)</f>
        <v>0.0750091388736103</v>
      </c>
      <c r="S664" s="46" t="n">
        <f aca="false">O664/(1-(1+O664)^-P664)</f>
        <v>0.0664615359206755</v>
      </c>
      <c r="T664" s="37" t="n">
        <f aca="false">p_grid_credit*IF(AND(p_eng=1,ISNUMBER(Country_Data!$CZ$99)),Country_Data!$CZ$99,Country_Data!$CM$99)*Sector_Params!$I$6</f>
        <v>0</v>
      </c>
      <c r="U664" s="37" t="n">
        <f aca="false">p_grid_credit*IF(AND(p_eng=1,ISNUMBER(Country_Data!$DA$99)),Country_Data!$DA$99,Country_Data!$CN$99)*Sector_Params!$J$6</f>
        <v>0</v>
      </c>
      <c r="V664" s="37" t="n">
        <f aca="false">p_grid_credit*IF(AND(p_eng=1,ISNUMBER(Country_Data!$DB$99)),Country_Data!$DB$99,p_a)</f>
        <v>0</v>
      </c>
      <c r="W664" s="16" t="n">
        <f aca="false">T664*L664</f>
        <v>0</v>
      </c>
      <c r="X664" s="16" t="n">
        <f aca="false">U664*L664</f>
        <v>0</v>
      </c>
      <c r="Y664" s="16" t="n">
        <f aca="false">V664*L664</f>
        <v>0</v>
      </c>
      <c r="Z664" s="16" t="n">
        <f aca="false">Q664*L664</f>
        <v>0.0099602950635127</v>
      </c>
      <c r="AA664" s="16" t="n">
        <f aca="false">R664*L664</f>
        <v>0.0119882708494999</v>
      </c>
      <c r="AB664" s="16" t="n">
        <f aca="false">S664*L664</f>
        <v>0.0106221575884687</v>
      </c>
      <c r="AC664" s="16" t="n">
        <f aca="false">Z664-W664</f>
        <v>0.0099602950635127</v>
      </c>
      <c r="AD664" s="16" t="n">
        <f aca="false">AA664-W664</f>
        <v>0.0119882708494999</v>
      </c>
      <c r="AE664" s="16" t="n">
        <f aca="false">AB664-W664</f>
        <v>0.0106221575884687</v>
      </c>
      <c r="AF664" s="16" t="n">
        <f aca="false">AE664-X664</f>
        <v>0.0106221575884687</v>
      </c>
      <c r="AG664" s="16" t="n">
        <f aca="false">AF664-p_spc_lo*Y664/1000</f>
        <v>0.0106221575884687</v>
      </c>
      <c r="AH664" s="16" t="n">
        <f aca="false">AF664-p_spc_hi*Y664/1000</f>
        <v>0.0106221575884687</v>
      </c>
      <c r="AI664" s="16" t="n">
        <f aca="false">Q664*J664</f>
        <v>0.0262113027987176</v>
      </c>
      <c r="AJ664" s="16" t="n">
        <f aca="false">S664*J664</f>
        <v>0.027953046285444</v>
      </c>
      <c r="AK664" s="16" t="n">
        <f aca="false">T664*J664</f>
        <v>0</v>
      </c>
      <c r="AL664" s="16" t="n">
        <f aca="false">U664*J664</f>
        <v>0</v>
      </c>
      <c r="AM664" s="16" t="n">
        <f aca="false">AI664-AJ664</f>
        <v>-0.00174174348672635</v>
      </c>
      <c r="AN664" s="16" t="n">
        <f aca="false">J664*Country_Data!$EB$99</f>
        <v>0.439443859865182</v>
      </c>
      <c r="AO664" s="16" t="n">
        <f aca="false">L664*Country_Data!$EB$99</f>
        <v>0.166988666748769</v>
      </c>
    </row>
    <row r="665" customFormat="false" ht="15" hidden="false" customHeight="false" outlineLevel="0" collapsed="false">
      <c r="A665" s="14" t="str">
        <f aca="false">Country_Data!$A$99</f>
        <v>MAC</v>
      </c>
      <c r="B665" s="14" t="str">
        <f aca="false">Country_Data!$E$99</f>
        <v>AE</v>
      </c>
      <c r="C665" s="35" t="s">
        <v>473</v>
      </c>
      <c r="D665" s="37" t="n">
        <f aca="false">IF(Country_Data!$CA$99="","",Country_Data!$CA$99)</f>
        <v>0.00760396714971672</v>
      </c>
      <c r="E665" s="40" t="n">
        <f aca="false">Country_Data!$BW$99</f>
        <v>87.348</v>
      </c>
      <c r="F665" s="41" t="n">
        <f aca="false">Country_Data!$BX$99</f>
        <v>0.566320923203737</v>
      </c>
      <c r="G665" s="42" t="n">
        <f aca="false">IF(D665="","",D665/SUMIFS($D$5:$D$1369,$B$5:$B$1369,B665,$C$5:$C$1369,C665))</f>
        <v>0.000148855032407327</v>
      </c>
      <c r="H665" s="42" t="n">
        <f aca="false">E665/SUMIFS($E$5:$E$1369,$B$5:$B$1369,B665,$C$5:$C$1369,C665)</f>
        <v>0.00110728484484302</v>
      </c>
      <c r="I665" s="43" t="n">
        <f aca="false">IF(G665="",H665,p_beta_alloc*G665+(1-p_beta_alloc)*H665)*F665^p_phi</f>
        <v>0.000472649617609707</v>
      </c>
      <c r="J665" s="16" t="n">
        <f aca="false">INDEX(Sector_Params!$C$18:$E$18,MATCH(B665,Sector_Params!$C$15:$E$15,0))*I665/SUMIFS($I$5:$I$1369,$B$5:$B$1369,B665,$C$5:$C$1369,C665)</f>
        <v>0.178119502342271</v>
      </c>
      <c r="K665" s="28" t="n">
        <f aca="false">INDEX(Sector_Params!$F$7:$H$7,MATCH(B665,Sector_Params!$C$15:$E$15,0))</f>
        <v>0.38</v>
      </c>
      <c r="L665" s="16" t="n">
        <f aca="false">J665*K665</f>
        <v>0.0676854108900629</v>
      </c>
      <c r="M665" s="44" t="n">
        <f aca="false">Country_Data!$DW$99+Sector_Params!$E$7</f>
        <v>0.055</v>
      </c>
      <c r="N665" s="44" t="n">
        <f aca="false">Country_Data!$DX$99+Sector_Params!$E$7</f>
        <v>0.07</v>
      </c>
      <c r="O665" s="11" t="n">
        <f aca="false">IF(p_use_ibrd=1,p_r_ibrd,p_r_wb)</f>
        <v>0.06</v>
      </c>
      <c r="P665" s="45" t="n">
        <f aca="false">Sector_Params!$D$7</f>
        <v>12</v>
      </c>
      <c r="Q665" s="46" t="n">
        <f aca="false">M665/(1-(1+M665)^-P665)</f>
        <v>0.116029231191614</v>
      </c>
      <c r="R665" s="46" t="n">
        <f aca="false">N665/(1-(1+N665)^-P665)</f>
        <v>0.12590198865502</v>
      </c>
      <c r="S665" s="46" t="n">
        <f aca="false">O665/(1-(1+O665)^-P665)</f>
        <v>0.119277029380664</v>
      </c>
      <c r="T665" s="37" t="n">
        <f aca="false">IF(AND(p_eng=1,ISNUMBER(Country_Data!$DE$99)),Country_Data!$DE$99,Country_Data!$CM$99)*Sector_Params!$I$7</f>
        <v>0.07212762</v>
      </c>
      <c r="U665" s="37" t="n">
        <f aca="false">IF(AND(p_eng=1,ISNUMBER(Country_Data!$DF$99)),Country_Data!$DF$99,Country_Data!$CN$99)*Sector_Params!$J$7</f>
        <v>0</v>
      </c>
      <c r="V665" s="37" t="n">
        <f aca="false">IF(AND(p_eng=1,ISNUMBER(Country_Data!$DG$99)),Country_Data!$DG$99,p_a)</f>
        <v>0.362400230769231</v>
      </c>
      <c r="W665" s="16" t="n">
        <f aca="false">T665*L665</f>
        <v>0.00488198759622232</v>
      </c>
      <c r="X665" s="16" t="n">
        <f aca="false">U665*L665</f>
        <v>0</v>
      </c>
      <c r="Y665" s="16" t="n">
        <f aca="false">V665*L665</f>
        <v>0.024529208526269</v>
      </c>
      <c r="Z665" s="16" t="n">
        <f aca="false">Q665*L665</f>
        <v>0.00785348618846252</v>
      </c>
      <c r="AA665" s="16" t="n">
        <f aca="false">R665*L665</f>
        <v>0.00852172783399109</v>
      </c>
      <c r="AB665" s="16" t="n">
        <f aca="false">S665*L665</f>
        <v>0.00807331474337631</v>
      </c>
      <c r="AC665" s="16" t="n">
        <f aca="false">Z665-W665</f>
        <v>0.0029714985922402</v>
      </c>
      <c r="AD665" s="16" t="n">
        <f aca="false">AA665-W665</f>
        <v>0.00363974023776877</v>
      </c>
      <c r="AE665" s="16" t="n">
        <f aca="false">AB665-W665</f>
        <v>0.003191327147154</v>
      </c>
      <c r="AF665" s="16" t="n">
        <f aca="false">AE665-X665</f>
        <v>0.003191327147154</v>
      </c>
      <c r="AG665" s="16" t="n">
        <f aca="false">AF665-p_spc_lo*Y665/1000</f>
        <v>0.00196486672084055</v>
      </c>
      <c r="AH665" s="16" t="n">
        <f aca="false">AF665-p_spc_hi*Y665/1000</f>
        <v>0.000738406294527097</v>
      </c>
      <c r="AI665" s="16" t="n">
        <f aca="false">Q665*J665</f>
        <v>0.0206670689170066</v>
      </c>
      <c r="AJ665" s="16" t="n">
        <f aca="false">S665*J665</f>
        <v>0.0212455651141482</v>
      </c>
      <c r="AK665" s="16" t="n">
        <f aca="false">T665*J665</f>
        <v>0.0128473357795324</v>
      </c>
      <c r="AL665" s="16" t="n">
        <f aca="false">U665*J665</f>
        <v>0</v>
      </c>
      <c r="AM665" s="16" t="n">
        <f aca="false">AI665-AJ665</f>
        <v>-0.000578496197141558</v>
      </c>
      <c r="AN665" s="16" t="n">
        <f aca="false">J665*Country_Data!$EB$99</f>
        <v>0.186104169688648</v>
      </c>
      <c r="AO665" s="16" t="n">
        <f aca="false">L665*Country_Data!$EB$99</f>
        <v>0.0707195844816864</v>
      </c>
    </row>
    <row r="666" customFormat="false" ht="15" hidden="false" customHeight="false" outlineLevel="0" collapsed="false">
      <c r="A666" s="14" t="str">
        <f aca="false">Country_Data!$A$99</f>
        <v>MAC</v>
      </c>
      <c r="B666" s="14" t="str">
        <f aca="false">Country_Data!$E$99</f>
        <v>AE</v>
      </c>
      <c r="C666" s="35" t="s">
        <v>477</v>
      </c>
      <c r="D666" s="37" t="n">
        <f aca="false">IF(Country_Data!$CB$99="","",Country_Data!$CB$99)</f>
        <v>0.00723243360850704</v>
      </c>
      <c r="E666" s="40" t="n">
        <f aca="false">Country_Data!$BW$99</f>
        <v>87.348</v>
      </c>
      <c r="F666" s="41" t="n">
        <f aca="false">Country_Data!$BX$99</f>
        <v>0.566320923203737</v>
      </c>
      <c r="G666" s="42" t="n">
        <f aca="false">IF(D666="","",D666/SUMIFS($D$5:$D$1369,$B$5:$B$1369,B666,$C$5:$C$1369,C666))</f>
        <v>0.000185982804864941</v>
      </c>
      <c r="H666" s="42" t="n">
        <f aca="false">E666/SUMIFS($E$5:$E$1369,$B$5:$B$1369,B666,$C$5:$C$1369,C666)</f>
        <v>0.00110728484484302</v>
      </c>
      <c r="I666" s="43" t="n">
        <f aca="false">IF(G666="",H666,p_beta_alloc*G666+(1-p_beta_alloc)*H666)*F666^p_phi</f>
        <v>0.000486619739705667</v>
      </c>
      <c r="J666" s="16" t="n">
        <f aca="false">INDEX(Sector_Params!$C$19:$E$19,MATCH(B666,Sector_Params!$C$15:$E$15,0))*I666/SUMIFS($I$5:$I$1369,$B$5:$B$1369,B666,$C$5:$C$1369,C666)</f>
        <v>0.143045238677862</v>
      </c>
      <c r="K666" s="28" t="n">
        <f aca="false">INDEX(Sector_Params!$F$8:$H$8,MATCH(B666,Sector_Params!$C$15:$E$15,0))</f>
        <v>0.38</v>
      </c>
      <c r="L666" s="16" t="n">
        <f aca="false">J666*K666</f>
        <v>0.0543571906975875</v>
      </c>
      <c r="M666" s="44" t="n">
        <f aca="false">Country_Data!$DW$99+Sector_Params!$E$8</f>
        <v>0.055</v>
      </c>
      <c r="N666" s="44" t="n">
        <f aca="false">Country_Data!$DX$99+Sector_Params!$E$8</f>
        <v>0.07</v>
      </c>
      <c r="O666" s="11" t="n">
        <f aca="false">IF(p_use_ibrd=1,p_r_ibrd,p_r_wb)</f>
        <v>0.06</v>
      </c>
      <c r="P666" s="45" t="n">
        <f aca="false">Sector_Params!$D$8</f>
        <v>25</v>
      </c>
      <c r="Q666" s="46" t="n">
        <f aca="false">M666/(1-(1+M666)^-P666)</f>
        <v>0.0745493529464385</v>
      </c>
      <c r="R666" s="46" t="n">
        <f aca="false">N666/(1-(1+N666)^-P666)</f>
        <v>0.0858105172206656</v>
      </c>
      <c r="S666" s="46" t="n">
        <f aca="false">O666/(1-(1+O666)^-P666)</f>
        <v>0.078226718212274</v>
      </c>
      <c r="T666" s="37" t="n">
        <f aca="false">Country_Data!$CM$99*Sector_Params!$I$8</f>
        <v>0.0875137697753918</v>
      </c>
      <c r="U666" s="37" t="n">
        <f aca="false">Country_Data!$CN$99*Sector_Params!$J$8</f>
        <v>0.03225</v>
      </c>
      <c r="V666" s="37" t="n">
        <f aca="false">p_a</f>
        <v>0.35</v>
      </c>
      <c r="W666" s="16" t="n">
        <f aca="false">T666*L666</f>
        <v>0.00475700267234574</v>
      </c>
      <c r="X666" s="16" t="n">
        <f aca="false">U666*L666</f>
        <v>0.0017530193999972</v>
      </c>
      <c r="Y666" s="16" t="n">
        <f aca="false">V666*L666</f>
        <v>0.0190250167441556</v>
      </c>
      <c r="Z666" s="16" t="n">
        <f aca="false">Q666*L666</f>
        <v>0.00405229339449132</v>
      </c>
      <c r="AA666" s="16" t="n">
        <f aca="false">R666*L666</f>
        <v>0.00466441864842234</v>
      </c>
      <c r="AB666" s="16" t="n">
        <f aca="false">S666*L666</f>
        <v>0.00425218463951102</v>
      </c>
      <c r="AC666" s="16" t="n">
        <f aca="false">Z666-W666</f>
        <v>-0.000704709277854425</v>
      </c>
      <c r="AD666" s="16" t="n">
        <f aca="false">AA666-W666</f>
        <v>-9.25840239234038E-005</v>
      </c>
      <c r="AE666" s="16" t="n">
        <f aca="false">AB666-W666</f>
        <v>-0.000504818032834723</v>
      </c>
      <c r="AF666" s="16" t="n">
        <f aca="false">AE666-X666</f>
        <v>-0.00225783743283192</v>
      </c>
      <c r="AG666" s="16" t="n">
        <f aca="false">AF666-p_spc_lo*Y666/1000</f>
        <v>-0.0032090882700397</v>
      </c>
      <c r="AH666" s="16" t="n">
        <f aca="false">AF666-p_spc_hi*Y666/1000</f>
        <v>-0.00416033910724749</v>
      </c>
      <c r="AI666" s="16" t="n">
        <f aca="false">Q666*J666</f>
        <v>0.0106639299855035</v>
      </c>
      <c r="AJ666" s="16" t="n">
        <f aca="false">S666*J666</f>
        <v>0.0111899595776606</v>
      </c>
      <c r="AK666" s="16" t="n">
        <f aca="false">T666*J666</f>
        <v>0.0125184280851204</v>
      </c>
      <c r="AL666" s="16" t="n">
        <f aca="false">U666*J666</f>
        <v>0.00461320894736105</v>
      </c>
      <c r="AM666" s="16" t="n">
        <f aca="false">AI666-AJ666</f>
        <v>-0.000526029592157107</v>
      </c>
      <c r="AN666" s="16" t="n">
        <f aca="false">J666*Country_Data!$EB$99</f>
        <v>0.14945761144618</v>
      </c>
      <c r="AO666" s="16" t="n">
        <f aca="false">L666*Country_Data!$EB$99</f>
        <v>0.0567938923495484</v>
      </c>
    </row>
    <row r="667" customFormat="false" ht="15" hidden="false" customHeight="false" outlineLevel="0" collapsed="false">
      <c r="A667" s="14" t="str">
        <f aca="false">Country_Data!$A$99</f>
        <v>MAC</v>
      </c>
      <c r="B667" s="14" t="str">
        <f aca="false">Country_Data!$E$99</f>
        <v>AE</v>
      </c>
      <c r="C667" s="35" t="s">
        <v>481</v>
      </c>
      <c r="D667" s="37" t="n">
        <f aca="false">IF(Country_Data!$CC$99="","",Country_Data!$CC$99)</f>
        <v>0.0219857519505218</v>
      </c>
      <c r="E667" s="40" t="n">
        <f aca="false">Country_Data!$BW$99</f>
        <v>87.348</v>
      </c>
      <c r="F667" s="41" t="n">
        <f aca="false">Country_Data!$BX$99</f>
        <v>0.566320923203737</v>
      </c>
      <c r="G667" s="42" t="n">
        <f aca="false">IF(D667="","",D667/SUMIFS($D$5:$D$1369,$B$5:$B$1369,B667,$C$5:$C$1369,C667))</f>
        <v>0.000400313559770869</v>
      </c>
      <c r="H667" s="42" t="n">
        <f aca="false">E667/SUMIFS($E$5:$E$1369,$B$5:$B$1369,B667,$C$5:$C$1369,C667)</f>
        <v>0.00110728484484302</v>
      </c>
      <c r="I667" s="43" t="n">
        <f aca="false">IF(G667="",H667,p_beta_alloc*G667+(1-p_beta_alloc)*H667)*F667^p_phi</f>
        <v>0.000567266291242616</v>
      </c>
      <c r="J667" s="16" t="n">
        <f aca="false">INDEX(Sector_Params!$C$20:$E$20,MATCH(B667,Sector_Params!$C$15:$E$15,0))*I667/SUMIFS($I$5:$I$1369,$B$5:$B$1369,B667,$C$5:$C$1369,C667)</f>
        <v>0.096331659319955</v>
      </c>
      <c r="K667" s="28" t="n">
        <f aca="false">INDEX(Sector_Params!$F$9:$H$9,MATCH(B667,Sector_Params!$C$15:$E$15,0))</f>
        <v>0.38</v>
      </c>
      <c r="L667" s="16" t="n">
        <f aca="false">J667*K667</f>
        <v>0.0366060305415829</v>
      </c>
      <c r="M667" s="44" t="n">
        <f aca="false">Country_Data!$DW$99+Sector_Params!$E$9</f>
        <v>0.055</v>
      </c>
      <c r="N667" s="44" t="n">
        <f aca="false">Country_Data!$DX$99+Sector_Params!$E$9</f>
        <v>0.07</v>
      </c>
      <c r="O667" s="11" t="n">
        <f aca="false">IF(p_use_ibrd=1,p_r_ibrd,p_r_wb)</f>
        <v>0.06</v>
      </c>
      <c r="P667" s="45" t="n">
        <f aca="false">Sector_Params!$D$9</f>
        <v>25</v>
      </c>
      <c r="Q667" s="46" t="n">
        <f aca="false">M667/(1-(1+M667)^-P667)</f>
        <v>0.0745493529464385</v>
      </c>
      <c r="R667" s="46" t="n">
        <f aca="false">N667/(1-(1+N667)^-P667)</f>
        <v>0.0858105172206656</v>
      </c>
      <c r="S667" s="46" t="n">
        <f aca="false">O667/(1-(1+O667)^-P667)</f>
        <v>0.078226718212274</v>
      </c>
      <c r="T667" s="37" t="n">
        <f aca="false">Country_Data!$CM$99*Sector_Params!$I$9</f>
        <v>0.0875137697753918</v>
      </c>
      <c r="U667" s="37" t="n">
        <f aca="false">Country_Data!$CN$99*Sector_Params!$J$9</f>
        <v>0.03225</v>
      </c>
      <c r="V667" s="37" t="n">
        <f aca="false">p_a</f>
        <v>0.35</v>
      </c>
      <c r="W667" s="16" t="n">
        <f aca="false">T667*L667</f>
        <v>0.00320353172920705</v>
      </c>
      <c r="X667" s="16" t="n">
        <f aca="false">U667*L667</f>
        <v>0.00118054448496605</v>
      </c>
      <c r="Y667" s="16" t="n">
        <f aca="false">V667*L667</f>
        <v>0.012812110689554</v>
      </c>
      <c r="Z667" s="16" t="n">
        <f aca="false">Q667*L667</f>
        <v>0.00272895589081257</v>
      </c>
      <c r="AA667" s="16" t="n">
        <f aca="false">R667*L667</f>
        <v>0.00314118241416871</v>
      </c>
      <c r="AB667" s="16" t="n">
        <f aca="false">S667*L667</f>
        <v>0.0028635696360463</v>
      </c>
      <c r="AC667" s="16" t="n">
        <f aca="false">Z667-W667</f>
        <v>-0.000474575838394474</v>
      </c>
      <c r="AD667" s="16" t="n">
        <f aca="false">AA667-W667</f>
        <v>-6.2349315038335E-005</v>
      </c>
      <c r="AE667" s="16" t="n">
        <f aca="false">AB667-W667</f>
        <v>-0.000339962093160746</v>
      </c>
      <c r="AF667" s="16" t="n">
        <f aca="false">AE667-X667</f>
        <v>-0.00152050657812679</v>
      </c>
      <c r="AG667" s="16" t="n">
        <f aca="false">AF667-p_spc_lo*Y667/1000</f>
        <v>-0.0021611121126045</v>
      </c>
      <c r="AH667" s="16" t="n">
        <f aca="false">AF667-p_spc_hi*Y667/1000</f>
        <v>-0.0028017176470822</v>
      </c>
      <c r="AI667" s="16" t="n">
        <f aca="false">Q667*J667</f>
        <v>0.0071814628705594</v>
      </c>
      <c r="AJ667" s="16" t="n">
        <f aca="false">S667*J667</f>
        <v>0.00753570956854289</v>
      </c>
      <c r="AK667" s="16" t="n">
        <f aca="false">T667*J667</f>
        <v>0.00843034665580801</v>
      </c>
      <c r="AL667" s="16" t="n">
        <f aca="false">U667*J667</f>
        <v>0.00310669601306855</v>
      </c>
      <c r="AM667" s="16" t="n">
        <f aca="false">AI667-AJ667</f>
        <v>-0.000354246697983494</v>
      </c>
      <c r="AN667" s="16" t="n">
        <f aca="false">J667*Country_Data!$EB$99</f>
        <v>0.100649975082574</v>
      </c>
      <c r="AO667" s="16" t="n">
        <f aca="false">L667*Country_Data!$EB$99</f>
        <v>0.038246990531378</v>
      </c>
    </row>
    <row r="668" customFormat="false" ht="15" hidden="false" customHeight="false" outlineLevel="0" collapsed="false">
      <c r="A668" s="14" t="str">
        <f aca="false">Country_Data!$A$99</f>
        <v>MAC</v>
      </c>
      <c r="B668" s="14" t="str">
        <f aca="false">Country_Data!$E$99</f>
        <v>AE</v>
      </c>
      <c r="C668" s="35" t="s">
        <v>484</v>
      </c>
      <c r="D668" s="37" t="n">
        <f aca="false">IF(Country_Data!$CD$99="","",Country_Data!$CD$99)</f>
        <v>0.0148131981814801</v>
      </c>
      <c r="E668" s="40" t="n">
        <f aca="false">Country_Data!$BW$99</f>
        <v>87.348</v>
      </c>
      <c r="F668" s="41" t="n">
        <f aca="false">Country_Data!$BX$99</f>
        <v>0.566320923203737</v>
      </c>
      <c r="G668" s="42" t="n">
        <f aca="false">IF(D668="","",D668/SUMIFS($D$5:$D$1369,$B$5:$B$1369,B668,$C$5:$C$1369,C668))</f>
        <v>0.000100224508135142</v>
      </c>
      <c r="H668" s="42" t="n">
        <f aca="false">E668/SUMIFS($E$5:$E$1369,$B$5:$B$1369,B668,$C$5:$C$1369,C668)</f>
        <v>0.00110728484484302</v>
      </c>
      <c r="I668" s="43" t="n">
        <f aca="false">IF(G668="",H668,p_beta_alloc*G668+(1-p_beta_alloc)*H668)*F668^p_phi</f>
        <v>0.000454351338001133</v>
      </c>
      <c r="J668" s="16" t="n">
        <f aca="false">INDEX(Sector_Params!$C$21:$E$21,MATCH(B668,Sector_Params!$C$15:$E$15,0))*I668/SUMIFS($I$5:$I$1369,$B$5:$B$1369,B668,$C$5:$C$1369,C668)</f>
        <v>0.092573965048403</v>
      </c>
      <c r="K668" s="28" t="n">
        <f aca="false">INDEX(Sector_Params!$F$10:$H$10,MATCH(B668,Sector_Params!$C$15:$E$15,0))</f>
        <v>0.38</v>
      </c>
      <c r="L668" s="16" t="n">
        <f aca="false">J668*K668</f>
        <v>0.0351781067183931</v>
      </c>
      <c r="M668" s="44" t="n">
        <f aca="false">Country_Data!$DW$99+Sector_Params!$E$10</f>
        <v>0.055</v>
      </c>
      <c r="N668" s="44" t="n">
        <f aca="false">Country_Data!$DX$99+Sector_Params!$E$10</f>
        <v>0.07</v>
      </c>
      <c r="O668" s="11" t="n">
        <f aca="false">IF(p_use_ibrd=1,p_r_ibrd,p_r_wb)</f>
        <v>0.06</v>
      </c>
      <c r="P668" s="45" t="n">
        <f aca="false">Sector_Params!$D$10</f>
        <v>20</v>
      </c>
      <c r="Q668" s="46" t="n">
        <f aca="false">M668/(1-(1+M668)^-P668)</f>
        <v>0.0836793300349332</v>
      </c>
      <c r="R668" s="46" t="n">
        <f aca="false">N668/(1-(1+N668)^-P668)</f>
        <v>0.0943929257432557</v>
      </c>
      <c r="S668" s="46" t="n">
        <f aca="false">O668/(1-(1+O668)^-P668)</f>
        <v>0.0871845569768514</v>
      </c>
      <c r="T668" s="37" t="n">
        <f aca="false">0*Sector_Params!$I$10</f>
        <v>0</v>
      </c>
      <c r="U668" s="37" t="n">
        <f aca="false">0*Sector_Params!$J$10</f>
        <v>0</v>
      </c>
      <c r="V668" s="37" t="n">
        <f aca="false">1000*p_r_wb/(1-(1+p_r_wb)^-Sector_Params!$D$10)/p_cpt_fuel</f>
        <v>0.871845569768514</v>
      </c>
      <c r="W668" s="16" t="n">
        <f aca="false">T668*L668</f>
        <v>0</v>
      </c>
      <c r="X668" s="16" t="n">
        <f aca="false">U668*L668</f>
        <v>0</v>
      </c>
      <c r="Y668" s="16" t="n">
        <f aca="false">V668*L668</f>
        <v>0.0306698764952751</v>
      </c>
      <c r="Z668" s="16" t="n">
        <f aca="false">Q668*L668</f>
        <v>0.00294368040209252</v>
      </c>
      <c r="AA668" s="16" t="n">
        <f aca="false">R668*L668</f>
        <v>0.00332056441525761</v>
      </c>
      <c r="AB668" s="16" t="n">
        <f aca="false">S668*L668</f>
        <v>0.00306698764952751</v>
      </c>
      <c r="AC668" s="16" t="n">
        <f aca="false">Z668-W668</f>
        <v>0.00294368040209252</v>
      </c>
      <c r="AD668" s="16" t="n">
        <f aca="false">AA668-W668</f>
        <v>0.00332056441525761</v>
      </c>
      <c r="AE668" s="16" t="n">
        <f aca="false">AB668-W668</f>
        <v>0.00306698764952751</v>
      </c>
      <c r="AF668" s="16" t="n">
        <f aca="false">AE668-X668</f>
        <v>0.00306698764952751</v>
      </c>
      <c r="AG668" s="16" t="n">
        <f aca="false">AF668-p_spc_lo*Y668/1000</f>
        <v>0.00153349382476375</v>
      </c>
      <c r="AH668" s="16" t="n">
        <f aca="false">AF668-p_spc_hi*Y668/1000</f>
        <v>0</v>
      </c>
      <c r="AI668" s="16" t="n">
        <f aca="false">Q668*J668</f>
        <v>0.00774652737392769</v>
      </c>
      <c r="AJ668" s="16" t="n">
        <f aca="false">S668*J668</f>
        <v>0.00807102013033554</v>
      </c>
      <c r="AK668" s="16" t="n">
        <f aca="false">T668*J668</f>
        <v>0</v>
      </c>
      <c r="AL668" s="16" t="n">
        <f aca="false">U668*J668</f>
        <v>0</v>
      </c>
      <c r="AM668" s="16" t="n">
        <f aca="false">AI668-AJ668</f>
        <v>-0.000324492756407855</v>
      </c>
      <c r="AN668" s="16" t="n">
        <f aca="false">J668*Country_Data!$EB$99</f>
        <v>0.0967238324471245</v>
      </c>
      <c r="AO668" s="16" t="n">
        <f aca="false">L668*Country_Data!$EB$99</f>
        <v>0.0367550563299073</v>
      </c>
    </row>
    <row r="669" customFormat="false" ht="15" hidden="false" customHeight="false" outlineLevel="0" collapsed="false">
      <c r="A669" s="14" t="str">
        <f aca="false">Country_Data!$A$99</f>
        <v>MAC</v>
      </c>
      <c r="B669" s="14" t="str">
        <f aca="false">Country_Data!$E$99</f>
        <v>AE</v>
      </c>
      <c r="C669" s="35" t="s">
        <v>488</v>
      </c>
      <c r="D669" s="37" t="n">
        <f aca="false">IF(Country_Data!$CE$99="","",Country_Data!$CE$99)</f>
        <v>0.17</v>
      </c>
      <c r="E669" s="40" t="n">
        <f aca="false">Country_Data!$BW$99</f>
        <v>87.348</v>
      </c>
      <c r="F669" s="41" t="n">
        <f aca="false">Country_Data!$BX$99</f>
        <v>0.566320923203737</v>
      </c>
      <c r="G669" s="42" t="n">
        <f aca="false">IF(D669="","",D669/SUMIFS($D$5:$D$1369,$B$5:$B$1369,B669,$C$5:$C$1369,C669))</f>
        <v>6.48787111576881E-005</v>
      </c>
      <c r="H669" s="42" t="n">
        <f aca="false">E669/SUMIFS($E$5:$E$1369,$B$5:$B$1369,B669,$C$5:$C$1369,C669)</f>
        <v>0.00110728484484302</v>
      </c>
      <c r="I669" s="43" t="n">
        <f aca="false">IF(G669="",H669,p_beta_alloc*G669+(1-p_beta_alloc)*H669)*F669^p_phi</f>
        <v>0.000441051722466218</v>
      </c>
      <c r="J669" s="16" t="n">
        <f aca="false">INDEX(Sector_Params!$C$22:$E$22,MATCH(B669,Sector_Params!$C$15:$E$15,0))*I669/SUMIFS($I$5:$I$1369,$B$5:$B$1369,B669,$C$5:$C$1369,C669)</f>
        <v>0.0170897057229008</v>
      </c>
      <c r="K669" s="28" t="n">
        <f aca="false">INDEX(Sector_Params!$F$11:$H$11,MATCH(B669,Sector_Params!$C$15:$E$15,0))</f>
        <v>0.38</v>
      </c>
      <c r="L669" s="16" t="n">
        <f aca="false">J669*K669</f>
        <v>0.00649408817470229</v>
      </c>
      <c r="M669" s="44" t="n">
        <f aca="false">Country_Data!$DW$99+Sector_Params!$E$11</f>
        <v>0.055</v>
      </c>
      <c r="N669" s="44" t="n">
        <f aca="false">Country_Data!$DX$99+Sector_Params!$E$11</f>
        <v>0.07</v>
      </c>
      <c r="O669" s="11" t="n">
        <f aca="false">IF(p_use_ibrd=1,p_r_ibrd,p_r_wb)</f>
        <v>0.06</v>
      </c>
      <c r="P669" s="45" t="n">
        <f aca="false">Sector_Params!$D$11</f>
        <v>30</v>
      </c>
      <c r="Q669" s="46" t="n">
        <f aca="false">M669/(1-(1+M669)^-P669)</f>
        <v>0.0688053896793896</v>
      </c>
      <c r="R669" s="46" t="n">
        <f aca="false">N669/(1-(1+N669)^-P669)</f>
        <v>0.0805864035111112</v>
      </c>
      <c r="S669" s="46" t="n">
        <f aca="false">O669/(1-(1+O669)^-P669)</f>
        <v>0.0726489114900472</v>
      </c>
      <c r="T669" s="37" t="n">
        <f aca="false">0*Sector_Params!$I$11</f>
        <v>0</v>
      </c>
      <c r="U669" s="37" t="n">
        <f aca="false">p_c*Sector_Params!$J$11</f>
        <v>0.129</v>
      </c>
      <c r="V669" s="37" t="n">
        <f aca="false">1000*p_r_wb/(1-(1+p_r_wb)^-Sector_Params!$D$11)/p_cpt_afolu</f>
        <v>1.45297822980094</v>
      </c>
      <c r="W669" s="16" t="n">
        <f aca="false">T669*L669</f>
        <v>0</v>
      </c>
      <c r="X669" s="16" t="n">
        <f aca="false">U669*L669</f>
        <v>0.000837737374536595</v>
      </c>
      <c r="Y669" s="16" t="n">
        <f aca="false">V669*L669</f>
        <v>0.00943576874025017</v>
      </c>
      <c r="Z669" s="16" t="n">
        <f aca="false">Q669*L669</f>
        <v>0.000446828267472707</v>
      </c>
      <c r="AA669" s="16" t="n">
        <f aca="false">R669*L669</f>
        <v>0.000523335210083294</v>
      </c>
      <c r="AB669" s="16" t="n">
        <f aca="false">S669*L669</f>
        <v>0.000471788437012509</v>
      </c>
      <c r="AC669" s="16" t="n">
        <f aca="false">Z669-W669</f>
        <v>0.000446828267472707</v>
      </c>
      <c r="AD669" s="16" t="n">
        <f aca="false">AA669-W669</f>
        <v>0.000523335210083294</v>
      </c>
      <c r="AE669" s="16" t="n">
        <f aca="false">AB669-W669</f>
        <v>0.000471788437012509</v>
      </c>
      <c r="AF669" s="16" t="n">
        <f aca="false">AE669-X669</f>
        <v>-0.000365948937524086</v>
      </c>
      <c r="AG669" s="16" t="n">
        <f aca="false">AF669-p_spc_lo*Y669/1000</f>
        <v>-0.000837737374536595</v>
      </c>
      <c r="AH669" s="16" t="n">
        <f aca="false">AF669-p_spc_hi*Y669/1000</f>
        <v>-0.0013095258115491</v>
      </c>
      <c r="AI669" s="16" t="n">
        <f aca="false">Q669*J669</f>
        <v>0.00117586386177028</v>
      </c>
      <c r="AJ669" s="16" t="n">
        <f aca="false">S669*J669</f>
        <v>0.00124154851845397</v>
      </c>
      <c r="AK669" s="16" t="n">
        <f aca="false">T669*J669</f>
        <v>0</v>
      </c>
      <c r="AL669" s="16" t="n">
        <f aca="false">U669*J669</f>
        <v>0.0022045720382542</v>
      </c>
      <c r="AM669" s="16" t="n">
        <f aca="false">AI669-AJ669</f>
        <v>-6.56846566836893E-005</v>
      </c>
      <c r="AN669" s="16" t="n">
        <f aca="false">J669*Country_Data!$EB$99</f>
        <v>0.0178557959794446</v>
      </c>
      <c r="AO669" s="16" t="n">
        <f aca="false">L669*Country_Data!$EB$99</f>
        <v>0.00678520247218894</v>
      </c>
    </row>
    <row r="670" customFormat="false" ht="15" hidden="false" customHeight="false" outlineLevel="0" collapsed="false">
      <c r="A670" s="14" t="str">
        <f aca="false">Country_Data!$A$100</f>
        <v>LBY</v>
      </c>
      <c r="B670" s="14" t="str">
        <f aca="false">Country_Data!$E$100</f>
        <v>EMDC</v>
      </c>
      <c r="C670" s="35" t="s">
        <v>466</v>
      </c>
      <c r="D670" s="37" t="n">
        <f aca="false">IF(Country_Data!$BZ$100="","",Country_Data!$BZ$100)</f>
        <v>40.4303085651217</v>
      </c>
      <c r="E670" s="40" t="n">
        <f aca="false">Country_Data!$BW$100</f>
        <v>107.99</v>
      </c>
      <c r="F670" s="41" t="n">
        <f aca="false">Country_Data!$BX$100</f>
        <v>0.456977497916474</v>
      </c>
      <c r="G670" s="42" t="n">
        <f aca="false">IF(D670="","",D670/SUMIFS($D$5:$D$1369,$B$5:$B$1369,B670,$C$5:$C$1369,C670))</f>
        <v>0.00461561036185336</v>
      </c>
      <c r="H670" s="42" t="n">
        <f aca="false">E670/SUMIFS($E$5:$E$1369,$B$5:$B$1369,B670,$C$5:$C$1369,C670)</f>
        <v>0.00133763745652431</v>
      </c>
      <c r="I670" s="43" t="n">
        <f aca="false">IF(G670="",H670,p_beta_alloc*G670+(1-p_beta_alloc)*H670)*F670^p_phi</f>
        <v>0.00201220106048912</v>
      </c>
      <c r="J670" s="16" t="n">
        <f aca="false">INDEX(Sector_Params!$C$16:$E$16,MATCH(B670,Sector_Params!$C$15:$E$15,0))*I670/SUMIFS($I$5:$I$1369,$B$5:$B$1369,B670,$C$5:$C$1369,C670)</f>
        <v>1.9462518794002</v>
      </c>
      <c r="K670" s="28" t="n">
        <f aca="false">INDEX(Sector_Params!$F$5:$H$5,MATCH(B670,Sector_Params!$C$15:$E$15,0))</f>
        <v>0.24</v>
      </c>
      <c r="L670" s="16" t="n">
        <f aca="false">J670*K670</f>
        <v>0.467100451056048</v>
      </c>
      <c r="M670" s="44" t="n">
        <f aca="false">Country_Data!$DW$100+Sector_Params!$E$5</f>
        <v>0.105</v>
      </c>
      <c r="N670" s="44" t="n">
        <f aca="false">Country_Data!$DX$100+Sector_Params!$E$5</f>
        <v>0.15</v>
      </c>
      <c r="O670" s="11" t="n">
        <f aca="false">IF(p_use_ibrd=1,p_r_ibrd,p_r_wb)</f>
        <v>0.06</v>
      </c>
      <c r="P670" s="45" t="n">
        <f aca="false">Sector_Params!$D$5</f>
        <v>25</v>
      </c>
      <c r="Q670" s="46" t="n">
        <f aca="false">M670/(1-(1+M670)^-P670)</f>
        <v>0.114429319813103</v>
      </c>
      <c r="R670" s="46" t="n">
        <f aca="false">N670/(1-(1+N670)^-P670)</f>
        <v>0.154699402320206</v>
      </c>
      <c r="S670" s="46" t="n">
        <f aca="false">O670/(1-(1+O670)^-P670)</f>
        <v>0.078226718212274</v>
      </c>
      <c r="T670" s="37" t="n">
        <f aca="false">IF(AND(p_eng=1,ISNUMBER(Country_Data!$CZ$100)),Country_Data!$CZ$100,Country_Data!$CM$100)*Sector_Params!$I$5</f>
        <v>0.177786734935594</v>
      </c>
      <c r="U670" s="37" t="n">
        <f aca="false">IF(AND(p_eng=1,ISNUMBER(Country_Data!$DA$100)),Country_Data!$DA$100,Country_Data!$CN$100)*Sector_Params!$J$5</f>
        <v>0.0106557041314278</v>
      </c>
      <c r="V670" s="37" t="n">
        <f aca="false">IF(AND(p_eng=1,ISNUMBER(Country_Data!$DB$100)),Country_Data!$DB$100,p_a)</f>
        <v>1.19746143425263</v>
      </c>
      <c r="W670" s="16" t="n">
        <f aca="false">T670*L670</f>
        <v>0.0830442640801979</v>
      </c>
      <c r="X670" s="16" t="n">
        <f aca="false">U670*L670</f>
        <v>0.00497728420610972</v>
      </c>
      <c r="Y670" s="16" t="n">
        <f aca="false">V670*L670</f>
        <v>0.559334776061627</v>
      </c>
      <c r="Z670" s="16" t="n">
        <f aca="false">Q670*L670</f>
        <v>0.0534499868987374</v>
      </c>
      <c r="AA670" s="16" t="n">
        <f aca="false">R670*L670</f>
        <v>0.0722601606018695</v>
      </c>
      <c r="AB670" s="16" t="n">
        <f aca="false">S670*L670</f>
        <v>0.0365397353615876</v>
      </c>
      <c r="AC670" s="16" t="n">
        <f aca="false">Z670-W670</f>
        <v>-0.0295942771814605</v>
      </c>
      <c r="AD670" s="16" t="n">
        <f aca="false">AA670-W670</f>
        <v>-0.0107841034783283</v>
      </c>
      <c r="AE670" s="16" t="n">
        <f aca="false">AB670-W670</f>
        <v>-0.0465045287186103</v>
      </c>
      <c r="AF670" s="16" t="n">
        <f aca="false">AE670-X670</f>
        <v>-0.05148181292472</v>
      </c>
      <c r="AG670" s="16" t="n">
        <f aca="false">AF670-p_spc_lo*Y670/1000</f>
        <v>-0.0794485517278014</v>
      </c>
      <c r="AH670" s="16" t="n">
        <f aca="false">AF670-p_spc_hi*Y670/1000</f>
        <v>-0.107415290530883</v>
      </c>
      <c r="AI670" s="16" t="n">
        <f aca="false">Q670*J670</f>
        <v>0.222708278744739</v>
      </c>
      <c r="AJ670" s="16" t="n">
        <f aca="false">S670*J670</f>
        <v>0.152248897339948</v>
      </c>
      <c r="AK670" s="16" t="n">
        <f aca="false">T670*J670</f>
        <v>0.346017767000825</v>
      </c>
      <c r="AL670" s="16" t="n">
        <f aca="false">U670*J670</f>
        <v>0.0207386841921238</v>
      </c>
      <c r="AM670" s="16" t="n">
        <f aca="false">AI670-AJ670</f>
        <v>0.0704593814047909</v>
      </c>
      <c r="AN670" s="16" t="n">
        <f aca="false">J670*Country_Data!$EB$100</f>
        <v>2.23419051361284</v>
      </c>
      <c r="AO670" s="16" t="n">
        <f aca="false">L670*Country_Data!$EB$100</f>
        <v>0.53620572326708</v>
      </c>
    </row>
    <row r="671" customFormat="false" ht="15" hidden="false" customHeight="false" outlineLevel="0" collapsed="false">
      <c r="A671" s="14" t="str">
        <f aca="false">Country_Data!$A$100</f>
        <v>LBY</v>
      </c>
      <c r="B671" s="14" t="str">
        <f aca="false">Country_Data!$E$100</f>
        <v>EMDC</v>
      </c>
      <c r="C671" s="35" t="s">
        <v>470</v>
      </c>
      <c r="D671" s="37" t="n">
        <f aca="false">IF(Country_Data!$BZ$100="","",Country_Data!$BZ$100)</f>
        <v>40.4303085651217</v>
      </c>
      <c r="E671" s="40" t="n">
        <f aca="false">Country_Data!$BW$100</f>
        <v>107.99</v>
      </c>
      <c r="F671" s="41" t="n">
        <f aca="false">Country_Data!$BX$100</f>
        <v>0.456977497916474</v>
      </c>
      <c r="G671" s="42" t="n">
        <f aca="false">IF(D671="","",D671/SUMIFS($D$5:$D$1369,$B$5:$B$1369,B671,$C$5:$C$1369,C671))</f>
        <v>0.00461561036185336</v>
      </c>
      <c r="H671" s="42" t="n">
        <f aca="false">E671/SUMIFS($E$5:$E$1369,$B$5:$B$1369,B671,$C$5:$C$1369,C671)</f>
        <v>0.00133763745652431</v>
      </c>
      <c r="I671" s="43" t="n">
        <f aca="false">IF(G671="",H671,p_beta_alloc*G671+(1-p_beta_alloc)*H671)*F671^p_phi</f>
        <v>0.00201220106048912</v>
      </c>
      <c r="J671" s="16" t="n">
        <f aca="false">INDEX(Sector_Params!$C$17:$E$17,MATCH(B671,Sector_Params!$C$15:$E$15,0))*I671/SUMIFS($I$5:$I$1369,$B$5:$B$1369,B671,$C$5:$C$1369,C671)</f>
        <v>1.334572717303</v>
      </c>
      <c r="K671" s="28" t="n">
        <f aca="false">INDEX(Sector_Params!$F$6:$H$6,MATCH(B671,Sector_Params!$C$15:$E$15,0))</f>
        <v>0.24</v>
      </c>
      <c r="L671" s="16" t="n">
        <f aca="false">J671*K671</f>
        <v>0.320297452152719</v>
      </c>
      <c r="M671" s="44" t="n">
        <f aca="false">Country_Data!$DW$100+Sector_Params!$E$6</f>
        <v>0.105</v>
      </c>
      <c r="N671" s="44" t="n">
        <f aca="false">Country_Data!$DX$100+Sector_Params!$E$6</f>
        <v>0.15</v>
      </c>
      <c r="O671" s="11" t="n">
        <f aca="false">IF(p_use_ibrd=1,p_r_ibrd,p_r_wb)</f>
        <v>0.06</v>
      </c>
      <c r="P671" s="45" t="n">
        <f aca="false">Sector_Params!$D$6</f>
        <v>40</v>
      </c>
      <c r="Q671" s="46" t="n">
        <f aca="false">M671/(1-(1+M671)^-P671)</f>
        <v>0.10697140835497</v>
      </c>
      <c r="R671" s="46" t="n">
        <f aca="false">N671/(1-(1+N671)^-P671)</f>
        <v>0.150562085013545</v>
      </c>
      <c r="S671" s="46" t="n">
        <f aca="false">O671/(1-(1+O671)^-P671)</f>
        <v>0.0664615359206755</v>
      </c>
      <c r="T671" s="37" t="n">
        <f aca="false">p_grid_credit*IF(AND(p_eng=1,ISNUMBER(Country_Data!$CZ$100)),Country_Data!$CZ$100,Country_Data!$CM$100)*Sector_Params!$I$6</f>
        <v>0</v>
      </c>
      <c r="U671" s="37" t="n">
        <f aca="false">p_grid_credit*IF(AND(p_eng=1,ISNUMBER(Country_Data!$DA$100)),Country_Data!$DA$100,Country_Data!$CN$100)*Sector_Params!$J$6</f>
        <v>0</v>
      </c>
      <c r="V671" s="37" t="n">
        <f aca="false">p_grid_credit*IF(AND(p_eng=1,ISNUMBER(Country_Data!$DB$100)),Country_Data!$DB$100,p_a)</f>
        <v>0</v>
      </c>
      <c r="W671" s="16" t="n">
        <f aca="false">T671*L671</f>
        <v>0</v>
      </c>
      <c r="X671" s="16" t="n">
        <f aca="false">U671*L671</f>
        <v>0</v>
      </c>
      <c r="Y671" s="16" t="n">
        <f aca="false">V671*L671</f>
        <v>0</v>
      </c>
      <c r="Z671" s="16" t="n">
        <f aca="false">Q671*L671</f>
        <v>0.0342626695492851</v>
      </c>
      <c r="AA671" s="16" t="n">
        <f aca="false">R671*L671</f>
        <v>0.0482246522206395</v>
      </c>
      <c r="AB671" s="16" t="n">
        <f aca="false">S671*L671</f>
        <v>0.0212874606215488</v>
      </c>
      <c r="AC671" s="16" t="n">
        <f aca="false">Z671-W671</f>
        <v>0.0342626695492851</v>
      </c>
      <c r="AD671" s="16" t="n">
        <f aca="false">AA671-W671</f>
        <v>0.0482246522206395</v>
      </c>
      <c r="AE671" s="16" t="n">
        <f aca="false">AB671-W671</f>
        <v>0.0212874606215488</v>
      </c>
      <c r="AF671" s="16" t="n">
        <f aca="false">AE671-X671</f>
        <v>0.0212874606215488</v>
      </c>
      <c r="AG671" s="16" t="n">
        <f aca="false">AF671-p_spc_lo*Y671/1000</f>
        <v>0.0212874606215488</v>
      </c>
      <c r="AH671" s="16" t="n">
        <f aca="false">AF671-p_spc_hi*Y671/1000</f>
        <v>0.0212874606215488</v>
      </c>
      <c r="AI671" s="16" t="n">
        <f aca="false">Q671*J671</f>
        <v>0.142761123122021</v>
      </c>
      <c r="AJ671" s="16" t="n">
        <f aca="false">S671*J671</f>
        <v>0.0886977525897865</v>
      </c>
      <c r="AK671" s="16" t="n">
        <f aca="false">T671*J671</f>
        <v>0</v>
      </c>
      <c r="AL671" s="16" t="n">
        <f aca="false">U671*J671</f>
        <v>0</v>
      </c>
      <c r="AM671" s="16" t="n">
        <f aca="false">AI671-AJ671</f>
        <v>0.0540633705322346</v>
      </c>
      <c r="AN671" s="16" t="n">
        <f aca="false">J671*Country_Data!$EB$100</f>
        <v>1.53201635219166</v>
      </c>
      <c r="AO671" s="16" t="n">
        <f aca="false">L671*Country_Data!$EB$100</f>
        <v>0.367683924525998</v>
      </c>
    </row>
    <row r="672" customFormat="false" ht="15" hidden="false" customHeight="false" outlineLevel="0" collapsed="false">
      <c r="A672" s="14" t="str">
        <f aca="false">Country_Data!$A$100</f>
        <v>LBY</v>
      </c>
      <c r="B672" s="14" t="str">
        <f aca="false">Country_Data!$E$100</f>
        <v>EMDC</v>
      </c>
      <c r="C672" s="35" t="s">
        <v>473</v>
      </c>
      <c r="D672" s="37" t="n">
        <f aca="false">IF(Country_Data!$CA$100="","",Country_Data!$CA$100)</f>
        <v>0.238284080975935</v>
      </c>
      <c r="E672" s="40" t="n">
        <f aca="false">Country_Data!$BW$100</f>
        <v>107.99</v>
      </c>
      <c r="F672" s="41" t="n">
        <f aca="false">Country_Data!$BX$100</f>
        <v>0.456977497916474</v>
      </c>
      <c r="G672" s="42" t="n">
        <f aca="false">IF(D672="","",D672/SUMIFS($D$5:$D$1369,$B$5:$B$1369,B672,$C$5:$C$1369,C672))</f>
        <v>0.00550491668954906</v>
      </c>
      <c r="H672" s="42" t="n">
        <f aca="false">E672/SUMIFS($E$5:$E$1369,$B$5:$B$1369,B672,$C$5:$C$1369,C672)</f>
        <v>0.00133763745652431</v>
      </c>
      <c r="I672" s="43" t="n">
        <f aca="false">IF(G672="",H672,p_beta_alloc*G672+(1-p_beta_alloc)*H672)*F672^p_phi</f>
        <v>0.00231278709189283</v>
      </c>
      <c r="J672" s="16" t="n">
        <f aca="false">INDEX(Sector_Params!$C$18:$E$18,MATCH(B672,Sector_Params!$C$15:$E$15,0))*I672/SUMIFS($I$5:$I$1369,$B$5:$B$1369,B672,$C$5:$C$1369,C672)</f>
        <v>0.947031590779048</v>
      </c>
      <c r="K672" s="28" t="n">
        <f aca="false">INDEX(Sector_Params!$F$7:$H$7,MATCH(B672,Sector_Params!$C$15:$E$15,0))</f>
        <v>0.24</v>
      </c>
      <c r="L672" s="16" t="n">
        <f aca="false">J672*K672</f>
        <v>0.227287581786971</v>
      </c>
      <c r="M672" s="44" t="n">
        <f aca="false">Country_Data!$DW$100+Sector_Params!$E$7</f>
        <v>0.105</v>
      </c>
      <c r="N672" s="44" t="n">
        <f aca="false">Country_Data!$DX$100+Sector_Params!$E$7</f>
        <v>0.15</v>
      </c>
      <c r="O672" s="11" t="n">
        <f aca="false">IF(p_use_ibrd=1,p_r_ibrd,p_r_wb)</f>
        <v>0.06</v>
      </c>
      <c r="P672" s="45" t="n">
        <f aca="false">Sector_Params!$D$7</f>
        <v>12</v>
      </c>
      <c r="Q672" s="46" t="n">
        <f aca="false">M672/(1-(1+M672)^-P672)</f>
        <v>0.150376745634766</v>
      </c>
      <c r="R672" s="46" t="n">
        <f aca="false">N672/(1-(1+N672)^-P672)</f>
        <v>0.18448077613084</v>
      </c>
      <c r="S672" s="46" t="n">
        <f aca="false">O672/(1-(1+O672)^-P672)</f>
        <v>0.119277029380664</v>
      </c>
      <c r="T672" s="37" t="n">
        <f aca="false">IF(AND(p_eng=1,ISNUMBER(Country_Data!$DE$100)),Country_Data!$DE$100,Country_Data!$CM$100)*Sector_Params!$I$7</f>
        <v>0.15858</v>
      </c>
      <c r="U672" s="37" t="n">
        <f aca="false">IF(AND(p_eng=1,ISNUMBER(Country_Data!$DF$100)),Country_Data!$DF$100,Country_Data!$CN$100)*Sector_Params!$J$7</f>
        <v>0.00939195</v>
      </c>
      <c r="V672" s="37" t="n">
        <f aca="false">IF(AND(p_eng=1,ISNUMBER(Country_Data!$DG$100)),Country_Data!$DG$100,p_a)</f>
        <v>0.252277801821336</v>
      </c>
      <c r="W672" s="16" t="n">
        <f aca="false">T672*L672</f>
        <v>0.0360432647197779</v>
      </c>
      <c r="X672" s="16" t="n">
        <f aca="false">U672*L672</f>
        <v>0.00213467360376415</v>
      </c>
      <c r="Y672" s="16" t="n">
        <f aca="false">V672*L672</f>
        <v>0.0573396115145042</v>
      </c>
      <c r="Z672" s="16" t="n">
        <f aca="false">Q672*L672</f>
        <v>0.0341787668723204</v>
      </c>
      <c r="AA672" s="16" t="n">
        <f aca="false">R672*L672</f>
        <v>0.0419301894929622</v>
      </c>
      <c r="AB672" s="16" t="n">
        <f aca="false">S672*L672</f>
        <v>0.0271101875706646</v>
      </c>
      <c r="AC672" s="16" t="n">
        <f aca="false">Z672-W672</f>
        <v>-0.00186449784745752</v>
      </c>
      <c r="AD672" s="16" t="n">
        <f aca="false">AA672-W672</f>
        <v>0.00588692477318423</v>
      </c>
      <c r="AE672" s="16" t="n">
        <f aca="false">AB672-W672</f>
        <v>-0.00893307714911337</v>
      </c>
      <c r="AF672" s="16" t="n">
        <f aca="false">AE672-X672</f>
        <v>-0.0110677507528775</v>
      </c>
      <c r="AG672" s="16" t="n">
        <f aca="false">AF672-p_spc_lo*Y672/1000</f>
        <v>-0.0139347313286027</v>
      </c>
      <c r="AH672" s="16" t="n">
        <f aca="false">AF672-p_spc_hi*Y672/1000</f>
        <v>-0.0168017119043279</v>
      </c>
      <c r="AI672" s="16" t="n">
        <f aca="false">Q672*J672</f>
        <v>0.142411528634668</v>
      </c>
      <c r="AJ672" s="16" t="n">
        <f aca="false">S672*J672</f>
        <v>0.112959114877769</v>
      </c>
      <c r="AK672" s="16" t="n">
        <f aca="false">T672*J672</f>
        <v>0.150180269665741</v>
      </c>
      <c r="AL672" s="16" t="n">
        <f aca="false">U672*J672</f>
        <v>0.00889447334901728</v>
      </c>
      <c r="AM672" s="16" t="n">
        <f aca="false">AI672-AJ672</f>
        <v>0.0294524137568994</v>
      </c>
      <c r="AN672" s="16" t="n">
        <f aca="false">J672*Country_Data!$EB$100</f>
        <v>1.08714037407239</v>
      </c>
      <c r="AO672" s="16" t="n">
        <f aca="false">L672*Country_Data!$EB$100</f>
        <v>0.260913689777373</v>
      </c>
    </row>
    <row r="673" customFormat="false" ht="15" hidden="false" customHeight="false" outlineLevel="0" collapsed="false">
      <c r="A673" s="14" t="str">
        <f aca="false">Country_Data!$A$100</f>
        <v>LBY</v>
      </c>
      <c r="B673" s="14" t="str">
        <f aca="false">Country_Data!$E$100</f>
        <v>EMDC</v>
      </c>
      <c r="C673" s="35" t="s">
        <v>477</v>
      </c>
      <c r="D673" s="37" t="n">
        <f aca="false">IF(Country_Data!$CB$100="","",Country_Data!$CB$100)</f>
        <v>0.0920283573104772</v>
      </c>
      <c r="E673" s="40" t="n">
        <f aca="false">Country_Data!$BW$100</f>
        <v>107.99</v>
      </c>
      <c r="F673" s="41" t="n">
        <f aca="false">Country_Data!$BX$100</f>
        <v>0.456977497916474</v>
      </c>
      <c r="G673" s="42" t="n">
        <f aca="false">IF(D673="","",D673/SUMIFS($D$5:$D$1369,$B$5:$B$1369,B673,$C$5:$C$1369,C673))</f>
        <v>0.00290193433237648</v>
      </c>
      <c r="H673" s="42" t="n">
        <f aca="false">E673/SUMIFS($E$5:$E$1369,$B$5:$B$1369,B673,$C$5:$C$1369,C673)</f>
        <v>0.00133763745652431</v>
      </c>
      <c r="I673" s="43" t="n">
        <f aca="false">IF(G673="",H673,p_beta_alloc*G673+(1-p_beta_alloc)*H673)*F673^p_phi</f>
        <v>0.00143297761321327</v>
      </c>
      <c r="J673" s="16" t="n">
        <f aca="false">INDEX(Sector_Params!$C$19:$E$19,MATCH(B673,Sector_Params!$C$15:$E$15,0))*I673/SUMIFS($I$5:$I$1369,$B$5:$B$1369,B673,$C$5:$C$1369,C673)</f>
        <v>0.461221895351715</v>
      </c>
      <c r="K673" s="28" t="n">
        <f aca="false">INDEX(Sector_Params!$F$8:$H$8,MATCH(B673,Sector_Params!$C$15:$E$15,0))</f>
        <v>0.24</v>
      </c>
      <c r="L673" s="16" t="n">
        <f aca="false">J673*K673</f>
        <v>0.110693254884412</v>
      </c>
      <c r="M673" s="44" t="n">
        <f aca="false">Country_Data!$DW$100+Sector_Params!$E$8</f>
        <v>0.105</v>
      </c>
      <c r="N673" s="44" t="n">
        <f aca="false">Country_Data!$DX$100+Sector_Params!$E$8</f>
        <v>0.15</v>
      </c>
      <c r="O673" s="11" t="n">
        <f aca="false">IF(p_use_ibrd=1,p_r_ibrd,p_r_wb)</f>
        <v>0.06</v>
      </c>
      <c r="P673" s="45" t="n">
        <f aca="false">Sector_Params!$D$8</f>
        <v>25</v>
      </c>
      <c r="Q673" s="46" t="n">
        <f aca="false">M673/(1-(1+M673)^-P673)</f>
        <v>0.114429319813103</v>
      </c>
      <c r="R673" s="46" t="n">
        <f aca="false">N673/(1-(1+N673)^-P673)</f>
        <v>0.154699402320206</v>
      </c>
      <c r="S673" s="46" t="n">
        <f aca="false">O673/(1-(1+O673)^-P673)</f>
        <v>0.078226718212274</v>
      </c>
      <c r="T673" s="37" t="n">
        <f aca="false">Country_Data!$CM$100*Sector_Params!$I$8</f>
        <v>0.119956729836437</v>
      </c>
      <c r="U673" s="37" t="n">
        <f aca="false">Country_Data!$CN$100*Sector_Params!$J$8</f>
        <v>0.03225</v>
      </c>
      <c r="V673" s="37" t="n">
        <f aca="false">p_a</f>
        <v>0.35</v>
      </c>
      <c r="W673" s="16" t="n">
        <f aca="false">T673*L673</f>
        <v>0.0132784008708852</v>
      </c>
      <c r="X673" s="16" t="n">
        <f aca="false">U673*L673</f>
        <v>0.00356985747002227</v>
      </c>
      <c r="Y673" s="16" t="n">
        <f aca="false">V673*L673</f>
        <v>0.0387426392095441</v>
      </c>
      <c r="Z673" s="16" t="n">
        <f aca="false">Q673*L673</f>
        <v>0.0126665538643217</v>
      </c>
      <c r="AA673" s="16" t="n">
        <f aca="false">R673*L673</f>
        <v>0.0171241803714967</v>
      </c>
      <c r="AB673" s="16" t="n">
        <f aca="false">S673*L673</f>
        <v>0.00865917005784228</v>
      </c>
      <c r="AC673" s="16" t="n">
        <f aca="false">Z673-W673</f>
        <v>-0.000611847006563535</v>
      </c>
      <c r="AD673" s="16" t="n">
        <f aca="false">AA673-W673</f>
        <v>0.00384577950061152</v>
      </c>
      <c r="AE673" s="16" t="n">
        <f aca="false">AB673-W673</f>
        <v>-0.00461923081304295</v>
      </c>
      <c r="AF673" s="16" t="n">
        <f aca="false">AE673-X673</f>
        <v>-0.00818908828306522</v>
      </c>
      <c r="AG673" s="16" t="n">
        <f aca="false">AF673-p_spc_lo*Y673/1000</f>
        <v>-0.0101262202435424</v>
      </c>
      <c r="AH673" s="16" t="n">
        <f aca="false">AF673-p_spc_hi*Y673/1000</f>
        <v>-0.0120633522040196</v>
      </c>
      <c r="AI673" s="16" t="n">
        <f aca="false">Q673*J673</f>
        <v>0.0527773077680071</v>
      </c>
      <c r="AJ673" s="16" t="n">
        <f aca="false">S673*J673</f>
        <v>0.0360798752410095</v>
      </c>
      <c r="AK673" s="16" t="n">
        <f aca="false">T673*J673</f>
        <v>0.0553266702953551</v>
      </c>
      <c r="AL673" s="16" t="n">
        <f aca="false">U673*J673</f>
        <v>0.0148744061250928</v>
      </c>
      <c r="AM673" s="16" t="n">
        <f aca="false">AI673-AJ673</f>
        <v>0.0166974325269976</v>
      </c>
      <c r="AN673" s="16" t="n">
        <f aca="false">J673*Country_Data!$EB$100</f>
        <v>0.529457463431147</v>
      </c>
      <c r="AO673" s="16" t="n">
        <f aca="false">L673*Country_Data!$EB$100</f>
        <v>0.127069791223475</v>
      </c>
    </row>
    <row r="674" customFormat="false" ht="15" hidden="false" customHeight="false" outlineLevel="0" collapsed="false">
      <c r="A674" s="14" t="str">
        <f aca="false">Country_Data!$A$100</f>
        <v>LBY</v>
      </c>
      <c r="B674" s="14" t="str">
        <f aca="false">Country_Data!$E$100</f>
        <v>EMDC</v>
      </c>
      <c r="C674" s="35" t="s">
        <v>481</v>
      </c>
      <c r="D674" s="37" t="n">
        <f aca="false">IF(Country_Data!$CC$100="","",Country_Data!$CC$100)</f>
        <v>0.328313034551171</v>
      </c>
      <c r="E674" s="40" t="n">
        <f aca="false">Country_Data!$BW$100</f>
        <v>107.99</v>
      </c>
      <c r="F674" s="41" t="n">
        <f aca="false">Country_Data!$BX$100</f>
        <v>0.456977497916474</v>
      </c>
      <c r="G674" s="42" t="n">
        <f aca="false">IF(D674="","",D674/SUMIFS($D$5:$D$1369,$B$5:$B$1369,B674,$C$5:$C$1369,C674))</f>
        <v>0.00468969998468726</v>
      </c>
      <c r="H674" s="42" t="n">
        <f aca="false">E674/SUMIFS($E$5:$E$1369,$B$5:$B$1369,B674,$C$5:$C$1369,C674)</f>
        <v>0.00133763745652431</v>
      </c>
      <c r="I674" s="43" t="n">
        <f aca="false">IF(G674="",H674,p_beta_alloc*G674+(1-p_beta_alloc)*H674)*F674^p_phi</f>
        <v>0.00203724339404987</v>
      </c>
      <c r="J674" s="16" t="n">
        <f aca="false">INDEX(Sector_Params!$C$20:$E$20,MATCH(B674,Sector_Params!$C$15:$E$15,0))*I674/SUMIFS($I$5:$I$1369,$B$5:$B$1369,B674,$C$5:$C$1369,C674)</f>
        <v>0.371837944783913</v>
      </c>
      <c r="K674" s="28" t="n">
        <f aca="false">INDEX(Sector_Params!$F$9:$H$9,MATCH(B674,Sector_Params!$C$15:$E$15,0))</f>
        <v>0.24</v>
      </c>
      <c r="L674" s="16" t="n">
        <f aca="false">J674*K674</f>
        <v>0.089241106748139</v>
      </c>
      <c r="M674" s="44" t="n">
        <f aca="false">Country_Data!$DW$100+Sector_Params!$E$9</f>
        <v>0.105</v>
      </c>
      <c r="N674" s="44" t="n">
        <f aca="false">Country_Data!$DX$100+Sector_Params!$E$9</f>
        <v>0.15</v>
      </c>
      <c r="O674" s="11" t="n">
        <f aca="false">IF(p_use_ibrd=1,p_r_ibrd,p_r_wb)</f>
        <v>0.06</v>
      </c>
      <c r="P674" s="45" t="n">
        <f aca="false">Sector_Params!$D$9</f>
        <v>25</v>
      </c>
      <c r="Q674" s="46" t="n">
        <f aca="false">M674/(1-(1+M674)^-P674)</f>
        <v>0.114429319813103</v>
      </c>
      <c r="R674" s="46" t="n">
        <f aca="false">N674/(1-(1+N674)^-P674)</f>
        <v>0.154699402320206</v>
      </c>
      <c r="S674" s="46" t="n">
        <f aca="false">O674/(1-(1+O674)^-P674)</f>
        <v>0.078226718212274</v>
      </c>
      <c r="T674" s="37" t="n">
        <f aca="false">Country_Data!$CM$100*Sector_Params!$I$9</f>
        <v>0.119956729836437</v>
      </c>
      <c r="U674" s="37" t="n">
        <f aca="false">Country_Data!$CN$100*Sector_Params!$J$9</f>
        <v>0.03225</v>
      </c>
      <c r="V674" s="37" t="n">
        <f aca="false">p_a</f>
        <v>0.35</v>
      </c>
      <c r="W674" s="16" t="n">
        <f aca="false">T674*L674</f>
        <v>0.0107050713324912</v>
      </c>
      <c r="X674" s="16" t="n">
        <f aca="false">U674*L674</f>
        <v>0.00287802569262748</v>
      </c>
      <c r="Y674" s="16" t="n">
        <f aca="false">V674*L674</f>
        <v>0.0312343873618487</v>
      </c>
      <c r="Z674" s="16" t="n">
        <f aca="false">Q674*L674</f>
        <v>0.0102117991445581</v>
      </c>
      <c r="AA674" s="16" t="n">
        <f aca="false">R674*L674</f>
        <v>0.0138055458763309</v>
      </c>
      <c r="AB674" s="16" t="n">
        <f aca="false">S674*L674</f>
        <v>0.00698103891053813</v>
      </c>
      <c r="AC674" s="16" t="n">
        <f aca="false">Z674-W674</f>
        <v>-0.000493272187933061</v>
      </c>
      <c r="AD674" s="16" t="n">
        <f aca="false">AA674-W674</f>
        <v>0.0031004745438397</v>
      </c>
      <c r="AE674" s="16" t="n">
        <f aca="false">AB674-W674</f>
        <v>-0.00372403242195302</v>
      </c>
      <c r="AF674" s="16" t="n">
        <f aca="false">AE674-X674</f>
        <v>-0.00660205811458051</v>
      </c>
      <c r="AG674" s="16" t="n">
        <f aca="false">AF674-p_spc_lo*Y674/1000</f>
        <v>-0.00816377748267294</v>
      </c>
      <c r="AH674" s="16" t="n">
        <f aca="false">AF674-p_spc_hi*Y674/1000</f>
        <v>-0.00972549685076537</v>
      </c>
      <c r="AI674" s="16" t="n">
        <f aca="false">Q674*J674</f>
        <v>0.0425491631023254</v>
      </c>
      <c r="AJ674" s="16" t="n">
        <f aca="false">S674*J674</f>
        <v>0.0290876621272422</v>
      </c>
      <c r="AK674" s="16" t="n">
        <f aca="false">T674*J674</f>
        <v>0.0446044638853798</v>
      </c>
      <c r="AL674" s="16" t="n">
        <f aca="false">U674*J674</f>
        <v>0.0119917737192812</v>
      </c>
      <c r="AM674" s="16" t="n">
        <f aca="false">AI674-AJ674</f>
        <v>0.0134615009750832</v>
      </c>
      <c r="AN674" s="16" t="n">
        <f aca="false">J674*Country_Data!$EB$100</f>
        <v>0.426849585930026</v>
      </c>
      <c r="AO674" s="16" t="n">
        <f aca="false">L674*Country_Data!$EB$100</f>
        <v>0.102443900623206</v>
      </c>
    </row>
    <row r="675" customFormat="false" ht="15" hidden="false" customHeight="false" outlineLevel="0" collapsed="false">
      <c r="A675" s="14" t="str">
        <f aca="false">Country_Data!$A$100</f>
        <v>LBY</v>
      </c>
      <c r="B675" s="14" t="str">
        <f aca="false">Country_Data!$E$100</f>
        <v>EMDC</v>
      </c>
      <c r="C675" s="35" t="s">
        <v>484</v>
      </c>
      <c r="D675" s="37" t="n">
        <f aca="false">IF(Country_Data!$CD$100="","",Country_Data!$CD$100)</f>
        <v>0.777811084062533</v>
      </c>
      <c r="E675" s="40" t="n">
        <f aca="false">Country_Data!$BW$100</f>
        <v>107.99</v>
      </c>
      <c r="F675" s="41" t="n">
        <f aca="false">Country_Data!$BX$100</f>
        <v>0.456977497916474</v>
      </c>
      <c r="G675" s="42" t="n">
        <f aca="false">IF(D675="","",D675/SUMIFS($D$5:$D$1369,$B$5:$B$1369,B675,$C$5:$C$1369,C675))</f>
        <v>0.00434358124282843</v>
      </c>
      <c r="H675" s="42" t="n">
        <f aca="false">E675/SUMIFS($E$5:$E$1369,$B$5:$B$1369,B675,$C$5:$C$1369,C675)</f>
        <v>0.00133763745652431</v>
      </c>
      <c r="I675" s="43" t="n">
        <f aca="false">IF(G675="",H675,p_beta_alloc*G675+(1-p_beta_alloc)*H675)*F675^p_phi</f>
        <v>0.0019202550675647</v>
      </c>
      <c r="J675" s="16" t="n">
        <f aca="false">INDEX(Sector_Params!$C$21:$E$21,MATCH(B675,Sector_Params!$C$15:$E$15,0))*I675/SUMIFS($I$5:$I$1369,$B$5:$B$1369,B675,$C$5:$C$1369,C675)</f>
        <v>0.425893037805151</v>
      </c>
      <c r="K675" s="28" t="n">
        <f aca="false">INDEX(Sector_Params!$F$10:$H$10,MATCH(B675,Sector_Params!$C$15:$E$15,0))</f>
        <v>0.24</v>
      </c>
      <c r="L675" s="16" t="n">
        <f aca="false">J675*K675</f>
        <v>0.102214329073236</v>
      </c>
      <c r="M675" s="44" t="n">
        <f aca="false">Country_Data!$DW$100+Sector_Params!$E$10</f>
        <v>0.105</v>
      </c>
      <c r="N675" s="44" t="n">
        <f aca="false">Country_Data!$DX$100+Sector_Params!$E$10</f>
        <v>0.15</v>
      </c>
      <c r="O675" s="11" t="n">
        <f aca="false">IF(p_use_ibrd=1,p_r_ibrd,p_r_wb)</f>
        <v>0.06</v>
      </c>
      <c r="P675" s="45" t="n">
        <f aca="false">Sector_Params!$D$10</f>
        <v>20</v>
      </c>
      <c r="Q675" s="46" t="n">
        <f aca="false">M675/(1-(1+M675)^-P675)</f>
        <v>0.121493265267016</v>
      </c>
      <c r="R675" s="46" t="n">
        <f aca="false">N675/(1-(1+N675)^-P675)</f>
        <v>0.159761470405744</v>
      </c>
      <c r="S675" s="46" t="n">
        <f aca="false">O675/(1-(1+O675)^-P675)</f>
        <v>0.0871845569768514</v>
      </c>
      <c r="T675" s="37" t="n">
        <f aca="false">0*Sector_Params!$I$10</f>
        <v>0</v>
      </c>
      <c r="U675" s="37" t="n">
        <f aca="false">0*Sector_Params!$J$10</f>
        <v>0</v>
      </c>
      <c r="V675" s="37" t="n">
        <f aca="false">1000*p_r_wb/(1-(1+p_r_wb)^-Sector_Params!$D$10)/p_cpt_fuel</f>
        <v>0.871845569768514</v>
      </c>
      <c r="W675" s="16" t="n">
        <f aca="false">T675*L675</f>
        <v>0</v>
      </c>
      <c r="X675" s="16" t="n">
        <f aca="false">U675*L675</f>
        <v>0</v>
      </c>
      <c r="Y675" s="16" t="n">
        <f aca="false">V675*L675</f>
        <v>0.089115109969362</v>
      </c>
      <c r="Z675" s="16" t="n">
        <f aca="false">Q675*L675</f>
        <v>0.0124183525961848</v>
      </c>
      <c r="AA675" s="16" t="n">
        <f aca="false">R675*L675</f>
        <v>0.0163299115092768</v>
      </c>
      <c r="AB675" s="16" t="n">
        <f aca="false">S675*L675</f>
        <v>0.0089115109969362</v>
      </c>
      <c r="AC675" s="16" t="n">
        <f aca="false">Z675-W675</f>
        <v>0.0124183525961848</v>
      </c>
      <c r="AD675" s="16" t="n">
        <f aca="false">AA675-W675</f>
        <v>0.0163299115092768</v>
      </c>
      <c r="AE675" s="16" t="n">
        <f aca="false">AB675-W675</f>
        <v>0.0089115109969362</v>
      </c>
      <c r="AF675" s="16" t="n">
        <f aca="false">AE675-X675</f>
        <v>0.0089115109969362</v>
      </c>
      <c r="AG675" s="16" t="n">
        <f aca="false">AF675-p_spc_lo*Y675/1000</f>
        <v>0.0044557554984681</v>
      </c>
      <c r="AH675" s="16" t="n">
        <f aca="false">AF675-p_spc_hi*Y675/1000</f>
        <v>0</v>
      </c>
      <c r="AI675" s="16" t="n">
        <f aca="false">Q675*J675</f>
        <v>0.0517431358174365</v>
      </c>
      <c r="AJ675" s="16" t="n">
        <f aca="false">S675*J675</f>
        <v>0.0371312958205675</v>
      </c>
      <c r="AK675" s="16" t="n">
        <f aca="false">T675*J675</f>
        <v>0</v>
      </c>
      <c r="AL675" s="16" t="n">
        <f aca="false">U675*J675</f>
        <v>0</v>
      </c>
      <c r="AM675" s="16" t="n">
        <f aca="false">AI675-AJ675</f>
        <v>0.014611839996869</v>
      </c>
      <c r="AN675" s="16" t="n">
        <f aca="false">J675*Country_Data!$EB$100</f>
        <v>0.488901870795502</v>
      </c>
      <c r="AO675" s="16" t="n">
        <f aca="false">L675*Country_Data!$EB$100</f>
        <v>0.11733644899092</v>
      </c>
    </row>
    <row r="676" customFormat="false" ht="15" hidden="false" customHeight="false" outlineLevel="0" collapsed="false">
      <c r="A676" s="14" t="str">
        <f aca="false">Country_Data!$A$100</f>
        <v>LBY</v>
      </c>
      <c r="B676" s="14" t="str">
        <f aca="false">Country_Data!$E$100</f>
        <v>EMDC</v>
      </c>
      <c r="C676" s="35" t="s">
        <v>488</v>
      </c>
      <c r="D676" s="37" t="n">
        <f aca="false">IF(Country_Data!$CE$100="","",Country_Data!$CE$100)</f>
        <v>32.399</v>
      </c>
      <c r="E676" s="40" t="n">
        <f aca="false">Country_Data!$BW$100</f>
        <v>107.99</v>
      </c>
      <c r="F676" s="41" t="n">
        <f aca="false">Country_Data!$BX$100</f>
        <v>0.456977497916474</v>
      </c>
      <c r="G676" s="42" t="n">
        <f aca="false">IF(D676="","",D676/SUMIFS($D$5:$D$1369,$B$5:$B$1369,B676,$C$5:$C$1369,C676))</f>
        <v>0.00265476138776199</v>
      </c>
      <c r="H676" s="42" t="n">
        <f aca="false">E676/SUMIFS($E$5:$E$1369,$B$5:$B$1369,B676,$C$5:$C$1369,C676)</f>
        <v>0.00133763745652431</v>
      </c>
      <c r="I676" s="43" t="n">
        <f aca="false">IF(G676="",H676,p_beta_alloc*G676+(1-p_beta_alloc)*H676)*F676^p_phi</f>
        <v>0.00134943302100897</v>
      </c>
      <c r="J676" s="16" t="n">
        <f aca="false">INDEX(Sector_Params!$C$22:$E$22,MATCH(B676,Sector_Params!$C$15:$E$15,0))*I676/SUMIFS($I$5:$I$1369,$B$5:$B$1369,B676,$C$5:$C$1369,C676)</f>
        <v>0.813449544403774</v>
      </c>
      <c r="K676" s="28" t="n">
        <f aca="false">INDEX(Sector_Params!$F$11:$H$11,MATCH(B676,Sector_Params!$C$15:$E$15,0))</f>
        <v>0.24</v>
      </c>
      <c r="L676" s="16" t="n">
        <f aca="false">J676*K676</f>
        <v>0.195227890656906</v>
      </c>
      <c r="M676" s="44" t="n">
        <f aca="false">Country_Data!$DW$100+Sector_Params!$E$11</f>
        <v>0.105</v>
      </c>
      <c r="N676" s="44" t="n">
        <f aca="false">Country_Data!$DX$100+Sector_Params!$E$11</f>
        <v>0.15</v>
      </c>
      <c r="O676" s="11" t="n">
        <f aca="false">IF(p_use_ibrd=1,p_r_ibrd,p_r_wb)</f>
        <v>0.06</v>
      </c>
      <c r="P676" s="45" t="n">
        <f aca="false">Sector_Params!$D$11</f>
        <v>30</v>
      </c>
      <c r="Q676" s="46" t="n">
        <f aca="false">M676/(1-(1+M676)^-P676)</f>
        <v>0.110528481529605</v>
      </c>
      <c r="R676" s="46" t="n">
        <f aca="false">N676/(1-(1+N676)^-P676)</f>
        <v>0.152300198192734</v>
      </c>
      <c r="S676" s="46" t="n">
        <f aca="false">O676/(1-(1+O676)^-P676)</f>
        <v>0.0726489114900472</v>
      </c>
      <c r="T676" s="37" t="n">
        <f aca="false">0*Sector_Params!$I$11</f>
        <v>0</v>
      </c>
      <c r="U676" s="37" t="n">
        <f aca="false">p_c*Sector_Params!$J$11</f>
        <v>0.129</v>
      </c>
      <c r="V676" s="37" t="n">
        <f aca="false">1000*p_r_wb/(1-(1+p_r_wb)^-Sector_Params!$D$11)/p_cpt_afolu</f>
        <v>1.45297822980094</v>
      </c>
      <c r="W676" s="16" t="n">
        <f aca="false">T676*L676</f>
        <v>0</v>
      </c>
      <c r="X676" s="16" t="n">
        <f aca="false">U676*L676</f>
        <v>0.0251843978947408</v>
      </c>
      <c r="Y676" s="16" t="n">
        <f aca="false">V676*L676</f>
        <v>0.283661874974443</v>
      </c>
      <c r="Z676" s="16" t="n">
        <f aca="false">Q676*L676</f>
        <v>0.0215782423065356</v>
      </c>
      <c r="AA676" s="16" t="n">
        <f aca="false">R676*L676</f>
        <v>0.0297332464397962</v>
      </c>
      <c r="AB676" s="16" t="n">
        <f aca="false">S676*L676</f>
        <v>0.0141830937487222</v>
      </c>
      <c r="AC676" s="16" t="n">
        <f aca="false">Z676-W676</f>
        <v>0.0215782423065356</v>
      </c>
      <c r="AD676" s="16" t="n">
        <f aca="false">AA676-W676</f>
        <v>0.0297332464397962</v>
      </c>
      <c r="AE676" s="16" t="n">
        <f aca="false">AB676-W676</f>
        <v>0.0141830937487222</v>
      </c>
      <c r="AF676" s="16" t="n">
        <f aca="false">AE676-X676</f>
        <v>-0.0110013041460187</v>
      </c>
      <c r="AG676" s="16" t="n">
        <f aca="false">AF676-p_spc_lo*Y676/1000</f>
        <v>-0.0251843978947408</v>
      </c>
      <c r="AH676" s="16" t="n">
        <f aca="false">AF676-p_spc_hi*Y676/1000</f>
        <v>-0.039367491643463</v>
      </c>
      <c r="AI676" s="16" t="n">
        <f aca="false">Q676*J676</f>
        <v>0.0899093429438982</v>
      </c>
      <c r="AJ676" s="16" t="n">
        <f aca="false">S676*J676</f>
        <v>0.059096223953009</v>
      </c>
      <c r="AK676" s="16" t="n">
        <f aca="false">T676*J676</f>
        <v>0</v>
      </c>
      <c r="AL676" s="16" t="n">
        <f aca="false">U676*J676</f>
        <v>0.104934991228087</v>
      </c>
      <c r="AM676" s="16" t="n">
        <f aca="false">AI676-AJ676</f>
        <v>0.0308131189908892</v>
      </c>
      <c r="AN676" s="16" t="n">
        <f aca="false">J676*Country_Data!$EB$100</f>
        <v>0.933795504397757</v>
      </c>
      <c r="AO676" s="16" t="n">
        <f aca="false">L676*Country_Data!$EB$100</f>
        <v>0.224110921055462</v>
      </c>
    </row>
    <row r="677" customFormat="false" ht="15" hidden="false" customHeight="false" outlineLevel="0" collapsed="false">
      <c r="A677" s="14" t="str">
        <f aca="false">Country_Data!$A$101</f>
        <v>ZWE</v>
      </c>
      <c r="B677" s="14" t="str">
        <f aca="false">Country_Data!$E$101</f>
        <v>EMDC</v>
      </c>
      <c r="C677" s="35" t="s">
        <v>466</v>
      </c>
      <c r="D677" s="37" t="n">
        <f aca="false">IF(Country_Data!$BZ$101="","",Country_Data!$BZ$101)</f>
        <v>10.0869299440284</v>
      </c>
      <c r="E677" s="40" t="n">
        <f aca="false">Country_Data!$BW$101</f>
        <v>125.346</v>
      </c>
      <c r="F677" s="41" t="n">
        <f aca="false">Country_Data!$BX$101</f>
        <v>0.392146538381759</v>
      </c>
      <c r="G677" s="42" t="n">
        <f aca="false">IF(D677="","",D677/SUMIFS($D$5:$D$1369,$B$5:$B$1369,B677,$C$5:$C$1369,C677))</f>
        <v>0.00115154546233442</v>
      </c>
      <c r="H677" s="42" t="n">
        <f aca="false">E677/SUMIFS($E$5:$E$1369,$B$5:$B$1369,B677,$C$5:$C$1369,C677)</f>
        <v>0.00155262065585235</v>
      </c>
      <c r="I677" s="43" t="n">
        <f aca="false">IF(G677="",H677,p_beta_alloc*G677+(1-p_beta_alloc)*H677)*F677^p_phi</f>
        <v>0.000846696109411125</v>
      </c>
      <c r="J677" s="16" t="n">
        <f aca="false">INDEX(Sector_Params!$C$16:$E$16,MATCH(B677,Sector_Params!$C$15:$E$15,0))*I677/SUMIFS($I$5:$I$1369,$B$5:$B$1369,B677,$C$5:$C$1369,C677)</f>
        <v>0.818945942619511</v>
      </c>
      <c r="K677" s="28" t="n">
        <f aca="false">INDEX(Sector_Params!$F$5:$H$5,MATCH(B677,Sector_Params!$C$15:$E$15,0))</f>
        <v>0.24</v>
      </c>
      <c r="L677" s="16" t="n">
        <f aca="false">J677*K677</f>
        <v>0.196547026228683</v>
      </c>
      <c r="M677" s="44" t="n">
        <f aca="false">Country_Data!$DW$101+Sector_Params!$E$5</f>
        <v>0.105</v>
      </c>
      <c r="N677" s="44" t="n">
        <f aca="false">Country_Data!$DX$101+Sector_Params!$E$5</f>
        <v>0.15</v>
      </c>
      <c r="O677" s="11" t="n">
        <f aca="false">IF(p_use_ibrd=1,p_r_ibrd,p_r_wb)</f>
        <v>0.06</v>
      </c>
      <c r="P677" s="45" t="n">
        <f aca="false">Sector_Params!$D$5</f>
        <v>25</v>
      </c>
      <c r="Q677" s="46" t="n">
        <f aca="false">M677/(1-(1+M677)^-P677)</f>
        <v>0.114429319813103</v>
      </c>
      <c r="R677" s="46" t="n">
        <f aca="false">N677/(1-(1+N677)^-P677)</f>
        <v>0.154699402320206</v>
      </c>
      <c r="S677" s="46" t="n">
        <f aca="false">O677/(1-(1+O677)^-P677)</f>
        <v>0.078226718212274</v>
      </c>
      <c r="T677" s="37" t="n">
        <f aca="false">IF(AND(p_eng=1,ISNUMBER(Country_Data!$CZ$101)),Country_Data!$CZ$101,Country_Data!$CM$101)*Sector_Params!$I$5</f>
        <v>0.00524147030916674</v>
      </c>
      <c r="U677" s="37" t="n">
        <f aca="false">IF(AND(p_eng=1,ISNUMBER(Country_Data!$DA$101)),Country_Data!$DA$101,Country_Data!$CN$101)*Sector_Params!$J$5</f>
        <v>0.00193227582316044</v>
      </c>
      <c r="V677" s="37" t="n">
        <f aca="false">IF(AND(p_eng=1,ISNUMBER(Country_Data!$DB$101)),Country_Data!$DB$101,p_a)</f>
        <v>0.933614378960104</v>
      </c>
      <c r="W677" s="16" t="n">
        <f aca="false">T677*L677</f>
        <v>0.00103019540233266</v>
      </c>
      <c r="X677" s="16" t="n">
        <f aca="false">U677*L677</f>
        <v>0.000379783066895765</v>
      </c>
      <c r="Y677" s="16" t="n">
        <f aca="false">V677*L677</f>
        <v>0.183499129828947</v>
      </c>
      <c r="Z677" s="16" t="n">
        <f aca="false">Q677*L677</f>
        <v>0.0224907425226363</v>
      </c>
      <c r="AA677" s="16" t="n">
        <f aca="false">R677*L677</f>
        <v>0.0304057074853911</v>
      </c>
      <c r="AB677" s="16" t="n">
        <f aca="false">S677*L677</f>
        <v>0.0153752288362516</v>
      </c>
      <c r="AC677" s="16" t="n">
        <f aca="false">Z677-W677</f>
        <v>0.0214605471203037</v>
      </c>
      <c r="AD677" s="16" t="n">
        <f aca="false">AA677-W677</f>
        <v>0.0293755120830585</v>
      </c>
      <c r="AE677" s="16" t="n">
        <f aca="false">AB677-W677</f>
        <v>0.0143450334339189</v>
      </c>
      <c r="AF677" s="16" t="n">
        <f aca="false">AE677-X677</f>
        <v>0.0139652503670232</v>
      </c>
      <c r="AG677" s="16" t="n">
        <f aca="false">AF677-p_spc_lo*Y677/1000</f>
        <v>0.00479029387557581</v>
      </c>
      <c r="AH677" s="16" t="n">
        <f aca="false">AF677-p_spc_hi*Y677/1000</f>
        <v>-0.00438466261587153</v>
      </c>
      <c r="AI677" s="16" t="n">
        <f aca="false">Q677*J677</f>
        <v>0.0937114271776514</v>
      </c>
      <c r="AJ677" s="16" t="n">
        <f aca="false">S677*J677</f>
        <v>0.0640634534843816</v>
      </c>
      <c r="AK677" s="16" t="n">
        <f aca="false">T677*J677</f>
        <v>0.00429248084305274</v>
      </c>
      <c r="AL677" s="16" t="n">
        <f aca="false">U677*J677</f>
        <v>0.00158242944539902</v>
      </c>
      <c r="AM677" s="16" t="n">
        <f aca="false">AI677-AJ677</f>
        <v>0.0296479736932698</v>
      </c>
      <c r="AN677" s="16" t="n">
        <f aca="false">J677*Country_Data!$EB$101</f>
        <v>0.999241018359</v>
      </c>
      <c r="AO677" s="16" t="n">
        <f aca="false">L677*Country_Data!$EB$101</f>
        <v>0.23981784440616</v>
      </c>
    </row>
    <row r="678" customFormat="false" ht="15" hidden="false" customHeight="false" outlineLevel="0" collapsed="false">
      <c r="A678" s="14" t="str">
        <f aca="false">Country_Data!$A$101</f>
        <v>ZWE</v>
      </c>
      <c r="B678" s="14" t="str">
        <f aca="false">Country_Data!$E$101</f>
        <v>EMDC</v>
      </c>
      <c r="C678" s="35" t="s">
        <v>470</v>
      </c>
      <c r="D678" s="37" t="n">
        <f aca="false">IF(Country_Data!$BZ$101="","",Country_Data!$BZ$101)</f>
        <v>10.0869299440284</v>
      </c>
      <c r="E678" s="40" t="n">
        <f aca="false">Country_Data!$BW$101</f>
        <v>125.346</v>
      </c>
      <c r="F678" s="41" t="n">
        <f aca="false">Country_Data!$BX$101</f>
        <v>0.392146538381759</v>
      </c>
      <c r="G678" s="42" t="n">
        <f aca="false">IF(D678="","",D678/SUMIFS($D$5:$D$1369,$B$5:$B$1369,B678,$C$5:$C$1369,C678))</f>
        <v>0.00115154546233442</v>
      </c>
      <c r="H678" s="42" t="n">
        <f aca="false">E678/SUMIFS($E$5:$E$1369,$B$5:$B$1369,B678,$C$5:$C$1369,C678)</f>
        <v>0.00155262065585235</v>
      </c>
      <c r="I678" s="43" t="n">
        <f aca="false">IF(G678="",H678,p_beta_alloc*G678+(1-p_beta_alloc)*H678)*F678^p_phi</f>
        <v>0.000846696109411125</v>
      </c>
      <c r="J678" s="16" t="n">
        <f aca="false">INDEX(Sector_Params!$C$17:$E$17,MATCH(B678,Sector_Params!$C$15:$E$15,0))*I678/SUMIFS($I$5:$I$1369,$B$5:$B$1369,B678,$C$5:$C$1369,C678)</f>
        <v>0.56156293208195</v>
      </c>
      <c r="K678" s="28" t="n">
        <f aca="false">INDEX(Sector_Params!$F$6:$H$6,MATCH(B678,Sector_Params!$C$15:$E$15,0))</f>
        <v>0.24</v>
      </c>
      <c r="L678" s="16" t="n">
        <f aca="false">J678*K678</f>
        <v>0.134775103699668</v>
      </c>
      <c r="M678" s="44" t="n">
        <f aca="false">Country_Data!$DW$101+Sector_Params!$E$6</f>
        <v>0.105</v>
      </c>
      <c r="N678" s="44" t="n">
        <f aca="false">Country_Data!$DX$101+Sector_Params!$E$6</f>
        <v>0.15</v>
      </c>
      <c r="O678" s="11" t="n">
        <f aca="false">IF(p_use_ibrd=1,p_r_ibrd,p_r_wb)</f>
        <v>0.06</v>
      </c>
      <c r="P678" s="45" t="n">
        <f aca="false">Sector_Params!$D$6</f>
        <v>40</v>
      </c>
      <c r="Q678" s="46" t="n">
        <f aca="false">M678/(1-(1+M678)^-P678)</f>
        <v>0.10697140835497</v>
      </c>
      <c r="R678" s="46" t="n">
        <f aca="false">N678/(1-(1+N678)^-P678)</f>
        <v>0.150562085013545</v>
      </c>
      <c r="S678" s="46" t="n">
        <f aca="false">O678/(1-(1+O678)^-P678)</f>
        <v>0.0664615359206755</v>
      </c>
      <c r="T678" s="37" t="n">
        <f aca="false">p_grid_credit*IF(AND(p_eng=1,ISNUMBER(Country_Data!$CZ$101)),Country_Data!$CZ$101,Country_Data!$CM$101)*Sector_Params!$I$6</f>
        <v>0</v>
      </c>
      <c r="U678" s="37" t="n">
        <f aca="false">p_grid_credit*IF(AND(p_eng=1,ISNUMBER(Country_Data!$DA$101)),Country_Data!$DA$101,Country_Data!$CN$101)*Sector_Params!$J$6</f>
        <v>0</v>
      </c>
      <c r="V678" s="37" t="n">
        <f aca="false">p_grid_credit*IF(AND(p_eng=1,ISNUMBER(Country_Data!$DB$101)),Country_Data!$DB$101,p_a)</f>
        <v>0</v>
      </c>
      <c r="W678" s="16" t="n">
        <f aca="false">T678*L678</f>
        <v>0</v>
      </c>
      <c r="X678" s="16" t="n">
        <f aca="false">U678*L678</f>
        <v>0</v>
      </c>
      <c r="Y678" s="16" t="n">
        <f aca="false">V678*L678</f>
        <v>0</v>
      </c>
      <c r="Z678" s="16" t="n">
        <f aca="false">Q678*L678</f>
        <v>0.0144170826539407</v>
      </c>
      <c r="AA678" s="16" t="n">
        <f aca="false">R678*L678</f>
        <v>0.0202920206209388</v>
      </c>
      <c r="AB678" s="16" t="n">
        <f aca="false">S678*L678</f>
        <v>0.00895736039574825</v>
      </c>
      <c r="AC678" s="16" t="n">
        <f aca="false">Z678-W678</f>
        <v>0.0144170826539407</v>
      </c>
      <c r="AD678" s="16" t="n">
        <f aca="false">AA678-W678</f>
        <v>0.0202920206209388</v>
      </c>
      <c r="AE678" s="16" t="n">
        <f aca="false">AB678-W678</f>
        <v>0.00895736039574825</v>
      </c>
      <c r="AF678" s="16" t="n">
        <f aca="false">AE678-X678</f>
        <v>0.00895736039574825</v>
      </c>
      <c r="AG678" s="16" t="n">
        <f aca="false">AF678-p_spc_lo*Y678/1000</f>
        <v>0.00895736039574825</v>
      </c>
      <c r="AH678" s="16" t="n">
        <f aca="false">AF678-p_spc_hi*Y678/1000</f>
        <v>0.00895736039574825</v>
      </c>
      <c r="AI678" s="16" t="n">
        <f aca="false">Q678*J678</f>
        <v>0.0600711777247528</v>
      </c>
      <c r="AJ678" s="16" t="n">
        <f aca="false">S678*J678</f>
        <v>0.0373223349822844</v>
      </c>
      <c r="AK678" s="16" t="n">
        <f aca="false">T678*J678</f>
        <v>0</v>
      </c>
      <c r="AL678" s="16" t="n">
        <f aca="false">U678*J678</f>
        <v>0</v>
      </c>
      <c r="AM678" s="16" t="n">
        <f aca="false">AI678-AJ678</f>
        <v>0.0227488427424684</v>
      </c>
      <c r="AN678" s="16" t="n">
        <f aca="false">J678*Country_Data!$EB$101</f>
        <v>0.685193841160457</v>
      </c>
      <c r="AO678" s="16" t="n">
        <f aca="false">L678*Country_Data!$EB$101</f>
        <v>0.16444652187851</v>
      </c>
    </row>
    <row r="679" customFormat="false" ht="15" hidden="false" customHeight="false" outlineLevel="0" collapsed="false">
      <c r="A679" s="14" t="str">
        <f aca="false">Country_Data!$A$101</f>
        <v>ZWE</v>
      </c>
      <c r="B679" s="14" t="str">
        <f aca="false">Country_Data!$E$101</f>
        <v>EMDC</v>
      </c>
      <c r="C679" s="35" t="s">
        <v>473</v>
      </c>
      <c r="D679" s="37" t="n">
        <f aca="false">IF(Country_Data!$CA$101="","",Country_Data!$CA$101)</f>
        <v>0.0465396612528679</v>
      </c>
      <c r="E679" s="40" t="n">
        <f aca="false">Country_Data!$BW$101</f>
        <v>125.346</v>
      </c>
      <c r="F679" s="41" t="n">
        <f aca="false">Country_Data!$BX$101</f>
        <v>0.392146538381759</v>
      </c>
      <c r="G679" s="42" t="n">
        <f aca="false">IF(D679="","",D679/SUMIFS($D$5:$D$1369,$B$5:$B$1369,B679,$C$5:$C$1369,C679))</f>
        <v>0.00107517445944174</v>
      </c>
      <c r="H679" s="42" t="n">
        <f aca="false">E679/SUMIFS($E$5:$E$1369,$B$5:$B$1369,B679,$C$5:$C$1369,C679)</f>
        <v>0.00155262065585235</v>
      </c>
      <c r="I679" s="43" t="n">
        <f aca="false">IF(G679="",H679,p_beta_alloc*G679+(1-p_beta_alloc)*H679)*F679^p_phi</f>
        <v>0.000822783735616418</v>
      </c>
      <c r="J679" s="16" t="n">
        <f aca="false">INDEX(Sector_Params!$C$18:$E$18,MATCH(B679,Sector_Params!$C$15:$E$15,0))*I679/SUMIFS($I$5:$I$1369,$B$5:$B$1369,B679,$C$5:$C$1369,C679)</f>
        <v>0.336910471672612</v>
      </c>
      <c r="K679" s="28" t="n">
        <f aca="false">INDEX(Sector_Params!$F$7:$H$7,MATCH(B679,Sector_Params!$C$15:$E$15,0))</f>
        <v>0.24</v>
      </c>
      <c r="L679" s="16" t="n">
        <f aca="false">J679*K679</f>
        <v>0.0808585132014269</v>
      </c>
      <c r="M679" s="44" t="n">
        <f aca="false">Country_Data!$DW$101+Sector_Params!$E$7</f>
        <v>0.105</v>
      </c>
      <c r="N679" s="44" t="n">
        <f aca="false">Country_Data!$DX$101+Sector_Params!$E$7</f>
        <v>0.15</v>
      </c>
      <c r="O679" s="11" t="n">
        <f aca="false">IF(p_use_ibrd=1,p_r_ibrd,p_r_wb)</f>
        <v>0.06</v>
      </c>
      <c r="P679" s="45" t="n">
        <f aca="false">Sector_Params!$D$7</f>
        <v>12</v>
      </c>
      <c r="Q679" s="46" t="n">
        <f aca="false">M679/(1-(1+M679)^-P679)</f>
        <v>0.150376745634766</v>
      </c>
      <c r="R679" s="46" t="n">
        <f aca="false">N679/(1-(1+N679)^-P679)</f>
        <v>0.18448077613084</v>
      </c>
      <c r="S679" s="46" t="n">
        <f aca="false">O679/(1-(1+O679)^-P679)</f>
        <v>0.119277029380664</v>
      </c>
      <c r="T679" s="37" t="n">
        <f aca="false">IF(AND(p_eng=1,ISNUMBER(Country_Data!$DE$101)),Country_Data!$DE$101,Country_Data!$CM$101)*Sector_Params!$I$7</f>
        <v>0.134816175</v>
      </c>
      <c r="U679" s="37" t="n">
        <f aca="false">IF(AND(p_eng=1,ISNUMBER(Country_Data!$DF$101)),Country_Data!$DF$101,Country_Data!$CN$101)*Sector_Params!$J$7</f>
        <v>5.0175E-005</v>
      </c>
      <c r="V679" s="37" t="n">
        <f aca="false">IF(AND(p_eng=1,ISNUMBER(Country_Data!$DG$101)),Country_Data!$DG$101,p_a)</f>
        <v>0.314189815789474</v>
      </c>
      <c r="W679" s="16" t="n">
        <f aca="false">T679*L679</f>
        <v>0.0109010354660034</v>
      </c>
      <c r="X679" s="16" t="n">
        <f aca="false">U679*L679</f>
        <v>4.0570758998816E-006</v>
      </c>
      <c r="Y679" s="16" t="n">
        <f aca="false">V679*L679</f>
        <v>0.025404921367767</v>
      </c>
      <c r="Z679" s="16" t="n">
        <f aca="false">Q679*L679</f>
        <v>0.0121592400720963</v>
      </c>
      <c r="AA679" s="16" t="n">
        <f aca="false">R679*L679</f>
        <v>0.014916841272185</v>
      </c>
      <c r="AB679" s="16" t="n">
        <f aca="false">S679*L679</f>
        <v>0.00964456325480337</v>
      </c>
      <c r="AC679" s="16" t="n">
        <f aca="false">Z679-W679</f>
        <v>0.00125820460609294</v>
      </c>
      <c r="AD679" s="16" t="n">
        <f aca="false">AA679-W679</f>
        <v>0.00401580580618159</v>
      </c>
      <c r="AE679" s="16" t="n">
        <f aca="false">AB679-W679</f>
        <v>-0.00125647221120001</v>
      </c>
      <c r="AF679" s="16" t="n">
        <f aca="false">AE679-X679</f>
        <v>-0.00126052928709989</v>
      </c>
      <c r="AG679" s="16" t="n">
        <f aca="false">AF679-p_spc_lo*Y679/1000</f>
        <v>-0.00253077535548824</v>
      </c>
      <c r="AH679" s="16" t="n">
        <f aca="false">AF679-p_spc_hi*Y679/1000</f>
        <v>-0.0038010214238766</v>
      </c>
      <c r="AI679" s="16" t="n">
        <f aca="false">Q679*J679</f>
        <v>0.0506635003004013</v>
      </c>
      <c r="AJ679" s="16" t="n">
        <f aca="false">S679*J679</f>
        <v>0.0401856802283474</v>
      </c>
      <c r="AK679" s="16" t="n">
        <f aca="false">T679*J679</f>
        <v>0.0454209811083474</v>
      </c>
      <c r="AL679" s="16" t="n">
        <f aca="false">U679*J679</f>
        <v>1.69044829161733E-005</v>
      </c>
      <c r="AM679" s="16" t="n">
        <f aca="false">AI679-AJ679</f>
        <v>0.010477820072054</v>
      </c>
      <c r="AN679" s="16" t="n">
        <f aca="false">J679*Country_Data!$EB$101</f>
        <v>0.411083009622241</v>
      </c>
      <c r="AO679" s="16" t="n">
        <f aca="false">L679*Country_Data!$EB$101</f>
        <v>0.0986599223093379</v>
      </c>
    </row>
    <row r="680" customFormat="false" ht="15" hidden="false" customHeight="false" outlineLevel="0" collapsed="false">
      <c r="A680" s="14" t="str">
        <f aca="false">Country_Data!$A$101</f>
        <v>ZWE</v>
      </c>
      <c r="B680" s="14" t="str">
        <f aca="false">Country_Data!$E$101</f>
        <v>EMDC</v>
      </c>
      <c r="C680" s="35" t="s">
        <v>477</v>
      </c>
      <c r="D680" s="37" t="n">
        <f aca="false">IF(Country_Data!$CB$101="","",Country_Data!$CB$101)</f>
        <v>0.0215964910668734</v>
      </c>
      <c r="E680" s="40" t="n">
        <f aca="false">Country_Data!$BW$101</f>
        <v>125.346</v>
      </c>
      <c r="F680" s="41" t="n">
        <f aca="false">Country_Data!$BX$101</f>
        <v>0.392146538381759</v>
      </c>
      <c r="G680" s="42" t="n">
        <f aca="false">IF(D680="","",D680/SUMIFS($D$5:$D$1369,$B$5:$B$1369,B680,$C$5:$C$1369,C680))</f>
        <v>0.000681003124660652</v>
      </c>
      <c r="H680" s="42" t="n">
        <f aca="false">E680/SUMIFS($E$5:$E$1369,$B$5:$B$1369,B680,$C$5:$C$1369,C680)</f>
        <v>0.00155262065585235</v>
      </c>
      <c r="I680" s="43" t="n">
        <f aca="false">IF(G680="",H680,p_beta_alloc*G680+(1-p_beta_alloc)*H680)*F680^p_phi</f>
        <v>0.000699365527927195</v>
      </c>
      <c r="J680" s="16" t="n">
        <f aca="false">INDEX(Sector_Params!$C$19:$E$19,MATCH(B680,Sector_Params!$C$15:$E$15,0))*I680/SUMIFS($I$5:$I$1369,$B$5:$B$1369,B680,$C$5:$C$1369,C680)</f>
        <v>0.225099604739064</v>
      </c>
      <c r="K680" s="28" t="n">
        <f aca="false">INDEX(Sector_Params!$F$8:$H$8,MATCH(B680,Sector_Params!$C$15:$E$15,0))</f>
        <v>0.24</v>
      </c>
      <c r="L680" s="16" t="n">
        <f aca="false">J680*K680</f>
        <v>0.0540239051373754</v>
      </c>
      <c r="M680" s="44" t="n">
        <f aca="false">Country_Data!$DW$101+Sector_Params!$E$8</f>
        <v>0.105</v>
      </c>
      <c r="N680" s="44" t="n">
        <f aca="false">Country_Data!$DX$101+Sector_Params!$E$8</f>
        <v>0.15</v>
      </c>
      <c r="O680" s="11" t="n">
        <f aca="false">IF(p_use_ibrd=1,p_r_ibrd,p_r_wb)</f>
        <v>0.06</v>
      </c>
      <c r="P680" s="45" t="n">
        <f aca="false">Sector_Params!$D$8</f>
        <v>25</v>
      </c>
      <c r="Q680" s="46" t="n">
        <f aca="false">M680/(1-(1+M680)^-P680)</f>
        <v>0.114429319813103</v>
      </c>
      <c r="R680" s="46" t="n">
        <f aca="false">N680/(1-(1+N680)^-P680)</f>
        <v>0.154699402320206</v>
      </c>
      <c r="S680" s="46" t="n">
        <f aca="false">O680/(1-(1+O680)^-P680)</f>
        <v>0.078226718212274</v>
      </c>
      <c r="T680" s="37" t="n">
        <f aca="false">Country_Data!$CM$101*Sector_Params!$I$8</f>
        <v>0.106119303754325</v>
      </c>
      <c r="U680" s="37" t="n">
        <f aca="false">Country_Data!$CN$101*Sector_Params!$J$8</f>
        <v>0.03225</v>
      </c>
      <c r="V680" s="37" t="n">
        <f aca="false">p_a</f>
        <v>0.35</v>
      </c>
      <c r="W680" s="16" t="n">
        <f aca="false">T680*L680</f>
        <v>0.00573297919926799</v>
      </c>
      <c r="X680" s="16" t="n">
        <f aca="false">U680*L680</f>
        <v>0.00174227094068036</v>
      </c>
      <c r="Y680" s="16" t="n">
        <f aca="false">V680*L680</f>
        <v>0.0189083667980814</v>
      </c>
      <c r="Z680" s="16" t="n">
        <f aca="false">Q680*L680</f>
        <v>0.00618191871851748</v>
      </c>
      <c r="AA680" s="16" t="n">
        <f aca="false">R680*L680</f>
        <v>0.0083574658357555</v>
      </c>
      <c r="AB680" s="16" t="n">
        <f aca="false">S680*L680</f>
        <v>0.00422611280390808</v>
      </c>
      <c r="AC680" s="16" t="n">
        <f aca="false">Z680-W680</f>
        <v>0.000448939519249496</v>
      </c>
      <c r="AD680" s="16" t="n">
        <f aca="false">AA680-W680</f>
        <v>0.00262448663648752</v>
      </c>
      <c r="AE680" s="16" t="n">
        <f aca="false">AB680-W680</f>
        <v>-0.0015068663953599</v>
      </c>
      <c r="AF680" s="16" t="n">
        <f aca="false">AE680-X680</f>
        <v>-0.00324913733604026</v>
      </c>
      <c r="AG680" s="16" t="n">
        <f aca="false">AF680-p_spc_lo*Y680/1000</f>
        <v>-0.00419455567594433</v>
      </c>
      <c r="AH680" s="16" t="n">
        <f aca="false">AF680-p_spc_hi*Y680/1000</f>
        <v>-0.0051399740158484</v>
      </c>
      <c r="AI680" s="16" t="n">
        <f aca="false">Q680*J680</f>
        <v>0.0257579946604895</v>
      </c>
      <c r="AJ680" s="16" t="n">
        <f aca="false">S680*J680</f>
        <v>0.017608803349617</v>
      </c>
      <c r="AK680" s="16" t="n">
        <f aca="false">T680*J680</f>
        <v>0.0238874133302833</v>
      </c>
      <c r="AL680" s="16" t="n">
        <f aca="false">U680*J680</f>
        <v>0.00725946225283482</v>
      </c>
      <c r="AM680" s="16" t="n">
        <f aca="false">AI680-AJ680</f>
        <v>0.0081491913108725</v>
      </c>
      <c r="AN680" s="16" t="n">
        <f aca="false">J680*Country_Data!$EB$101</f>
        <v>0.274656416945184</v>
      </c>
      <c r="AO680" s="16" t="n">
        <f aca="false">L680*Country_Data!$EB$101</f>
        <v>0.0659175400668441</v>
      </c>
    </row>
    <row r="681" customFormat="false" ht="15" hidden="false" customHeight="false" outlineLevel="0" collapsed="false">
      <c r="A681" s="14" t="str">
        <f aca="false">Country_Data!$A$101</f>
        <v>ZWE</v>
      </c>
      <c r="B681" s="14" t="str">
        <f aca="false">Country_Data!$E$101</f>
        <v>EMDC</v>
      </c>
      <c r="C681" s="35" t="s">
        <v>481</v>
      </c>
      <c r="D681" s="37" t="n">
        <f aca="false">IF(Country_Data!$CC$101="","",Country_Data!$CC$101)</f>
        <v>0.0357409965565525</v>
      </c>
      <c r="E681" s="40" t="n">
        <f aca="false">Country_Data!$BW$101</f>
        <v>125.346</v>
      </c>
      <c r="F681" s="41" t="n">
        <f aca="false">Country_Data!$BX$101</f>
        <v>0.392146538381759</v>
      </c>
      <c r="G681" s="42" t="n">
        <f aca="false">IF(D681="","",D681/SUMIFS($D$5:$D$1369,$B$5:$B$1369,B681,$C$5:$C$1369,C681))</f>
        <v>0.000510532733594064</v>
      </c>
      <c r="H681" s="42" t="n">
        <f aca="false">E681/SUMIFS($E$5:$E$1369,$B$5:$B$1369,B681,$C$5:$C$1369,C681)</f>
        <v>0.00155262065585235</v>
      </c>
      <c r="I681" s="43" t="n">
        <f aca="false">IF(G681="",H681,p_beta_alloc*G681+(1-p_beta_alloc)*H681)*F681^p_phi</f>
        <v>0.000645989880656437</v>
      </c>
      <c r="J681" s="16" t="n">
        <f aca="false">INDEX(Sector_Params!$C$20:$E$20,MATCH(B681,Sector_Params!$C$15:$E$15,0))*I681/SUMIFS($I$5:$I$1369,$B$5:$B$1369,B681,$C$5:$C$1369,C681)</f>
        <v>0.117906161961821</v>
      </c>
      <c r="K681" s="28" t="n">
        <f aca="false">INDEX(Sector_Params!$F$9:$H$9,MATCH(B681,Sector_Params!$C$15:$E$15,0))</f>
        <v>0.24</v>
      </c>
      <c r="L681" s="16" t="n">
        <f aca="false">J681*K681</f>
        <v>0.0282974788708372</v>
      </c>
      <c r="M681" s="44" t="n">
        <f aca="false">Country_Data!$DW$101+Sector_Params!$E$9</f>
        <v>0.105</v>
      </c>
      <c r="N681" s="44" t="n">
        <f aca="false">Country_Data!$DX$101+Sector_Params!$E$9</f>
        <v>0.15</v>
      </c>
      <c r="O681" s="11" t="n">
        <f aca="false">IF(p_use_ibrd=1,p_r_ibrd,p_r_wb)</f>
        <v>0.06</v>
      </c>
      <c r="P681" s="45" t="n">
        <f aca="false">Sector_Params!$D$9</f>
        <v>25</v>
      </c>
      <c r="Q681" s="46" t="n">
        <f aca="false">M681/(1-(1+M681)^-P681)</f>
        <v>0.114429319813103</v>
      </c>
      <c r="R681" s="46" t="n">
        <f aca="false">N681/(1-(1+N681)^-P681)</f>
        <v>0.154699402320206</v>
      </c>
      <c r="S681" s="46" t="n">
        <f aca="false">O681/(1-(1+O681)^-P681)</f>
        <v>0.078226718212274</v>
      </c>
      <c r="T681" s="37" t="n">
        <f aca="false">Country_Data!$CM$101*Sector_Params!$I$9</f>
        <v>0.106119303754325</v>
      </c>
      <c r="U681" s="37" t="n">
        <f aca="false">Country_Data!$CN$101*Sector_Params!$J$9</f>
        <v>0.03225</v>
      </c>
      <c r="V681" s="37" t="n">
        <f aca="false">p_a</f>
        <v>0.35</v>
      </c>
      <c r="W681" s="16" t="n">
        <f aca="false">T681*L681</f>
        <v>0.00300290875577597</v>
      </c>
      <c r="X681" s="16" t="n">
        <f aca="false">U681*L681</f>
        <v>0.000912593693584498</v>
      </c>
      <c r="Y681" s="16" t="n">
        <f aca="false">V681*L681</f>
        <v>0.009904117604793</v>
      </c>
      <c r="Z681" s="16" t="n">
        <f aca="false">Q681*L681</f>
        <v>0.00323806125961556</v>
      </c>
      <c r="AA681" s="16" t="n">
        <f aca="false">R681*L681</f>
        <v>0.00437760306848718</v>
      </c>
      <c r="AB681" s="16" t="n">
        <f aca="false">S681*L681</f>
        <v>0.00221361890574675</v>
      </c>
      <c r="AC681" s="16" t="n">
        <f aca="false">Z681-W681</f>
        <v>0.000235152503839592</v>
      </c>
      <c r="AD681" s="16" t="n">
        <f aca="false">AA681-W681</f>
        <v>0.00137469431271121</v>
      </c>
      <c r="AE681" s="16" t="n">
        <f aca="false">AB681-W681</f>
        <v>-0.000789289850029213</v>
      </c>
      <c r="AF681" s="16" t="n">
        <f aca="false">AE681-X681</f>
        <v>-0.00170188354361371</v>
      </c>
      <c r="AG681" s="16" t="n">
        <f aca="false">AF681-p_spc_lo*Y681/1000</f>
        <v>-0.00219708942385336</v>
      </c>
      <c r="AH681" s="16" t="n">
        <f aca="false">AF681-p_spc_hi*Y681/1000</f>
        <v>-0.00269229530409301</v>
      </c>
      <c r="AI681" s="16" t="n">
        <f aca="false">Q681*J681</f>
        <v>0.0134919219150648</v>
      </c>
      <c r="AJ681" s="16" t="n">
        <f aca="false">S681*J681</f>
        <v>0.00922341210727814</v>
      </c>
      <c r="AK681" s="16" t="n">
        <f aca="false">T681*J681</f>
        <v>0.0125121198157332</v>
      </c>
      <c r="AL681" s="16" t="n">
        <f aca="false">U681*J681</f>
        <v>0.00380247372326874</v>
      </c>
      <c r="AM681" s="16" t="n">
        <f aca="false">AI681-AJ681</f>
        <v>0.00426850980778669</v>
      </c>
      <c r="AN681" s="16" t="n">
        <f aca="false">J681*Country_Data!$EB$101</f>
        <v>0.143863797618533</v>
      </c>
      <c r="AO681" s="16" t="n">
        <f aca="false">L681*Country_Data!$EB$101</f>
        <v>0.0345273114284478</v>
      </c>
    </row>
    <row r="682" customFormat="false" ht="15" hidden="false" customHeight="false" outlineLevel="0" collapsed="false">
      <c r="A682" s="14" t="str">
        <f aca="false">Country_Data!$A$101</f>
        <v>ZWE</v>
      </c>
      <c r="B682" s="14" t="str">
        <f aca="false">Country_Data!$E$101</f>
        <v>EMDC</v>
      </c>
      <c r="C682" s="35" t="s">
        <v>484</v>
      </c>
      <c r="D682" s="37" t="n">
        <f aca="false">IF(Country_Data!$CD$101="","",Country_Data!$CD$101)</f>
        <v>0.111212778838961</v>
      </c>
      <c r="E682" s="40" t="n">
        <f aca="false">Country_Data!$BW$101</f>
        <v>125.346</v>
      </c>
      <c r="F682" s="41" t="n">
        <f aca="false">Country_Data!$BX$101</f>
        <v>0.392146538381759</v>
      </c>
      <c r="G682" s="42" t="n">
        <f aca="false">IF(D682="","",D682/SUMIFS($D$5:$D$1369,$B$5:$B$1369,B682,$C$5:$C$1369,C682))</f>
        <v>0.00062105278521449</v>
      </c>
      <c r="H682" s="42" t="n">
        <f aca="false">E682/SUMIFS($E$5:$E$1369,$B$5:$B$1369,B682,$C$5:$C$1369,C682)</f>
        <v>0.00155262065585235</v>
      </c>
      <c r="I682" s="43" t="n">
        <f aca="false">IF(G682="",H682,p_beta_alloc*G682+(1-p_beta_alloc)*H682)*F682^p_phi</f>
        <v>0.000680594595614436</v>
      </c>
      <c r="J682" s="16" t="n">
        <f aca="false">INDEX(Sector_Params!$C$21:$E$21,MATCH(B682,Sector_Params!$C$15:$E$15,0))*I682/SUMIFS($I$5:$I$1369,$B$5:$B$1369,B682,$C$5:$C$1369,C682)</f>
        <v>0.150948957113081</v>
      </c>
      <c r="K682" s="28" t="n">
        <f aca="false">INDEX(Sector_Params!$F$10:$H$10,MATCH(B682,Sector_Params!$C$15:$E$15,0))</f>
        <v>0.24</v>
      </c>
      <c r="L682" s="16" t="n">
        <f aca="false">J682*K682</f>
        <v>0.0362277497071395</v>
      </c>
      <c r="M682" s="44" t="n">
        <f aca="false">Country_Data!$DW$101+Sector_Params!$E$10</f>
        <v>0.105</v>
      </c>
      <c r="N682" s="44" t="n">
        <f aca="false">Country_Data!$DX$101+Sector_Params!$E$10</f>
        <v>0.15</v>
      </c>
      <c r="O682" s="11" t="n">
        <f aca="false">IF(p_use_ibrd=1,p_r_ibrd,p_r_wb)</f>
        <v>0.06</v>
      </c>
      <c r="P682" s="45" t="n">
        <f aca="false">Sector_Params!$D$10</f>
        <v>20</v>
      </c>
      <c r="Q682" s="46" t="n">
        <f aca="false">M682/(1-(1+M682)^-P682)</f>
        <v>0.121493265267016</v>
      </c>
      <c r="R682" s="46" t="n">
        <f aca="false">N682/(1-(1+N682)^-P682)</f>
        <v>0.159761470405744</v>
      </c>
      <c r="S682" s="46" t="n">
        <f aca="false">O682/(1-(1+O682)^-P682)</f>
        <v>0.0871845569768514</v>
      </c>
      <c r="T682" s="37" t="n">
        <f aca="false">0*Sector_Params!$I$10</f>
        <v>0</v>
      </c>
      <c r="U682" s="37" t="n">
        <f aca="false">0*Sector_Params!$J$10</f>
        <v>0</v>
      </c>
      <c r="V682" s="37" t="n">
        <f aca="false">1000*p_r_wb/(1-(1+p_r_wb)^-Sector_Params!$D$10)/p_cpt_fuel</f>
        <v>0.871845569768514</v>
      </c>
      <c r="W682" s="16" t="n">
        <f aca="false">T682*L682</f>
        <v>0</v>
      </c>
      <c r="X682" s="16" t="n">
        <f aca="false">U682*L682</f>
        <v>0</v>
      </c>
      <c r="Y682" s="16" t="n">
        <f aca="false">V682*L682</f>
        <v>0.0315850030848521</v>
      </c>
      <c r="Z682" s="16" t="n">
        <f aca="false">Q682*L682</f>
        <v>0.00440142760519657</v>
      </c>
      <c r="AA682" s="16" t="n">
        <f aca="false">R682*L682</f>
        <v>0.00578779856270386</v>
      </c>
      <c r="AB682" s="16" t="n">
        <f aca="false">S682*L682</f>
        <v>0.00315850030848521</v>
      </c>
      <c r="AC682" s="16" t="n">
        <f aca="false">Z682-W682</f>
        <v>0.00440142760519657</v>
      </c>
      <c r="AD682" s="16" t="n">
        <f aca="false">AA682-W682</f>
        <v>0.00578779856270386</v>
      </c>
      <c r="AE682" s="16" t="n">
        <f aca="false">AB682-W682</f>
        <v>0.00315850030848521</v>
      </c>
      <c r="AF682" s="16" t="n">
        <f aca="false">AE682-X682</f>
        <v>0.00315850030848521</v>
      </c>
      <c r="AG682" s="16" t="n">
        <f aca="false">AF682-p_spc_lo*Y682/1000</f>
        <v>0.00157925015424261</v>
      </c>
      <c r="AH682" s="16" t="n">
        <f aca="false">AF682-p_spc_hi*Y682/1000</f>
        <v>0</v>
      </c>
      <c r="AI682" s="16" t="n">
        <f aca="false">Q682*J682</f>
        <v>0.018339281688319</v>
      </c>
      <c r="AJ682" s="16" t="n">
        <f aca="false">S682*J682</f>
        <v>0.0131604179520217</v>
      </c>
      <c r="AK682" s="16" t="n">
        <f aca="false">T682*J682</f>
        <v>0</v>
      </c>
      <c r="AL682" s="16" t="n">
        <f aca="false">U682*J682</f>
        <v>0</v>
      </c>
      <c r="AM682" s="16" t="n">
        <f aca="false">AI682-AJ682</f>
        <v>0.00517886373629729</v>
      </c>
      <c r="AN682" s="16" t="n">
        <f aca="false">J682*Country_Data!$EB$101</f>
        <v>0.184181130617046</v>
      </c>
      <c r="AO682" s="16" t="n">
        <f aca="false">L682*Country_Data!$EB$101</f>
        <v>0.0442034713480911</v>
      </c>
    </row>
    <row r="683" customFormat="false" ht="15" hidden="false" customHeight="false" outlineLevel="0" collapsed="false">
      <c r="A683" s="14" t="str">
        <f aca="false">Country_Data!$A$101</f>
        <v>ZWE</v>
      </c>
      <c r="B683" s="14" t="str">
        <f aca="false">Country_Data!$E$101</f>
        <v>EMDC</v>
      </c>
      <c r="C683" s="35" t="s">
        <v>488</v>
      </c>
      <c r="D683" s="37" t="n">
        <f aca="false">IF(Country_Data!$CE$101="","",Country_Data!$CE$101)</f>
        <v>103.392</v>
      </c>
      <c r="E683" s="40" t="n">
        <f aca="false">Country_Data!$BW$101</f>
        <v>125.346</v>
      </c>
      <c r="F683" s="41" t="n">
        <f aca="false">Country_Data!$BX$101</f>
        <v>0.392146538381759</v>
      </c>
      <c r="G683" s="42" t="n">
        <f aca="false">IF(D683="","",D683/SUMIFS($D$5:$D$1369,$B$5:$B$1369,B683,$C$5:$C$1369,C683))</f>
        <v>0.00847190004023235</v>
      </c>
      <c r="H683" s="42" t="n">
        <f aca="false">E683/SUMIFS($E$5:$E$1369,$B$5:$B$1369,B683,$C$5:$C$1369,C683)</f>
        <v>0.00155262065585235</v>
      </c>
      <c r="I683" s="43" t="n">
        <f aca="false">IF(G683="",H683,p_beta_alloc*G683+(1-p_beta_alloc)*H683)*F683^p_phi</f>
        <v>0.00313875786513348</v>
      </c>
      <c r="J683" s="16" t="n">
        <f aca="false">INDEX(Sector_Params!$C$22:$E$22,MATCH(B683,Sector_Params!$C$15:$E$15,0))*I683/SUMIFS($I$5:$I$1369,$B$5:$B$1369,B683,$C$5:$C$1369,C683)</f>
        <v>1.8920695696905</v>
      </c>
      <c r="K683" s="28" t="n">
        <f aca="false">INDEX(Sector_Params!$F$11:$H$11,MATCH(B683,Sector_Params!$C$15:$E$15,0))</f>
        <v>0.24</v>
      </c>
      <c r="L683" s="16" t="n">
        <f aca="false">J683*K683</f>
        <v>0.45409669672572</v>
      </c>
      <c r="M683" s="44" t="n">
        <f aca="false">Country_Data!$DW$101+Sector_Params!$E$11</f>
        <v>0.105</v>
      </c>
      <c r="N683" s="44" t="n">
        <f aca="false">Country_Data!$DX$101+Sector_Params!$E$11</f>
        <v>0.15</v>
      </c>
      <c r="O683" s="11" t="n">
        <f aca="false">IF(p_use_ibrd=1,p_r_ibrd,p_r_wb)</f>
        <v>0.06</v>
      </c>
      <c r="P683" s="45" t="n">
        <f aca="false">Sector_Params!$D$11</f>
        <v>30</v>
      </c>
      <c r="Q683" s="46" t="n">
        <f aca="false">M683/(1-(1+M683)^-P683)</f>
        <v>0.110528481529605</v>
      </c>
      <c r="R683" s="46" t="n">
        <f aca="false">N683/(1-(1+N683)^-P683)</f>
        <v>0.152300198192734</v>
      </c>
      <c r="S683" s="46" t="n">
        <f aca="false">O683/(1-(1+O683)^-P683)</f>
        <v>0.0726489114900472</v>
      </c>
      <c r="T683" s="37" t="n">
        <f aca="false">0*Sector_Params!$I$11</f>
        <v>0</v>
      </c>
      <c r="U683" s="37" t="n">
        <f aca="false">p_c*Sector_Params!$J$11</f>
        <v>0.129</v>
      </c>
      <c r="V683" s="37" t="n">
        <f aca="false">1000*p_r_wb/(1-(1+p_r_wb)^-Sector_Params!$D$11)/p_cpt_afolu</f>
        <v>1.45297822980094</v>
      </c>
      <c r="W683" s="16" t="n">
        <f aca="false">T683*L683</f>
        <v>0</v>
      </c>
      <c r="X683" s="16" t="n">
        <f aca="false">U683*L683</f>
        <v>0.0585784738776179</v>
      </c>
      <c r="Y683" s="16" t="n">
        <f aca="false">V683*L683</f>
        <v>0.659792614566993</v>
      </c>
      <c r="Z683" s="16" t="n">
        <f aca="false">Q683*L683</f>
        <v>0.0501906183567035</v>
      </c>
      <c r="AA683" s="16" t="n">
        <f aca="false">R683*L683</f>
        <v>0.0691590169099932</v>
      </c>
      <c r="AB683" s="16" t="n">
        <f aca="false">S683*L683</f>
        <v>0.0329896307283497</v>
      </c>
      <c r="AC683" s="16" t="n">
        <f aca="false">Z683-W683</f>
        <v>0.0501906183567035</v>
      </c>
      <c r="AD683" s="16" t="n">
        <f aca="false">AA683-W683</f>
        <v>0.0691590169099932</v>
      </c>
      <c r="AE683" s="16" t="n">
        <f aca="false">AB683-W683</f>
        <v>0.0329896307283497</v>
      </c>
      <c r="AF683" s="16" t="n">
        <f aca="false">AE683-X683</f>
        <v>-0.0255888431492683</v>
      </c>
      <c r="AG683" s="16" t="n">
        <f aca="false">AF683-p_spc_lo*Y683/1000</f>
        <v>-0.0585784738776179</v>
      </c>
      <c r="AH683" s="16" t="n">
        <f aca="false">AF683-p_spc_hi*Y683/1000</f>
        <v>-0.0915681046059676</v>
      </c>
      <c r="AI683" s="16" t="n">
        <f aca="false">Q683*J683</f>
        <v>0.209127576486265</v>
      </c>
      <c r="AJ683" s="16" t="n">
        <f aca="false">S683*J683</f>
        <v>0.137456794701457</v>
      </c>
      <c r="AK683" s="16" t="n">
        <f aca="false">T683*J683</f>
        <v>0</v>
      </c>
      <c r="AL683" s="16" t="n">
        <f aca="false">U683*J683</f>
        <v>0.244076974490075</v>
      </c>
      <c r="AM683" s="16" t="n">
        <f aca="false">AI683-AJ683</f>
        <v>0.0716707817848076</v>
      </c>
      <c r="AN683" s="16" t="n">
        <f aca="false">J683*Country_Data!$EB$101</f>
        <v>2.30861821914174</v>
      </c>
      <c r="AO683" s="16" t="n">
        <f aca="false">L683*Country_Data!$EB$101</f>
        <v>0.554068372594018</v>
      </c>
    </row>
    <row r="684" customFormat="false" ht="15" hidden="false" customHeight="false" outlineLevel="0" collapsed="false">
      <c r="A684" s="14" t="str">
        <f aca="false">Country_Data!$A$102</f>
        <v>BHR</v>
      </c>
      <c r="B684" s="14" t="str">
        <f aca="false">Country_Data!$E$102</f>
        <v>EMDC</v>
      </c>
      <c r="C684" s="35" t="s">
        <v>466</v>
      </c>
      <c r="D684" s="37" t="n">
        <f aca="false">IF(Country_Data!$BZ$102="","",Country_Data!$BZ$102)</f>
        <v>39.6265872180369</v>
      </c>
      <c r="E684" s="40" t="n">
        <f aca="false">Country_Data!$BW$102</f>
        <v>106.806</v>
      </c>
      <c r="F684" s="41" t="n">
        <f aca="false">Country_Data!$BX$102</f>
        <v>0.442016366121754</v>
      </c>
      <c r="G684" s="42" t="n">
        <f aca="false">IF(D684="","",D684/SUMIFS($D$5:$D$1369,$B$5:$B$1369,B684,$C$5:$C$1369,C684))</f>
        <v>0.00452385581658018</v>
      </c>
      <c r="H684" s="42" t="n">
        <f aca="false">E684/SUMIFS($E$5:$E$1369,$B$5:$B$1369,B684,$C$5:$C$1369,C684)</f>
        <v>0.00132297162868354</v>
      </c>
      <c r="I684" s="43" t="n">
        <f aca="false">IF(G684="",H684,p_beta_alloc*G684+(1-p_beta_alloc)*H684)*F684^p_phi</f>
        <v>0.00194361148261984</v>
      </c>
      <c r="J684" s="16" t="n">
        <f aca="false">INDEX(Sector_Params!$C$16:$E$16,MATCH(B684,Sector_Params!$C$15:$E$15,0))*I684/SUMIFS($I$5:$I$1369,$B$5:$B$1369,B684,$C$5:$C$1369,C684)</f>
        <v>1.87991030078931</v>
      </c>
      <c r="K684" s="28" t="n">
        <f aca="false">INDEX(Sector_Params!$F$5:$H$5,MATCH(B684,Sector_Params!$C$15:$E$15,0))</f>
        <v>0.24</v>
      </c>
      <c r="L684" s="16" t="n">
        <f aca="false">J684*K684</f>
        <v>0.451178472189435</v>
      </c>
      <c r="M684" s="44" t="n">
        <f aca="false">Country_Data!$DW$102+Sector_Params!$E$5</f>
        <v>0.105</v>
      </c>
      <c r="N684" s="44" t="n">
        <f aca="false">Country_Data!$DX$102+Sector_Params!$E$5</f>
        <v>0.15</v>
      </c>
      <c r="O684" s="11" t="n">
        <f aca="false">IF(p_use_ibrd=1,p_r_ibrd,p_r_wb)</f>
        <v>0.06</v>
      </c>
      <c r="P684" s="45" t="n">
        <f aca="false">Sector_Params!$D$5</f>
        <v>25</v>
      </c>
      <c r="Q684" s="46" t="n">
        <f aca="false">M684/(1-(1+M684)^-P684)</f>
        <v>0.114429319813103</v>
      </c>
      <c r="R684" s="46" t="n">
        <f aca="false">N684/(1-(1+N684)^-P684)</f>
        <v>0.154699402320206</v>
      </c>
      <c r="S684" s="46" t="n">
        <f aca="false">O684/(1-(1+O684)^-P684)</f>
        <v>0.078226718212274</v>
      </c>
      <c r="T684" s="37" t="n">
        <f aca="false">IF(AND(p_eng=1,ISNUMBER(Country_Data!$CZ$102)),Country_Data!$CZ$102,Country_Data!$CM$102)*Sector_Params!$I$5</f>
        <v>0.0370212647600841</v>
      </c>
      <c r="U684" s="37" t="n">
        <f aca="false">IF(AND(p_eng=1,ISNUMBER(Country_Data!$DA$102)),Country_Data!$DA$102,Country_Data!$CN$102)*Sector_Params!$J$5</f>
        <v>0.000120482075465198</v>
      </c>
      <c r="V684" s="37" t="n">
        <f aca="false">IF(AND(p_eng=1,ISNUMBER(Country_Data!$DB$102)),Country_Data!$DB$102,p_a)</f>
        <v>0.965715735619032</v>
      </c>
      <c r="W684" s="16" t="n">
        <f aca="false">T684*L684</f>
        <v>0.0167031976729753</v>
      </c>
      <c r="X684" s="16" t="n">
        <f aca="false">U684*L684</f>
        <v>5.43589187346002E-005</v>
      </c>
      <c r="Y684" s="16" t="n">
        <f aca="false">V684*L684</f>
        <v>0.435710150165891</v>
      </c>
      <c r="Z684" s="16" t="n">
        <f aca="false">Q684*L684</f>
        <v>0.0516280456869522</v>
      </c>
      <c r="AA684" s="16" t="n">
        <f aca="false">R684*L684</f>
        <v>0.0697970399874495</v>
      </c>
      <c r="AB684" s="16" t="n">
        <f aca="false">S684*L684</f>
        <v>0.0352942112074072</v>
      </c>
      <c r="AC684" s="16" t="n">
        <f aca="false">Z684-W684</f>
        <v>0.0349248480139769</v>
      </c>
      <c r="AD684" s="16" t="n">
        <f aca="false">AA684-W684</f>
        <v>0.0530938423144742</v>
      </c>
      <c r="AE684" s="16" t="n">
        <f aca="false">AB684-W684</f>
        <v>0.0185910135344319</v>
      </c>
      <c r="AF684" s="16" t="n">
        <f aca="false">AE684-X684</f>
        <v>0.0185366546156973</v>
      </c>
      <c r="AG684" s="16" t="n">
        <f aca="false">AF684-p_spc_lo*Y684/1000</f>
        <v>-0.00324885289259725</v>
      </c>
      <c r="AH684" s="16" t="n">
        <f aca="false">AF684-p_spc_hi*Y684/1000</f>
        <v>-0.0250343604008918</v>
      </c>
      <c r="AI684" s="16" t="n">
        <f aca="false">Q684*J684</f>
        <v>0.215116857028967</v>
      </c>
      <c r="AJ684" s="16" t="n">
        <f aca="false">S684*J684</f>
        <v>0.147059213364197</v>
      </c>
      <c r="AK684" s="16" t="n">
        <f aca="false">T684*J684</f>
        <v>0.0695966569707304</v>
      </c>
      <c r="AL684" s="16" t="n">
        <f aca="false">U684*J684</f>
        <v>0.000226495494727501</v>
      </c>
      <c r="AM684" s="16" t="n">
        <f aca="false">AI684-AJ684</f>
        <v>0.0680576436647707</v>
      </c>
      <c r="AN684" s="16" t="n">
        <f aca="false">J684*Country_Data!$EB$102</f>
        <v>2.15803401652253</v>
      </c>
      <c r="AO684" s="16" t="n">
        <f aca="false">L684*Country_Data!$EB$102</f>
        <v>0.517928163965406</v>
      </c>
    </row>
    <row r="685" customFormat="false" ht="15" hidden="false" customHeight="false" outlineLevel="0" collapsed="false">
      <c r="A685" s="14" t="str">
        <f aca="false">Country_Data!$A$102</f>
        <v>BHR</v>
      </c>
      <c r="B685" s="14" t="str">
        <f aca="false">Country_Data!$E$102</f>
        <v>EMDC</v>
      </c>
      <c r="C685" s="35" t="s">
        <v>470</v>
      </c>
      <c r="D685" s="37" t="n">
        <f aca="false">IF(Country_Data!$BZ$102="","",Country_Data!$BZ$102)</f>
        <v>39.6265872180369</v>
      </c>
      <c r="E685" s="40" t="n">
        <f aca="false">Country_Data!$BW$102</f>
        <v>106.806</v>
      </c>
      <c r="F685" s="41" t="n">
        <f aca="false">Country_Data!$BX$102</f>
        <v>0.442016366121754</v>
      </c>
      <c r="G685" s="42" t="n">
        <f aca="false">IF(D685="","",D685/SUMIFS($D$5:$D$1369,$B$5:$B$1369,B685,$C$5:$C$1369,C685))</f>
        <v>0.00452385581658018</v>
      </c>
      <c r="H685" s="42" t="n">
        <f aca="false">E685/SUMIFS($E$5:$E$1369,$B$5:$B$1369,B685,$C$5:$C$1369,C685)</f>
        <v>0.00132297162868354</v>
      </c>
      <c r="I685" s="43" t="n">
        <f aca="false">IF(G685="",H685,p_beta_alloc*G685+(1-p_beta_alloc)*H685)*F685^p_phi</f>
        <v>0.00194361148261984</v>
      </c>
      <c r="J685" s="16" t="n">
        <f aca="false">INDEX(Sector_Params!$C$17:$E$17,MATCH(B685,Sector_Params!$C$15:$E$15,0))*I685/SUMIFS($I$5:$I$1369,$B$5:$B$1369,B685,$C$5:$C$1369,C685)</f>
        <v>1.28908134911267</v>
      </c>
      <c r="K685" s="28" t="n">
        <f aca="false">INDEX(Sector_Params!$F$6:$H$6,MATCH(B685,Sector_Params!$C$15:$E$15,0))</f>
        <v>0.24</v>
      </c>
      <c r="L685" s="16" t="n">
        <f aca="false">J685*K685</f>
        <v>0.309379523787041</v>
      </c>
      <c r="M685" s="44" t="n">
        <f aca="false">Country_Data!$DW$102+Sector_Params!$E$6</f>
        <v>0.105</v>
      </c>
      <c r="N685" s="44" t="n">
        <f aca="false">Country_Data!$DX$102+Sector_Params!$E$6</f>
        <v>0.15</v>
      </c>
      <c r="O685" s="11" t="n">
        <f aca="false">IF(p_use_ibrd=1,p_r_ibrd,p_r_wb)</f>
        <v>0.06</v>
      </c>
      <c r="P685" s="45" t="n">
        <f aca="false">Sector_Params!$D$6</f>
        <v>40</v>
      </c>
      <c r="Q685" s="46" t="n">
        <f aca="false">M685/(1-(1+M685)^-P685)</f>
        <v>0.10697140835497</v>
      </c>
      <c r="R685" s="46" t="n">
        <f aca="false">N685/(1-(1+N685)^-P685)</f>
        <v>0.150562085013545</v>
      </c>
      <c r="S685" s="46" t="n">
        <f aca="false">O685/(1-(1+O685)^-P685)</f>
        <v>0.0664615359206755</v>
      </c>
      <c r="T685" s="37" t="n">
        <f aca="false">p_grid_credit*IF(AND(p_eng=1,ISNUMBER(Country_Data!$CZ$102)),Country_Data!$CZ$102,Country_Data!$CM$102)*Sector_Params!$I$6</f>
        <v>0</v>
      </c>
      <c r="U685" s="37" t="n">
        <f aca="false">p_grid_credit*IF(AND(p_eng=1,ISNUMBER(Country_Data!$DA$102)),Country_Data!$DA$102,Country_Data!$CN$102)*Sector_Params!$J$6</f>
        <v>0</v>
      </c>
      <c r="V685" s="37" t="n">
        <f aca="false">p_grid_credit*IF(AND(p_eng=1,ISNUMBER(Country_Data!$DB$102)),Country_Data!$DB$102,p_a)</f>
        <v>0</v>
      </c>
      <c r="W685" s="16" t="n">
        <f aca="false">T685*L685</f>
        <v>0</v>
      </c>
      <c r="X685" s="16" t="n">
        <f aca="false">U685*L685</f>
        <v>0</v>
      </c>
      <c r="Y685" s="16" t="n">
        <f aca="false">V685*L685</f>
        <v>0</v>
      </c>
      <c r="Z685" s="16" t="n">
        <f aca="false">Q685*L685</f>
        <v>0.0330947633756898</v>
      </c>
      <c r="AA685" s="16" t="n">
        <f aca="false">R685*L685</f>
        <v>0.0465808261618745</v>
      </c>
      <c r="AB685" s="16" t="n">
        <f aca="false">S685*L685</f>
        <v>0.0205618383332939</v>
      </c>
      <c r="AC685" s="16" t="n">
        <f aca="false">Z685-W685</f>
        <v>0.0330947633756898</v>
      </c>
      <c r="AD685" s="16" t="n">
        <f aca="false">AA685-W685</f>
        <v>0.0465808261618745</v>
      </c>
      <c r="AE685" s="16" t="n">
        <f aca="false">AB685-W685</f>
        <v>0.0205618383332939</v>
      </c>
      <c r="AF685" s="16" t="n">
        <f aca="false">AE685-X685</f>
        <v>0.0205618383332939</v>
      </c>
      <c r="AG685" s="16" t="n">
        <f aca="false">AF685-p_spc_lo*Y685/1000</f>
        <v>0.0205618383332939</v>
      </c>
      <c r="AH685" s="16" t="n">
        <f aca="false">AF685-p_spc_hi*Y685/1000</f>
        <v>0.0205618383332939</v>
      </c>
      <c r="AI685" s="16" t="n">
        <f aca="false">Q685*J685</f>
        <v>0.137894847398708</v>
      </c>
      <c r="AJ685" s="16" t="n">
        <f aca="false">S685*J685</f>
        <v>0.0856743263887246</v>
      </c>
      <c r="AK685" s="16" t="n">
        <f aca="false">T685*J685</f>
        <v>0</v>
      </c>
      <c r="AL685" s="16" t="n">
        <f aca="false">U685*J685</f>
        <v>0</v>
      </c>
      <c r="AM685" s="16" t="n">
        <f aca="false">AI685-AJ685</f>
        <v>0.052220521009983</v>
      </c>
      <c r="AN685" s="16" t="n">
        <f aca="false">J685*Country_Data!$EB$102</f>
        <v>1.47979475418687</v>
      </c>
      <c r="AO685" s="16" t="n">
        <f aca="false">L685*Country_Data!$EB$102</f>
        <v>0.35515074100485</v>
      </c>
    </row>
    <row r="686" customFormat="false" ht="15" hidden="false" customHeight="false" outlineLevel="0" collapsed="false">
      <c r="A686" s="14" t="str">
        <f aca="false">Country_Data!$A$102</f>
        <v>BHR</v>
      </c>
      <c r="B686" s="14" t="str">
        <f aca="false">Country_Data!$E$102</f>
        <v>EMDC</v>
      </c>
      <c r="C686" s="35" t="s">
        <v>473</v>
      </c>
      <c r="D686" s="37" t="n">
        <f aca="false">IF(Country_Data!$CA$102="","",Country_Data!$CA$102)</f>
        <v>0.0527248093924523</v>
      </c>
      <c r="E686" s="40" t="n">
        <f aca="false">Country_Data!$BW$102</f>
        <v>106.806</v>
      </c>
      <c r="F686" s="41" t="n">
        <f aca="false">Country_Data!$BX$102</f>
        <v>0.442016366121754</v>
      </c>
      <c r="G686" s="42" t="n">
        <f aca="false">IF(D686="","",D686/SUMIFS($D$5:$D$1369,$B$5:$B$1369,B686,$C$5:$C$1369,C686))</f>
        <v>0.00121806577253944</v>
      </c>
      <c r="H686" s="42" t="n">
        <f aca="false">E686/SUMIFS($E$5:$E$1369,$B$5:$B$1369,B686,$C$5:$C$1369,C686)</f>
        <v>0.00132297162868354</v>
      </c>
      <c r="I686" s="43" t="n">
        <f aca="false">IF(G686="",H686,p_beta_alloc*G686+(1-p_beta_alloc)*H686)*F686^p_phi</f>
        <v>0.000844695609203273</v>
      </c>
      <c r="J686" s="16" t="n">
        <f aca="false">INDEX(Sector_Params!$C$18:$E$18,MATCH(B686,Sector_Params!$C$15:$E$15,0))*I686/SUMIFS($I$5:$I$1369,$B$5:$B$1369,B686,$C$5:$C$1369,C686)</f>
        <v>0.345882865444892</v>
      </c>
      <c r="K686" s="28" t="n">
        <f aca="false">INDEX(Sector_Params!$F$7:$H$7,MATCH(B686,Sector_Params!$C$15:$E$15,0))</f>
        <v>0.24</v>
      </c>
      <c r="L686" s="16" t="n">
        <f aca="false">J686*K686</f>
        <v>0.0830118877067741</v>
      </c>
      <c r="M686" s="44" t="n">
        <f aca="false">Country_Data!$DW$102+Sector_Params!$E$7</f>
        <v>0.105</v>
      </c>
      <c r="N686" s="44" t="n">
        <f aca="false">Country_Data!$DX$102+Sector_Params!$E$7</f>
        <v>0.15</v>
      </c>
      <c r="O686" s="11" t="n">
        <f aca="false">IF(p_use_ibrd=1,p_r_ibrd,p_r_wb)</f>
        <v>0.06</v>
      </c>
      <c r="P686" s="45" t="n">
        <f aca="false">Sector_Params!$D$7</f>
        <v>12</v>
      </c>
      <c r="Q686" s="46" t="n">
        <f aca="false">M686/(1-(1+M686)^-P686)</f>
        <v>0.150376745634766</v>
      </c>
      <c r="R686" s="46" t="n">
        <f aca="false">N686/(1-(1+N686)^-P686)</f>
        <v>0.18448077613084</v>
      </c>
      <c r="S686" s="46" t="n">
        <f aca="false">O686/(1-(1+O686)^-P686)</f>
        <v>0.119277029380664</v>
      </c>
      <c r="T686" s="37" t="n">
        <f aca="false">IF(AND(p_eng=1,ISNUMBER(Country_Data!$DE$102)),Country_Data!$DE$102,Country_Data!$CM$102)*Sector_Params!$I$7</f>
        <v>0.15777</v>
      </c>
      <c r="U686" s="37" t="n">
        <f aca="false">IF(AND(p_eng=1,ISNUMBER(Country_Data!$DF$102)),Country_Data!$DF$102,Country_Data!$CN$102)*Sector_Params!$J$7</f>
        <v>0.010667925</v>
      </c>
      <c r="V686" s="37" t="n">
        <f aca="false">IF(AND(p_eng=1,ISNUMBER(Country_Data!$DG$102)),Country_Data!$DG$102,p_a)</f>
        <v>0.306657195652174</v>
      </c>
      <c r="W686" s="16" t="n">
        <f aca="false">T686*L686</f>
        <v>0.0130967855234977</v>
      </c>
      <c r="X686" s="16" t="n">
        <f aca="false">U686*L686</f>
        <v>0.000885564592164288</v>
      </c>
      <c r="Y686" s="16" t="n">
        <f aca="false">V686*L686</f>
        <v>0.0254561926899525</v>
      </c>
      <c r="Z686" s="16" t="n">
        <f aca="false">Q686*L686</f>
        <v>0.0124830575223433</v>
      </c>
      <c r="AA686" s="16" t="n">
        <f aca="false">R686*L686</f>
        <v>0.0153140974722318</v>
      </c>
      <c r="AB686" s="16" t="n">
        <f aca="false">S686*L686</f>
        <v>0.00990141136894523</v>
      </c>
      <c r="AC686" s="16" t="n">
        <f aca="false">Z686-W686</f>
        <v>-0.000613728001154446</v>
      </c>
      <c r="AD686" s="16" t="n">
        <f aca="false">AA686-W686</f>
        <v>0.00221731194873403</v>
      </c>
      <c r="AE686" s="16" t="n">
        <f aca="false">AB686-W686</f>
        <v>-0.00319537415455251</v>
      </c>
      <c r="AF686" s="16" t="n">
        <f aca="false">AE686-X686</f>
        <v>-0.0040809387467168</v>
      </c>
      <c r="AG686" s="16" t="n">
        <f aca="false">AF686-p_spc_lo*Y686/1000</f>
        <v>-0.00535374838121442</v>
      </c>
      <c r="AH686" s="16" t="n">
        <f aca="false">AF686-p_spc_hi*Y686/1000</f>
        <v>-0.00662655801571205</v>
      </c>
      <c r="AI686" s="16" t="n">
        <f aca="false">Q686*J686</f>
        <v>0.0520127396764304</v>
      </c>
      <c r="AJ686" s="16" t="n">
        <f aca="false">S686*J686</f>
        <v>0.0412558807039385</v>
      </c>
      <c r="AK686" s="16" t="n">
        <f aca="false">T686*J686</f>
        <v>0.0545699396812406</v>
      </c>
      <c r="AL686" s="16" t="n">
        <f aca="false">U686*J686</f>
        <v>0.0036898524673512</v>
      </c>
      <c r="AM686" s="16" t="n">
        <f aca="false">AI686-AJ686</f>
        <v>0.0107568589724919</v>
      </c>
      <c r="AN686" s="16" t="n">
        <f aca="false">J686*Country_Data!$EB$102</f>
        <v>0.397054577044958</v>
      </c>
      <c r="AO686" s="16" t="n">
        <f aca="false">L686*Country_Data!$EB$102</f>
        <v>0.0952930984907899</v>
      </c>
    </row>
    <row r="687" customFormat="false" ht="15" hidden="false" customHeight="false" outlineLevel="0" collapsed="false">
      <c r="A687" s="14" t="str">
        <f aca="false">Country_Data!$A$102</f>
        <v>BHR</v>
      </c>
      <c r="B687" s="14" t="str">
        <f aca="false">Country_Data!$E$102</f>
        <v>EMDC</v>
      </c>
      <c r="C687" s="35" t="s">
        <v>477</v>
      </c>
      <c r="D687" s="37" t="n">
        <f aca="false">IF(Country_Data!$CB$102="","",Country_Data!$CB$102)</f>
        <v>0.0418445079756623</v>
      </c>
      <c r="E687" s="40" t="n">
        <f aca="false">Country_Data!$BW$102</f>
        <v>106.806</v>
      </c>
      <c r="F687" s="41" t="n">
        <f aca="false">Country_Data!$BX$102</f>
        <v>0.442016366121754</v>
      </c>
      <c r="G687" s="42" t="n">
        <f aca="false">IF(D687="","",D687/SUMIFS($D$5:$D$1369,$B$5:$B$1369,B687,$C$5:$C$1369,C687))</f>
        <v>0.00131948475301266</v>
      </c>
      <c r="H687" s="42" t="n">
        <f aca="false">E687/SUMIFS($E$5:$E$1369,$B$5:$B$1369,B687,$C$5:$C$1369,C687)</f>
        <v>0.00132297162868354</v>
      </c>
      <c r="I687" s="43" t="n">
        <f aca="false">IF(G687="",H687,p_beta_alloc*G687+(1-p_beta_alloc)*H687)*F687^p_phi</f>
        <v>0.000878409464597282</v>
      </c>
      <c r="J687" s="16" t="n">
        <f aca="false">INDEX(Sector_Params!$C$19:$E$19,MATCH(B687,Sector_Params!$C$15:$E$15,0))*I687/SUMIFS($I$5:$I$1369,$B$5:$B$1369,B687,$C$5:$C$1369,C687)</f>
        <v>0.282727151087843</v>
      </c>
      <c r="K687" s="28" t="n">
        <f aca="false">INDEX(Sector_Params!$F$8:$H$8,MATCH(B687,Sector_Params!$C$15:$E$15,0))</f>
        <v>0.24</v>
      </c>
      <c r="L687" s="16" t="n">
        <f aca="false">J687*K687</f>
        <v>0.0678545162610823</v>
      </c>
      <c r="M687" s="44" t="n">
        <f aca="false">Country_Data!$DW$102+Sector_Params!$E$8</f>
        <v>0.105</v>
      </c>
      <c r="N687" s="44" t="n">
        <f aca="false">Country_Data!$DX$102+Sector_Params!$E$8</f>
        <v>0.15</v>
      </c>
      <c r="O687" s="11" t="n">
        <f aca="false">IF(p_use_ibrd=1,p_r_ibrd,p_r_wb)</f>
        <v>0.06</v>
      </c>
      <c r="P687" s="45" t="n">
        <f aca="false">Sector_Params!$D$8</f>
        <v>25</v>
      </c>
      <c r="Q687" s="46" t="n">
        <f aca="false">M687/(1-(1+M687)^-P687)</f>
        <v>0.114429319813103</v>
      </c>
      <c r="R687" s="46" t="n">
        <f aca="false">N687/(1-(1+N687)^-P687)</f>
        <v>0.154699402320206</v>
      </c>
      <c r="S687" s="46" t="n">
        <f aca="false">O687/(1-(1+O687)^-P687)</f>
        <v>0.078226718212274</v>
      </c>
      <c r="T687" s="37" t="n">
        <f aca="false">Country_Data!$CM$102*Sector_Params!$I$8</f>
        <v>0.0634646928076956</v>
      </c>
      <c r="U687" s="37" t="n">
        <f aca="false">Country_Data!$CN$102*Sector_Params!$J$8</f>
        <v>0.03225</v>
      </c>
      <c r="V687" s="37" t="n">
        <f aca="false">p_a</f>
        <v>0.35</v>
      </c>
      <c r="W687" s="16" t="n">
        <f aca="false">T687*L687</f>
        <v>0.00430636603012437</v>
      </c>
      <c r="X687" s="16" t="n">
        <f aca="false">U687*L687</f>
        <v>0.0021883081494199</v>
      </c>
      <c r="Y687" s="16" t="n">
        <f aca="false">V687*L687</f>
        <v>0.0237490806913788</v>
      </c>
      <c r="Z687" s="16" t="n">
        <f aca="false">Q687*L687</f>
        <v>0.0077645461420028</v>
      </c>
      <c r="AA687" s="16" t="n">
        <f aca="false">R687*L687</f>
        <v>0.0104970531103162</v>
      </c>
      <c r="AB687" s="16" t="n">
        <f aca="false">S687*L687</f>
        <v>0.00530803612298584</v>
      </c>
      <c r="AC687" s="16" t="n">
        <f aca="false">Z687-W687</f>
        <v>0.00345818011187843</v>
      </c>
      <c r="AD687" s="16" t="n">
        <f aca="false">AA687-W687</f>
        <v>0.00619068708019179</v>
      </c>
      <c r="AE687" s="16" t="n">
        <f aca="false">AB687-W687</f>
        <v>0.00100167009286147</v>
      </c>
      <c r="AF687" s="16" t="n">
        <f aca="false">AE687-X687</f>
        <v>-0.00118663805655843</v>
      </c>
      <c r="AG687" s="16" t="n">
        <f aca="false">AF687-p_spc_lo*Y687/1000</f>
        <v>-0.00237409209112737</v>
      </c>
      <c r="AH687" s="16" t="n">
        <f aca="false">AF687-p_spc_hi*Y687/1000</f>
        <v>-0.00356154612569631</v>
      </c>
      <c r="AI687" s="16" t="n">
        <f aca="false">Q687*J687</f>
        <v>0.0323522755916784</v>
      </c>
      <c r="AJ687" s="16" t="n">
        <f aca="false">S687*J687</f>
        <v>0.0221168171791077</v>
      </c>
      <c r="AK687" s="16" t="n">
        <f aca="false">T687*J687</f>
        <v>0.0179431917921849</v>
      </c>
      <c r="AL687" s="16" t="n">
        <f aca="false">U687*J687</f>
        <v>0.00911795062258293</v>
      </c>
      <c r="AM687" s="16" t="n">
        <f aca="false">AI687-AJ687</f>
        <v>0.0102354584125707</v>
      </c>
      <c r="AN687" s="16" t="n">
        <f aca="false">J687*Country_Data!$EB$102</f>
        <v>0.324555277550154</v>
      </c>
      <c r="AO687" s="16" t="n">
        <f aca="false">L687*Country_Data!$EB$102</f>
        <v>0.0778932666120369</v>
      </c>
    </row>
    <row r="688" customFormat="false" ht="15" hidden="false" customHeight="false" outlineLevel="0" collapsed="false">
      <c r="A688" s="14" t="str">
        <f aca="false">Country_Data!$A$102</f>
        <v>BHR</v>
      </c>
      <c r="B688" s="14" t="str">
        <f aca="false">Country_Data!$E$102</f>
        <v>EMDC</v>
      </c>
      <c r="C688" s="35" t="s">
        <v>481</v>
      </c>
      <c r="D688" s="37" t="n">
        <f aca="false">IF(Country_Data!$CC$102="","",Country_Data!$CC$102)</f>
        <v>0.211259786965902</v>
      </c>
      <c r="E688" s="40" t="n">
        <f aca="false">Country_Data!$BW$102</f>
        <v>106.806</v>
      </c>
      <c r="F688" s="41" t="n">
        <f aca="false">Country_Data!$BX$102</f>
        <v>0.442016366121754</v>
      </c>
      <c r="G688" s="42" t="n">
        <f aca="false">IF(D688="","",D688/SUMIFS($D$5:$D$1369,$B$5:$B$1369,B688,$C$5:$C$1369,C688))</f>
        <v>0.0030176840863277</v>
      </c>
      <c r="H688" s="42" t="n">
        <f aca="false">E688/SUMIFS($E$5:$E$1369,$B$5:$B$1369,B688,$C$5:$C$1369,C688)</f>
        <v>0.00132297162868354</v>
      </c>
      <c r="I688" s="43" t="n">
        <f aca="false">IF(G688="",H688,p_beta_alloc*G688+(1-p_beta_alloc)*H688)*F688^p_phi</f>
        <v>0.00144292753100305</v>
      </c>
      <c r="J688" s="16" t="n">
        <f aca="false">INDEX(Sector_Params!$C$20:$E$20,MATCH(B688,Sector_Params!$C$15:$E$15,0))*I688/SUMIFS($I$5:$I$1369,$B$5:$B$1369,B688,$C$5:$C$1369,C688)</f>
        <v>0.26336333163104</v>
      </c>
      <c r="K688" s="28" t="n">
        <f aca="false">INDEX(Sector_Params!$F$9:$H$9,MATCH(B688,Sector_Params!$C$15:$E$15,0))</f>
        <v>0.24</v>
      </c>
      <c r="L688" s="16" t="n">
        <f aca="false">J688*K688</f>
        <v>0.0632071995914496</v>
      </c>
      <c r="M688" s="44" t="n">
        <f aca="false">Country_Data!$DW$102+Sector_Params!$E$9</f>
        <v>0.105</v>
      </c>
      <c r="N688" s="44" t="n">
        <f aca="false">Country_Data!$DX$102+Sector_Params!$E$9</f>
        <v>0.15</v>
      </c>
      <c r="O688" s="11" t="n">
        <f aca="false">IF(p_use_ibrd=1,p_r_ibrd,p_r_wb)</f>
        <v>0.06</v>
      </c>
      <c r="P688" s="45" t="n">
        <f aca="false">Sector_Params!$D$9</f>
        <v>25</v>
      </c>
      <c r="Q688" s="46" t="n">
        <f aca="false">M688/(1-(1+M688)^-P688)</f>
        <v>0.114429319813103</v>
      </c>
      <c r="R688" s="46" t="n">
        <f aca="false">N688/(1-(1+N688)^-P688)</f>
        <v>0.154699402320206</v>
      </c>
      <c r="S688" s="46" t="n">
        <f aca="false">O688/(1-(1+O688)^-P688)</f>
        <v>0.078226718212274</v>
      </c>
      <c r="T688" s="37" t="n">
        <f aca="false">Country_Data!$CM$102*Sector_Params!$I$9</f>
        <v>0.0634646928076956</v>
      </c>
      <c r="U688" s="37" t="n">
        <f aca="false">Country_Data!$CN$102*Sector_Params!$J$9</f>
        <v>0.03225</v>
      </c>
      <c r="V688" s="37" t="n">
        <f aca="false">p_a</f>
        <v>0.35</v>
      </c>
      <c r="W688" s="16" t="n">
        <f aca="false">T688*L688</f>
        <v>0.00401142550530605</v>
      </c>
      <c r="X688" s="16" t="n">
        <f aca="false">U688*L688</f>
        <v>0.00203843218682425</v>
      </c>
      <c r="Y688" s="16" t="n">
        <f aca="false">V688*L688</f>
        <v>0.0221225198570074</v>
      </c>
      <c r="Z688" s="16" t="n">
        <f aca="false">Q688*L688</f>
        <v>0.00723275685654064</v>
      </c>
      <c r="AA688" s="16" t="n">
        <f aca="false">R688*L688</f>
        <v>0.00977811599913125</v>
      </c>
      <c r="AB688" s="16" t="n">
        <f aca="false">S688*L688</f>
        <v>0.00494449179142728</v>
      </c>
      <c r="AC688" s="16" t="n">
        <f aca="false">Z688-W688</f>
        <v>0.00322133135123459</v>
      </c>
      <c r="AD688" s="16" t="n">
        <f aca="false">AA688-W688</f>
        <v>0.0057666904938252</v>
      </c>
      <c r="AE688" s="16" t="n">
        <f aca="false">AB688-W688</f>
        <v>0.000933066286121234</v>
      </c>
      <c r="AF688" s="16" t="n">
        <f aca="false">AE688-X688</f>
        <v>-0.00110536590070301</v>
      </c>
      <c r="AG688" s="16" t="n">
        <f aca="false">AF688-p_spc_lo*Y688/1000</f>
        <v>-0.00221149189355338</v>
      </c>
      <c r="AH688" s="16" t="n">
        <f aca="false">AF688-p_spc_hi*Y688/1000</f>
        <v>-0.00331761788640375</v>
      </c>
      <c r="AI688" s="16" t="n">
        <f aca="false">Q688*J688</f>
        <v>0.0301364869022527</v>
      </c>
      <c r="AJ688" s="16" t="n">
        <f aca="false">S688*J688</f>
        <v>0.020602049130947</v>
      </c>
      <c r="AK688" s="16" t="n">
        <f aca="false">T688*J688</f>
        <v>0.0167142729387752</v>
      </c>
      <c r="AL688" s="16" t="n">
        <f aca="false">U688*J688</f>
        <v>0.00849346744510104</v>
      </c>
      <c r="AM688" s="16" t="n">
        <f aca="false">AI688-AJ688</f>
        <v>0.00953443777130564</v>
      </c>
      <c r="AN688" s="16" t="n">
        <f aca="false">J688*Country_Data!$EB$102</f>
        <v>0.302326673844947</v>
      </c>
      <c r="AO688" s="16" t="n">
        <f aca="false">L688*Country_Data!$EB$102</f>
        <v>0.0725584017227873</v>
      </c>
    </row>
    <row r="689" customFormat="false" ht="15" hidden="false" customHeight="false" outlineLevel="0" collapsed="false">
      <c r="A689" s="14" t="str">
        <f aca="false">Country_Data!$A$102</f>
        <v>BHR</v>
      </c>
      <c r="B689" s="14" t="str">
        <f aca="false">Country_Data!$E$102</f>
        <v>EMDC</v>
      </c>
      <c r="C689" s="35" t="s">
        <v>484</v>
      </c>
      <c r="D689" s="37" t="n">
        <f aca="false">IF(Country_Data!$CD$102="","",Country_Data!$CD$102)</f>
        <v>0.591007672922042</v>
      </c>
      <c r="E689" s="40" t="n">
        <f aca="false">Country_Data!$BW$102</f>
        <v>106.806</v>
      </c>
      <c r="F689" s="41" t="n">
        <f aca="false">Country_Data!$BX$102</f>
        <v>0.442016366121754</v>
      </c>
      <c r="G689" s="42" t="n">
        <f aca="false">IF(D689="","",D689/SUMIFS($D$5:$D$1369,$B$5:$B$1369,B689,$C$5:$C$1369,C689))</f>
        <v>0.00330040275212313</v>
      </c>
      <c r="H689" s="42" t="n">
        <f aca="false">E689/SUMIFS($E$5:$E$1369,$B$5:$B$1369,B689,$C$5:$C$1369,C689)</f>
        <v>0.00132297162868354</v>
      </c>
      <c r="I689" s="43" t="n">
        <f aca="false">IF(G689="",H689,p_beta_alloc*G689+(1-p_beta_alloc)*H689)*F689^p_phi</f>
        <v>0.00153690931006788</v>
      </c>
      <c r="J689" s="16" t="n">
        <f aca="false">INDEX(Sector_Params!$C$21:$E$21,MATCH(B689,Sector_Params!$C$15:$E$15,0))*I689/SUMIFS($I$5:$I$1369,$B$5:$B$1369,B689,$C$5:$C$1369,C689)</f>
        <v>0.340870848853404</v>
      </c>
      <c r="K689" s="28" t="n">
        <f aca="false">INDEX(Sector_Params!$F$10:$H$10,MATCH(B689,Sector_Params!$C$15:$E$15,0))</f>
        <v>0.24</v>
      </c>
      <c r="L689" s="16" t="n">
        <f aca="false">J689*K689</f>
        <v>0.081809003724817</v>
      </c>
      <c r="M689" s="44" t="n">
        <f aca="false">Country_Data!$DW$102+Sector_Params!$E$10</f>
        <v>0.105</v>
      </c>
      <c r="N689" s="44" t="n">
        <f aca="false">Country_Data!$DX$102+Sector_Params!$E$10</f>
        <v>0.15</v>
      </c>
      <c r="O689" s="11" t="n">
        <f aca="false">IF(p_use_ibrd=1,p_r_ibrd,p_r_wb)</f>
        <v>0.06</v>
      </c>
      <c r="P689" s="45" t="n">
        <f aca="false">Sector_Params!$D$10</f>
        <v>20</v>
      </c>
      <c r="Q689" s="46" t="n">
        <f aca="false">M689/(1-(1+M689)^-P689)</f>
        <v>0.121493265267016</v>
      </c>
      <c r="R689" s="46" t="n">
        <f aca="false">N689/(1-(1+N689)^-P689)</f>
        <v>0.159761470405744</v>
      </c>
      <c r="S689" s="46" t="n">
        <f aca="false">O689/(1-(1+O689)^-P689)</f>
        <v>0.0871845569768514</v>
      </c>
      <c r="T689" s="37" t="n">
        <f aca="false">0*Sector_Params!$I$10</f>
        <v>0</v>
      </c>
      <c r="U689" s="37" t="n">
        <f aca="false">0*Sector_Params!$J$10</f>
        <v>0</v>
      </c>
      <c r="V689" s="37" t="n">
        <f aca="false">1000*p_r_wb/(1-(1+p_r_wb)^-Sector_Params!$D$10)/p_cpt_fuel</f>
        <v>0.871845569768514</v>
      </c>
      <c r="W689" s="16" t="n">
        <f aca="false">T689*L689</f>
        <v>0</v>
      </c>
      <c r="X689" s="16" t="n">
        <f aca="false">U689*L689</f>
        <v>0</v>
      </c>
      <c r="Y689" s="16" t="n">
        <f aca="false">V689*L689</f>
        <v>0.0713248174646575</v>
      </c>
      <c r="Z689" s="16" t="n">
        <f aca="false">Q689*L689</f>
        <v>0.0099392429907695</v>
      </c>
      <c r="AA689" s="16" t="n">
        <f aca="false">R689*L689</f>
        <v>0.0130699267275057</v>
      </c>
      <c r="AB689" s="16" t="n">
        <f aca="false">S689*L689</f>
        <v>0.00713248174646575</v>
      </c>
      <c r="AC689" s="16" t="n">
        <f aca="false">Z689-W689</f>
        <v>0.0099392429907695</v>
      </c>
      <c r="AD689" s="16" t="n">
        <f aca="false">AA689-W689</f>
        <v>0.0130699267275057</v>
      </c>
      <c r="AE689" s="16" t="n">
        <f aca="false">AB689-W689</f>
        <v>0.00713248174646575</v>
      </c>
      <c r="AF689" s="16" t="n">
        <f aca="false">AE689-X689</f>
        <v>0.00713248174646575</v>
      </c>
      <c r="AG689" s="16" t="n">
        <f aca="false">AF689-p_spc_lo*Y689/1000</f>
        <v>0.00356624087323288</v>
      </c>
      <c r="AH689" s="16" t="n">
        <f aca="false">AF689-p_spc_hi*Y689/1000</f>
        <v>0</v>
      </c>
      <c r="AI689" s="16" t="n">
        <f aca="false">Q689*J689</f>
        <v>0.0414135124615396</v>
      </c>
      <c r="AJ689" s="16" t="n">
        <f aca="false">S689*J689</f>
        <v>0.0297186739436073</v>
      </c>
      <c r="AK689" s="16" t="n">
        <f aca="false">T689*J689</f>
        <v>0</v>
      </c>
      <c r="AL689" s="16" t="n">
        <f aca="false">U689*J689</f>
        <v>0</v>
      </c>
      <c r="AM689" s="16" t="n">
        <f aca="false">AI689-AJ689</f>
        <v>0.0116948385179323</v>
      </c>
      <c r="AN689" s="16" t="n">
        <f aca="false">J689*Country_Data!$EB$102</f>
        <v>0.391301056628976</v>
      </c>
      <c r="AO689" s="16" t="n">
        <f aca="false">L689*Country_Data!$EB$102</f>
        <v>0.0939122535909543</v>
      </c>
    </row>
    <row r="690" customFormat="false" ht="15" hidden="false" customHeight="false" outlineLevel="0" collapsed="false">
      <c r="A690" s="14" t="str">
        <f aca="false">Country_Data!$A$102</f>
        <v>BHR</v>
      </c>
      <c r="B690" s="14" t="str">
        <f aca="false">Country_Data!$E$102</f>
        <v>EMDC</v>
      </c>
      <c r="C690" s="35" t="s">
        <v>488</v>
      </c>
      <c r="D690" s="37" t="n">
        <f aca="false">IF(Country_Data!$CE$102="","",Country_Data!$CE$102)</f>
        <v>35.307</v>
      </c>
      <c r="E690" s="40" t="n">
        <f aca="false">Country_Data!$BW$102</f>
        <v>106.806</v>
      </c>
      <c r="F690" s="41" t="n">
        <f aca="false">Country_Data!$BX$102</f>
        <v>0.442016366121754</v>
      </c>
      <c r="G690" s="42" t="n">
        <f aca="false">IF(D690="","",D690/SUMIFS($D$5:$D$1369,$B$5:$B$1369,B690,$C$5:$C$1369,C690))</f>
        <v>0.00289304177035441</v>
      </c>
      <c r="H690" s="42" t="n">
        <f aca="false">E690/SUMIFS($E$5:$E$1369,$B$5:$B$1369,B690,$C$5:$C$1369,C690)</f>
        <v>0.00132297162868354</v>
      </c>
      <c r="I690" s="43" t="n">
        <f aca="false">IF(G690="",H690,p_beta_alloc*G690+(1-p_beta_alloc)*H690)*F690^p_phi</f>
        <v>0.00140149373826435</v>
      </c>
      <c r="J690" s="16" t="n">
        <f aca="false">INDEX(Sector_Params!$C$22:$E$22,MATCH(B690,Sector_Params!$C$15:$E$15,0))*I690/SUMIFS($I$5:$I$1369,$B$5:$B$1369,B690,$C$5:$C$1369,C690)</f>
        <v>0.84483218146201</v>
      </c>
      <c r="K690" s="28" t="n">
        <f aca="false">INDEX(Sector_Params!$F$11:$H$11,MATCH(B690,Sector_Params!$C$15:$E$15,0))</f>
        <v>0.24</v>
      </c>
      <c r="L690" s="16" t="n">
        <f aca="false">J690*K690</f>
        <v>0.202759723550882</v>
      </c>
      <c r="M690" s="44" t="n">
        <f aca="false">Country_Data!$DW$102+Sector_Params!$E$11</f>
        <v>0.105</v>
      </c>
      <c r="N690" s="44" t="n">
        <f aca="false">Country_Data!$DX$102+Sector_Params!$E$11</f>
        <v>0.15</v>
      </c>
      <c r="O690" s="11" t="n">
        <f aca="false">IF(p_use_ibrd=1,p_r_ibrd,p_r_wb)</f>
        <v>0.06</v>
      </c>
      <c r="P690" s="45" t="n">
        <f aca="false">Sector_Params!$D$11</f>
        <v>30</v>
      </c>
      <c r="Q690" s="46" t="n">
        <f aca="false">M690/(1-(1+M690)^-P690)</f>
        <v>0.110528481529605</v>
      </c>
      <c r="R690" s="46" t="n">
        <f aca="false">N690/(1-(1+N690)^-P690)</f>
        <v>0.152300198192734</v>
      </c>
      <c r="S690" s="46" t="n">
        <f aca="false">O690/(1-(1+O690)^-P690)</f>
        <v>0.0726489114900472</v>
      </c>
      <c r="T690" s="37" t="n">
        <f aca="false">0*Sector_Params!$I$11</f>
        <v>0</v>
      </c>
      <c r="U690" s="37" t="n">
        <f aca="false">p_c*Sector_Params!$J$11</f>
        <v>0.129</v>
      </c>
      <c r="V690" s="37" t="n">
        <f aca="false">1000*p_r_wb/(1-(1+p_r_wb)^-Sector_Params!$D$11)/p_cpt_afolu</f>
        <v>1.45297822980094</v>
      </c>
      <c r="W690" s="16" t="n">
        <f aca="false">T690*L690</f>
        <v>0</v>
      </c>
      <c r="X690" s="16" t="n">
        <f aca="false">U690*L690</f>
        <v>0.0261560043380638</v>
      </c>
      <c r="Y690" s="16" t="n">
        <f aca="false">V690*L690</f>
        <v>0.29460546419989</v>
      </c>
      <c r="Z690" s="16" t="n">
        <f aca="false">Q690*L690</f>
        <v>0.0224107243594416</v>
      </c>
      <c r="AA690" s="16" t="n">
        <f aca="false">R690*L690</f>
        <v>0.0308803460823034</v>
      </c>
      <c r="AB690" s="16" t="n">
        <f aca="false">S690*L690</f>
        <v>0.0147302732099945</v>
      </c>
      <c r="AC690" s="16" t="n">
        <f aca="false">Z690-W690</f>
        <v>0.0224107243594416</v>
      </c>
      <c r="AD690" s="16" t="n">
        <f aca="false">AA690-W690</f>
        <v>0.0308803460823034</v>
      </c>
      <c r="AE690" s="16" t="n">
        <f aca="false">AB690-W690</f>
        <v>0.0147302732099945</v>
      </c>
      <c r="AF690" s="16" t="n">
        <f aca="false">AE690-X690</f>
        <v>-0.0114257311280693</v>
      </c>
      <c r="AG690" s="16" t="n">
        <f aca="false">AF690-p_spc_lo*Y690/1000</f>
        <v>-0.0261560043380638</v>
      </c>
      <c r="AH690" s="16" t="n">
        <f aca="false">AF690-p_spc_hi*Y690/1000</f>
        <v>-0.0408862775480583</v>
      </c>
      <c r="AI690" s="16" t="n">
        <f aca="false">Q690*J690</f>
        <v>0.0933780181643398</v>
      </c>
      <c r="AJ690" s="16" t="n">
        <f aca="false">S690*J690</f>
        <v>0.0613761383749771</v>
      </c>
      <c r="AK690" s="16" t="n">
        <f aca="false">T690*J690</f>
        <v>0</v>
      </c>
      <c r="AL690" s="16" t="n">
        <f aca="false">U690*J690</f>
        <v>0.108983351408599</v>
      </c>
      <c r="AM690" s="16" t="n">
        <f aca="false">AI690-AJ690</f>
        <v>0.0320018797893628</v>
      </c>
      <c r="AN690" s="16" t="n">
        <f aca="false">J690*Country_Data!$EB$102</f>
        <v>0.969821052144061</v>
      </c>
      <c r="AO690" s="16" t="n">
        <f aca="false">L690*Country_Data!$EB$102</f>
        <v>0.232757052514575</v>
      </c>
    </row>
    <row r="691" customFormat="false" ht="15" hidden="false" customHeight="false" outlineLevel="0" collapsed="false">
      <c r="A691" s="14" t="str">
        <f aca="false">Country_Data!$A$103</f>
        <v>KHM</v>
      </c>
      <c r="B691" s="14" t="str">
        <f aca="false">Country_Data!$E$103</f>
        <v>EMDC</v>
      </c>
      <c r="C691" s="35" t="s">
        <v>466</v>
      </c>
      <c r="D691" s="37" t="n">
        <f aca="false">IF(Country_Data!$BZ$103="","",Country_Data!$BZ$103)</f>
        <v>15.1531019533781</v>
      </c>
      <c r="E691" s="40" t="n">
        <f aca="false">Country_Data!$BW$103</f>
        <v>138.882</v>
      </c>
      <c r="F691" s="41" t="n">
        <f aca="false">Country_Data!$BX$103</f>
        <v>0.331922063334341</v>
      </c>
      <c r="G691" s="42" t="n">
        <f aca="false">IF(D691="","",D691/SUMIFS($D$5:$D$1369,$B$5:$B$1369,B691,$C$5:$C$1369,C691))</f>
        <v>0.00172991047737313</v>
      </c>
      <c r="H691" s="42" t="n">
        <f aca="false">E691/SUMIFS($E$5:$E$1369,$B$5:$B$1369,B691,$C$5:$C$1369,C691)</f>
        <v>0.00172028674170765</v>
      </c>
      <c r="I691" s="43" t="n">
        <f aca="false">IF(G691="",H691,p_beta_alloc*G691+(1-p_beta_alloc)*H691)*F691^p_phi</f>
        <v>0.000993875502158134</v>
      </c>
      <c r="J691" s="16" t="n">
        <f aca="false">INDEX(Sector_Params!$C$16:$E$16,MATCH(B691,Sector_Params!$C$15:$E$15,0))*I691/SUMIFS($I$5:$I$1369,$B$5:$B$1369,B691,$C$5:$C$1369,C691)</f>
        <v>0.961301582603728</v>
      </c>
      <c r="K691" s="28" t="n">
        <f aca="false">INDEX(Sector_Params!$F$5:$H$5,MATCH(B691,Sector_Params!$C$15:$E$15,0))</f>
        <v>0.24</v>
      </c>
      <c r="L691" s="16" t="n">
        <f aca="false">J691*K691</f>
        <v>0.230712379824895</v>
      </c>
      <c r="M691" s="44" t="n">
        <f aca="false">Country_Data!$DW$103+Sector_Params!$E$5</f>
        <v>0.1</v>
      </c>
      <c r="N691" s="44" t="n">
        <f aca="false">Country_Data!$DX$103+Sector_Params!$E$5</f>
        <v>0.145</v>
      </c>
      <c r="O691" s="11" t="n">
        <f aca="false">IF(p_use_ibrd=1,p_r_ibrd,p_r_wb)</f>
        <v>0.06</v>
      </c>
      <c r="P691" s="45" t="n">
        <f aca="false">Sector_Params!$D$5</f>
        <v>25</v>
      </c>
      <c r="Q691" s="46" t="n">
        <f aca="false">M691/(1-(1+M691)^-P691)</f>
        <v>0.110168072190021</v>
      </c>
      <c r="R691" s="46" t="n">
        <f aca="false">N691/(1-(1+N691)^-P691)</f>
        <v>0.150083899275527</v>
      </c>
      <c r="S691" s="46" t="n">
        <f aca="false">O691/(1-(1+O691)^-P691)</f>
        <v>0.078226718212274</v>
      </c>
      <c r="T691" s="37" t="n">
        <f aca="false">IF(AND(p_eng=1,ISNUMBER(Country_Data!$CZ$103)),Country_Data!$CZ$103,Country_Data!$CM$103)*Sector_Params!$I$5</f>
        <v>0.0564647972747591</v>
      </c>
      <c r="U691" s="37" t="n">
        <f aca="false">IF(AND(p_eng=1,ISNUMBER(Country_Data!$DA$103)),Country_Data!$DA$103,Country_Data!$CN$103)*Sector_Params!$J$5</f>
        <v>0.026144263187642</v>
      </c>
      <c r="V691" s="37" t="n">
        <f aca="false">IF(AND(p_eng=1,ISNUMBER(Country_Data!$DB$103)),Country_Data!$DB$103,p_a)</f>
        <v>1.2793162462752</v>
      </c>
      <c r="W691" s="16" t="n">
        <f aca="false">T691*L691</f>
        <v>0.0130271277555899</v>
      </c>
      <c r="X691" s="16" t="n">
        <f aca="false">U691*L691</f>
        <v>0.00603180517878928</v>
      </c>
      <c r="Y691" s="16" t="n">
        <f aca="false">V691*L691</f>
        <v>0.295154095726802</v>
      </c>
      <c r="Z691" s="16" t="n">
        <f aca="false">Q691*L691</f>
        <v>0.0254171381156805</v>
      </c>
      <c r="AA691" s="16" t="n">
        <f aca="false">R691*L691</f>
        <v>0.0346262135752566</v>
      </c>
      <c r="AB691" s="16" t="n">
        <f aca="false">S691*L691</f>
        <v>0.0180478723246451</v>
      </c>
      <c r="AC691" s="16" t="n">
        <f aca="false">Z691-W691</f>
        <v>0.0123900103600906</v>
      </c>
      <c r="AD691" s="16" t="n">
        <f aca="false">AA691-W691</f>
        <v>0.0215990858196667</v>
      </c>
      <c r="AE691" s="16" t="n">
        <f aca="false">AB691-W691</f>
        <v>0.00502074456905526</v>
      </c>
      <c r="AF691" s="16" t="n">
        <f aca="false">AE691-X691</f>
        <v>-0.00101106060973402</v>
      </c>
      <c r="AG691" s="16" t="n">
        <f aca="false">AF691-p_spc_lo*Y691/1000</f>
        <v>-0.0157687653960741</v>
      </c>
      <c r="AH691" s="16" t="n">
        <f aca="false">AF691-p_spc_hi*Y691/1000</f>
        <v>-0.0305264701824142</v>
      </c>
      <c r="AI691" s="16" t="n">
        <f aca="false">Q691*J691</f>
        <v>0.105904742148669</v>
      </c>
      <c r="AJ691" s="16" t="n">
        <f aca="false">S691*J691</f>
        <v>0.0751994680193548</v>
      </c>
      <c r="AK691" s="16" t="n">
        <f aca="false">T691*J691</f>
        <v>0.0542796989816245</v>
      </c>
      <c r="AL691" s="16" t="n">
        <f aca="false">U691*J691</f>
        <v>0.0251325215782887</v>
      </c>
      <c r="AM691" s="16" t="n">
        <f aca="false">AI691-AJ691</f>
        <v>0.030705274129314</v>
      </c>
      <c r="AN691" s="16" t="n">
        <f aca="false">J691*Country_Data!$EB$103</f>
        <v>1.1729369697816</v>
      </c>
      <c r="AO691" s="16" t="n">
        <f aca="false">L691*Country_Data!$EB$103</f>
        <v>0.281504872747585</v>
      </c>
    </row>
    <row r="692" customFormat="false" ht="15" hidden="false" customHeight="false" outlineLevel="0" collapsed="false">
      <c r="A692" s="14" t="str">
        <f aca="false">Country_Data!$A$103</f>
        <v>KHM</v>
      </c>
      <c r="B692" s="14" t="str">
        <f aca="false">Country_Data!$E$103</f>
        <v>EMDC</v>
      </c>
      <c r="C692" s="35" t="s">
        <v>470</v>
      </c>
      <c r="D692" s="37" t="n">
        <f aca="false">IF(Country_Data!$BZ$103="","",Country_Data!$BZ$103)</f>
        <v>15.1531019533781</v>
      </c>
      <c r="E692" s="40" t="n">
        <f aca="false">Country_Data!$BW$103</f>
        <v>138.882</v>
      </c>
      <c r="F692" s="41" t="n">
        <f aca="false">Country_Data!$BX$103</f>
        <v>0.331922063334341</v>
      </c>
      <c r="G692" s="42" t="n">
        <f aca="false">IF(D692="","",D692/SUMIFS($D$5:$D$1369,$B$5:$B$1369,B692,$C$5:$C$1369,C692))</f>
        <v>0.00172991047737313</v>
      </c>
      <c r="H692" s="42" t="n">
        <f aca="false">E692/SUMIFS($E$5:$E$1369,$B$5:$B$1369,B692,$C$5:$C$1369,C692)</f>
        <v>0.00172028674170765</v>
      </c>
      <c r="I692" s="43" t="n">
        <f aca="false">IF(G692="",H692,p_beta_alloc*G692+(1-p_beta_alloc)*H692)*F692^p_phi</f>
        <v>0.000993875502158134</v>
      </c>
      <c r="J692" s="16" t="n">
        <f aca="false">INDEX(Sector_Params!$C$17:$E$17,MATCH(B692,Sector_Params!$C$15:$E$15,0))*I692/SUMIFS($I$5:$I$1369,$B$5:$B$1369,B692,$C$5:$C$1369,C692)</f>
        <v>0.659178228071128</v>
      </c>
      <c r="K692" s="28" t="n">
        <f aca="false">INDEX(Sector_Params!$F$6:$H$6,MATCH(B692,Sector_Params!$C$15:$E$15,0))</f>
        <v>0.24</v>
      </c>
      <c r="L692" s="16" t="n">
        <f aca="false">J692*K692</f>
        <v>0.158202774737071</v>
      </c>
      <c r="M692" s="44" t="n">
        <f aca="false">Country_Data!$DW$103+Sector_Params!$E$6</f>
        <v>0.1</v>
      </c>
      <c r="N692" s="44" t="n">
        <f aca="false">Country_Data!$DX$103+Sector_Params!$E$6</f>
        <v>0.145</v>
      </c>
      <c r="O692" s="11" t="n">
        <f aca="false">IF(p_use_ibrd=1,p_r_ibrd,p_r_wb)</f>
        <v>0.06</v>
      </c>
      <c r="P692" s="45" t="n">
        <f aca="false">Sector_Params!$D$6</f>
        <v>40</v>
      </c>
      <c r="Q692" s="46" t="n">
        <f aca="false">M692/(1-(1+M692)^-P692)</f>
        <v>0.102259414414369</v>
      </c>
      <c r="R692" s="46" t="n">
        <f aca="false">N692/(1-(1+N692)^-P692)</f>
        <v>0.145647266112244</v>
      </c>
      <c r="S692" s="46" t="n">
        <f aca="false">O692/(1-(1+O692)^-P692)</f>
        <v>0.0664615359206755</v>
      </c>
      <c r="T692" s="37" t="n">
        <f aca="false">p_grid_credit*IF(AND(p_eng=1,ISNUMBER(Country_Data!$CZ$103)),Country_Data!$CZ$103,Country_Data!$CM$103)*Sector_Params!$I$6</f>
        <v>0</v>
      </c>
      <c r="U692" s="37" t="n">
        <f aca="false">p_grid_credit*IF(AND(p_eng=1,ISNUMBER(Country_Data!$DA$103)),Country_Data!$DA$103,Country_Data!$CN$103)*Sector_Params!$J$6</f>
        <v>0</v>
      </c>
      <c r="V692" s="37" t="n">
        <f aca="false">p_grid_credit*IF(AND(p_eng=1,ISNUMBER(Country_Data!$DB$103)),Country_Data!$DB$103,p_a)</f>
        <v>0</v>
      </c>
      <c r="W692" s="16" t="n">
        <f aca="false">T692*L692</f>
        <v>0</v>
      </c>
      <c r="X692" s="16" t="n">
        <f aca="false">U692*L692</f>
        <v>0</v>
      </c>
      <c r="Y692" s="16" t="n">
        <f aca="false">V692*L692</f>
        <v>0</v>
      </c>
      <c r="Z692" s="16" t="n">
        <f aca="false">Q692*L692</f>
        <v>0.0161777231033412</v>
      </c>
      <c r="AA692" s="16" t="n">
        <f aca="false">R692*L692</f>
        <v>0.0230418016318255</v>
      </c>
      <c r="AB692" s="16" t="n">
        <f aca="false">S692*L692</f>
        <v>0.0105143993959384</v>
      </c>
      <c r="AC692" s="16" t="n">
        <f aca="false">Z692-W692</f>
        <v>0.0161777231033412</v>
      </c>
      <c r="AD692" s="16" t="n">
        <f aca="false">AA692-W692</f>
        <v>0.0230418016318255</v>
      </c>
      <c r="AE692" s="16" t="n">
        <f aca="false">AB692-W692</f>
        <v>0.0105143993959384</v>
      </c>
      <c r="AF692" s="16" t="n">
        <f aca="false">AE692-X692</f>
        <v>0.0105143993959384</v>
      </c>
      <c r="AG692" s="16" t="n">
        <f aca="false">AF692-p_spc_lo*Y692/1000</f>
        <v>0.0105143993959384</v>
      </c>
      <c r="AH692" s="16" t="n">
        <f aca="false">AF692-p_spc_hi*Y692/1000</f>
        <v>0.0105143993959384</v>
      </c>
      <c r="AI692" s="16" t="n">
        <f aca="false">Q692*J692</f>
        <v>0.0674071795972552</v>
      </c>
      <c r="AJ692" s="16" t="n">
        <f aca="false">S692*J692</f>
        <v>0.0438099974830765</v>
      </c>
      <c r="AK692" s="16" t="n">
        <f aca="false">T692*J692</f>
        <v>0</v>
      </c>
      <c r="AL692" s="16" t="n">
        <f aca="false">U692*J692</f>
        <v>0</v>
      </c>
      <c r="AM692" s="16" t="n">
        <f aca="false">AI692-AJ692</f>
        <v>0.0235971821141787</v>
      </c>
      <c r="AN692" s="16" t="n">
        <f aca="false">J692*Country_Data!$EB$103</f>
        <v>0.80429963642167</v>
      </c>
      <c r="AO692" s="16" t="n">
        <f aca="false">L692*Country_Data!$EB$103</f>
        <v>0.193031912741201</v>
      </c>
    </row>
    <row r="693" customFormat="false" ht="15" hidden="false" customHeight="false" outlineLevel="0" collapsed="false">
      <c r="A693" s="14" t="str">
        <f aca="false">Country_Data!$A$103</f>
        <v>KHM</v>
      </c>
      <c r="B693" s="14" t="str">
        <f aca="false">Country_Data!$E$103</f>
        <v>EMDC</v>
      </c>
      <c r="C693" s="35" t="s">
        <v>473</v>
      </c>
      <c r="D693" s="37" t="n">
        <f aca="false">IF(Country_Data!$CA$103="","",Country_Data!$CA$103)</f>
        <v>0.119694692626144</v>
      </c>
      <c r="E693" s="40" t="n">
        <f aca="false">Country_Data!$BW$103</f>
        <v>138.882</v>
      </c>
      <c r="F693" s="41" t="n">
        <f aca="false">Country_Data!$BX$103</f>
        <v>0.331922063334341</v>
      </c>
      <c r="G693" s="42" t="n">
        <f aca="false">IF(D693="","",D693/SUMIFS($D$5:$D$1369,$B$5:$B$1369,B693,$C$5:$C$1369,C693))</f>
        <v>0.0027652258950301</v>
      </c>
      <c r="H693" s="42" t="n">
        <f aca="false">E693/SUMIFS($E$5:$E$1369,$B$5:$B$1369,B693,$C$5:$C$1369,C693)</f>
        <v>0.00172028674170765</v>
      </c>
      <c r="I693" s="43" t="n">
        <f aca="false">IF(G693="",H693,p_beta_alloc*G693+(1-p_beta_alloc)*H693)*F693^p_phi</f>
        <v>0.00129211196960565</v>
      </c>
      <c r="J693" s="16" t="n">
        <f aca="false">INDEX(Sector_Params!$C$18:$E$18,MATCH(B693,Sector_Params!$C$15:$E$15,0))*I693/SUMIFS($I$5:$I$1369,$B$5:$B$1369,B693,$C$5:$C$1369,C693)</f>
        <v>0.529089278615269</v>
      </c>
      <c r="K693" s="28" t="n">
        <f aca="false">INDEX(Sector_Params!$F$7:$H$7,MATCH(B693,Sector_Params!$C$15:$E$15,0))</f>
        <v>0.24</v>
      </c>
      <c r="L693" s="16" t="n">
        <f aca="false">J693*K693</f>
        <v>0.126981426867665</v>
      </c>
      <c r="M693" s="44" t="n">
        <f aca="false">Country_Data!$DW$103+Sector_Params!$E$7</f>
        <v>0.1</v>
      </c>
      <c r="N693" s="44" t="n">
        <f aca="false">Country_Data!$DX$103+Sector_Params!$E$7</f>
        <v>0.145</v>
      </c>
      <c r="O693" s="11" t="n">
        <f aca="false">IF(p_use_ibrd=1,p_r_ibrd,p_r_wb)</f>
        <v>0.06</v>
      </c>
      <c r="P693" s="45" t="n">
        <f aca="false">Sector_Params!$D$7</f>
        <v>12</v>
      </c>
      <c r="Q693" s="46" t="n">
        <f aca="false">M693/(1-(1+M693)^-P693)</f>
        <v>0.146763315100287</v>
      </c>
      <c r="R693" s="46" t="n">
        <f aca="false">N693/(1-(1+N693)^-P693)</f>
        <v>0.180559383519992</v>
      </c>
      <c r="S693" s="46" t="n">
        <f aca="false">O693/(1-(1+O693)^-P693)</f>
        <v>0.119277029380664</v>
      </c>
      <c r="T693" s="37" t="n">
        <f aca="false">IF(AND(p_eng=1,ISNUMBER(Country_Data!$DE$103)),Country_Data!$DE$103,Country_Data!$CM$103)*Sector_Params!$I$7</f>
        <v>0.1271655</v>
      </c>
      <c r="U693" s="37" t="n">
        <f aca="false">IF(AND(p_eng=1,ISNUMBER(Country_Data!$DF$103)),Country_Data!$DF$103,Country_Data!$CN$103)*Sector_Params!$J$7</f>
        <v>0.0048573</v>
      </c>
      <c r="V693" s="37" t="n">
        <f aca="false">IF(AND(p_eng=1,ISNUMBER(Country_Data!$DG$103)),Country_Data!$DG$103,p_a)</f>
        <v>0.233070476351351</v>
      </c>
      <c r="W693" s="16" t="n">
        <f aca="false">T693*L693</f>
        <v>0.01614765663834</v>
      </c>
      <c r="X693" s="16" t="n">
        <f aca="false">U693*L693</f>
        <v>0.000616786884724307</v>
      </c>
      <c r="Y693" s="16" t="n">
        <f aca="false">V693*L693</f>
        <v>0.0295956216478209</v>
      </c>
      <c r="Z693" s="16" t="n">
        <f aca="false">Q693*L693</f>
        <v>0.0186362151632631</v>
      </c>
      <c r="AA693" s="16" t="n">
        <f aca="false">R693*L693</f>
        <v>0.0229276881537145</v>
      </c>
      <c r="AB693" s="16" t="n">
        <f aca="false">S693*L693</f>
        <v>0.015145967383293</v>
      </c>
      <c r="AC693" s="16" t="n">
        <f aca="false">Z693-W693</f>
        <v>0.00248855852492314</v>
      </c>
      <c r="AD693" s="16" t="n">
        <f aca="false">AA693-W693</f>
        <v>0.00678003151537448</v>
      </c>
      <c r="AE693" s="16" t="n">
        <f aca="false">AB693-W693</f>
        <v>-0.00100168925504699</v>
      </c>
      <c r="AF693" s="16" t="n">
        <f aca="false">AE693-X693</f>
        <v>-0.0016184761397713</v>
      </c>
      <c r="AG693" s="16" t="n">
        <f aca="false">AF693-p_spc_lo*Y693/1000</f>
        <v>-0.00309825722216234</v>
      </c>
      <c r="AH693" s="16" t="n">
        <f aca="false">AF693-p_spc_hi*Y693/1000</f>
        <v>-0.00457803830455338</v>
      </c>
      <c r="AI693" s="16" t="n">
        <f aca="false">Q693*J693</f>
        <v>0.0776508965135964</v>
      </c>
      <c r="AJ693" s="16" t="n">
        <f aca="false">S693*J693</f>
        <v>0.0631081974303875</v>
      </c>
      <c r="AK693" s="16" t="n">
        <f aca="false">T693*J693</f>
        <v>0.06728190265975</v>
      </c>
      <c r="AL693" s="16" t="n">
        <f aca="false">U693*J693</f>
        <v>0.00256994535301795</v>
      </c>
      <c r="AM693" s="16" t="n">
        <f aca="false">AI693-AJ693</f>
        <v>0.0145426990832089</v>
      </c>
      <c r="AN693" s="16" t="n">
        <f aca="false">J693*Country_Data!$EB$103</f>
        <v>0.64557094925615</v>
      </c>
      <c r="AO693" s="16" t="n">
        <f aca="false">L693*Country_Data!$EB$103</f>
        <v>0.154937027821476</v>
      </c>
    </row>
    <row r="694" customFormat="false" ht="15" hidden="false" customHeight="false" outlineLevel="0" collapsed="false">
      <c r="A694" s="14" t="str">
        <f aca="false">Country_Data!$A$103</f>
        <v>KHM</v>
      </c>
      <c r="B694" s="14" t="str">
        <f aca="false">Country_Data!$E$103</f>
        <v>EMDC</v>
      </c>
      <c r="C694" s="35" t="s">
        <v>477</v>
      </c>
      <c r="D694" s="37" t="n">
        <f aca="false">IF(Country_Data!$CB$103="","",Country_Data!$CB$103)</f>
        <v>0.0384874268298241</v>
      </c>
      <c r="E694" s="40" t="n">
        <f aca="false">Country_Data!$BW$103</f>
        <v>138.882</v>
      </c>
      <c r="F694" s="41" t="n">
        <f aca="false">Country_Data!$BX$103</f>
        <v>0.331922063334341</v>
      </c>
      <c r="G694" s="42" t="n">
        <f aca="false">IF(D694="","",D694/SUMIFS($D$5:$D$1369,$B$5:$B$1369,B694,$C$5:$C$1369,C694))</f>
        <v>0.00121362576217123</v>
      </c>
      <c r="H694" s="42" t="n">
        <f aca="false">E694/SUMIFS($E$5:$E$1369,$B$5:$B$1369,B694,$C$5:$C$1369,C694)</f>
        <v>0.00172028674170765</v>
      </c>
      <c r="I694" s="43" t="n">
        <f aca="false">IF(G694="",H694,p_beta_alloc*G694+(1-p_beta_alloc)*H694)*F694^p_phi</f>
        <v>0.000845152777630937</v>
      </c>
      <c r="J694" s="16" t="n">
        <f aca="false">INDEX(Sector_Params!$C$19:$E$19,MATCH(B694,Sector_Params!$C$15:$E$15,0))*I694/SUMIFS($I$5:$I$1369,$B$5:$B$1369,B694,$C$5:$C$1369,C694)</f>
        <v>0.27202306746902</v>
      </c>
      <c r="K694" s="28" t="n">
        <f aca="false">INDEX(Sector_Params!$F$8:$H$8,MATCH(B694,Sector_Params!$C$15:$E$15,0))</f>
        <v>0.24</v>
      </c>
      <c r="L694" s="16" t="n">
        <f aca="false">J694*K694</f>
        <v>0.0652855361925647</v>
      </c>
      <c r="M694" s="44" t="n">
        <f aca="false">Country_Data!$DW$103+Sector_Params!$E$8</f>
        <v>0.1</v>
      </c>
      <c r="N694" s="44" t="n">
        <f aca="false">Country_Data!$DX$103+Sector_Params!$E$8</f>
        <v>0.145</v>
      </c>
      <c r="O694" s="11" t="n">
        <f aca="false">IF(p_use_ibrd=1,p_r_ibrd,p_r_wb)</f>
        <v>0.06</v>
      </c>
      <c r="P694" s="45" t="n">
        <f aca="false">Sector_Params!$D$8</f>
        <v>25</v>
      </c>
      <c r="Q694" s="46" t="n">
        <f aca="false">M694/(1-(1+M694)^-P694)</f>
        <v>0.110168072190021</v>
      </c>
      <c r="R694" s="46" t="n">
        <f aca="false">N694/(1-(1+N694)^-P694)</f>
        <v>0.150083899275527</v>
      </c>
      <c r="S694" s="46" t="n">
        <f aca="false">O694/(1-(1+O694)^-P694)</f>
        <v>0.078226718212274</v>
      </c>
      <c r="T694" s="37" t="n">
        <f aca="false">Country_Data!$CM$103*Sector_Params!$I$8</f>
        <v>0.140218225187706</v>
      </c>
      <c r="U694" s="37" t="n">
        <f aca="false">Country_Data!$CN$103*Sector_Params!$J$8</f>
        <v>0.0325574149457283</v>
      </c>
      <c r="V694" s="37" t="n">
        <f aca="false">p_a</f>
        <v>0.35</v>
      </c>
      <c r="W694" s="16" t="n">
        <f aca="false">T694*L694</f>
        <v>0.00915422201534919</v>
      </c>
      <c r="X694" s="16" t="n">
        <f aca="false">U694*L694</f>
        <v>0.00212552829177569</v>
      </c>
      <c r="Y694" s="16" t="n">
        <f aca="false">V694*L694</f>
        <v>0.0228499376673977</v>
      </c>
      <c r="Z694" s="16" t="n">
        <f aca="false">Q694*L694</f>
        <v>0.00719238166422669</v>
      </c>
      <c r="AA694" s="16" t="n">
        <f aca="false">R694*L694</f>
        <v>0.00979830783807365</v>
      </c>
      <c r="AB694" s="16" t="n">
        <f aca="false">S694*L694</f>
        <v>0.00510707324307297</v>
      </c>
      <c r="AC694" s="16" t="n">
        <f aca="false">Z694-W694</f>
        <v>-0.0019618403511225</v>
      </c>
      <c r="AD694" s="16" t="n">
        <f aca="false">AA694-W694</f>
        <v>0.000644085822724462</v>
      </c>
      <c r="AE694" s="16" t="n">
        <f aca="false">AB694-W694</f>
        <v>-0.00404714877227622</v>
      </c>
      <c r="AF694" s="16" t="n">
        <f aca="false">AE694-X694</f>
        <v>-0.00617267706405191</v>
      </c>
      <c r="AG694" s="16" t="n">
        <f aca="false">AF694-p_spc_lo*Y694/1000</f>
        <v>-0.00731517394742179</v>
      </c>
      <c r="AH694" s="16" t="n">
        <f aca="false">AF694-p_spc_hi*Y694/1000</f>
        <v>-0.00845767083079168</v>
      </c>
      <c r="AI694" s="16" t="n">
        <f aca="false">Q694*J694</f>
        <v>0.0299682569342779</v>
      </c>
      <c r="AJ694" s="16" t="n">
        <f aca="false">S694*J694</f>
        <v>0.0212794718461374</v>
      </c>
      <c r="AK694" s="16" t="n">
        <f aca="false">T694*J694</f>
        <v>0.0381425917306216</v>
      </c>
      <c r="AL694" s="16" t="n">
        <f aca="false">U694*J694</f>
        <v>0.00885636788239872</v>
      </c>
      <c r="AM694" s="16" t="n">
        <f aca="false">AI694-AJ694</f>
        <v>0.00868878508814048</v>
      </c>
      <c r="AN694" s="16" t="n">
        <f aca="false">J694*Country_Data!$EB$103</f>
        <v>0.331910316431191</v>
      </c>
      <c r="AO694" s="16" t="n">
        <f aca="false">L694*Country_Data!$EB$103</f>
        <v>0.0796584759434859</v>
      </c>
    </row>
    <row r="695" customFormat="false" ht="15" hidden="false" customHeight="false" outlineLevel="0" collapsed="false">
      <c r="A695" s="14" t="str">
        <f aca="false">Country_Data!$A$103</f>
        <v>KHM</v>
      </c>
      <c r="B695" s="14" t="str">
        <f aca="false">Country_Data!$E$103</f>
        <v>EMDC</v>
      </c>
      <c r="C695" s="35" t="s">
        <v>481</v>
      </c>
      <c r="D695" s="37" t="n">
        <f aca="false">IF(Country_Data!$CC$103="","",Country_Data!$CC$103)</f>
        <v>0.0618474700191393</v>
      </c>
      <c r="E695" s="40" t="n">
        <f aca="false">Country_Data!$BW$103</f>
        <v>138.882</v>
      </c>
      <c r="F695" s="41" t="n">
        <f aca="false">Country_Data!$BX$103</f>
        <v>0.331922063334341</v>
      </c>
      <c r="G695" s="42" t="n">
        <f aca="false">IF(D695="","",D695/SUMIFS($D$5:$D$1369,$B$5:$B$1369,B695,$C$5:$C$1369,C695))</f>
        <v>0.000883443691470301</v>
      </c>
      <c r="H695" s="42" t="n">
        <f aca="false">E695/SUMIFS($E$5:$E$1369,$B$5:$B$1369,B695,$C$5:$C$1369,C695)</f>
        <v>0.00172028674170765</v>
      </c>
      <c r="I695" s="43" t="n">
        <f aca="false">IF(G695="",H695,p_beta_alloc*G695+(1-p_beta_alloc)*H695)*F695^p_phi</f>
        <v>0.000750039411500252</v>
      </c>
      <c r="J695" s="16" t="n">
        <f aca="false">INDEX(Sector_Params!$C$20:$E$20,MATCH(B695,Sector_Params!$C$15:$E$15,0))*I695/SUMIFS($I$5:$I$1369,$B$5:$B$1369,B695,$C$5:$C$1369,C695)</f>
        <v>0.136897296657702</v>
      </c>
      <c r="K695" s="28" t="n">
        <f aca="false">INDEX(Sector_Params!$F$9:$H$9,MATCH(B695,Sector_Params!$C$15:$E$15,0))</f>
        <v>0.24</v>
      </c>
      <c r="L695" s="16" t="n">
        <f aca="false">J695*K695</f>
        <v>0.0328553511978486</v>
      </c>
      <c r="M695" s="44" t="n">
        <f aca="false">Country_Data!$DW$103+Sector_Params!$E$9</f>
        <v>0.1</v>
      </c>
      <c r="N695" s="44" t="n">
        <f aca="false">Country_Data!$DX$103+Sector_Params!$E$9</f>
        <v>0.145</v>
      </c>
      <c r="O695" s="11" t="n">
        <f aca="false">IF(p_use_ibrd=1,p_r_ibrd,p_r_wb)</f>
        <v>0.06</v>
      </c>
      <c r="P695" s="45" t="n">
        <f aca="false">Sector_Params!$D$9</f>
        <v>25</v>
      </c>
      <c r="Q695" s="46" t="n">
        <f aca="false">M695/(1-(1+M695)^-P695)</f>
        <v>0.110168072190021</v>
      </c>
      <c r="R695" s="46" t="n">
        <f aca="false">N695/(1-(1+N695)^-P695)</f>
        <v>0.150083899275527</v>
      </c>
      <c r="S695" s="46" t="n">
        <f aca="false">O695/(1-(1+O695)^-P695)</f>
        <v>0.078226718212274</v>
      </c>
      <c r="T695" s="37" t="n">
        <f aca="false">Country_Data!$CM$103*Sector_Params!$I$9</f>
        <v>0.140218225187706</v>
      </c>
      <c r="U695" s="37" t="n">
        <f aca="false">Country_Data!$CN$103*Sector_Params!$J$9</f>
        <v>0.0325574149457283</v>
      </c>
      <c r="V695" s="37" t="n">
        <f aca="false">p_a</f>
        <v>0.35</v>
      </c>
      <c r="W695" s="16" t="n">
        <f aca="false">T695*L695</f>
        <v>0.00460691903288111</v>
      </c>
      <c r="X695" s="16" t="n">
        <f aca="false">U695*L695</f>
        <v>0.00106968530213599</v>
      </c>
      <c r="Y695" s="16" t="n">
        <f aca="false">V695*L695</f>
        <v>0.011499372919247</v>
      </c>
      <c r="Z695" s="16" t="n">
        <f aca="false">Q695*L695</f>
        <v>0.00361961070259307</v>
      </c>
      <c r="AA695" s="16" t="n">
        <f aca="false">R695*L695</f>
        <v>0.00493105921983997</v>
      </c>
      <c r="AB695" s="16" t="n">
        <f aca="false">S695*L695</f>
        <v>0.0025701662999194</v>
      </c>
      <c r="AC695" s="16" t="n">
        <f aca="false">Z695-W695</f>
        <v>-0.00098730833028804</v>
      </c>
      <c r="AD695" s="16" t="n">
        <f aca="false">AA695-W695</f>
        <v>0.000324140186958861</v>
      </c>
      <c r="AE695" s="16" t="n">
        <f aca="false">AB695-W695</f>
        <v>-0.00203675273296171</v>
      </c>
      <c r="AF695" s="16" t="n">
        <f aca="false">AE695-X695</f>
        <v>-0.0031064380350977</v>
      </c>
      <c r="AG695" s="16" t="n">
        <f aca="false">AF695-p_spc_lo*Y695/1000</f>
        <v>-0.00368140668106005</v>
      </c>
      <c r="AH695" s="16" t="n">
        <f aca="false">AF695-p_spc_hi*Y695/1000</f>
        <v>-0.0042563753270224</v>
      </c>
      <c r="AI695" s="16" t="n">
        <f aca="false">Q695*J695</f>
        <v>0.0150817112608045</v>
      </c>
      <c r="AJ695" s="16" t="n">
        <f aca="false">S695*J695</f>
        <v>0.0107090262496642</v>
      </c>
      <c r="AK695" s="16" t="n">
        <f aca="false">T695*J695</f>
        <v>0.019195495970338</v>
      </c>
      <c r="AL695" s="16" t="n">
        <f aca="false">U695*J695</f>
        <v>0.00445702209223328</v>
      </c>
      <c r="AM695" s="16" t="n">
        <f aca="false">AI695-AJ695</f>
        <v>0.0043726850111403</v>
      </c>
      <c r="AN695" s="16" t="n">
        <f aca="false">J695*Country_Data!$EB$103</f>
        <v>0.167035926309476</v>
      </c>
      <c r="AO695" s="16" t="n">
        <f aca="false">L695*Country_Data!$EB$103</f>
        <v>0.0400886223142742</v>
      </c>
    </row>
    <row r="696" customFormat="false" ht="15" hidden="false" customHeight="false" outlineLevel="0" collapsed="false">
      <c r="A696" s="14" t="str">
        <f aca="false">Country_Data!$A$103</f>
        <v>KHM</v>
      </c>
      <c r="B696" s="14" t="str">
        <f aca="false">Country_Data!$E$103</f>
        <v>EMDC</v>
      </c>
      <c r="C696" s="35" t="s">
        <v>484</v>
      </c>
      <c r="D696" s="37" t="n">
        <f aca="false">IF(Country_Data!$CD$103="","",Country_Data!$CD$103)</f>
        <v>0.206930672397963</v>
      </c>
      <c r="E696" s="40" t="n">
        <f aca="false">Country_Data!$BW$103</f>
        <v>138.882</v>
      </c>
      <c r="F696" s="41" t="n">
        <f aca="false">Country_Data!$BX$103</f>
        <v>0.331922063334341</v>
      </c>
      <c r="G696" s="42" t="n">
        <f aca="false">IF(D696="","",D696/SUMIFS($D$5:$D$1369,$B$5:$B$1369,B696,$C$5:$C$1369,C696))</f>
        <v>0.0011555764704446</v>
      </c>
      <c r="H696" s="42" t="n">
        <f aca="false">E696/SUMIFS($E$5:$E$1369,$B$5:$B$1369,B696,$C$5:$C$1369,C696)</f>
        <v>0.00172028674170765</v>
      </c>
      <c r="I696" s="43" t="n">
        <f aca="false">IF(G696="",H696,p_beta_alloc*G696+(1-p_beta_alloc)*H696)*F696^p_phi</f>
        <v>0.00082843090195216</v>
      </c>
      <c r="J696" s="16" t="n">
        <f aca="false">INDEX(Sector_Params!$C$21:$E$21,MATCH(B696,Sector_Params!$C$15:$E$15,0))*I696/SUMIFS($I$5:$I$1369,$B$5:$B$1369,B696,$C$5:$C$1369,C696)</f>
        <v>0.183737545810267</v>
      </c>
      <c r="K696" s="28" t="n">
        <f aca="false">INDEX(Sector_Params!$F$10:$H$10,MATCH(B696,Sector_Params!$C$15:$E$15,0))</f>
        <v>0.24</v>
      </c>
      <c r="L696" s="16" t="n">
        <f aca="false">J696*K696</f>
        <v>0.0440970109944642</v>
      </c>
      <c r="M696" s="44" t="n">
        <f aca="false">Country_Data!$DW$103+Sector_Params!$E$10</f>
        <v>0.1</v>
      </c>
      <c r="N696" s="44" t="n">
        <f aca="false">Country_Data!$DX$103+Sector_Params!$E$10</f>
        <v>0.145</v>
      </c>
      <c r="O696" s="11" t="n">
        <f aca="false">IF(p_use_ibrd=1,p_r_ibrd,p_r_wb)</f>
        <v>0.06</v>
      </c>
      <c r="P696" s="45" t="n">
        <f aca="false">Sector_Params!$D$10</f>
        <v>20</v>
      </c>
      <c r="Q696" s="46" t="n">
        <f aca="false">M696/(1-(1+M696)^-P696)</f>
        <v>0.117459624772546</v>
      </c>
      <c r="R696" s="46" t="n">
        <f aca="false">N696/(1-(1+N696)^-P696)</f>
        <v>0.155356670815696</v>
      </c>
      <c r="S696" s="46" t="n">
        <f aca="false">O696/(1-(1+O696)^-P696)</f>
        <v>0.0871845569768514</v>
      </c>
      <c r="T696" s="37" t="n">
        <f aca="false">0*Sector_Params!$I$10</f>
        <v>0</v>
      </c>
      <c r="U696" s="37" t="n">
        <f aca="false">0*Sector_Params!$J$10</f>
        <v>0</v>
      </c>
      <c r="V696" s="37" t="n">
        <f aca="false">1000*p_r_wb/(1-(1+p_r_wb)^-Sector_Params!$D$10)/p_cpt_fuel</f>
        <v>0.871845569768514</v>
      </c>
      <c r="W696" s="16" t="n">
        <f aca="false">T696*L696</f>
        <v>0</v>
      </c>
      <c r="X696" s="16" t="n">
        <f aca="false">U696*L696</f>
        <v>0</v>
      </c>
      <c r="Y696" s="16" t="n">
        <f aca="false">V696*L696</f>
        <v>0.038445783675557</v>
      </c>
      <c r="Z696" s="16" t="n">
        <f aca="false">Q696*L696</f>
        <v>0.00517961836500058</v>
      </c>
      <c r="AA696" s="16" t="n">
        <f aca="false">R696*L696</f>
        <v>0.00685076482102311</v>
      </c>
      <c r="AB696" s="16" t="n">
        <f aca="false">S696*L696</f>
        <v>0.0038445783675557</v>
      </c>
      <c r="AC696" s="16" t="n">
        <f aca="false">Z696-W696</f>
        <v>0.00517961836500058</v>
      </c>
      <c r="AD696" s="16" t="n">
        <f aca="false">AA696-W696</f>
        <v>0.00685076482102311</v>
      </c>
      <c r="AE696" s="16" t="n">
        <f aca="false">AB696-W696</f>
        <v>0.0038445783675557</v>
      </c>
      <c r="AF696" s="16" t="n">
        <f aca="false">AE696-X696</f>
        <v>0.0038445783675557</v>
      </c>
      <c r="AG696" s="16" t="n">
        <f aca="false">AF696-p_spc_lo*Y696/1000</f>
        <v>0.00192228918377785</v>
      </c>
      <c r="AH696" s="16" t="n">
        <f aca="false">AF696-p_spc_hi*Y696/1000</f>
        <v>0</v>
      </c>
      <c r="AI696" s="16" t="n">
        <f aca="false">Q696*J696</f>
        <v>0.0215817431875024</v>
      </c>
      <c r="AJ696" s="16" t="n">
        <f aca="false">S696*J696</f>
        <v>0.0160190765314821</v>
      </c>
      <c r="AK696" s="16" t="n">
        <f aca="false">T696*J696</f>
        <v>0</v>
      </c>
      <c r="AL696" s="16" t="n">
        <f aca="false">U696*J696</f>
        <v>0</v>
      </c>
      <c r="AM696" s="16" t="n">
        <f aca="false">AI696-AJ696</f>
        <v>0.00556266665602034</v>
      </c>
      <c r="AN696" s="16" t="n">
        <f aca="false">J696*Country_Data!$EB$103</f>
        <v>0.224188292329737</v>
      </c>
      <c r="AO696" s="16" t="n">
        <f aca="false">L696*Country_Data!$EB$103</f>
        <v>0.0538051901591369</v>
      </c>
    </row>
    <row r="697" customFormat="false" ht="15" hidden="false" customHeight="false" outlineLevel="0" collapsed="false">
      <c r="A697" s="14" t="str">
        <f aca="false">Country_Data!$A$103</f>
        <v>KHM</v>
      </c>
      <c r="B697" s="14" t="str">
        <f aca="false">Country_Data!$E$103</f>
        <v>EMDC</v>
      </c>
      <c r="C697" s="35" t="s">
        <v>488</v>
      </c>
      <c r="D697" s="37" t="n">
        <f aca="false">IF(Country_Data!$CE$103="","",Country_Data!$CE$103)</f>
        <v>65.242</v>
      </c>
      <c r="E697" s="40" t="n">
        <f aca="false">Country_Data!$BW$103</f>
        <v>138.882</v>
      </c>
      <c r="F697" s="41" t="n">
        <f aca="false">Country_Data!$BX$103</f>
        <v>0.331922063334341</v>
      </c>
      <c r="G697" s="42" t="n">
        <f aca="false">IF(D697="","",D697/SUMIFS($D$5:$D$1369,$B$5:$B$1369,B697,$C$5:$C$1369,C697))</f>
        <v>0.00534590396186203</v>
      </c>
      <c r="H697" s="42" t="n">
        <f aca="false">E697/SUMIFS($E$5:$E$1369,$B$5:$B$1369,B697,$C$5:$C$1369,C697)</f>
        <v>0.00172028674170765</v>
      </c>
      <c r="I697" s="43" t="n">
        <f aca="false">IF(G697="",H697,p_beta_alloc*G697+(1-p_beta_alloc)*H697)*F697^p_phi</f>
        <v>0.00203551083834174</v>
      </c>
      <c r="J697" s="16" t="n">
        <f aca="false">INDEX(Sector_Params!$C$22:$E$22,MATCH(B697,Sector_Params!$C$15:$E$15,0))*I697/SUMIFS($I$5:$I$1369,$B$5:$B$1369,B697,$C$5:$C$1369,C697)</f>
        <v>1.22702300766288</v>
      </c>
      <c r="K697" s="28" t="n">
        <f aca="false">INDEX(Sector_Params!$F$11:$H$11,MATCH(B697,Sector_Params!$C$15:$E$15,0))</f>
        <v>0.24</v>
      </c>
      <c r="L697" s="16" t="n">
        <f aca="false">J697*K697</f>
        <v>0.294485521839092</v>
      </c>
      <c r="M697" s="44" t="n">
        <f aca="false">Country_Data!$DW$103+Sector_Params!$E$11</f>
        <v>0.1</v>
      </c>
      <c r="N697" s="44" t="n">
        <f aca="false">Country_Data!$DX$103+Sector_Params!$E$11</f>
        <v>0.145</v>
      </c>
      <c r="O697" s="11" t="n">
        <f aca="false">IF(p_use_ibrd=1,p_r_ibrd,p_r_wb)</f>
        <v>0.06</v>
      </c>
      <c r="P697" s="45" t="n">
        <f aca="false">Sector_Params!$D$11</f>
        <v>30</v>
      </c>
      <c r="Q697" s="46" t="n">
        <f aca="false">M697/(1-(1+M697)^-P697)</f>
        <v>0.106079248252634</v>
      </c>
      <c r="R697" s="46" t="n">
        <f aca="false">N697/(1-(1+N697)^-P697)</f>
        <v>0.147539473165793</v>
      </c>
      <c r="S697" s="46" t="n">
        <f aca="false">O697/(1-(1+O697)^-P697)</f>
        <v>0.0726489114900472</v>
      </c>
      <c r="T697" s="37" t="n">
        <f aca="false">0*Sector_Params!$I$11</f>
        <v>0</v>
      </c>
      <c r="U697" s="37" t="n">
        <f aca="false">p_c*Sector_Params!$J$11</f>
        <v>0.129</v>
      </c>
      <c r="V697" s="37" t="n">
        <f aca="false">1000*p_r_wb/(1-(1+p_r_wb)^-Sector_Params!$D$11)/p_cpt_afolu</f>
        <v>1.45297822980094</v>
      </c>
      <c r="W697" s="16" t="n">
        <f aca="false">T697*L697</f>
        <v>0</v>
      </c>
      <c r="X697" s="16" t="n">
        <f aca="false">U697*L697</f>
        <v>0.0379886323172429</v>
      </c>
      <c r="Y697" s="16" t="n">
        <f aca="false">V697*L697</f>
        <v>0.427881052223771</v>
      </c>
      <c r="Z697" s="16" t="n">
        <f aca="false">Q697*L697</f>
        <v>0.0312388027779755</v>
      </c>
      <c r="AA697" s="16" t="n">
        <f aca="false">R697*L697</f>
        <v>0.0434482387470932</v>
      </c>
      <c r="AB697" s="16" t="n">
        <f aca="false">S697*L697</f>
        <v>0.0213940526111886</v>
      </c>
      <c r="AC697" s="16" t="n">
        <f aca="false">Z697-W697</f>
        <v>0.0312388027779755</v>
      </c>
      <c r="AD697" s="16" t="n">
        <f aca="false">AA697-W697</f>
        <v>0.0434482387470932</v>
      </c>
      <c r="AE697" s="16" t="n">
        <f aca="false">AB697-W697</f>
        <v>0.0213940526111886</v>
      </c>
      <c r="AF697" s="16" t="n">
        <f aca="false">AE697-X697</f>
        <v>-0.0165945797060543</v>
      </c>
      <c r="AG697" s="16" t="n">
        <f aca="false">AF697-p_spc_lo*Y697/1000</f>
        <v>-0.0379886323172429</v>
      </c>
      <c r="AH697" s="16" t="n">
        <f aca="false">AF697-p_spc_hi*Y697/1000</f>
        <v>-0.0593826849284314</v>
      </c>
      <c r="AI697" s="16" t="n">
        <f aca="false">Q697*J697</f>
        <v>0.130161678241565</v>
      </c>
      <c r="AJ697" s="16" t="n">
        <f aca="false">S697*J697</f>
        <v>0.0891418858799524</v>
      </c>
      <c r="AK697" s="16" t="n">
        <f aca="false">T697*J697</f>
        <v>0</v>
      </c>
      <c r="AL697" s="16" t="n">
        <f aca="false">U697*J697</f>
        <v>0.158285967988512</v>
      </c>
      <c r="AM697" s="16" t="n">
        <f aca="false">AI697-AJ697</f>
        <v>0.0410197923616122</v>
      </c>
      <c r="AN697" s="16" t="n">
        <f aca="false">J697*Country_Data!$EB$103</f>
        <v>1.49715830547394</v>
      </c>
      <c r="AO697" s="16" t="n">
        <f aca="false">L697*Country_Data!$EB$103</f>
        <v>0.359317993313745</v>
      </c>
    </row>
    <row r="698" customFormat="false" ht="15" hidden="false" customHeight="false" outlineLevel="0" collapsed="false">
      <c r="A698" s="14" t="str">
        <f aca="false">Country_Data!$A$104</f>
        <v>PRY</v>
      </c>
      <c r="B698" s="14" t="str">
        <f aca="false">Country_Data!$E$104</f>
        <v>EMDC</v>
      </c>
      <c r="C698" s="35" t="s">
        <v>466</v>
      </c>
      <c r="D698" s="37" t="n">
        <f aca="false">IF(Country_Data!$BZ$104="","",Country_Data!$BZ$104)</f>
        <v>19.8518682147853</v>
      </c>
      <c r="E698" s="40" t="n">
        <f aca="false">Country_Data!$BW$104</f>
        <v>129.101</v>
      </c>
      <c r="F698" s="41" t="n">
        <f aca="false">Country_Data!$BX$104</f>
        <v>0.34654262941418</v>
      </c>
      <c r="G698" s="42" t="n">
        <f aca="false">IF(D698="","",D698/SUMIFS($D$5:$D$1369,$B$5:$B$1369,B698,$C$5:$C$1369,C698))</f>
        <v>0.00226633166765776</v>
      </c>
      <c r="H698" s="42" t="n">
        <f aca="false">E698/SUMIFS($E$5:$E$1369,$B$5:$B$1369,B698,$C$5:$C$1369,C698)</f>
        <v>0.00159913263519534</v>
      </c>
      <c r="I698" s="43" t="n">
        <f aca="false">IF(G698="",H698,p_beta_alloc*G698+(1-p_beta_alloc)*H698)*F698^p_phi</f>
        <v>0.00113775827920985</v>
      </c>
      <c r="J698" s="16" t="n">
        <f aca="false">INDEX(Sector_Params!$C$16:$E$16,MATCH(B698,Sector_Params!$C$15:$E$15,0))*I698/SUMIFS($I$5:$I$1369,$B$5:$B$1369,B698,$C$5:$C$1369,C698)</f>
        <v>1.10046865231104</v>
      </c>
      <c r="K698" s="28" t="n">
        <f aca="false">INDEX(Sector_Params!$F$5:$H$5,MATCH(B698,Sector_Params!$C$15:$E$15,0))</f>
        <v>0.24</v>
      </c>
      <c r="L698" s="16" t="n">
        <f aca="false">J698*K698</f>
        <v>0.26411247655465</v>
      </c>
      <c r="M698" s="44" t="n">
        <f aca="false">Country_Data!$DW$104+Sector_Params!$E$5</f>
        <v>0.105</v>
      </c>
      <c r="N698" s="44" t="n">
        <f aca="false">Country_Data!$DX$104+Sector_Params!$E$5</f>
        <v>0.15</v>
      </c>
      <c r="O698" s="11" t="n">
        <f aca="false">IF(p_use_ibrd=1,p_r_ibrd,p_r_wb)</f>
        <v>0.06</v>
      </c>
      <c r="P698" s="45" t="n">
        <f aca="false">Sector_Params!$D$5</f>
        <v>25</v>
      </c>
      <c r="Q698" s="46" t="n">
        <f aca="false">M698/(1-(1+M698)^-P698)</f>
        <v>0.114429319813103</v>
      </c>
      <c r="R698" s="46" t="n">
        <f aca="false">N698/(1-(1+N698)^-P698)</f>
        <v>0.154699402320206</v>
      </c>
      <c r="S698" s="46" t="n">
        <f aca="false">O698/(1-(1+O698)^-P698)</f>
        <v>0.078226718212274</v>
      </c>
      <c r="T698" s="37" t="n">
        <f aca="false">IF(AND(p_eng=1,ISNUMBER(Country_Data!$CZ$104)),Country_Data!$CZ$104,Country_Data!$CM$104)*Sector_Params!$I$5</f>
        <v>0.155279493567375</v>
      </c>
      <c r="U698" s="37" t="n">
        <f aca="false">IF(AND(p_eng=1,ISNUMBER(Country_Data!$DA$104)),Country_Data!$DA$104,Country_Data!$CN$104)*Sector_Params!$J$5</f>
        <v>0.03225</v>
      </c>
      <c r="V698" s="37" t="n">
        <f aca="false">IF(AND(p_eng=1,ISNUMBER(Country_Data!$DB$104)),Country_Data!$DB$104,p_a)</f>
        <v>0.35</v>
      </c>
      <c r="W698" s="16" t="n">
        <f aca="false">T698*L698</f>
        <v>0.0410112516042312</v>
      </c>
      <c r="X698" s="16" t="n">
        <f aca="false">U698*L698</f>
        <v>0.00851762736888747</v>
      </c>
      <c r="Y698" s="16" t="n">
        <f aca="false">V698*L698</f>
        <v>0.0924393667941276</v>
      </c>
      <c r="Z698" s="16" t="n">
        <f aca="false">Q698*L698</f>
        <v>0.0302222110463028</v>
      </c>
      <c r="AA698" s="16" t="n">
        <f aca="false">R698*L698</f>
        <v>0.040858042268314</v>
      </c>
      <c r="AB698" s="16" t="n">
        <f aca="false">S698*L698</f>
        <v>0.0206606522797864</v>
      </c>
      <c r="AC698" s="16" t="n">
        <f aca="false">Z698-W698</f>
        <v>-0.0107890405579284</v>
      </c>
      <c r="AD698" s="16" t="n">
        <f aca="false">AA698-W698</f>
        <v>-0.000153209335917288</v>
      </c>
      <c r="AE698" s="16" t="n">
        <f aca="false">AB698-W698</f>
        <v>-0.0203505993244448</v>
      </c>
      <c r="AF698" s="16" t="n">
        <f aca="false">AE698-X698</f>
        <v>-0.0288682266933323</v>
      </c>
      <c r="AG698" s="16" t="n">
        <f aca="false">AF698-p_spc_lo*Y698/1000</f>
        <v>-0.0334901950330387</v>
      </c>
      <c r="AH698" s="16" t="n">
        <f aca="false">AF698-p_spc_hi*Y698/1000</f>
        <v>-0.038112163372745</v>
      </c>
      <c r="AI698" s="16" t="n">
        <f aca="false">Q698*J698</f>
        <v>0.125925879359595</v>
      </c>
      <c r="AJ698" s="16" t="n">
        <f aca="false">S698*J698</f>
        <v>0.0860860511657769</v>
      </c>
      <c r="AK698" s="16" t="n">
        <f aca="false">T698*J698</f>
        <v>0.17088021501763</v>
      </c>
      <c r="AL698" s="16" t="n">
        <f aca="false">U698*J698</f>
        <v>0.0354901140370311</v>
      </c>
      <c r="AM698" s="16" t="n">
        <f aca="false">AI698-AJ698</f>
        <v>0.0398398281938183</v>
      </c>
      <c r="AN698" s="16" t="n">
        <f aca="false">J698*Country_Data!$EB$104</f>
        <v>1.3427423711144</v>
      </c>
      <c r="AO698" s="16" t="n">
        <f aca="false">L698*Country_Data!$EB$104</f>
        <v>0.322258169067457</v>
      </c>
    </row>
    <row r="699" customFormat="false" ht="15" hidden="false" customHeight="false" outlineLevel="0" collapsed="false">
      <c r="A699" s="14" t="str">
        <f aca="false">Country_Data!$A$104</f>
        <v>PRY</v>
      </c>
      <c r="B699" s="14" t="str">
        <f aca="false">Country_Data!$E$104</f>
        <v>EMDC</v>
      </c>
      <c r="C699" s="35" t="s">
        <v>470</v>
      </c>
      <c r="D699" s="37" t="n">
        <f aca="false">IF(Country_Data!$BZ$104="","",Country_Data!$BZ$104)</f>
        <v>19.8518682147853</v>
      </c>
      <c r="E699" s="40" t="n">
        <f aca="false">Country_Data!$BW$104</f>
        <v>129.101</v>
      </c>
      <c r="F699" s="41" t="n">
        <f aca="false">Country_Data!$BX$104</f>
        <v>0.34654262941418</v>
      </c>
      <c r="G699" s="42" t="n">
        <f aca="false">IF(D699="","",D699/SUMIFS($D$5:$D$1369,$B$5:$B$1369,B699,$C$5:$C$1369,C699))</f>
        <v>0.00226633166765776</v>
      </c>
      <c r="H699" s="42" t="n">
        <f aca="false">E699/SUMIFS($E$5:$E$1369,$B$5:$B$1369,B699,$C$5:$C$1369,C699)</f>
        <v>0.00159913263519534</v>
      </c>
      <c r="I699" s="43" t="n">
        <f aca="false">IF(G699="",H699,p_beta_alloc*G699+(1-p_beta_alloc)*H699)*F699^p_phi</f>
        <v>0.00113775827920985</v>
      </c>
      <c r="J699" s="16" t="n">
        <f aca="false">INDEX(Sector_Params!$C$17:$E$17,MATCH(B699,Sector_Params!$C$15:$E$15,0))*I699/SUMIFS($I$5:$I$1369,$B$5:$B$1369,B699,$C$5:$C$1369,C699)</f>
        <v>0.75460707587043</v>
      </c>
      <c r="K699" s="28" t="n">
        <f aca="false">INDEX(Sector_Params!$F$6:$H$6,MATCH(B699,Sector_Params!$C$15:$E$15,0))</f>
        <v>0.24</v>
      </c>
      <c r="L699" s="16" t="n">
        <f aca="false">J699*K699</f>
        <v>0.181105698208903</v>
      </c>
      <c r="M699" s="44" t="n">
        <f aca="false">Country_Data!$DW$104+Sector_Params!$E$6</f>
        <v>0.105</v>
      </c>
      <c r="N699" s="44" t="n">
        <f aca="false">Country_Data!$DX$104+Sector_Params!$E$6</f>
        <v>0.15</v>
      </c>
      <c r="O699" s="11" t="n">
        <f aca="false">IF(p_use_ibrd=1,p_r_ibrd,p_r_wb)</f>
        <v>0.06</v>
      </c>
      <c r="P699" s="45" t="n">
        <f aca="false">Sector_Params!$D$6</f>
        <v>40</v>
      </c>
      <c r="Q699" s="46" t="n">
        <f aca="false">M699/(1-(1+M699)^-P699)</f>
        <v>0.10697140835497</v>
      </c>
      <c r="R699" s="46" t="n">
        <f aca="false">N699/(1-(1+N699)^-P699)</f>
        <v>0.150562085013545</v>
      </c>
      <c r="S699" s="46" t="n">
        <f aca="false">O699/(1-(1+O699)^-P699)</f>
        <v>0.0664615359206755</v>
      </c>
      <c r="T699" s="37" t="n">
        <f aca="false">p_grid_credit*IF(AND(p_eng=1,ISNUMBER(Country_Data!$CZ$104)),Country_Data!$CZ$104,Country_Data!$CM$104)*Sector_Params!$I$6</f>
        <v>0</v>
      </c>
      <c r="U699" s="37" t="n">
        <f aca="false">p_grid_credit*IF(AND(p_eng=1,ISNUMBER(Country_Data!$DA$104)),Country_Data!$DA$104,Country_Data!$CN$104)*Sector_Params!$J$6</f>
        <v>0</v>
      </c>
      <c r="V699" s="37" t="n">
        <f aca="false">p_grid_credit*IF(AND(p_eng=1,ISNUMBER(Country_Data!$DB$104)),Country_Data!$DB$104,p_a)</f>
        <v>0</v>
      </c>
      <c r="W699" s="16" t="n">
        <f aca="false">T699*L699</f>
        <v>0</v>
      </c>
      <c r="X699" s="16" t="n">
        <f aca="false">U699*L699</f>
        <v>0</v>
      </c>
      <c r="Y699" s="16" t="n">
        <f aca="false">V699*L699</f>
        <v>0</v>
      </c>
      <c r="Z699" s="16" t="n">
        <f aca="false">Q699*L699</f>
        <v>0.0193731315985166</v>
      </c>
      <c r="AA699" s="16" t="n">
        <f aca="false">R699*L699</f>
        <v>0.0272676515301663</v>
      </c>
      <c r="AB699" s="16" t="n">
        <f aca="false">S699*L699</f>
        <v>0.01203656286695</v>
      </c>
      <c r="AC699" s="16" t="n">
        <f aca="false">Z699-W699</f>
        <v>0.0193731315985166</v>
      </c>
      <c r="AD699" s="16" t="n">
        <f aca="false">AA699-W699</f>
        <v>0.0272676515301663</v>
      </c>
      <c r="AE699" s="16" t="n">
        <f aca="false">AB699-W699</f>
        <v>0.01203656286695</v>
      </c>
      <c r="AF699" s="16" t="n">
        <f aca="false">AE699-X699</f>
        <v>0.01203656286695</v>
      </c>
      <c r="AG699" s="16" t="n">
        <f aca="false">AF699-p_spc_lo*Y699/1000</f>
        <v>0.01203656286695</v>
      </c>
      <c r="AH699" s="16" t="n">
        <f aca="false">AF699-p_spc_hi*Y699/1000</f>
        <v>0.01203656286695</v>
      </c>
      <c r="AI699" s="16" t="n">
        <f aca="false">Q699*J699</f>
        <v>0.0807213816604858</v>
      </c>
      <c r="AJ699" s="16" t="n">
        <f aca="false">S699*J699</f>
        <v>0.0501523452789585</v>
      </c>
      <c r="AK699" s="16" t="n">
        <f aca="false">T699*J699</f>
        <v>0</v>
      </c>
      <c r="AL699" s="16" t="n">
        <f aca="false">U699*J699</f>
        <v>0</v>
      </c>
      <c r="AM699" s="16" t="n">
        <f aca="false">AI699-AJ699</f>
        <v>0.0305690363815274</v>
      </c>
      <c r="AN699" s="16" t="n">
        <f aca="false">J699*Country_Data!$EB$104</f>
        <v>0.92073762590702</v>
      </c>
      <c r="AO699" s="16" t="n">
        <f aca="false">L699*Country_Data!$EB$104</f>
        <v>0.220977030217685</v>
      </c>
    </row>
    <row r="700" customFormat="false" ht="15" hidden="false" customHeight="false" outlineLevel="0" collapsed="false">
      <c r="A700" s="14" t="str">
        <f aca="false">Country_Data!$A$104</f>
        <v>PRY</v>
      </c>
      <c r="B700" s="14" t="str">
        <f aca="false">Country_Data!$E$104</f>
        <v>EMDC</v>
      </c>
      <c r="C700" s="35" t="s">
        <v>473</v>
      </c>
      <c r="D700" s="37" t="n">
        <f aca="false">IF(Country_Data!$CA$104="","",Country_Data!$CA$104)</f>
        <v>0.114856870772742</v>
      </c>
      <c r="E700" s="40" t="n">
        <f aca="false">Country_Data!$BW$104</f>
        <v>129.101</v>
      </c>
      <c r="F700" s="41" t="n">
        <f aca="false">Country_Data!$BX$104</f>
        <v>0.34654262941418</v>
      </c>
      <c r="G700" s="42" t="n">
        <f aca="false">IF(D700="","",D700/SUMIFS($D$5:$D$1369,$B$5:$B$1369,B700,$C$5:$C$1369,C700))</f>
        <v>0.00265346095398669</v>
      </c>
      <c r="H700" s="42" t="n">
        <f aca="false">E700/SUMIFS($E$5:$E$1369,$B$5:$B$1369,B700,$C$5:$C$1369,C700)</f>
        <v>0.00159913263519534</v>
      </c>
      <c r="I700" s="43" t="n">
        <f aca="false">IF(G700="",H700,p_beta_alloc*G700+(1-p_beta_alloc)*H700)*F700^p_phi</f>
        <v>0.00125170566460421</v>
      </c>
      <c r="J700" s="16" t="n">
        <f aca="false">INDEX(Sector_Params!$C$18:$E$18,MATCH(B700,Sector_Params!$C$15:$E$15,0))*I700/SUMIFS($I$5:$I$1369,$B$5:$B$1369,B700,$C$5:$C$1369,C700)</f>
        <v>0.512543852779422</v>
      </c>
      <c r="K700" s="28" t="n">
        <f aca="false">INDEX(Sector_Params!$F$7:$H$7,MATCH(B700,Sector_Params!$C$15:$E$15,0))</f>
        <v>0.24</v>
      </c>
      <c r="L700" s="16" t="n">
        <f aca="false">J700*K700</f>
        <v>0.123010524667061</v>
      </c>
      <c r="M700" s="44" t="n">
        <f aca="false">Country_Data!$DW$104+Sector_Params!$E$7</f>
        <v>0.105</v>
      </c>
      <c r="N700" s="44" t="n">
        <f aca="false">Country_Data!$DX$104+Sector_Params!$E$7</f>
        <v>0.15</v>
      </c>
      <c r="O700" s="11" t="n">
        <f aca="false">IF(p_use_ibrd=1,p_r_ibrd,p_r_wb)</f>
        <v>0.06</v>
      </c>
      <c r="P700" s="45" t="n">
        <f aca="false">Sector_Params!$D$7</f>
        <v>12</v>
      </c>
      <c r="Q700" s="46" t="n">
        <f aca="false">M700/(1-(1+M700)^-P700)</f>
        <v>0.150376745634766</v>
      </c>
      <c r="R700" s="46" t="n">
        <f aca="false">N700/(1-(1+N700)^-P700)</f>
        <v>0.18448077613084</v>
      </c>
      <c r="S700" s="46" t="n">
        <f aca="false">O700/(1-(1+O700)^-P700)</f>
        <v>0.119277029380664</v>
      </c>
      <c r="T700" s="37" t="n">
        <f aca="false">IF(AND(p_eng=1,ISNUMBER(Country_Data!$DE$104)),Country_Data!$DE$104,Country_Data!$CM$104)*Sector_Params!$I$7</f>
        <v>0.155279493567375</v>
      </c>
      <c r="U700" s="37" t="n">
        <f aca="false">IF(AND(p_eng=1,ISNUMBER(Country_Data!$DF$104)),Country_Data!$DF$104,Country_Data!$CN$104)*Sector_Params!$J$7</f>
        <v>0.03225</v>
      </c>
      <c r="V700" s="37" t="n">
        <f aca="false">IF(AND(p_eng=1,ISNUMBER(Country_Data!$DG$104)),Country_Data!$DG$104,p_a)</f>
        <v>0.35</v>
      </c>
      <c r="W700" s="16" t="n">
        <f aca="false">T700*L700</f>
        <v>0.0191010119737583</v>
      </c>
      <c r="X700" s="16" t="n">
        <f aca="false">U700*L700</f>
        <v>0.00396708942051273</v>
      </c>
      <c r="Y700" s="16" t="n">
        <f aca="false">V700*L700</f>
        <v>0.0430536836334714</v>
      </c>
      <c r="Z700" s="16" t="n">
        <f aca="false">Q700*L700</f>
        <v>0.0184979223782577</v>
      </c>
      <c r="AA700" s="16" t="n">
        <f aca="false">R700*L700</f>
        <v>0.0226930770628412</v>
      </c>
      <c r="AB700" s="16" t="n">
        <f aca="false">S700*L700</f>
        <v>0.0146723299648439</v>
      </c>
      <c r="AC700" s="16" t="n">
        <f aca="false">Z700-W700</f>
        <v>-0.000603089595500584</v>
      </c>
      <c r="AD700" s="16" t="n">
        <f aca="false">AA700-W700</f>
        <v>0.00359206508908291</v>
      </c>
      <c r="AE700" s="16" t="n">
        <f aca="false">AB700-W700</f>
        <v>-0.00442868200891442</v>
      </c>
      <c r="AF700" s="16" t="n">
        <f aca="false">AE700-X700</f>
        <v>-0.00839577142942715</v>
      </c>
      <c r="AG700" s="16" t="n">
        <f aca="false">AF700-p_spc_lo*Y700/1000</f>
        <v>-0.0105484556111007</v>
      </c>
      <c r="AH700" s="16" t="n">
        <f aca="false">AF700-p_spc_hi*Y700/1000</f>
        <v>-0.0127011397927743</v>
      </c>
      <c r="AI700" s="16" t="n">
        <f aca="false">Q700*J700</f>
        <v>0.0770746765760739</v>
      </c>
      <c r="AJ700" s="16" t="n">
        <f aca="false">S700*J700</f>
        <v>0.0611347081868496</v>
      </c>
      <c r="AK700" s="16" t="n">
        <f aca="false">T700*J700</f>
        <v>0.0795875498906597</v>
      </c>
      <c r="AL700" s="16" t="n">
        <f aca="false">U700*J700</f>
        <v>0.0165295392521364</v>
      </c>
      <c r="AM700" s="16" t="n">
        <f aca="false">AI700-AJ700</f>
        <v>0.0159399683892243</v>
      </c>
      <c r="AN700" s="16" t="n">
        <f aca="false">J700*Country_Data!$EB$104</f>
        <v>0.625382964554116</v>
      </c>
      <c r="AO700" s="16" t="n">
        <f aca="false">L700*Country_Data!$EB$104</f>
        <v>0.150091911492988</v>
      </c>
    </row>
    <row r="701" customFormat="false" ht="15" hidden="false" customHeight="false" outlineLevel="0" collapsed="false">
      <c r="A701" s="14" t="str">
        <f aca="false">Country_Data!$A$104</f>
        <v>PRY</v>
      </c>
      <c r="B701" s="14" t="str">
        <f aca="false">Country_Data!$E$104</f>
        <v>EMDC</v>
      </c>
      <c r="C701" s="35" t="s">
        <v>477</v>
      </c>
      <c r="D701" s="37" t="n">
        <f aca="false">IF(Country_Data!$CB$104="","",Country_Data!$CB$104)</f>
        <v>0.0356254412925253</v>
      </c>
      <c r="E701" s="40" t="n">
        <f aca="false">Country_Data!$BW$104</f>
        <v>129.101</v>
      </c>
      <c r="F701" s="41" t="n">
        <f aca="false">Country_Data!$BX$104</f>
        <v>0.34654262941418</v>
      </c>
      <c r="G701" s="42" t="n">
        <f aca="false">IF(D701="","",D701/SUMIFS($D$5:$D$1369,$B$5:$B$1369,B701,$C$5:$C$1369,C701))</f>
        <v>0.00112337864343333</v>
      </c>
      <c r="H701" s="42" t="n">
        <f aca="false">E701/SUMIFS($E$5:$E$1369,$B$5:$B$1369,B701,$C$5:$C$1369,C701)</f>
        <v>0.00159913263519534</v>
      </c>
      <c r="I701" s="43" t="n">
        <f aca="false">IF(G701="",H701,p_beta_alloc*G701+(1-p_beta_alloc)*H701)*F701^p_phi</f>
        <v>0.000801342220445719</v>
      </c>
      <c r="J701" s="16" t="n">
        <f aca="false">INDEX(Sector_Params!$C$19:$E$19,MATCH(B701,Sector_Params!$C$15:$E$15,0))*I701/SUMIFS($I$5:$I$1369,$B$5:$B$1369,B701,$C$5:$C$1369,C701)</f>
        <v>0.257922087778157</v>
      </c>
      <c r="K701" s="28" t="n">
        <f aca="false">INDEX(Sector_Params!$F$8:$H$8,MATCH(B701,Sector_Params!$C$15:$E$15,0))</f>
        <v>0.24</v>
      </c>
      <c r="L701" s="16" t="n">
        <f aca="false">J701*K701</f>
        <v>0.0619013010667577</v>
      </c>
      <c r="M701" s="44" t="n">
        <f aca="false">Country_Data!$DW$104+Sector_Params!$E$8</f>
        <v>0.105</v>
      </c>
      <c r="N701" s="44" t="n">
        <f aca="false">Country_Data!$DX$104+Sector_Params!$E$8</f>
        <v>0.15</v>
      </c>
      <c r="O701" s="11" t="n">
        <f aca="false">IF(p_use_ibrd=1,p_r_ibrd,p_r_wb)</f>
        <v>0.06</v>
      </c>
      <c r="P701" s="45" t="n">
        <f aca="false">Sector_Params!$D$8</f>
        <v>25</v>
      </c>
      <c r="Q701" s="46" t="n">
        <f aca="false">M701/(1-(1+M701)^-P701)</f>
        <v>0.114429319813103</v>
      </c>
      <c r="R701" s="46" t="n">
        <f aca="false">N701/(1-(1+N701)^-P701)</f>
        <v>0.154699402320206</v>
      </c>
      <c r="S701" s="46" t="n">
        <f aca="false">O701/(1-(1+O701)^-P701)</f>
        <v>0.078226718212274</v>
      </c>
      <c r="T701" s="37" t="n">
        <f aca="false">Country_Data!$CM$104*Sector_Params!$I$8</f>
        <v>0.155279493567375</v>
      </c>
      <c r="U701" s="37" t="n">
        <f aca="false">Country_Data!$CN$104*Sector_Params!$J$8</f>
        <v>0.03225</v>
      </c>
      <c r="V701" s="37" t="n">
        <f aca="false">p_a</f>
        <v>0.35</v>
      </c>
      <c r="W701" s="16" t="n">
        <f aca="false">T701*L701</f>
        <v>0.00961200268080774</v>
      </c>
      <c r="X701" s="16" t="n">
        <f aca="false">U701*L701</f>
        <v>0.00199631695940294</v>
      </c>
      <c r="Y701" s="16" t="n">
        <f aca="false">V701*L701</f>
        <v>0.0216654553733652</v>
      </c>
      <c r="Z701" s="16" t="n">
        <f aca="false">Q701*L701</f>
        <v>0.00708332377661522</v>
      </c>
      <c r="AA701" s="16" t="n">
        <f aca="false">R701*L701</f>
        <v>0.00957609427787058</v>
      </c>
      <c r="AB701" s="16" t="n">
        <f aca="false">S701*L701</f>
        <v>0.00484233563552239</v>
      </c>
      <c r="AC701" s="16" t="n">
        <f aca="false">Z701-W701</f>
        <v>-0.00252867890419252</v>
      </c>
      <c r="AD701" s="16" t="n">
        <f aca="false">AA701-W701</f>
        <v>-3.59084029371536E-005</v>
      </c>
      <c r="AE701" s="16" t="n">
        <f aca="false">AB701-W701</f>
        <v>-0.00476966704528534</v>
      </c>
      <c r="AF701" s="16" t="n">
        <f aca="false">AE701-X701</f>
        <v>-0.00676598400468828</v>
      </c>
      <c r="AG701" s="16" t="n">
        <f aca="false">AF701-p_spc_lo*Y701/1000</f>
        <v>-0.00784925677335654</v>
      </c>
      <c r="AH701" s="16" t="n">
        <f aca="false">AF701-p_spc_hi*Y701/1000</f>
        <v>-0.0089325295420248</v>
      </c>
      <c r="AI701" s="16" t="n">
        <f aca="false">Q701*J701</f>
        <v>0.0295138490692301</v>
      </c>
      <c r="AJ701" s="16" t="n">
        <f aca="false">S701*J701</f>
        <v>0.0201763984813433</v>
      </c>
      <c r="AK701" s="16" t="n">
        <f aca="false">T701*J701</f>
        <v>0.0400500111700322</v>
      </c>
      <c r="AL701" s="16" t="n">
        <f aca="false">U701*J701</f>
        <v>0.00831798733084557</v>
      </c>
      <c r="AM701" s="16" t="n">
        <f aca="false">AI701-AJ701</f>
        <v>0.00933745058788677</v>
      </c>
      <c r="AN701" s="16" t="n">
        <f aca="false">J701*Country_Data!$EB$104</f>
        <v>0.314704935009938</v>
      </c>
      <c r="AO701" s="16" t="n">
        <f aca="false">L701*Country_Data!$EB$104</f>
        <v>0.075529184402385</v>
      </c>
    </row>
    <row r="702" customFormat="false" ht="15" hidden="false" customHeight="false" outlineLevel="0" collapsed="false">
      <c r="A702" s="14" t="str">
        <f aca="false">Country_Data!$A$104</f>
        <v>PRY</v>
      </c>
      <c r="B702" s="14" t="str">
        <f aca="false">Country_Data!$E$104</f>
        <v>EMDC</v>
      </c>
      <c r="C702" s="35" t="s">
        <v>481</v>
      </c>
      <c r="D702" s="37" t="n">
        <f aca="false">IF(Country_Data!$CC$104="","",Country_Data!$CC$104)</f>
        <v>0.13029937427737</v>
      </c>
      <c r="E702" s="40" t="n">
        <f aca="false">Country_Data!$BW$104</f>
        <v>129.101</v>
      </c>
      <c r="F702" s="41" t="n">
        <f aca="false">Country_Data!$BX$104</f>
        <v>0.34654262941418</v>
      </c>
      <c r="G702" s="42" t="n">
        <f aca="false">IF(D702="","",D702/SUMIFS($D$5:$D$1369,$B$5:$B$1369,B702,$C$5:$C$1369,C702))</f>
        <v>0.00186122666250128</v>
      </c>
      <c r="H702" s="42" t="n">
        <f aca="false">E702/SUMIFS($E$5:$E$1369,$B$5:$B$1369,B702,$C$5:$C$1369,C702)</f>
        <v>0.00159913263519534</v>
      </c>
      <c r="I702" s="43" t="n">
        <f aca="false">IF(G702="",H702,p_beta_alloc*G702+(1-p_beta_alloc)*H702)*F702^p_phi</f>
        <v>0.0010185199322858</v>
      </c>
      <c r="J702" s="16" t="n">
        <f aca="false">INDEX(Sector_Params!$C$20:$E$20,MATCH(B702,Sector_Params!$C$15:$E$15,0))*I702/SUMIFS($I$5:$I$1369,$B$5:$B$1369,B702,$C$5:$C$1369,C702)</f>
        <v>0.185900398277758</v>
      </c>
      <c r="K702" s="28" t="n">
        <f aca="false">INDEX(Sector_Params!$F$9:$H$9,MATCH(B702,Sector_Params!$C$15:$E$15,0))</f>
        <v>0.24</v>
      </c>
      <c r="L702" s="16" t="n">
        <f aca="false">J702*K702</f>
        <v>0.0446160955866618</v>
      </c>
      <c r="M702" s="44" t="n">
        <f aca="false">Country_Data!$DW$104+Sector_Params!$E$9</f>
        <v>0.105</v>
      </c>
      <c r="N702" s="44" t="n">
        <f aca="false">Country_Data!$DX$104+Sector_Params!$E$9</f>
        <v>0.15</v>
      </c>
      <c r="O702" s="11" t="n">
        <f aca="false">IF(p_use_ibrd=1,p_r_ibrd,p_r_wb)</f>
        <v>0.06</v>
      </c>
      <c r="P702" s="45" t="n">
        <f aca="false">Sector_Params!$D$9</f>
        <v>25</v>
      </c>
      <c r="Q702" s="46" t="n">
        <f aca="false">M702/(1-(1+M702)^-P702)</f>
        <v>0.114429319813103</v>
      </c>
      <c r="R702" s="46" t="n">
        <f aca="false">N702/(1-(1+N702)^-P702)</f>
        <v>0.154699402320206</v>
      </c>
      <c r="S702" s="46" t="n">
        <f aca="false">O702/(1-(1+O702)^-P702)</f>
        <v>0.078226718212274</v>
      </c>
      <c r="T702" s="37" t="n">
        <f aca="false">Country_Data!$CM$104*Sector_Params!$I$9</f>
        <v>0.155279493567375</v>
      </c>
      <c r="U702" s="37" t="n">
        <f aca="false">Country_Data!$CN$104*Sector_Params!$J$9</f>
        <v>0.03225</v>
      </c>
      <c r="V702" s="37" t="n">
        <f aca="false">p_a</f>
        <v>0.35</v>
      </c>
      <c r="W702" s="16" t="n">
        <f aca="false">T702*L702</f>
        <v>0.00692796472765043</v>
      </c>
      <c r="X702" s="16" t="n">
        <f aca="false">U702*L702</f>
        <v>0.00143886908266984</v>
      </c>
      <c r="Y702" s="16" t="n">
        <f aca="false">V702*L702</f>
        <v>0.0156156334553316</v>
      </c>
      <c r="Z702" s="16" t="n">
        <f aca="false">Q702*L702</f>
        <v>0.00510538947069812</v>
      </c>
      <c r="AA702" s="16" t="n">
        <f aca="false">R702*L702</f>
        <v>0.00690208332111779</v>
      </c>
      <c r="AB702" s="16" t="n">
        <f aca="false">S702*L702</f>
        <v>0.00349017073718968</v>
      </c>
      <c r="AC702" s="16" t="n">
        <f aca="false">Z702-W702</f>
        <v>-0.00182257525695232</v>
      </c>
      <c r="AD702" s="16" t="n">
        <f aca="false">AA702-W702</f>
        <v>-2.58814065326454E-005</v>
      </c>
      <c r="AE702" s="16" t="n">
        <f aca="false">AB702-W702</f>
        <v>-0.00343779399046076</v>
      </c>
      <c r="AF702" s="16" t="n">
        <f aca="false">AE702-X702</f>
        <v>-0.0048766630731306</v>
      </c>
      <c r="AG702" s="16" t="n">
        <f aca="false">AF702-p_spc_lo*Y702/1000</f>
        <v>-0.00565744474589718</v>
      </c>
      <c r="AH702" s="16" t="n">
        <f aca="false">AF702-p_spc_hi*Y702/1000</f>
        <v>-0.00643822641866377</v>
      </c>
      <c r="AI702" s="16" t="n">
        <f aca="false">Q702*J702</f>
        <v>0.0212724561279088</v>
      </c>
      <c r="AJ702" s="16" t="n">
        <f aca="false">S702*J702</f>
        <v>0.0145423780716236</v>
      </c>
      <c r="AK702" s="16" t="n">
        <f aca="false">T702*J702</f>
        <v>0.0288665196985435</v>
      </c>
      <c r="AL702" s="16" t="n">
        <f aca="false">U702*J702</f>
        <v>0.00599528784445769</v>
      </c>
      <c r="AM702" s="16" t="n">
        <f aca="false">AI702-AJ702</f>
        <v>0.00673007805628517</v>
      </c>
      <c r="AN702" s="16" t="n">
        <f aca="false">J702*Country_Data!$EB$104</f>
        <v>0.226827307666039</v>
      </c>
      <c r="AO702" s="16" t="n">
        <f aca="false">L702*Country_Data!$EB$104</f>
        <v>0.0544385538398494</v>
      </c>
    </row>
    <row r="703" customFormat="false" ht="15" hidden="false" customHeight="false" outlineLevel="0" collapsed="false">
      <c r="A703" s="14" t="str">
        <f aca="false">Country_Data!$A$104</f>
        <v>PRY</v>
      </c>
      <c r="B703" s="14" t="str">
        <f aca="false">Country_Data!$E$104</f>
        <v>EMDC</v>
      </c>
      <c r="C703" s="35" t="s">
        <v>484</v>
      </c>
      <c r="D703" s="37" t="n">
        <f aca="false">IF(Country_Data!$CD$104="","",Country_Data!$CD$104)</f>
        <v>0.20931496076941</v>
      </c>
      <c r="E703" s="40" t="n">
        <f aca="false">Country_Data!$BW$104</f>
        <v>129.101</v>
      </c>
      <c r="F703" s="41" t="n">
        <f aca="false">Country_Data!$BX$104</f>
        <v>0.34654262941418</v>
      </c>
      <c r="G703" s="42" t="n">
        <f aca="false">IF(D703="","",D703/SUMIFS($D$5:$D$1369,$B$5:$B$1369,B703,$C$5:$C$1369,C703))</f>
        <v>0.00116889120773739</v>
      </c>
      <c r="H703" s="42" t="n">
        <f aca="false">E703/SUMIFS($E$5:$E$1369,$B$5:$B$1369,B703,$C$5:$C$1369,C703)</f>
        <v>0.00159913263519534</v>
      </c>
      <c r="I703" s="43" t="n">
        <f aca="false">IF(G703="",H703,p_beta_alloc*G703+(1-p_beta_alloc)*H703)*F703^p_phi</f>
        <v>0.000814738359379607</v>
      </c>
      <c r="J703" s="16" t="n">
        <f aca="false">INDEX(Sector_Params!$C$21:$E$21,MATCH(B703,Sector_Params!$C$15:$E$15,0))*I703/SUMIFS($I$5:$I$1369,$B$5:$B$1369,B703,$C$5:$C$1369,C703)</f>
        <v>0.180700679172078</v>
      </c>
      <c r="K703" s="28" t="n">
        <f aca="false">INDEX(Sector_Params!$F$10:$H$10,MATCH(B703,Sector_Params!$C$15:$E$15,0))</f>
        <v>0.24</v>
      </c>
      <c r="L703" s="16" t="n">
        <f aca="false">J703*K703</f>
        <v>0.0433681630012988</v>
      </c>
      <c r="M703" s="44" t="n">
        <f aca="false">Country_Data!$DW$104+Sector_Params!$E$10</f>
        <v>0.105</v>
      </c>
      <c r="N703" s="44" t="n">
        <f aca="false">Country_Data!$DX$104+Sector_Params!$E$10</f>
        <v>0.15</v>
      </c>
      <c r="O703" s="11" t="n">
        <f aca="false">IF(p_use_ibrd=1,p_r_ibrd,p_r_wb)</f>
        <v>0.06</v>
      </c>
      <c r="P703" s="45" t="n">
        <f aca="false">Sector_Params!$D$10</f>
        <v>20</v>
      </c>
      <c r="Q703" s="46" t="n">
        <f aca="false">M703/(1-(1+M703)^-P703)</f>
        <v>0.121493265267016</v>
      </c>
      <c r="R703" s="46" t="n">
        <f aca="false">N703/(1-(1+N703)^-P703)</f>
        <v>0.159761470405744</v>
      </c>
      <c r="S703" s="46" t="n">
        <f aca="false">O703/(1-(1+O703)^-P703)</f>
        <v>0.0871845569768514</v>
      </c>
      <c r="T703" s="37" t="n">
        <f aca="false">0*Sector_Params!$I$10</f>
        <v>0</v>
      </c>
      <c r="U703" s="37" t="n">
        <f aca="false">0*Sector_Params!$J$10</f>
        <v>0</v>
      </c>
      <c r="V703" s="37" t="n">
        <f aca="false">1000*p_r_wb/(1-(1+p_r_wb)^-Sector_Params!$D$10)/p_cpt_fuel</f>
        <v>0.871845569768514</v>
      </c>
      <c r="W703" s="16" t="n">
        <f aca="false">T703*L703</f>
        <v>0</v>
      </c>
      <c r="X703" s="16" t="n">
        <f aca="false">U703*L703</f>
        <v>0</v>
      </c>
      <c r="Y703" s="16" t="n">
        <f aca="false">V703*L703</f>
        <v>0.0378103407816811</v>
      </c>
      <c r="Z703" s="16" t="n">
        <f aca="false">Q703*L703</f>
        <v>0.00526893973165999</v>
      </c>
      <c r="AA703" s="16" t="n">
        <f aca="false">R703*L703</f>
        <v>0.00692856148988347</v>
      </c>
      <c r="AB703" s="16" t="n">
        <f aca="false">S703*L703</f>
        <v>0.00378103407816811</v>
      </c>
      <c r="AC703" s="16" t="n">
        <f aca="false">Z703-W703</f>
        <v>0.00526893973165999</v>
      </c>
      <c r="AD703" s="16" t="n">
        <f aca="false">AA703-W703</f>
        <v>0.00692856148988347</v>
      </c>
      <c r="AE703" s="16" t="n">
        <f aca="false">AB703-W703</f>
        <v>0.00378103407816811</v>
      </c>
      <c r="AF703" s="16" t="n">
        <f aca="false">AE703-X703</f>
        <v>0.00378103407816811</v>
      </c>
      <c r="AG703" s="16" t="n">
        <f aca="false">AF703-p_spc_lo*Y703/1000</f>
        <v>0.00189051703908406</v>
      </c>
      <c r="AH703" s="16" t="n">
        <f aca="false">AF703-p_spc_hi*Y703/1000</f>
        <v>0</v>
      </c>
      <c r="AI703" s="16" t="n">
        <f aca="false">Q703*J703</f>
        <v>0.0219539155485833</v>
      </c>
      <c r="AJ703" s="16" t="n">
        <f aca="false">S703*J703</f>
        <v>0.0157543086590338</v>
      </c>
      <c r="AK703" s="16" t="n">
        <f aca="false">T703*J703</f>
        <v>0</v>
      </c>
      <c r="AL703" s="16" t="n">
        <f aca="false">U703*J703</f>
        <v>0</v>
      </c>
      <c r="AM703" s="16" t="n">
        <f aca="false">AI703-AJ703</f>
        <v>0.00619960688954949</v>
      </c>
      <c r="AN703" s="16" t="n">
        <f aca="false">J703*Country_Data!$EB$104</f>
        <v>0.220482844199109</v>
      </c>
      <c r="AO703" s="16" t="n">
        <f aca="false">L703*Country_Data!$EB$104</f>
        <v>0.0529158826077863</v>
      </c>
    </row>
    <row r="704" customFormat="false" ht="15" hidden="false" customHeight="false" outlineLevel="0" collapsed="false">
      <c r="A704" s="14" t="str">
        <f aca="false">Country_Data!$A$104</f>
        <v>PRY</v>
      </c>
      <c r="B704" s="14" t="str">
        <f aca="false">Country_Data!$E$104</f>
        <v>EMDC</v>
      </c>
      <c r="C704" s="35" t="s">
        <v>488</v>
      </c>
      <c r="D704" s="37" t="n">
        <f aca="false">IF(Country_Data!$CE$104="","",Country_Data!$CE$104)</f>
        <v>81.444</v>
      </c>
      <c r="E704" s="40" t="n">
        <f aca="false">Country_Data!$BW$104</f>
        <v>129.101</v>
      </c>
      <c r="F704" s="41" t="n">
        <f aca="false">Country_Data!$BX$104</f>
        <v>0.34654262941418</v>
      </c>
      <c r="G704" s="42" t="n">
        <f aca="false">IF(D704="","",D704/SUMIFS($D$5:$D$1369,$B$5:$B$1369,B704,$C$5:$C$1369,C704))</f>
        <v>0.0066734895047652</v>
      </c>
      <c r="H704" s="42" t="n">
        <f aca="false">E704/SUMIFS($E$5:$E$1369,$B$5:$B$1369,B704,$C$5:$C$1369,C704)</f>
        <v>0.00159913263519534</v>
      </c>
      <c r="I704" s="43" t="n">
        <f aca="false">IF(G704="",H704,p_beta_alloc*G704+(1-p_beta_alloc)*H704)*F704^p_phi</f>
        <v>0.00243495828523565</v>
      </c>
      <c r="J704" s="16" t="n">
        <f aca="false">INDEX(Sector_Params!$C$22:$E$22,MATCH(B704,Sector_Params!$C$15:$E$15,0))*I704/SUMIFS($I$5:$I$1369,$B$5:$B$1369,B704,$C$5:$C$1369,C704)</f>
        <v>1.46781327930315</v>
      </c>
      <c r="K704" s="28" t="n">
        <f aca="false">INDEX(Sector_Params!$F$11:$H$11,MATCH(B704,Sector_Params!$C$15:$E$15,0))</f>
        <v>0.24</v>
      </c>
      <c r="L704" s="16" t="n">
        <f aca="false">J704*K704</f>
        <v>0.352275187032757</v>
      </c>
      <c r="M704" s="44" t="n">
        <f aca="false">Country_Data!$DW$104+Sector_Params!$E$11</f>
        <v>0.105</v>
      </c>
      <c r="N704" s="44" t="n">
        <f aca="false">Country_Data!$DX$104+Sector_Params!$E$11</f>
        <v>0.15</v>
      </c>
      <c r="O704" s="11" t="n">
        <f aca="false">IF(p_use_ibrd=1,p_r_ibrd,p_r_wb)</f>
        <v>0.06</v>
      </c>
      <c r="P704" s="45" t="n">
        <f aca="false">Sector_Params!$D$11</f>
        <v>30</v>
      </c>
      <c r="Q704" s="46" t="n">
        <f aca="false">M704/(1-(1+M704)^-P704)</f>
        <v>0.110528481529605</v>
      </c>
      <c r="R704" s="46" t="n">
        <f aca="false">N704/(1-(1+N704)^-P704)</f>
        <v>0.152300198192734</v>
      </c>
      <c r="S704" s="46" t="n">
        <f aca="false">O704/(1-(1+O704)^-P704)</f>
        <v>0.0726489114900472</v>
      </c>
      <c r="T704" s="37" t="n">
        <f aca="false">0*Sector_Params!$I$11</f>
        <v>0</v>
      </c>
      <c r="U704" s="37" t="n">
        <f aca="false">p_c*Sector_Params!$J$11</f>
        <v>0.129</v>
      </c>
      <c r="V704" s="37" t="n">
        <f aca="false">1000*p_r_wb/(1-(1+p_r_wb)^-Sector_Params!$D$11)/p_cpt_afolu</f>
        <v>1.45297822980094</v>
      </c>
      <c r="W704" s="16" t="n">
        <f aca="false">T704*L704</f>
        <v>0</v>
      </c>
      <c r="X704" s="16" t="n">
        <f aca="false">U704*L704</f>
        <v>0.0454434991272257</v>
      </c>
      <c r="Y704" s="16" t="n">
        <f aca="false">V704*L704</f>
        <v>0.511848177657652</v>
      </c>
      <c r="Z704" s="16" t="n">
        <f aca="false">Q704*L704</f>
        <v>0.0389364415032883</v>
      </c>
      <c r="AA704" s="16" t="n">
        <f aca="false">R704*L704</f>
        <v>0.0536515808034715</v>
      </c>
      <c r="AB704" s="16" t="n">
        <f aca="false">S704*L704</f>
        <v>0.0255924088828826</v>
      </c>
      <c r="AC704" s="16" t="n">
        <f aca="false">Z704-W704</f>
        <v>0.0389364415032883</v>
      </c>
      <c r="AD704" s="16" t="n">
        <f aca="false">AA704-W704</f>
        <v>0.0536515808034715</v>
      </c>
      <c r="AE704" s="16" t="n">
        <f aca="false">AB704-W704</f>
        <v>0.0255924088828826</v>
      </c>
      <c r="AF704" s="16" t="n">
        <f aca="false">AE704-X704</f>
        <v>-0.0198510902443431</v>
      </c>
      <c r="AG704" s="16" t="n">
        <f aca="false">AF704-p_spc_lo*Y704/1000</f>
        <v>-0.0454434991272257</v>
      </c>
      <c r="AH704" s="16" t="n">
        <f aca="false">AF704-p_spc_hi*Y704/1000</f>
        <v>-0.0710359080101083</v>
      </c>
      <c r="AI704" s="16" t="n">
        <f aca="false">Q704*J704</f>
        <v>0.162235172930368</v>
      </c>
      <c r="AJ704" s="16" t="n">
        <f aca="false">S704*J704</f>
        <v>0.106635037012011</v>
      </c>
      <c r="AK704" s="16" t="n">
        <f aca="false">T704*J704</f>
        <v>0</v>
      </c>
      <c r="AL704" s="16" t="n">
        <f aca="false">U704*J704</f>
        <v>0.189347913030107</v>
      </c>
      <c r="AM704" s="16" t="n">
        <f aca="false">AI704-AJ704</f>
        <v>0.0556001359183571</v>
      </c>
      <c r="AN704" s="16" t="n">
        <f aca="false">J704*Country_Data!$EB$104</f>
        <v>1.79095976870013</v>
      </c>
      <c r="AO704" s="16" t="n">
        <f aca="false">L704*Country_Data!$EB$104</f>
        <v>0.429830344488031</v>
      </c>
    </row>
    <row r="705" customFormat="false" ht="15" hidden="false" customHeight="false" outlineLevel="0" collapsed="false">
      <c r="A705" s="14" t="str">
        <f aca="false">Country_Data!$A$105</f>
        <v>LVA</v>
      </c>
      <c r="B705" s="14" t="str">
        <f aca="false">Country_Data!$E$105</f>
        <v>AE</v>
      </c>
      <c r="C705" s="35" t="s">
        <v>466</v>
      </c>
      <c r="D705" s="37" t="n">
        <f aca="false">IF(Country_Data!$BZ$105="","",Country_Data!$BZ$105)</f>
        <v>6.0632670821338</v>
      </c>
      <c r="E705" s="40" t="n">
        <f aca="false">Country_Data!$BW$105</f>
        <v>77.071</v>
      </c>
      <c r="F705" s="41" t="n">
        <f aca="false">Country_Data!$BX$105</f>
        <v>0.570746454567866</v>
      </c>
      <c r="G705" s="42" t="n">
        <f aca="false">IF(D705="","",D705/SUMIFS($D$5:$D$1369,$B$5:$B$1369,B705,$C$5:$C$1369,C705))</f>
        <v>0.000619623740924209</v>
      </c>
      <c r="H705" s="42" t="n">
        <f aca="false">E705/SUMIFS($E$5:$E$1369,$B$5:$B$1369,B705,$C$5:$C$1369,C705)</f>
        <v>0.000977006345616347</v>
      </c>
      <c r="I705" s="43" t="n">
        <f aca="false">IF(G705="",H705,p_beta_alloc*G705+(1-p_beta_alloc)*H705)*F705^p_phi</f>
        <v>0.000603109159597554</v>
      </c>
      <c r="J705" s="16" t="n">
        <f aca="false">INDEX(Sector_Params!$C$16:$E$16,MATCH(B705,Sector_Params!$C$15:$E$15,0))*I705/SUMIFS($I$5:$I$1369,$B$5:$B$1369,B705,$C$5:$C$1369,C705)</f>
        <v>0.540961969629096</v>
      </c>
      <c r="K705" s="28" t="n">
        <f aca="false">INDEX(Sector_Params!$F$5:$H$5,MATCH(B705,Sector_Params!$C$15:$E$15,0))</f>
        <v>0.38</v>
      </c>
      <c r="L705" s="16" t="n">
        <f aca="false">J705*K705</f>
        <v>0.205565548459057</v>
      </c>
      <c r="M705" s="44" t="n">
        <f aca="false">Country_Data!$DW$105+Sector_Params!$E$5</f>
        <v>0.1059</v>
      </c>
      <c r="N705" s="44" t="n">
        <f aca="false">Country_Data!$DX$105+Sector_Params!$E$5</f>
        <v>0.1209</v>
      </c>
      <c r="O705" s="11" t="n">
        <f aca="false">IF(p_use_ibrd=1,p_r_ibrd,p_r_wb)</f>
        <v>0.06</v>
      </c>
      <c r="P705" s="45" t="n">
        <f aca="false">Sector_Params!$D$5</f>
        <v>25</v>
      </c>
      <c r="Q705" s="46" t="n">
        <f aca="false">M705/(1-(1+M705)^-P705)</f>
        <v>0.115201702514145</v>
      </c>
      <c r="R705" s="46" t="n">
        <f aca="false">N705/(1-(1+N705)^-P705)</f>
        <v>0.128296803959153</v>
      </c>
      <c r="S705" s="46" t="n">
        <f aca="false">O705/(1-(1+O705)^-P705)</f>
        <v>0.078226718212274</v>
      </c>
      <c r="T705" s="37" t="n">
        <f aca="false">IF(AND(p_eng=1,ISNUMBER(Country_Data!$CZ$105)),Country_Data!$CZ$105,Country_Data!$CM$105)*Sector_Params!$I$5</f>
        <v>0.100113690433052</v>
      </c>
      <c r="U705" s="37" t="n">
        <f aca="false">IF(AND(p_eng=1,ISNUMBER(Country_Data!$DA$105)),Country_Data!$DA$105,Country_Data!$CN$105)*Sector_Params!$J$5</f>
        <v>-0.000225722435961338</v>
      </c>
      <c r="V705" s="37" t="n">
        <f aca="false">IF(AND(p_eng=1,ISNUMBER(Country_Data!$DB$105)),Country_Data!$DB$105,p_a)</f>
        <v>0.244687794360902</v>
      </c>
      <c r="W705" s="16" t="n">
        <f aca="false">T705*L705</f>
        <v>0.0205799256821306</v>
      </c>
      <c r="X705" s="16" t="n">
        <f aca="false">U705*L705</f>
        <v>-4.64007563479067E-005</v>
      </c>
      <c r="Y705" s="16" t="n">
        <f aca="false">V705*L705</f>
        <v>0.0502993806490357</v>
      </c>
      <c r="Z705" s="16" t="n">
        <f aca="false">Q705*L705</f>
        <v>0.0236815011607373</v>
      </c>
      <c r="AA705" s="16" t="n">
        <f aca="false">R705*L705</f>
        <v>0.0263734028714073</v>
      </c>
      <c r="AB705" s="16" t="n">
        <f aca="false">S705*L705</f>
        <v>0.0160807182334582</v>
      </c>
      <c r="AC705" s="16" t="n">
        <f aca="false">Z705-W705</f>
        <v>0.00310157547860672</v>
      </c>
      <c r="AD705" s="16" t="n">
        <f aca="false">AA705-W705</f>
        <v>0.00579347718927673</v>
      </c>
      <c r="AE705" s="16" t="n">
        <f aca="false">AB705-W705</f>
        <v>-0.00449920744867242</v>
      </c>
      <c r="AF705" s="16" t="n">
        <f aca="false">AE705-X705</f>
        <v>-0.00445280669232452</v>
      </c>
      <c r="AG705" s="16" t="n">
        <f aca="false">AF705-p_spc_lo*Y705/1000</f>
        <v>-0.0069677757247763</v>
      </c>
      <c r="AH705" s="16" t="n">
        <f aca="false">AF705-p_spc_hi*Y705/1000</f>
        <v>-0.00948274475722809</v>
      </c>
      <c r="AI705" s="16" t="n">
        <f aca="false">Q705*J705</f>
        <v>0.0623197398966771</v>
      </c>
      <c r="AJ705" s="16" t="n">
        <f aca="false">S705*J705</f>
        <v>0.042317679561732</v>
      </c>
      <c r="AK705" s="16" t="n">
        <f aca="false">T705*J705</f>
        <v>0.0541576991635015</v>
      </c>
      <c r="AL705" s="16" t="n">
        <f aca="false">U705*J705</f>
        <v>-0.000122107253547123</v>
      </c>
      <c r="AM705" s="16" t="n">
        <f aca="false">AI705-AJ705</f>
        <v>0.0200020603349451</v>
      </c>
      <c r="AN705" s="16" t="n">
        <f aca="false">J705*Country_Data!$EB$105</f>
        <v>0.565211988957297</v>
      </c>
      <c r="AO705" s="16" t="n">
        <f aca="false">L705*Country_Data!$EB$105</f>
        <v>0.214780555803773</v>
      </c>
    </row>
    <row r="706" customFormat="false" ht="15" hidden="false" customHeight="false" outlineLevel="0" collapsed="false">
      <c r="A706" s="14" t="str">
        <f aca="false">Country_Data!$A$105</f>
        <v>LVA</v>
      </c>
      <c r="B706" s="14" t="str">
        <f aca="false">Country_Data!$E$105</f>
        <v>AE</v>
      </c>
      <c r="C706" s="35" t="s">
        <v>470</v>
      </c>
      <c r="D706" s="37" t="n">
        <f aca="false">IF(Country_Data!$BZ$105="","",Country_Data!$BZ$105)</f>
        <v>6.0632670821338</v>
      </c>
      <c r="E706" s="40" t="n">
        <f aca="false">Country_Data!$BW$105</f>
        <v>77.071</v>
      </c>
      <c r="F706" s="41" t="n">
        <f aca="false">Country_Data!$BX$105</f>
        <v>0.570746454567866</v>
      </c>
      <c r="G706" s="42" t="n">
        <f aca="false">IF(D706="","",D706/SUMIFS($D$5:$D$1369,$B$5:$B$1369,B706,$C$5:$C$1369,C706))</f>
        <v>0.000619623740924209</v>
      </c>
      <c r="H706" s="42" t="n">
        <f aca="false">E706/SUMIFS($E$5:$E$1369,$B$5:$B$1369,B706,$C$5:$C$1369,C706)</f>
        <v>0.000977006345616347</v>
      </c>
      <c r="I706" s="43" t="n">
        <f aca="false">IF(G706="",H706,p_beta_alloc*G706+(1-p_beta_alloc)*H706)*F706^p_phi</f>
        <v>0.000603109159597554</v>
      </c>
      <c r="J706" s="16" t="n">
        <f aca="false">INDEX(Sector_Params!$C$17:$E$17,MATCH(B706,Sector_Params!$C$15:$E$15,0))*I706/SUMIFS($I$5:$I$1369,$B$5:$B$1369,B706,$C$5:$C$1369,C706)</f>
        <v>0.370945350602809</v>
      </c>
      <c r="K706" s="28" t="n">
        <f aca="false">INDEX(Sector_Params!$F$6:$H$6,MATCH(B706,Sector_Params!$C$15:$E$15,0))</f>
        <v>0.38</v>
      </c>
      <c r="L706" s="16" t="n">
        <f aca="false">J706*K706</f>
        <v>0.140959233229067</v>
      </c>
      <c r="M706" s="44" t="n">
        <f aca="false">Country_Data!$DW$105+Sector_Params!$E$6</f>
        <v>0.1059</v>
      </c>
      <c r="N706" s="44" t="n">
        <f aca="false">Country_Data!$DX$105+Sector_Params!$E$6</f>
        <v>0.1209</v>
      </c>
      <c r="O706" s="11" t="n">
        <f aca="false">IF(p_use_ibrd=1,p_r_ibrd,p_r_wb)</f>
        <v>0.06</v>
      </c>
      <c r="P706" s="45" t="n">
        <f aca="false">Sector_Params!$D$6</f>
        <v>40</v>
      </c>
      <c r="Q706" s="46" t="n">
        <f aca="false">M706/(1-(1+M706)^-P706)</f>
        <v>0.107823440981123</v>
      </c>
      <c r="R706" s="46" t="n">
        <f aca="false">N706/(1-(1+N706)^-P706)</f>
        <v>0.122171437206821</v>
      </c>
      <c r="S706" s="46" t="n">
        <f aca="false">O706/(1-(1+O706)^-P706)</f>
        <v>0.0664615359206755</v>
      </c>
      <c r="T706" s="37" t="n">
        <f aca="false">p_grid_credit*IF(AND(p_eng=1,ISNUMBER(Country_Data!$CZ$105)),Country_Data!$CZ$105,Country_Data!$CM$105)*Sector_Params!$I$6</f>
        <v>0</v>
      </c>
      <c r="U706" s="37" t="n">
        <f aca="false">p_grid_credit*IF(AND(p_eng=1,ISNUMBER(Country_Data!$DA$105)),Country_Data!$DA$105,Country_Data!$CN$105)*Sector_Params!$J$6</f>
        <v>-0</v>
      </c>
      <c r="V706" s="37" t="n">
        <f aca="false">p_grid_credit*IF(AND(p_eng=1,ISNUMBER(Country_Data!$DB$105)),Country_Data!$DB$105,p_a)</f>
        <v>0</v>
      </c>
      <c r="W706" s="16" t="n">
        <f aca="false">T706*L706</f>
        <v>0</v>
      </c>
      <c r="X706" s="16" t="n">
        <f aca="false">U706*L706</f>
        <v>-0</v>
      </c>
      <c r="Y706" s="16" t="n">
        <f aca="false">V706*L706</f>
        <v>0</v>
      </c>
      <c r="Z706" s="16" t="n">
        <f aca="false">Q706*L706</f>
        <v>0.0151987095648187</v>
      </c>
      <c r="AA706" s="16" t="n">
        <f aca="false">R706*L706</f>
        <v>0.0172211921111667</v>
      </c>
      <c r="AB706" s="16" t="n">
        <f aca="false">S706*L706</f>
        <v>0.00936836714260453</v>
      </c>
      <c r="AC706" s="16" t="n">
        <f aca="false">Z706-W706</f>
        <v>0.0151987095648187</v>
      </c>
      <c r="AD706" s="16" t="n">
        <f aca="false">AA706-W706</f>
        <v>0.0172211921111667</v>
      </c>
      <c r="AE706" s="16" t="n">
        <f aca="false">AB706-W706</f>
        <v>0.00936836714260453</v>
      </c>
      <c r="AF706" s="16" t="n">
        <f aca="false">AE706-X706</f>
        <v>0.00936836714260453</v>
      </c>
      <c r="AG706" s="16" t="n">
        <f aca="false">AF706-p_spc_lo*Y706/1000</f>
        <v>0.00936836714260453</v>
      </c>
      <c r="AH706" s="16" t="n">
        <f aca="false">AF706-p_spc_hi*Y706/1000</f>
        <v>0.00936836714260453</v>
      </c>
      <c r="AI706" s="16" t="n">
        <f aca="false">Q706*J706</f>
        <v>0.0399966041179439</v>
      </c>
      <c r="AJ706" s="16" t="n">
        <f aca="false">S706*J706</f>
        <v>0.0246535977436961</v>
      </c>
      <c r="AK706" s="16" t="n">
        <f aca="false">T706*J706</f>
        <v>0</v>
      </c>
      <c r="AL706" s="16" t="n">
        <f aca="false">U706*J706</f>
        <v>-0</v>
      </c>
      <c r="AM706" s="16" t="n">
        <f aca="false">AI706-AJ706</f>
        <v>0.0153430063742478</v>
      </c>
      <c r="AN706" s="16" t="n">
        <f aca="false">J706*Country_Data!$EB$105</f>
        <v>0.387573935285004</v>
      </c>
      <c r="AO706" s="16" t="n">
        <f aca="false">L706*Country_Data!$EB$105</f>
        <v>0.147278095408301</v>
      </c>
    </row>
    <row r="707" customFormat="false" ht="15" hidden="false" customHeight="false" outlineLevel="0" collapsed="false">
      <c r="A707" s="14" t="str">
        <f aca="false">Country_Data!$A$105</f>
        <v>LVA</v>
      </c>
      <c r="B707" s="14" t="str">
        <f aca="false">Country_Data!$E$105</f>
        <v>AE</v>
      </c>
      <c r="C707" s="35" t="s">
        <v>473</v>
      </c>
      <c r="D707" s="37" t="n">
        <f aca="false">IF(Country_Data!$CA$105="","",Country_Data!$CA$105)</f>
        <v>0.0550697435871268</v>
      </c>
      <c r="E707" s="40" t="n">
        <f aca="false">Country_Data!$BW$105</f>
        <v>77.071</v>
      </c>
      <c r="F707" s="41" t="n">
        <f aca="false">Country_Data!$BX$105</f>
        <v>0.570746454567866</v>
      </c>
      <c r="G707" s="42" t="n">
        <f aca="false">IF(D707="","",D707/SUMIFS($D$5:$D$1369,$B$5:$B$1369,B707,$C$5:$C$1369,C707))</f>
        <v>0.00107804364549764</v>
      </c>
      <c r="H707" s="42" t="n">
        <f aca="false">E707/SUMIFS($E$5:$E$1369,$B$5:$B$1369,B707,$C$5:$C$1369,C707)</f>
        <v>0.000977006345616347</v>
      </c>
      <c r="I707" s="43" t="n">
        <f aca="false">IF(G707="",H707,p_beta_alloc*G707+(1-p_beta_alloc)*H707)*F707^p_phi</f>
        <v>0.00077627215190288</v>
      </c>
      <c r="J707" s="16" t="n">
        <f aca="false">INDEX(Sector_Params!$C$18:$E$18,MATCH(B707,Sector_Params!$C$15:$E$15,0))*I707/SUMIFS($I$5:$I$1369,$B$5:$B$1369,B707,$C$5:$C$1369,C707)</f>
        <v>0.292540614077638</v>
      </c>
      <c r="K707" s="28" t="n">
        <f aca="false">INDEX(Sector_Params!$F$7:$H$7,MATCH(B707,Sector_Params!$C$15:$E$15,0))</f>
        <v>0.38</v>
      </c>
      <c r="L707" s="16" t="n">
        <f aca="false">J707*K707</f>
        <v>0.111165433349502</v>
      </c>
      <c r="M707" s="44" t="n">
        <f aca="false">Country_Data!$DW$105+Sector_Params!$E$7</f>
        <v>0.1059</v>
      </c>
      <c r="N707" s="44" t="n">
        <f aca="false">Country_Data!$DX$105+Sector_Params!$E$7</f>
        <v>0.1209</v>
      </c>
      <c r="O707" s="11" t="n">
        <f aca="false">IF(p_use_ibrd=1,p_r_ibrd,p_r_wb)</f>
        <v>0.06</v>
      </c>
      <c r="P707" s="45" t="n">
        <f aca="false">Sector_Params!$D$7</f>
        <v>12</v>
      </c>
      <c r="Q707" s="46" t="n">
        <f aca="false">M707/(1-(1+M707)^-P707)</f>
        <v>0.151031125173628</v>
      </c>
      <c r="R707" s="46" t="n">
        <f aca="false">N707/(1-(1+N707)^-P707)</f>
        <v>0.162110605801002</v>
      </c>
      <c r="S707" s="46" t="n">
        <f aca="false">O707/(1-(1+O707)^-P707)</f>
        <v>0.119277029380664</v>
      </c>
      <c r="T707" s="37" t="n">
        <f aca="false">IF(AND(p_eng=1,ISNUMBER(Country_Data!$DE$105)),Country_Data!$DE$105,Country_Data!$CM$105)*Sector_Params!$I$7</f>
        <v>0.089274015</v>
      </c>
      <c r="U707" s="37" t="n">
        <f aca="false">IF(AND(p_eng=1,ISNUMBER(Country_Data!$DF$105)),Country_Data!$DF$105,Country_Data!$CN$105)*Sector_Params!$J$7</f>
        <v>0.00628695</v>
      </c>
      <c r="V707" s="37" t="n">
        <f aca="false">IF(AND(p_eng=1,ISNUMBER(Country_Data!$DG$105)),Country_Data!$DG$105,p_a)</f>
        <v>0.475847228571429</v>
      </c>
      <c r="W707" s="16" t="n">
        <f aca="false">T707*L707</f>
        <v>0.00992418456432499</v>
      </c>
      <c r="X707" s="16" t="n">
        <f aca="false">U707*L707</f>
        <v>0.000698891521196655</v>
      </c>
      <c r="Y707" s="16" t="n">
        <f aca="false">V707*L707</f>
        <v>0.0528977633723026</v>
      </c>
      <c r="Z707" s="16" t="n">
        <f aca="false">Q707*L707</f>
        <v>0.0167894404791893</v>
      </c>
      <c r="AA707" s="16" t="n">
        <f aca="false">R707*L707</f>
        <v>0.0180210957444188</v>
      </c>
      <c r="AB707" s="16" t="n">
        <f aca="false">S707*L707</f>
        <v>0.0132594826597428</v>
      </c>
      <c r="AC707" s="16" t="n">
        <f aca="false">Z707-W707</f>
        <v>0.0068652559148643</v>
      </c>
      <c r="AD707" s="16" t="n">
        <f aca="false">AA707-W707</f>
        <v>0.0080969111800938</v>
      </c>
      <c r="AE707" s="16" t="n">
        <f aca="false">AB707-W707</f>
        <v>0.00333529809541782</v>
      </c>
      <c r="AF707" s="16" t="n">
        <f aca="false">AE707-X707</f>
        <v>0.00263640657422116</v>
      </c>
      <c r="AG707" s="16" t="n">
        <f aca="false">AF707-p_spc_lo*Y707/1000</f>
        <v>-8.48159439396879E-006</v>
      </c>
      <c r="AH707" s="16" t="n">
        <f aca="false">AF707-p_spc_hi*Y707/1000</f>
        <v>-0.0026533697630091</v>
      </c>
      <c r="AI707" s="16" t="n">
        <f aca="false">Q707*J707</f>
        <v>0.0441827381031297</v>
      </c>
      <c r="AJ707" s="16" t="n">
        <f aca="false">S707*J707</f>
        <v>0.0348933754203758</v>
      </c>
      <c r="AK707" s="16" t="n">
        <f aca="false">T707*J707</f>
        <v>0.0261162751692763</v>
      </c>
      <c r="AL707" s="16" t="n">
        <f aca="false">U707*J707</f>
        <v>0.00183918821367541</v>
      </c>
      <c r="AM707" s="16" t="n">
        <f aca="false">AI707-AJ707</f>
        <v>0.0092893626827539</v>
      </c>
      <c r="AN707" s="16" t="n">
        <f aca="false">J707*Country_Data!$EB$105</f>
        <v>0.305654503674222</v>
      </c>
      <c r="AO707" s="16" t="n">
        <f aca="false">L707*Country_Data!$EB$105</f>
        <v>0.116148711396204</v>
      </c>
    </row>
    <row r="708" customFormat="false" ht="15" hidden="false" customHeight="false" outlineLevel="0" collapsed="false">
      <c r="A708" s="14" t="str">
        <f aca="false">Country_Data!$A$105</f>
        <v>LVA</v>
      </c>
      <c r="B708" s="14" t="str">
        <f aca="false">Country_Data!$E$105</f>
        <v>AE</v>
      </c>
      <c r="C708" s="35" t="s">
        <v>477</v>
      </c>
      <c r="D708" s="37" t="n">
        <f aca="false">IF(Country_Data!$CB$105="","",Country_Data!$CB$105)</f>
        <v>0.0222424690479217</v>
      </c>
      <c r="E708" s="40" t="n">
        <f aca="false">Country_Data!$BW$105</f>
        <v>77.071</v>
      </c>
      <c r="F708" s="41" t="n">
        <f aca="false">Country_Data!$BX$105</f>
        <v>0.570746454567866</v>
      </c>
      <c r="G708" s="42" t="n">
        <f aca="false">IF(D708="","",D708/SUMIFS($D$5:$D$1369,$B$5:$B$1369,B708,$C$5:$C$1369,C708))</f>
        <v>0.000571967473823521</v>
      </c>
      <c r="H708" s="42" t="n">
        <f aca="false">E708/SUMIFS($E$5:$E$1369,$B$5:$B$1369,B708,$C$5:$C$1369,C708)</f>
        <v>0.000977006345616347</v>
      </c>
      <c r="I708" s="43" t="n">
        <f aca="false">IF(G708="",H708,p_beta_alloc*G708+(1-p_beta_alloc)*H708)*F708^p_phi</f>
        <v>0.000585107537654598</v>
      </c>
      <c r="J708" s="16" t="n">
        <f aca="false">INDEX(Sector_Params!$C$19:$E$19,MATCH(B708,Sector_Params!$C$15:$E$15,0))*I708/SUMIFS($I$5:$I$1369,$B$5:$B$1369,B708,$C$5:$C$1369,C708)</f>
        <v>0.171996408174157</v>
      </c>
      <c r="K708" s="28" t="n">
        <f aca="false">INDEX(Sector_Params!$F$8:$H$8,MATCH(B708,Sector_Params!$C$15:$E$15,0))</f>
        <v>0.38</v>
      </c>
      <c r="L708" s="16" t="n">
        <f aca="false">J708*K708</f>
        <v>0.0653586351061797</v>
      </c>
      <c r="M708" s="44" t="n">
        <f aca="false">Country_Data!$DW$105+Sector_Params!$E$8</f>
        <v>0.1059</v>
      </c>
      <c r="N708" s="44" t="n">
        <f aca="false">Country_Data!$DX$105+Sector_Params!$E$8</f>
        <v>0.1209</v>
      </c>
      <c r="O708" s="11" t="n">
        <f aca="false">IF(p_use_ibrd=1,p_r_ibrd,p_r_wb)</f>
        <v>0.06</v>
      </c>
      <c r="P708" s="45" t="n">
        <f aca="false">Sector_Params!$D$8</f>
        <v>25</v>
      </c>
      <c r="Q708" s="46" t="n">
        <f aca="false">M708/(1-(1+M708)^-P708)</f>
        <v>0.115201702514145</v>
      </c>
      <c r="R708" s="46" t="n">
        <f aca="false">N708/(1-(1+N708)^-P708)</f>
        <v>0.128296803959153</v>
      </c>
      <c r="S708" s="46" t="n">
        <f aca="false">O708/(1-(1+O708)^-P708)</f>
        <v>0.078226718212274</v>
      </c>
      <c r="T708" s="37" t="n">
        <f aca="false">Country_Data!$CM$105*Sector_Params!$I$8</f>
        <v>0.264432006286241</v>
      </c>
      <c r="U708" s="37" t="n">
        <f aca="false">Country_Data!$CN$105*Sector_Params!$J$8</f>
        <v>0.0394415106243388</v>
      </c>
      <c r="V708" s="37" t="n">
        <f aca="false">p_a</f>
        <v>0.35</v>
      </c>
      <c r="W708" s="16" t="n">
        <f aca="false">T708*L708</f>
        <v>0.0172829150092575</v>
      </c>
      <c r="X708" s="16" t="n">
        <f aca="false">U708*L708</f>
        <v>0.00257784330093267</v>
      </c>
      <c r="Y708" s="16" t="n">
        <f aca="false">V708*L708</f>
        <v>0.0228755222871629</v>
      </c>
      <c r="Z708" s="16" t="n">
        <f aca="false">Q708*L708</f>
        <v>0.00752942603823268</v>
      </c>
      <c r="AA708" s="16" t="n">
        <f aca="false">R708*L708</f>
        <v>0.00838530399525535</v>
      </c>
      <c r="AB708" s="16" t="n">
        <f aca="false">S708*L708</f>
        <v>0.00511279153118996</v>
      </c>
      <c r="AC708" s="16" t="n">
        <f aca="false">Z708-W708</f>
        <v>-0.00975348897102478</v>
      </c>
      <c r="AD708" s="16" t="n">
        <f aca="false">AA708-W708</f>
        <v>-0.0088976110140021</v>
      </c>
      <c r="AE708" s="16" t="n">
        <f aca="false">AB708-W708</f>
        <v>-0.0121701234780675</v>
      </c>
      <c r="AF708" s="16" t="n">
        <f aca="false">AE708-X708</f>
        <v>-0.0147479667790002</v>
      </c>
      <c r="AG708" s="16" t="n">
        <f aca="false">AF708-p_spc_lo*Y708/1000</f>
        <v>-0.0158917428933583</v>
      </c>
      <c r="AH708" s="16" t="n">
        <f aca="false">AF708-p_spc_hi*Y708/1000</f>
        <v>-0.0170355190077165</v>
      </c>
      <c r="AI708" s="16" t="n">
        <f aca="false">Q708*J708</f>
        <v>0.0198142790479807</v>
      </c>
      <c r="AJ708" s="16" t="n">
        <f aca="false">S708*J708</f>
        <v>0.013454714555763</v>
      </c>
      <c r="AK708" s="16" t="n">
        <f aca="false">T708*J708</f>
        <v>0.0454813552875196</v>
      </c>
      <c r="AL708" s="16" t="n">
        <f aca="false">U708*J708</f>
        <v>0.00678379816034913</v>
      </c>
      <c r="AM708" s="16" t="n">
        <f aca="false">AI708-AJ708</f>
        <v>0.00635956449221768</v>
      </c>
      <c r="AN708" s="16" t="n">
        <f aca="false">J708*Country_Data!$EB$105</f>
        <v>0.179706591988861</v>
      </c>
      <c r="AO708" s="16" t="n">
        <f aca="false">L708*Country_Data!$EB$105</f>
        <v>0.0682885049557671</v>
      </c>
    </row>
    <row r="709" customFormat="false" ht="15" hidden="false" customHeight="false" outlineLevel="0" collapsed="false">
      <c r="A709" s="14" t="str">
        <f aca="false">Country_Data!$A$105</f>
        <v>LVA</v>
      </c>
      <c r="B709" s="14" t="str">
        <f aca="false">Country_Data!$E$105</f>
        <v>AE</v>
      </c>
      <c r="C709" s="35" t="s">
        <v>481</v>
      </c>
      <c r="D709" s="37" t="n">
        <f aca="false">IF(Country_Data!$CC$105="","",Country_Data!$CC$105)</f>
        <v>0.0295238008514023</v>
      </c>
      <c r="E709" s="40" t="n">
        <f aca="false">Country_Data!$BW$105</f>
        <v>77.071</v>
      </c>
      <c r="F709" s="41" t="n">
        <f aca="false">Country_Data!$BX$105</f>
        <v>0.570746454567866</v>
      </c>
      <c r="G709" s="42" t="n">
        <f aca="false">IF(D709="","",D709/SUMIFS($D$5:$D$1369,$B$5:$B$1369,B709,$C$5:$C$1369,C709))</f>
        <v>0.000537565321549559</v>
      </c>
      <c r="H709" s="42" t="n">
        <f aca="false">E709/SUMIFS($E$5:$E$1369,$B$5:$B$1369,B709,$C$5:$C$1369,C709)</f>
        <v>0.000977006345616347</v>
      </c>
      <c r="I709" s="43" t="n">
        <f aca="false">IF(G709="",H709,p_beta_alloc*G709+(1-p_beta_alloc)*H709)*F709^p_phi</f>
        <v>0.000572112509362696</v>
      </c>
      <c r="J709" s="16" t="n">
        <f aca="false">INDEX(Sector_Params!$C$20:$E$20,MATCH(B709,Sector_Params!$C$15:$E$15,0))*I709/SUMIFS($I$5:$I$1369,$B$5:$B$1369,B709,$C$5:$C$1369,C709)</f>
        <v>0.0971546312471448</v>
      </c>
      <c r="K709" s="28" t="n">
        <f aca="false">INDEX(Sector_Params!$F$9:$H$9,MATCH(B709,Sector_Params!$C$15:$E$15,0))</f>
        <v>0.38</v>
      </c>
      <c r="L709" s="16" t="n">
        <f aca="false">J709*K709</f>
        <v>0.036918759873915</v>
      </c>
      <c r="M709" s="44" t="n">
        <f aca="false">Country_Data!$DW$105+Sector_Params!$E$9</f>
        <v>0.1059</v>
      </c>
      <c r="N709" s="44" t="n">
        <f aca="false">Country_Data!$DX$105+Sector_Params!$E$9</f>
        <v>0.1209</v>
      </c>
      <c r="O709" s="11" t="n">
        <f aca="false">IF(p_use_ibrd=1,p_r_ibrd,p_r_wb)</f>
        <v>0.06</v>
      </c>
      <c r="P709" s="45" t="n">
        <f aca="false">Sector_Params!$D$9</f>
        <v>25</v>
      </c>
      <c r="Q709" s="46" t="n">
        <f aca="false">M709/(1-(1+M709)^-P709)</f>
        <v>0.115201702514145</v>
      </c>
      <c r="R709" s="46" t="n">
        <f aca="false">N709/(1-(1+N709)^-P709)</f>
        <v>0.128296803959153</v>
      </c>
      <c r="S709" s="46" t="n">
        <f aca="false">O709/(1-(1+O709)^-P709)</f>
        <v>0.078226718212274</v>
      </c>
      <c r="T709" s="37" t="n">
        <f aca="false">Country_Data!$CM$105*Sector_Params!$I$9</f>
        <v>0.264432006286241</v>
      </c>
      <c r="U709" s="37" t="n">
        <f aca="false">Country_Data!$CN$105*Sector_Params!$J$9</f>
        <v>0.0394415106243388</v>
      </c>
      <c r="V709" s="37" t="n">
        <f aca="false">p_a</f>
        <v>0.35</v>
      </c>
      <c r="W709" s="16" t="n">
        <f aca="false">T709*L709</f>
        <v>0.00976250174305932</v>
      </c>
      <c r="X709" s="16" t="n">
        <f aca="false">U709*L709</f>
        <v>0.00145613165980443</v>
      </c>
      <c r="Y709" s="16" t="n">
        <f aca="false">V709*L709</f>
        <v>0.0129215659558703</v>
      </c>
      <c r="Z709" s="16" t="n">
        <f aca="false">Q709*L709</f>
        <v>0.00425310399218591</v>
      </c>
      <c r="AA709" s="16" t="n">
        <f aca="false">R709*L709</f>
        <v>0.00473655889795872</v>
      </c>
      <c r="AB709" s="16" t="n">
        <f aca="false">S709*L709</f>
        <v>0.00288803342540336</v>
      </c>
      <c r="AC709" s="16" t="n">
        <f aca="false">Z709-W709</f>
        <v>-0.0055093977508734</v>
      </c>
      <c r="AD709" s="16" t="n">
        <f aca="false">AA709-W709</f>
        <v>-0.0050259428451006</v>
      </c>
      <c r="AE709" s="16" t="n">
        <f aca="false">AB709-W709</f>
        <v>-0.00687446831765596</v>
      </c>
      <c r="AF709" s="16" t="n">
        <f aca="false">AE709-X709</f>
        <v>-0.00833059997746039</v>
      </c>
      <c r="AG709" s="16" t="n">
        <f aca="false">AF709-p_spc_lo*Y709/1000</f>
        <v>-0.00897667827525391</v>
      </c>
      <c r="AH709" s="16" t="n">
        <f aca="false">AF709-p_spc_hi*Y709/1000</f>
        <v>-0.00962275657304742</v>
      </c>
      <c r="AI709" s="16" t="n">
        <f aca="false">Q709*J709</f>
        <v>0.011192378926805</v>
      </c>
      <c r="AJ709" s="16" t="n">
        <f aca="false">S709*J709</f>
        <v>0.00760008796158778</v>
      </c>
      <c r="AK709" s="16" t="n">
        <f aca="false">T709*J709</f>
        <v>0.0256907940606824</v>
      </c>
      <c r="AL709" s="16" t="n">
        <f aca="false">U709*J709</f>
        <v>0.00383192542053798</v>
      </c>
      <c r="AM709" s="16" t="n">
        <f aca="false">AI709-AJ709</f>
        <v>0.00359229096521726</v>
      </c>
      <c r="AN709" s="16" t="n">
        <f aca="false">J709*Country_Data!$EB$105</f>
        <v>0.101509838854775</v>
      </c>
      <c r="AO709" s="16" t="n">
        <f aca="false">L709*Country_Data!$EB$105</f>
        <v>0.0385737387648147</v>
      </c>
    </row>
    <row r="710" customFormat="false" ht="15" hidden="false" customHeight="false" outlineLevel="0" collapsed="false">
      <c r="A710" s="14" t="str">
        <f aca="false">Country_Data!$A$105</f>
        <v>LVA</v>
      </c>
      <c r="B710" s="14" t="str">
        <f aca="false">Country_Data!$E$105</f>
        <v>AE</v>
      </c>
      <c r="C710" s="35" t="s">
        <v>484</v>
      </c>
      <c r="D710" s="37" t="n">
        <f aca="false">IF(Country_Data!$CD$105="","",Country_Data!$CD$105)</f>
        <v>0.0974863349206801</v>
      </c>
      <c r="E710" s="40" t="n">
        <f aca="false">Country_Data!$BW$105</f>
        <v>77.071</v>
      </c>
      <c r="F710" s="41" t="n">
        <f aca="false">Country_Data!$BX$105</f>
        <v>0.570746454567866</v>
      </c>
      <c r="G710" s="42" t="n">
        <f aca="false">IF(D710="","",D710/SUMIFS($D$5:$D$1369,$B$5:$B$1369,B710,$C$5:$C$1369,C710))</f>
        <v>0.000659582073204035</v>
      </c>
      <c r="H710" s="42" t="n">
        <f aca="false">E710/SUMIFS($E$5:$E$1369,$B$5:$B$1369,B710,$C$5:$C$1369,C710)</f>
        <v>0.000977006345616347</v>
      </c>
      <c r="I710" s="43" t="n">
        <f aca="false">IF(G710="",H710,p_beta_alloc*G710+(1-p_beta_alloc)*H710)*F710^p_phi</f>
        <v>0.000618202972750244</v>
      </c>
      <c r="J710" s="16" t="n">
        <f aca="false">INDEX(Sector_Params!$C$21:$E$21,MATCH(B710,Sector_Params!$C$15:$E$15,0))*I710/SUMIFS($I$5:$I$1369,$B$5:$B$1369,B710,$C$5:$C$1369,C710)</f>
        <v>0.12595869232822</v>
      </c>
      <c r="K710" s="28" t="n">
        <f aca="false">INDEX(Sector_Params!$F$10:$H$10,MATCH(B710,Sector_Params!$C$15:$E$15,0))</f>
        <v>0.38</v>
      </c>
      <c r="L710" s="16" t="n">
        <f aca="false">J710*K710</f>
        <v>0.0478643030847237</v>
      </c>
      <c r="M710" s="44" t="n">
        <f aca="false">Country_Data!$DW$105+Sector_Params!$E$10</f>
        <v>0.1059</v>
      </c>
      <c r="N710" s="44" t="n">
        <f aca="false">Country_Data!$DX$105+Sector_Params!$E$10</f>
        <v>0.1209</v>
      </c>
      <c r="O710" s="11" t="n">
        <f aca="false">IF(p_use_ibrd=1,p_r_ibrd,p_r_wb)</f>
        <v>0.06</v>
      </c>
      <c r="P710" s="45" t="n">
        <f aca="false">Sector_Params!$D$10</f>
        <v>20</v>
      </c>
      <c r="Q710" s="46" t="n">
        <f aca="false">M710/(1-(1+M710)^-P710)</f>
        <v>0.122224552921136</v>
      </c>
      <c r="R710" s="46" t="n">
        <f aca="false">N710/(1-(1+N710)^-P710)</f>
        <v>0.134634715703091</v>
      </c>
      <c r="S710" s="46" t="n">
        <f aca="false">O710/(1-(1+O710)^-P710)</f>
        <v>0.0871845569768514</v>
      </c>
      <c r="T710" s="37" t="n">
        <f aca="false">0*Sector_Params!$I$10</f>
        <v>0</v>
      </c>
      <c r="U710" s="37" t="n">
        <f aca="false">0*Sector_Params!$J$10</f>
        <v>0</v>
      </c>
      <c r="V710" s="37" t="n">
        <f aca="false">1000*p_r_wb/(1-(1+p_r_wb)^-Sector_Params!$D$10)/p_cpt_fuel</f>
        <v>0.871845569768514</v>
      </c>
      <c r="W710" s="16" t="n">
        <f aca="false">T710*L710</f>
        <v>0</v>
      </c>
      <c r="X710" s="16" t="n">
        <f aca="false">U710*L710</f>
        <v>0</v>
      </c>
      <c r="Y710" s="16" t="n">
        <f aca="false">V710*L710</f>
        <v>0.0417302805944738</v>
      </c>
      <c r="Z710" s="16" t="n">
        <f aca="false">Q710*L710</f>
        <v>0.00585019304541212</v>
      </c>
      <c r="AA710" s="16" t="n">
        <f aca="false">R710*L710</f>
        <v>0.00644419683813836</v>
      </c>
      <c r="AB710" s="16" t="n">
        <f aca="false">S710*L710</f>
        <v>0.00417302805944738</v>
      </c>
      <c r="AC710" s="16" t="n">
        <f aca="false">Z710-W710</f>
        <v>0.00585019304541212</v>
      </c>
      <c r="AD710" s="16" t="n">
        <f aca="false">AA710-W710</f>
        <v>0.00644419683813836</v>
      </c>
      <c r="AE710" s="16" t="n">
        <f aca="false">AB710-W710</f>
        <v>0.00417302805944738</v>
      </c>
      <c r="AF710" s="16" t="n">
        <f aca="false">AE710-X710</f>
        <v>0.00417302805944738</v>
      </c>
      <c r="AG710" s="16" t="n">
        <f aca="false">AF710-p_spc_lo*Y710/1000</f>
        <v>0.00208651402972369</v>
      </c>
      <c r="AH710" s="16" t="n">
        <f aca="false">AF710-p_spc_hi*Y710/1000</f>
        <v>0</v>
      </c>
      <c r="AI710" s="16" t="n">
        <f aca="false">Q710*J710</f>
        <v>0.0153952448563477</v>
      </c>
      <c r="AJ710" s="16" t="n">
        <f aca="false">S710*J710</f>
        <v>0.0109816527880194</v>
      </c>
      <c r="AK710" s="16" t="n">
        <f aca="false">T710*J710</f>
        <v>0</v>
      </c>
      <c r="AL710" s="16" t="n">
        <f aca="false">U710*J710</f>
        <v>0</v>
      </c>
      <c r="AM710" s="16" t="n">
        <f aca="false">AI710-AJ710</f>
        <v>0.00441359206832826</v>
      </c>
      <c r="AN710" s="16" t="n">
        <f aca="false">J710*Country_Data!$EB$105</f>
        <v>0.131605116467072</v>
      </c>
      <c r="AO710" s="16" t="n">
        <f aca="false">L710*Country_Data!$EB$105</f>
        <v>0.0500099442574872</v>
      </c>
    </row>
    <row r="711" customFormat="false" ht="15" hidden="false" customHeight="false" outlineLevel="0" collapsed="false">
      <c r="A711" s="14" t="str">
        <f aca="false">Country_Data!$A$105</f>
        <v>LVA</v>
      </c>
      <c r="B711" s="14" t="str">
        <f aca="false">Country_Data!$E$105</f>
        <v>AE</v>
      </c>
      <c r="C711" s="35" t="s">
        <v>488</v>
      </c>
      <c r="D711" s="37" t="n">
        <f aca="false">IF(Country_Data!$CE$105="","",Country_Data!$CE$105)</f>
        <v>5.392</v>
      </c>
      <c r="E711" s="40" t="n">
        <f aca="false">Country_Data!$BW$105</f>
        <v>77.071</v>
      </c>
      <c r="F711" s="41" t="n">
        <f aca="false">Country_Data!$BX$105</f>
        <v>0.570746454567866</v>
      </c>
      <c r="G711" s="42" t="n">
        <f aca="false">IF(D711="","",D711/SUMIFS($D$5:$D$1369,$B$5:$B$1369,B711,$C$5:$C$1369,C711))</f>
        <v>0.00205780006213091</v>
      </c>
      <c r="H711" s="42" t="n">
        <f aca="false">E711/SUMIFS($E$5:$E$1369,$B$5:$B$1369,B711,$C$5:$C$1369,C711)</f>
        <v>0.000977006345616347</v>
      </c>
      <c r="I711" s="43" t="n">
        <f aca="false">IF(G711="",H711,p_beta_alloc*G711+(1-p_beta_alloc)*H711)*F711^p_phi</f>
        <v>0.00114636418137623</v>
      </c>
      <c r="J711" s="16" t="n">
        <f aca="false">INDEX(Sector_Params!$C$22:$E$22,MATCH(B711,Sector_Params!$C$15:$E$15,0))*I711/SUMIFS($I$5:$I$1369,$B$5:$B$1369,B711,$C$5:$C$1369,C711)</f>
        <v>0.0444188867497151</v>
      </c>
      <c r="K711" s="28" t="n">
        <f aca="false">INDEX(Sector_Params!$F$11:$H$11,MATCH(B711,Sector_Params!$C$15:$E$15,0))</f>
        <v>0.38</v>
      </c>
      <c r="L711" s="16" t="n">
        <f aca="false">J711*K711</f>
        <v>0.0168791769648918</v>
      </c>
      <c r="M711" s="44" t="n">
        <f aca="false">Country_Data!$DW$105+Sector_Params!$E$11</f>
        <v>0.1059</v>
      </c>
      <c r="N711" s="44" t="n">
        <f aca="false">Country_Data!$DX$105+Sector_Params!$E$11</f>
        <v>0.1209</v>
      </c>
      <c r="O711" s="11" t="n">
        <f aca="false">IF(p_use_ibrd=1,p_r_ibrd,p_r_wb)</f>
        <v>0.06</v>
      </c>
      <c r="P711" s="45" t="n">
        <f aca="false">Sector_Params!$D$11</f>
        <v>30</v>
      </c>
      <c r="Q711" s="46" t="n">
        <f aca="false">M711/(1-(1+M711)^-P711)</f>
        <v>0.111334426699514</v>
      </c>
      <c r="R711" s="46" t="n">
        <f aca="false">N711/(1-(1+N711)^-P711)</f>
        <v>0.12497198910512</v>
      </c>
      <c r="S711" s="46" t="n">
        <f aca="false">O711/(1-(1+O711)^-P711)</f>
        <v>0.0726489114900472</v>
      </c>
      <c r="T711" s="37" t="n">
        <f aca="false">0*Sector_Params!$I$11</f>
        <v>0</v>
      </c>
      <c r="U711" s="37" t="n">
        <f aca="false">p_c*Sector_Params!$J$11</f>
        <v>0.129</v>
      </c>
      <c r="V711" s="37" t="n">
        <f aca="false">1000*p_r_wb/(1-(1+p_r_wb)^-Sector_Params!$D$11)/p_cpt_afolu</f>
        <v>1.45297822980094</v>
      </c>
      <c r="W711" s="16" t="n">
        <f aca="false">T711*L711</f>
        <v>0</v>
      </c>
      <c r="X711" s="16" t="n">
        <f aca="false">U711*L711</f>
        <v>0.00217741382847104</v>
      </c>
      <c r="Y711" s="16" t="n">
        <f aca="false">V711*L711</f>
        <v>0.0245250766669453</v>
      </c>
      <c r="Z711" s="16" t="n">
        <f aca="false">Q711*L711</f>
        <v>0.00187923349054587</v>
      </c>
      <c r="AA711" s="16" t="n">
        <f aca="false">R711*L711</f>
        <v>0.00210942431975984</v>
      </c>
      <c r="AB711" s="16" t="n">
        <f aca="false">S711*L711</f>
        <v>0.00122625383334726</v>
      </c>
      <c r="AC711" s="16" t="n">
        <f aca="false">Z711-W711</f>
        <v>0.00187923349054587</v>
      </c>
      <c r="AD711" s="16" t="n">
        <f aca="false">AA711-W711</f>
        <v>0.00210942431975984</v>
      </c>
      <c r="AE711" s="16" t="n">
        <f aca="false">AB711-W711</f>
        <v>0.00122625383334726</v>
      </c>
      <c r="AF711" s="16" t="n">
        <f aca="false">AE711-X711</f>
        <v>-0.000951159995123772</v>
      </c>
      <c r="AG711" s="16" t="n">
        <f aca="false">AF711-p_spc_lo*Y711/1000</f>
        <v>-0.00217741382847104</v>
      </c>
      <c r="AH711" s="16" t="n">
        <f aca="false">AF711-p_spc_hi*Y711/1000</f>
        <v>-0.0034036676618183</v>
      </c>
      <c r="AI711" s="16" t="n">
        <f aca="false">Q711*J711</f>
        <v>0.00494535129091018</v>
      </c>
      <c r="AJ711" s="16" t="n">
        <f aca="false">S711*J711</f>
        <v>0.00322698377196649</v>
      </c>
      <c r="AK711" s="16" t="n">
        <f aca="false">T711*J711</f>
        <v>0</v>
      </c>
      <c r="AL711" s="16" t="n">
        <f aca="false">U711*J711</f>
        <v>0.00573003639071325</v>
      </c>
      <c r="AM711" s="16" t="n">
        <f aca="false">AI711-AJ711</f>
        <v>0.00171836751894369</v>
      </c>
      <c r="AN711" s="16" t="n">
        <f aca="false">J711*Country_Data!$EB$105</f>
        <v>0.0464100782247024</v>
      </c>
      <c r="AO711" s="16" t="n">
        <f aca="false">L711*Country_Data!$EB$105</f>
        <v>0.0176358297253869</v>
      </c>
    </row>
    <row r="712" customFormat="false" ht="15" hidden="false" customHeight="false" outlineLevel="0" collapsed="false">
      <c r="A712" s="14" t="str">
        <f aca="false">Country_Data!$A$106</f>
        <v>EST</v>
      </c>
      <c r="B712" s="14" t="str">
        <f aca="false">Country_Data!$E$106</f>
        <v>AE</v>
      </c>
      <c r="C712" s="35" t="s">
        <v>466</v>
      </c>
      <c r="D712" s="37" t="n">
        <f aca="false">IF(Country_Data!$BZ$106="","",Country_Data!$BZ$106)</f>
        <v>6.47990202923053</v>
      </c>
      <c r="E712" s="40" t="n">
        <f aca="false">Country_Data!$BW$106</f>
        <v>65.52</v>
      </c>
      <c r="F712" s="41" t="n">
        <f aca="false">Country_Data!$BX$106</f>
        <v>0.658073870573871</v>
      </c>
      <c r="G712" s="42" t="n">
        <f aca="false">IF(D712="","",D712/SUMIFS($D$5:$D$1369,$B$5:$B$1369,B712,$C$5:$C$1369,C712))</f>
        <v>0.000662200935862648</v>
      </c>
      <c r="H712" s="42" t="n">
        <f aca="false">E712/SUMIFS($E$5:$E$1369,$B$5:$B$1369,B712,$C$5:$C$1369,C712)</f>
        <v>0.000830577723978968</v>
      </c>
      <c r="I712" s="43" t="n">
        <f aca="false">IF(G712="",H712,p_beta_alloc*G712+(1-p_beta_alloc)*H712)*F712^p_phi</f>
        <v>0.000605484103849771</v>
      </c>
      <c r="J712" s="16" t="n">
        <f aca="false">INDEX(Sector_Params!$C$16:$E$16,MATCH(B712,Sector_Params!$C$15:$E$15,0))*I712/SUMIFS($I$5:$I$1369,$B$5:$B$1369,B712,$C$5:$C$1369,C712)</f>
        <v>0.543092188512351</v>
      </c>
      <c r="K712" s="28" t="n">
        <f aca="false">INDEX(Sector_Params!$F$5:$H$5,MATCH(B712,Sector_Params!$C$15:$E$15,0))</f>
        <v>0.38</v>
      </c>
      <c r="L712" s="16" t="n">
        <f aca="false">J712*K712</f>
        <v>0.206375031634693</v>
      </c>
      <c r="M712" s="44" t="n">
        <f aca="false">Country_Data!$DW$106+Sector_Params!$E$5</f>
        <v>0.07635</v>
      </c>
      <c r="N712" s="44" t="n">
        <f aca="false">Country_Data!$DX$106+Sector_Params!$E$5</f>
        <v>0.09135</v>
      </c>
      <c r="O712" s="11" t="n">
        <f aca="false">IF(p_use_ibrd=1,p_r_ibrd,p_r_wb)</f>
        <v>0.06</v>
      </c>
      <c r="P712" s="45" t="n">
        <f aca="false">Sector_Params!$D$5</f>
        <v>25</v>
      </c>
      <c r="Q712" s="46" t="n">
        <f aca="false">M712/(1-(1+M712)^-P712)</f>
        <v>0.090775495885693</v>
      </c>
      <c r="R712" s="46" t="n">
        <f aca="false">N712/(1-(1+N712)^-P712)</f>
        <v>0.102921954140624</v>
      </c>
      <c r="S712" s="46" t="n">
        <f aca="false">O712/(1-(1+O712)^-P712)</f>
        <v>0.078226718212274</v>
      </c>
      <c r="T712" s="37" t="n">
        <f aca="false">IF(AND(p_eng=1,ISNUMBER(Country_Data!$CZ$106)),Country_Data!$CZ$106,Country_Data!$CM$106)*Sector_Params!$I$5</f>
        <v>0.113519538710296</v>
      </c>
      <c r="U712" s="37" t="n">
        <f aca="false">IF(AND(p_eng=1,ISNUMBER(Country_Data!$DA$106)),Country_Data!$DA$106,Country_Data!$CN$106)*Sector_Params!$J$5</f>
        <v>0.0417538211198044</v>
      </c>
      <c r="V712" s="37" t="n">
        <f aca="false">IF(AND(p_eng=1,ISNUMBER(Country_Data!$DB$106)),Country_Data!$DB$106,p_a)</f>
        <v>0.731611236101786</v>
      </c>
      <c r="W712" s="16" t="n">
        <f aca="false">T712*L712</f>
        <v>0.0234275983924931</v>
      </c>
      <c r="X712" s="16" t="n">
        <f aca="false">U712*L712</f>
        <v>0.00861694615446895</v>
      </c>
      <c r="Y712" s="16" t="n">
        <f aca="false">V712*L712</f>
        <v>0.150986291994803</v>
      </c>
      <c r="Z712" s="16" t="n">
        <f aca="false">Q712*L712</f>
        <v>0.0187337958350649</v>
      </c>
      <c r="AA712" s="16" t="n">
        <f aca="false">R712*L712</f>
        <v>0.0212405215416758</v>
      </c>
      <c r="AB712" s="16" t="n">
        <f aca="false">S712*L712</f>
        <v>0.0161440414457363</v>
      </c>
      <c r="AC712" s="16" t="n">
        <f aca="false">Z712-W712</f>
        <v>-0.00469380255742827</v>
      </c>
      <c r="AD712" s="16" t="n">
        <f aca="false">AA712-W712</f>
        <v>-0.00218707685081737</v>
      </c>
      <c r="AE712" s="16" t="n">
        <f aca="false">AB712-W712</f>
        <v>-0.00728355694675686</v>
      </c>
      <c r="AF712" s="16" t="n">
        <f aca="false">AE712-X712</f>
        <v>-0.0159005031012258</v>
      </c>
      <c r="AG712" s="16" t="n">
        <f aca="false">AF712-p_spc_lo*Y712/1000</f>
        <v>-0.023449817700966</v>
      </c>
      <c r="AH712" s="16" t="n">
        <f aca="false">AF712-p_spc_hi*Y712/1000</f>
        <v>-0.0309991323007061</v>
      </c>
      <c r="AI712" s="16" t="n">
        <f aca="false">Q712*J712</f>
        <v>0.0492994627238549</v>
      </c>
      <c r="AJ712" s="16" t="n">
        <f aca="false">S712*J712</f>
        <v>0.0424843195940428</v>
      </c>
      <c r="AK712" s="16" t="n">
        <f aca="false">T712*J712</f>
        <v>0.0616515747170872</v>
      </c>
      <c r="AL712" s="16" t="n">
        <f aca="false">U712*J712</f>
        <v>0.0226761740907078</v>
      </c>
      <c r="AM712" s="16" t="n">
        <f aca="false">AI712-AJ712</f>
        <v>0.00681514312981208</v>
      </c>
      <c r="AN712" s="16" t="n">
        <f aca="false">J712*Country_Data!$EB$106</f>
        <v>0.56743770041118</v>
      </c>
      <c r="AO712" s="16" t="n">
        <f aca="false">L712*Country_Data!$EB$106</f>
        <v>0.215626326156248</v>
      </c>
    </row>
    <row r="713" customFormat="false" ht="15" hidden="false" customHeight="false" outlineLevel="0" collapsed="false">
      <c r="A713" s="14" t="str">
        <f aca="false">Country_Data!$A$106</f>
        <v>EST</v>
      </c>
      <c r="B713" s="14" t="str">
        <f aca="false">Country_Data!$E$106</f>
        <v>AE</v>
      </c>
      <c r="C713" s="35" t="s">
        <v>470</v>
      </c>
      <c r="D713" s="37" t="n">
        <f aca="false">IF(Country_Data!$BZ$106="","",Country_Data!$BZ$106)</f>
        <v>6.47990202923053</v>
      </c>
      <c r="E713" s="40" t="n">
        <f aca="false">Country_Data!$BW$106</f>
        <v>65.52</v>
      </c>
      <c r="F713" s="41" t="n">
        <f aca="false">Country_Data!$BX$106</f>
        <v>0.658073870573871</v>
      </c>
      <c r="G713" s="42" t="n">
        <f aca="false">IF(D713="","",D713/SUMIFS($D$5:$D$1369,$B$5:$B$1369,B713,$C$5:$C$1369,C713))</f>
        <v>0.000662200935862648</v>
      </c>
      <c r="H713" s="42" t="n">
        <f aca="false">E713/SUMIFS($E$5:$E$1369,$B$5:$B$1369,B713,$C$5:$C$1369,C713)</f>
        <v>0.000830577723978968</v>
      </c>
      <c r="I713" s="43" t="n">
        <f aca="false">IF(G713="",H713,p_beta_alloc*G713+(1-p_beta_alloc)*H713)*F713^p_phi</f>
        <v>0.000605484103849771</v>
      </c>
      <c r="J713" s="16" t="n">
        <f aca="false">INDEX(Sector_Params!$C$17:$E$17,MATCH(B713,Sector_Params!$C$15:$E$15,0))*I713/SUMIFS($I$5:$I$1369,$B$5:$B$1369,B713,$C$5:$C$1369,C713)</f>
        <v>0.372406072122755</v>
      </c>
      <c r="K713" s="28" t="n">
        <f aca="false">INDEX(Sector_Params!$F$6:$H$6,MATCH(B713,Sector_Params!$C$15:$E$15,0))</f>
        <v>0.38</v>
      </c>
      <c r="L713" s="16" t="n">
        <f aca="false">J713*K713</f>
        <v>0.141514307406647</v>
      </c>
      <c r="M713" s="44" t="n">
        <f aca="false">Country_Data!$DW$106+Sector_Params!$E$6</f>
        <v>0.07635</v>
      </c>
      <c r="N713" s="44" t="n">
        <f aca="false">Country_Data!$DX$106+Sector_Params!$E$6</f>
        <v>0.09135</v>
      </c>
      <c r="O713" s="11" t="n">
        <f aca="false">IF(p_use_ibrd=1,p_r_ibrd,p_r_wb)</f>
        <v>0.06</v>
      </c>
      <c r="P713" s="45" t="n">
        <f aca="false">Sector_Params!$D$6</f>
        <v>40</v>
      </c>
      <c r="Q713" s="46" t="n">
        <f aca="false">M713/(1-(1+M713)^-P713)</f>
        <v>0.0805979912332645</v>
      </c>
      <c r="R713" s="46" t="n">
        <f aca="false">N713/(1-(1+N713)^-P713)</f>
        <v>0.0942043609862121</v>
      </c>
      <c r="S713" s="46" t="n">
        <f aca="false">O713/(1-(1+O713)^-P713)</f>
        <v>0.0664615359206755</v>
      </c>
      <c r="T713" s="37" t="n">
        <f aca="false">p_grid_credit*IF(AND(p_eng=1,ISNUMBER(Country_Data!$CZ$106)),Country_Data!$CZ$106,Country_Data!$CM$106)*Sector_Params!$I$6</f>
        <v>0</v>
      </c>
      <c r="U713" s="37" t="n">
        <f aca="false">p_grid_credit*IF(AND(p_eng=1,ISNUMBER(Country_Data!$DA$106)),Country_Data!$DA$106,Country_Data!$CN$106)*Sector_Params!$J$6</f>
        <v>0</v>
      </c>
      <c r="V713" s="37" t="n">
        <f aca="false">p_grid_credit*IF(AND(p_eng=1,ISNUMBER(Country_Data!$DB$106)),Country_Data!$DB$106,p_a)</f>
        <v>0</v>
      </c>
      <c r="W713" s="16" t="n">
        <f aca="false">T713*L713</f>
        <v>0</v>
      </c>
      <c r="X713" s="16" t="n">
        <f aca="false">U713*L713</f>
        <v>0</v>
      </c>
      <c r="Y713" s="16" t="n">
        <f aca="false">V713*L713</f>
        <v>0</v>
      </c>
      <c r="Z713" s="16" t="n">
        <f aca="false">Q713*L713</f>
        <v>0.0114057689077424</v>
      </c>
      <c r="AA713" s="16" t="n">
        <f aca="false">R713*L713</f>
        <v>0.0133312648996496</v>
      </c>
      <c r="AB713" s="16" t="n">
        <f aca="false">S713*L713</f>
        <v>0.00940525822499637</v>
      </c>
      <c r="AC713" s="16" t="n">
        <f aca="false">Z713-W713</f>
        <v>0.0114057689077424</v>
      </c>
      <c r="AD713" s="16" t="n">
        <f aca="false">AA713-W713</f>
        <v>0.0133312648996496</v>
      </c>
      <c r="AE713" s="16" t="n">
        <f aca="false">AB713-W713</f>
        <v>0.00940525822499637</v>
      </c>
      <c r="AF713" s="16" t="n">
        <f aca="false">AE713-X713</f>
        <v>0.00940525822499637</v>
      </c>
      <c r="AG713" s="16" t="n">
        <f aca="false">AF713-p_spc_lo*Y713/1000</f>
        <v>0.00940525822499637</v>
      </c>
      <c r="AH713" s="16" t="n">
        <f aca="false">AF713-p_spc_hi*Y713/1000</f>
        <v>0.00940525822499637</v>
      </c>
      <c r="AI713" s="16" t="n">
        <f aca="false">Q713*J713</f>
        <v>0.0300151813361643</v>
      </c>
      <c r="AJ713" s="16" t="n">
        <f aca="false">S713*J713</f>
        <v>0.0247506795394641</v>
      </c>
      <c r="AK713" s="16" t="n">
        <f aca="false">T713*J713</f>
        <v>0</v>
      </c>
      <c r="AL713" s="16" t="n">
        <f aca="false">U713*J713</f>
        <v>0</v>
      </c>
      <c r="AM713" s="16" t="n">
        <f aca="false">AI713-AJ713</f>
        <v>0.00526450179670013</v>
      </c>
      <c r="AN713" s="16" t="n">
        <f aca="false">J713*Country_Data!$EB$106</f>
        <v>0.389100137424809</v>
      </c>
      <c r="AO713" s="16" t="n">
        <f aca="false">L713*Country_Data!$EB$106</f>
        <v>0.147858052221428</v>
      </c>
    </row>
    <row r="714" customFormat="false" ht="15" hidden="false" customHeight="false" outlineLevel="0" collapsed="false">
      <c r="A714" s="14" t="str">
        <f aca="false">Country_Data!$A$106</f>
        <v>EST</v>
      </c>
      <c r="B714" s="14" t="str">
        <f aca="false">Country_Data!$E$106</f>
        <v>AE</v>
      </c>
      <c r="C714" s="35" t="s">
        <v>473</v>
      </c>
      <c r="D714" s="37" t="n">
        <f aca="false">IF(Country_Data!$CA$106="","",Country_Data!$CA$106)</f>
        <v>0.0377373938112716</v>
      </c>
      <c r="E714" s="40" t="n">
        <f aca="false">Country_Data!$BW$106</f>
        <v>65.52</v>
      </c>
      <c r="F714" s="41" t="n">
        <f aca="false">Country_Data!$BX$106</f>
        <v>0.658073870573871</v>
      </c>
      <c r="G714" s="42" t="n">
        <f aca="false">IF(D714="","",D714/SUMIFS($D$5:$D$1369,$B$5:$B$1369,B714,$C$5:$C$1369,C714))</f>
        <v>0.000738746087159799</v>
      </c>
      <c r="H714" s="42" t="n">
        <f aca="false">E714/SUMIFS($E$5:$E$1369,$B$5:$B$1369,B714,$C$5:$C$1369,C714)</f>
        <v>0.000830577723978968</v>
      </c>
      <c r="I714" s="43" t="n">
        <f aca="false">IF(G714="",H714,p_beta_alloc*G714+(1-p_beta_alloc)*H714)*F714^p_phi</f>
        <v>0.000636531487888687</v>
      </c>
      <c r="J714" s="16" t="n">
        <f aca="false">INDEX(Sector_Params!$C$18:$E$18,MATCH(B714,Sector_Params!$C$15:$E$15,0))*I714/SUMIFS($I$5:$I$1369,$B$5:$B$1369,B714,$C$5:$C$1369,C714)</f>
        <v>0.239878903153035</v>
      </c>
      <c r="K714" s="28" t="n">
        <f aca="false">INDEX(Sector_Params!$F$7:$H$7,MATCH(B714,Sector_Params!$C$15:$E$15,0))</f>
        <v>0.38</v>
      </c>
      <c r="L714" s="16" t="n">
        <f aca="false">J714*K714</f>
        <v>0.0911539831981533</v>
      </c>
      <c r="M714" s="44" t="n">
        <f aca="false">Country_Data!$DW$106+Sector_Params!$E$7</f>
        <v>0.07635</v>
      </c>
      <c r="N714" s="44" t="n">
        <f aca="false">Country_Data!$DX$106+Sector_Params!$E$7</f>
        <v>0.09135</v>
      </c>
      <c r="O714" s="11" t="n">
        <f aca="false">IF(p_use_ibrd=1,p_r_ibrd,p_r_wb)</f>
        <v>0.06</v>
      </c>
      <c r="P714" s="45" t="n">
        <f aca="false">Sector_Params!$D$7</f>
        <v>12</v>
      </c>
      <c r="Q714" s="46" t="n">
        <f aca="false">M714/(1-(1+M714)^-P714)</f>
        <v>0.130196425592886</v>
      </c>
      <c r="R714" s="46" t="n">
        <f aca="false">N714/(1-(1+N714)^-P714)</f>
        <v>0.140601824437</v>
      </c>
      <c r="S714" s="46" t="n">
        <f aca="false">O714/(1-(1+O714)^-P714)</f>
        <v>0.119277029380664</v>
      </c>
      <c r="T714" s="37" t="n">
        <f aca="false">IF(AND(p_eng=1,ISNUMBER(Country_Data!$DE$106)),Country_Data!$DE$106,Country_Data!$CM$106)*Sector_Params!$I$7</f>
        <v>0.11640609</v>
      </c>
      <c r="U714" s="37" t="n">
        <f aca="false">IF(AND(p_eng=1,ISNUMBER(Country_Data!$DF$106)),Country_Data!$DF$106,Country_Data!$CN$106)*Sector_Params!$J$7</f>
        <v>0.001467</v>
      </c>
      <c r="V714" s="37" t="n">
        <f aca="false">IF(AND(p_eng=1,ISNUMBER(Country_Data!$DG$106)),Country_Data!$DG$106,p_a)</f>
        <v>0.361590084814217</v>
      </c>
      <c r="W714" s="16" t="n">
        <f aca="false">T714*L714</f>
        <v>0.0106108787720227</v>
      </c>
      <c r="X714" s="16" t="n">
        <f aca="false">U714*L714</f>
        <v>0.000133722893351691</v>
      </c>
      <c r="Y714" s="16" t="n">
        <f aca="false">V714*L714</f>
        <v>0.0329603765157739</v>
      </c>
      <c r="Z714" s="16" t="n">
        <f aca="false">Q714*L714</f>
        <v>0.0118679227909535</v>
      </c>
      <c r="AA714" s="16" t="n">
        <f aca="false">R714*L714</f>
        <v>0.01281641634236</v>
      </c>
      <c r="AB714" s="16" t="n">
        <f aca="false">S714*L714</f>
        <v>0.0108725763320906</v>
      </c>
      <c r="AC714" s="16" t="n">
        <f aca="false">Z714-W714</f>
        <v>0.00125704401893082</v>
      </c>
      <c r="AD714" s="16" t="n">
        <f aca="false">AA714-W714</f>
        <v>0.00220553757033728</v>
      </c>
      <c r="AE714" s="16" t="n">
        <f aca="false">AB714-W714</f>
        <v>0.000261697560067923</v>
      </c>
      <c r="AF714" s="16" t="n">
        <f aca="false">AE714-X714</f>
        <v>0.000127974666716232</v>
      </c>
      <c r="AG714" s="16" t="n">
        <f aca="false">AF714-p_spc_lo*Y714/1000</f>
        <v>-0.00152004415907247</v>
      </c>
      <c r="AH714" s="16" t="n">
        <f aca="false">AF714-p_spc_hi*Y714/1000</f>
        <v>-0.00316806298486116</v>
      </c>
      <c r="AI714" s="16" t="n">
        <f aca="false">Q714*J714</f>
        <v>0.0312313757656672</v>
      </c>
      <c r="AJ714" s="16" t="n">
        <f aca="false">S714*J714</f>
        <v>0.0286120429791859</v>
      </c>
      <c r="AK714" s="16" t="n">
        <f aca="false">T714*J714</f>
        <v>0.0279233651895335</v>
      </c>
      <c r="AL714" s="16" t="n">
        <f aca="false">U714*J714</f>
        <v>0.000351902350925503</v>
      </c>
      <c r="AM714" s="16" t="n">
        <f aca="false">AI714-AJ714</f>
        <v>0.00261933278648131</v>
      </c>
      <c r="AN714" s="16" t="n">
        <f aca="false">J714*Country_Data!$EB$106</f>
        <v>0.250632095363344</v>
      </c>
      <c r="AO714" s="16" t="n">
        <f aca="false">L714*Country_Data!$EB$106</f>
        <v>0.0952401962380706</v>
      </c>
    </row>
    <row r="715" customFormat="false" ht="15" hidden="false" customHeight="false" outlineLevel="0" collapsed="false">
      <c r="A715" s="14" t="str">
        <f aca="false">Country_Data!$A$106</f>
        <v>EST</v>
      </c>
      <c r="B715" s="14" t="str">
        <f aca="false">Country_Data!$E$106</f>
        <v>AE</v>
      </c>
      <c r="C715" s="35" t="s">
        <v>477</v>
      </c>
      <c r="D715" s="37" t="n">
        <f aca="false">IF(Country_Data!$CB$106="","",Country_Data!$CB$106)</f>
        <v>0.0171638221679087</v>
      </c>
      <c r="E715" s="40" t="n">
        <f aca="false">Country_Data!$BW$106</f>
        <v>65.52</v>
      </c>
      <c r="F715" s="41" t="n">
        <f aca="false">Country_Data!$BX$106</f>
        <v>0.658073870573871</v>
      </c>
      <c r="G715" s="42" t="n">
        <f aca="false">IF(D715="","",D715/SUMIFS($D$5:$D$1369,$B$5:$B$1369,B715,$C$5:$C$1369,C715))</f>
        <v>0.000441369525360864</v>
      </c>
      <c r="H715" s="42" t="n">
        <f aca="false">E715/SUMIFS($E$5:$E$1369,$B$5:$B$1369,B715,$C$5:$C$1369,C715)</f>
        <v>0.000830577723978968</v>
      </c>
      <c r="I715" s="43" t="n">
        <f aca="false">IF(G715="",H715,p_beta_alloc*G715+(1-p_beta_alloc)*H715)*F715^p_phi</f>
        <v>0.000515912948871082</v>
      </c>
      <c r="J715" s="16" t="n">
        <f aca="false">INDEX(Sector_Params!$C$19:$E$19,MATCH(B715,Sector_Params!$C$15:$E$15,0))*I715/SUMIFS($I$5:$I$1369,$B$5:$B$1369,B715,$C$5:$C$1369,C715)</f>
        <v>0.15165618014777</v>
      </c>
      <c r="K715" s="28" t="n">
        <f aca="false">INDEX(Sector_Params!$F$8:$H$8,MATCH(B715,Sector_Params!$C$15:$E$15,0))</f>
        <v>0.38</v>
      </c>
      <c r="L715" s="16" t="n">
        <f aca="false">J715*K715</f>
        <v>0.0576293484561525</v>
      </c>
      <c r="M715" s="44" t="n">
        <f aca="false">Country_Data!$DW$106+Sector_Params!$E$8</f>
        <v>0.07635</v>
      </c>
      <c r="N715" s="44" t="n">
        <f aca="false">Country_Data!$DX$106+Sector_Params!$E$8</f>
        <v>0.09135</v>
      </c>
      <c r="O715" s="11" t="n">
        <f aca="false">IF(p_use_ibrd=1,p_r_ibrd,p_r_wb)</f>
        <v>0.06</v>
      </c>
      <c r="P715" s="45" t="n">
        <f aca="false">Sector_Params!$D$8</f>
        <v>25</v>
      </c>
      <c r="Q715" s="46" t="n">
        <f aca="false">M715/(1-(1+M715)^-P715)</f>
        <v>0.090775495885693</v>
      </c>
      <c r="R715" s="46" t="n">
        <f aca="false">N715/(1-(1+N715)^-P715)</f>
        <v>0.102921954140624</v>
      </c>
      <c r="S715" s="46" t="n">
        <f aca="false">O715/(1-(1+O715)^-P715)</f>
        <v>0.078226718212274</v>
      </c>
      <c r="T715" s="37" t="n">
        <f aca="false">Country_Data!$CM$106*Sector_Params!$I$8</f>
        <v>0.123203006182358</v>
      </c>
      <c r="U715" s="37" t="n">
        <f aca="false">Country_Data!$CN$106*Sector_Params!$J$8</f>
        <v>0.03225</v>
      </c>
      <c r="V715" s="37" t="n">
        <f aca="false">p_a</f>
        <v>0.35</v>
      </c>
      <c r="W715" s="16" t="n">
        <f aca="false">T715*L715</f>
        <v>0.0071001089741286</v>
      </c>
      <c r="X715" s="16" t="n">
        <f aca="false">U715*L715</f>
        <v>0.00185854648771092</v>
      </c>
      <c r="Y715" s="16" t="n">
        <f aca="false">V715*L715</f>
        <v>0.0201702719596534</v>
      </c>
      <c r="Z715" s="16" t="n">
        <f aca="false">Q715*L715</f>
        <v>0.00523133268367664</v>
      </c>
      <c r="AA715" s="16" t="n">
        <f aca="false">R715*L715</f>
        <v>0.00593132515895817</v>
      </c>
      <c r="AB715" s="16" t="n">
        <f aca="false">S715*L715</f>
        <v>0.00450815480243638</v>
      </c>
      <c r="AC715" s="16" t="n">
        <f aca="false">Z715-W715</f>
        <v>-0.00186877629045196</v>
      </c>
      <c r="AD715" s="16" t="n">
        <f aca="false">AA715-W715</f>
        <v>-0.00116878381517043</v>
      </c>
      <c r="AE715" s="16" t="n">
        <f aca="false">AB715-W715</f>
        <v>-0.00259195417169222</v>
      </c>
      <c r="AF715" s="16" t="n">
        <f aca="false">AE715-X715</f>
        <v>-0.00445050065940313</v>
      </c>
      <c r="AG715" s="16" t="n">
        <f aca="false">AF715-p_spc_lo*Y715/1000</f>
        <v>-0.0054590142573858</v>
      </c>
      <c r="AH715" s="16" t="n">
        <f aca="false">AF715-p_spc_hi*Y715/1000</f>
        <v>-0.00646752785536847</v>
      </c>
      <c r="AI715" s="16" t="n">
        <f aca="false">Q715*J715</f>
        <v>0.0137666649570438</v>
      </c>
      <c r="AJ715" s="16" t="n">
        <f aca="false">S715*J715</f>
        <v>0.0118635652695694</v>
      </c>
      <c r="AK715" s="16" t="n">
        <f aca="false">T715*J715</f>
        <v>0.0186844973003384</v>
      </c>
      <c r="AL715" s="16" t="n">
        <f aca="false">U715*J715</f>
        <v>0.00489091180976557</v>
      </c>
      <c r="AM715" s="16" t="n">
        <f aca="false">AI715-AJ715</f>
        <v>0.00190309968747435</v>
      </c>
      <c r="AN715" s="16" t="n">
        <f aca="false">J715*Country_Data!$EB$106</f>
        <v>0.158454560637152</v>
      </c>
      <c r="AO715" s="16" t="n">
        <f aca="false">L715*Country_Data!$EB$106</f>
        <v>0.0602127330421179</v>
      </c>
    </row>
    <row r="716" customFormat="false" ht="15" hidden="false" customHeight="false" outlineLevel="0" collapsed="false">
      <c r="A716" s="14" t="str">
        <f aca="false">Country_Data!$A$106</f>
        <v>EST</v>
      </c>
      <c r="B716" s="14" t="str">
        <f aca="false">Country_Data!$E$106</f>
        <v>AE</v>
      </c>
      <c r="C716" s="35" t="s">
        <v>481</v>
      </c>
      <c r="D716" s="37" t="n">
        <f aca="false">IF(Country_Data!$CC$106="","",Country_Data!$CC$106)</f>
        <v>0.0292325119807452</v>
      </c>
      <c r="E716" s="40" t="n">
        <f aca="false">Country_Data!$BW$106</f>
        <v>65.52</v>
      </c>
      <c r="F716" s="41" t="n">
        <f aca="false">Country_Data!$BX$106</f>
        <v>0.658073870573871</v>
      </c>
      <c r="G716" s="42" t="n">
        <f aca="false">IF(D716="","",D716/SUMIFS($D$5:$D$1369,$B$5:$B$1369,B716,$C$5:$C$1369,C716))</f>
        <v>0.000532261573695183</v>
      </c>
      <c r="H716" s="42" t="n">
        <f aca="false">E716/SUMIFS($E$5:$E$1369,$B$5:$B$1369,B716,$C$5:$C$1369,C716)</f>
        <v>0.000830577723978968</v>
      </c>
      <c r="I716" s="43" t="n">
        <f aca="false">IF(G716="",H716,p_beta_alloc*G716+(1-p_beta_alloc)*H716)*F716^p_phi</f>
        <v>0.000552779560052819</v>
      </c>
      <c r="J716" s="16" t="n">
        <f aca="false">INDEX(Sector_Params!$C$20:$E$20,MATCH(B716,Sector_Params!$C$15:$E$15,0))*I716/SUMIFS($I$5:$I$1369,$B$5:$B$1369,B716,$C$5:$C$1369,C716)</f>
        <v>0.093871560993685</v>
      </c>
      <c r="K716" s="28" t="n">
        <f aca="false">INDEX(Sector_Params!$F$9:$H$9,MATCH(B716,Sector_Params!$C$15:$E$15,0))</f>
        <v>0.38</v>
      </c>
      <c r="L716" s="16" t="n">
        <f aca="false">J716*K716</f>
        <v>0.0356711931776003</v>
      </c>
      <c r="M716" s="44" t="n">
        <f aca="false">Country_Data!$DW$106+Sector_Params!$E$9</f>
        <v>0.07635</v>
      </c>
      <c r="N716" s="44" t="n">
        <f aca="false">Country_Data!$DX$106+Sector_Params!$E$9</f>
        <v>0.09135</v>
      </c>
      <c r="O716" s="11" t="n">
        <f aca="false">IF(p_use_ibrd=1,p_r_ibrd,p_r_wb)</f>
        <v>0.06</v>
      </c>
      <c r="P716" s="45" t="n">
        <f aca="false">Sector_Params!$D$9</f>
        <v>25</v>
      </c>
      <c r="Q716" s="46" t="n">
        <f aca="false">M716/(1-(1+M716)^-P716)</f>
        <v>0.090775495885693</v>
      </c>
      <c r="R716" s="46" t="n">
        <f aca="false">N716/(1-(1+N716)^-P716)</f>
        <v>0.102921954140624</v>
      </c>
      <c r="S716" s="46" t="n">
        <f aca="false">O716/(1-(1+O716)^-P716)</f>
        <v>0.078226718212274</v>
      </c>
      <c r="T716" s="37" t="n">
        <f aca="false">Country_Data!$CM$106*Sector_Params!$I$9</f>
        <v>0.123203006182358</v>
      </c>
      <c r="U716" s="37" t="n">
        <f aca="false">Country_Data!$CN$106*Sector_Params!$J$9</f>
        <v>0.03225</v>
      </c>
      <c r="V716" s="37" t="n">
        <f aca="false">p_a</f>
        <v>0.35</v>
      </c>
      <c r="W716" s="16" t="n">
        <f aca="false">T716*L716</f>
        <v>0.00439479823359197</v>
      </c>
      <c r="X716" s="16" t="n">
        <f aca="false">U716*L716</f>
        <v>0.00115039597997761</v>
      </c>
      <c r="Y716" s="16" t="n">
        <f aca="false">V716*L716</f>
        <v>0.0124849176121601</v>
      </c>
      <c r="Z716" s="16" t="n">
        <f aca="false">Q716*L716</f>
        <v>0.00323807024953102</v>
      </c>
      <c r="AA716" s="16" t="n">
        <f aca="false">R716*L716</f>
        <v>0.00367134890836632</v>
      </c>
      <c r="AB716" s="16" t="n">
        <f aca="false">S716*L716</f>
        <v>0.00279044037699973</v>
      </c>
      <c r="AC716" s="16" t="n">
        <f aca="false">Z716-W716</f>
        <v>-0.00115672798406095</v>
      </c>
      <c r="AD716" s="16" t="n">
        <f aca="false">AA716-W716</f>
        <v>-0.000723449325225644</v>
      </c>
      <c r="AE716" s="16" t="n">
        <f aca="false">AB716-W716</f>
        <v>-0.00160435785659224</v>
      </c>
      <c r="AF716" s="16" t="n">
        <f aca="false">AE716-X716</f>
        <v>-0.00275475383656985</v>
      </c>
      <c r="AG716" s="16" t="n">
        <f aca="false">AF716-p_spc_lo*Y716/1000</f>
        <v>-0.00337899971717785</v>
      </c>
      <c r="AH716" s="16" t="n">
        <f aca="false">AF716-p_spc_hi*Y716/1000</f>
        <v>-0.00400324559778586</v>
      </c>
      <c r="AI716" s="16" t="n">
        <f aca="false">Q716*J716</f>
        <v>0.00852123749876583</v>
      </c>
      <c r="AJ716" s="16" t="n">
        <f aca="false">S716*J716</f>
        <v>0.00734326414999928</v>
      </c>
      <c r="AK716" s="16" t="n">
        <f aca="false">T716*J716</f>
        <v>0.0115652585094525</v>
      </c>
      <c r="AL716" s="16" t="n">
        <f aca="false">U716*J716</f>
        <v>0.00302735784204634</v>
      </c>
      <c r="AM716" s="16" t="n">
        <f aca="false">AI716-AJ716</f>
        <v>0.00117797334876655</v>
      </c>
      <c r="AN716" s="16" t="n">
        <f aca="false">J716*Country_Data!$EB$106</f>
        <v>0.0980795964865054</v>
      </c>
      <c r="AO716" s="16" t="n">
        <f aca="false">L716*Country_Data!$EB$106</f>
        <v>0.037270246664872</v>
      </c>
    </row>
    <row r="717" customFormat="false" ht="15" hidden="false" customHeight="false" outlineLevel="0" collapsed="false">
      <c r="A717" s="14" t="str">
        <f aca="false">Country_Data!$A$106</f>
        <v>EST</v>
      </c>
      <c r="B717" s="14" t="str">
        <f aca="false">Country_Data!$E$106</f>
        <v>AE</v>
      </c>
      <c r="C717" s="35" t="s">
        <v>484</v>
      </c>
      <c r="D717" s="37" t="n">
        <f aca="false">IF(Country_Data!$CD$106="","",Country_Data!$CD$106)</f>
        <v>0.094539013102398</v>
      </c>
      <c r="E717" s="40" t="n">
        <f aca="false">Country_Data!$BW$106</f>
        <v>65.52</v>
      </c>
      <c r="F717" s="41" t="n">
        <f aca="false">Country_Data!$BX$106</f>
        <v>0.658073870573871</v>
      </c>
      <c r="G717" s="42" t="n">
        <f aca="false">IF(D717="","",D717/SUMIFS($D$5:$D$1369,$B$5:$B$1369,B717,$C$5:$C$1369,C717))</f>
        <v>0.000639640810288738</v>
      </c>
      <c r="H717" s="42" t="n">
        <f aca="false">E717/SUMIFS($E$5:$E$1369,$B$5:$B$1369,B717,$C$5:$C$1369,C717)</f>
        <v>0.000830577723978968</v>
      </c>
      <c r="I717" s="43" t="n">
        <f aca="false">IF(G717="",H717,p_beta_alloc*G717+(1-p_beta_alloc)*H717)*F717^p_phi</f>
        <v>0.000596333519249837</v>
      </c>
      <c r="J717" s="16" t="n">
        <f aca="false">INDEX(Sector_Params!$C$21:$E$21,MATCH(B717,Sector_Params!$C$15:$E$15,0))*I717/SUMIFS($I$5:$I$1369,$B$5:$B$1369,B717,$C$5:$C$1369,C717)</f>
        <v>0.121502796956852</v>
      </c>
      <c r="K717" s="28" t="n">
        <f aca="false">INDEX(Sector_Params!$F$10:$H$10,MATCH(B717,Sector_Params!$C$15:$E$15,0))</f>
        <v>0.38</v>
      </c>
      <c r="L717" s="16" t="n">
        <f aca="false">J717*K717</f>
        <v>0.0461710628436037</v>
      </c>
      <c r="M717" s="44" t="n">
        <f aca="false">Country_Data!$DW$106+Sector_Params!$E$10</f>
        <v>0.07635</v>
      </c>
      <c r="N717" s="44" t="n">
        <f aca="false">Country_Data!$DX$106+Sector_Params!$E$10</f>
        <v>0.09135</v>
      </c>
      <c r="O717" s="11" t="n">
        <f aca="false">IF(p_use_ibrd=1,p_r_ibrd,p_r_wb)</f>
        <v>0.06</v>
      </c>
      <c r="P717" s="45" t="n">
        <f aca="false">Sector_Params!$D$10</f>
        <v>20</v>
      </c>
      <c r="Q717" s="46" t="n">
        <f aca="false">M717/(1-(1+M717)^-P717)</f>
        <v>0.099101492528361</v>
      </c>
      <c r="R717" s="46" t="n">
        <f aca="false">N717/(1-(1+N717)^-P717)</f>
        <v>0.110602325882201</v>
      </c>
      <c r="S717" s="46" t="n">
        <f aca="false">O717/(1-(1+O717)^-P717)</f>
        <v>0.0871845569768514</v>
      </c>
      <c r="T717" s="37" t="n">
        <f aca="false">0*Sector_Params!$I$10</f>
        <v>0</v>
      </c>
      <c r="U717" s="37" t="n">
        <f aca="false">0*Sector_Params!$J$10</f>
        <v>0</v>
      </c>
      <c r="V717" s="37" t="n">
        <f aca="false">1000*p_r_wb/(1-(1+p_r_wb)^-Sector_Params!$D$10)/p_cpt_fuel</f>
        <v>0.871845569768514</v>
      </c>
      <c r="W717" s="16" t="n">
        <f aca="false">T717*L717</f>
        <v>0</v>
      </c>
      <c r="X717" s="16" t="n">
        <f aca="false">U717*L717</f>
        <v>0</v>
      </c>
      <c r="Y717" s="16" t="n">
        <f aca="false">V717*L717</f>
        <v>0.0402540365916995</v>
      </c>
      <c r="Z717" s="16" t="n">
        <f aca="false">Q717*L717</f>
        <v>0.00457562123942188</v>
      </c>
      <c r="AA717" s="16" t="n">
        <f aca="false">R717*L717</f>
        <v>0.00510662693895584</v>
      </c>
      <c r="AB717" s="16" t="n">
        <f aca="false">S717*L717</f>
        <v>0.00402540365916995</v>
      </c>
      <c r="AC717" s="16" t="n">
        <f aca="false">Z717-W717</f>
        <v>0.00457562123942188</v>
      </c>
      <c r="AD717" s="16" t="n">
        <f aca="false">AA717-W717</f>
        <v>0.00510662693895584</v>
      </c>
      <c r="AE717" s="16" t="n">
        <f aca="false">AB717-W717</f>
        <v>0.00402540365916995</v>
      </c>
      <c r="AF717" s="16" t="n">
        <f aca="false">AE717-X717</f>
        <v>0.00402540365916995</v>
      </c>
      <c r="AG717" s="16" t="n">
        <f aca="false">AF717-p_spc_lo*Y717/1000</f>
        <v>0.00201270182958498</v>
      </c>
      <c r="AH717" s="16" t="n">
        <f aca="false">AF717-p_spc_hi*Y717/1000</f>
        <v>0</v>
      </c>
      <c r="AI717" s="16" t="n">
        <f aca="false">Q717*J717</f>
        <v>0.0120411085247944</v>
      </c>
      <c r="AJ717" s="16" t="n">
        <f aca="false">S717*J717</f>
        <v>0.0105931675241314</v>
      </c>
      <c r="AK717" s="16" t="n">
        <f aca="false">T717*J717</f>
        <v>0</v>
      </c>
      <c r="AL717" s="16" t="n">
        <f aca="false">U717*J717</f>
        <v>0</v>
      </c>
      <c r="AM717" s="16" t="n">
        <f aca="false">AI717-AJ717</f>
        <v>0.00144794100066296</v>
      </c>
      <c r="AN717" s="16" t="n">
        <f aca="false">J717*Country_Data!$EB$106</f>
        <v>0.126949474061814</v>
      </c>
      <c r="AO717" s="16" t="n">
        <f aca="false">L717*Country_Data!$EB$106</f>
        <v>0.0482408001434894</v>
      </c>
    </row>
    <row r="718" customFormat="false" ht="15" hidden="false" customHeight="false" outlineLevel="0" collapsed="false">
      <c r="A718" s="14" t="str">
        <f aca="false">Country_Data!$A$106</f>
        <v>EST</v>
      </c>
      <c r="B718" s="14" t="str">
        <f aca="false">Country_Data!$E$106</f>
        <v>AE</v>
      </c>
      <c r="C718" s="35" t="s">
        <v>488</v>
      </c>
      <c r="D718" s="37" t="n">
        <f aca="false">IF(Country_Data!$CE$106="","",Country_Data!$CE$106)</f>
        <v>4.731</v>
      </c>
      <c r="E718" s="40" t="n">
        <f aca="false">Country_Data!$BW$106</f>
        <v>65.52</v>
      </c>
      <c r="F718" s="41" t="n">
        <f aca="false">Country_Data!$BX$106</f>
        <v>0.658073870573871</v>
      </c>
      <c r="G718" s="42" t="n">
        <f aca="false">IF(D718="","",D718/SUMIFS($D$5:$D$1369,$B$5:$B$1369,B718,$C$5:$C$1369,C718))</f>
        <v>0.00180553636757072</v>
      </c>
      <c r="H718" s="42" t="n">
        <f aca="false">E718/SUMIFS($E$5:$E$1369,$B$5:$B$1369,B718,$C$5:$C$1369,C718)</f>
        <v>0.000830577723978968</v>
      </c>
      <c r="I718" s="43" t="n">
        <f aca="false">IF(G718="",H718,p_beta_alloc*G718+(1-p_beta_alloc)*H718)*F718^p_phi</f>
        <v>0.00106923097261925</v>
      </c>
      <c r="J718" s="16" t="n">
        <f aca="false">INDEX(Sector_Params!$C$22:$E$22,MATCH(B718,Sector_Params!$C$15:$E$15,0))*I718/SUMIFS($I$5:$I$1369,$B$5:$B$1369,B718,$C$5:$C$1369,C718)</f>
        <v>0.0414301582809793</v>
      </c>
      <c r="K718" s="28" t="n">
        <f aca="false">INDEX(Sector_Params!$F$11:$H$11,MATCH(B718,Sector_Params!$C$15:$E$15,0))</f>
        <v>0.38</v>
      </c>
      <c r="L718" s="16" t="n">
        <f aca="false">J718*K718</f>
        <v>0.0157434601467721</v>
      </c>
      <c r="M718" s="44" t="n">
        <f aca="false">Country_Data!$DW$106+Sector_Params!$E$11</f>
        <v>0.07635</v>
      </c>
      <c r="N718" s="44" t="n">
        <f aca="false">Country_Data!$DX$106+Sector_Params!$E$11</f>
        <v>0.09135</v>
      </c>
      <c r="O718" s="11" t="n">
        <f aca="false">IF(p_use_ibrd=1,p_r_ibrd,p_r_wb)</f>
        <v>0.06</v>
      </c>
      <c r="P718" s="45" t="n">
        <f aca="false">Sector_Params!$D$11</f>
        <v>30</v>
      </c>
      <c r="Q718" s="46" t="n">
        <f aca="false">M718/(1-(1+M718)^-P718)</f>
        <v>0.0857865622706329</v>
      </c>
      <c r="R718" s="46" t="n">
        <f aca="false">N718/(1-(1+N718)^-P718)</f>
        <v>0.0985037042076348</v>
      </c>
      <c r="S718" s="46" t="n">
        <f aca="false">O718/(1-(1+O718)^-P718)</f>
        <v>0.0726489114900472</v>
      </c>
      <c r="T718" s="37" t="n">
        <f aca="false">0*Sector_Params!$I$11</f>
        <v>0</v>
      </c>
      <c r="U718" s="37" t="n">
        <f aca="false">p_c*Sector_Params!$J$11</f>
        <v>0.129</v>
      </c>
      <c r="V718" s="37" t="n">
        <f aca="false">1000*p_r_wb/(1-(1+p_r_wb)^-Sector_Params!$D$11)/p_cpt_afolu</f>
        <v>1.45297822980094</v>
      </c>
      <c r="W718" s="16" t="n">
        <f aca="false">T718*L718</f>
        <v>0</v>
      </c>
      <c r="X718" s="16" t="n">
        <f aca="false">U718*L718</f>
        <v>0.00203090635893361</v>
      </c>
      <c r="Y718" s="16" t="n">
        <f aca="false">V718*L718</f>
        <v>0.0228749048549987</v>
      </c>
      <c r="Z718" s="16" t="n">
        <f aca="false">Q718*L718</f>
        <v>0.00135057732423629</v>
      </c>
      <c r="AA718" s="16" t="n">
        <f aca="false">R718*L718</f>
        <v>0.00155078914150233</v>
      </c>
      <c r="AB718" s="16" t="n">
        <f aca="false">S718*L718</f>
        <v>0.00114374524274993</v>
      </c>
      <c r="AC718" s="16" t="n">
        <f aca="false">Z718-W718</f>
        <v>0.00135057732423629</v>
      </c>
      <c r="AD718" s="16" t="n">
        <f aca="false">AA718-W718</f>
        <v>0.00155078914150233</v>
      </c>
      <c r="AE718" s="16" t="n">
        <f aca="false">AB718-W718</f>
        <v>0.00114374524274993</v>
      </c>
      <c r="AF718" s="16" t="n">
        <f aca="false">AE718-X718</f>
        <v>-0.000887161116183671</v>
      </c>
      <c r="AG718" s="16" t="n">
        <f aca="false">AF718-p_spc_lo*Y718/1000</f>
        <v>-0.00203090635893361</v>
      </c>
      <c r="AH718" s="16" t="n">
        <f aca="false">AF718-p_spc_hi*Y718/1000</f>
        <v>-0.00317465160168354</v>
      </c>
      <c r="AI718" s="16" t="n">
        <f aca="false">Q718*J718</f>
        <v>0.00355415085325341</v>
      </c>
      <c r="AJ718" s="16" t="n">
        <f aca="false">S718*J718</f>
        <v>0.00300985590197351</v>
      </c>
      <c r="AK718" s="16" t="n">
        <f aca="false">T718*J718</f>
        <v>0</v>
      </c>
      <c r="AL718" s="16" t="n">
        <f aca="false">U718*J718</f>
        <v>0.00534449041824633</v>
      </c>
      <c r="AM718" s="16" t="n">
        <f aca="false">AI718-AJ718</f>
        <v>0.000544294951279895</v>
      </c>
      <c r="AN718" s="16" t="n">
        <f aca="false">J718*Country_Data!$EB$106</f>
        <v>0.0432873722728853</v>
      </c>
      <c r="AO718" s="16" t="n">
        <f aca="false">L718*Country_Data!$EB$106</f>
        <v>0.0164492014636964</v>
      </c>
    </row>
    <row r="719" customFormat="false" ht="15" hidden="false" customHeight="false" outlineLevel="0" collapsed="false">
      <c r="A719" s="14" t="str">
        <f aca="false">Country_Data!$A$107</f>
        <v>NPL</v>
      </c>
      <c r="B719" s="14" t="str">
        <f aca="false">Country_Data!$E$107</f>
        <v>EMDC</v>
      </c>
      <c r="C719" s="35" t="s">
        <v>466</v>
      </c>
      <c r="D719" s="37" t="n">
        <f aca="false">IF(Country_Data!$BZ$107="","",Country_Data!$BZ$107)</f>
        <v>11.4735302609521</v>
      </c>
      <c r="E719" s="40" t="n">
        <f aca="false">Country_Data!$BW$107</f>
        <v>170.344</v>
      </c>
      <c r="F719" s="41" t="n">
        <f aca="false">Country_Data!$BX$107</f>
        <v>0.251925515427605</v>
      </c>
      <c r="G719" s="42" t="n">
        <f aca="false">IF(D719="","",D719/SUMIFS($D$5:$D$1369,$B$5:$B$1369,B719,$C$5:$C$1369,C719))</f>
        <v>0.00130984271550115</v>
      </c>
      <c r="H719" s="42" t="n">
        <f aca="false">E719/SUMIFS($E$5:$E$1369,$B$5:$B$1369,B719,$C$5:$C$1369,C719)</f>
        <v>0.00210999643387514</v>
      </c>
      <c r="I719" s="43" t="n">
        <f aca="false">IF(G719="",H719,p_beta_alloc*G719+(1-p_beta_alloc)*H719)*F719^p_phi</f>
        <v>0.000858245948448303</v>
      </c>
      <c r="J719" s="16" t="n">
        <f aca="false">INDEX(Sector_Params!$C$16:$E$16,MATCH(B719,Sector_Params!$C$15:$E$15,0))*I719/SUMIFS($I$5:$I$1369,$B$5:$B$1369,B719,$C$5:$C$1369,C719)</f>
        <v>0.830117239749935</v>
      </c>
      <c r="K719" s="28" t="n">
        <f aca="false">INDEX(Sector_Params!$F$5:$H$5,MATCH(B719,Sector_Params!$C$15:$E$15,0))</f>
        <v>0.24</v>
      </c>
      <c r="L719" s="16" t="n">
        <f aca="false">J719*K719</f>
        <v>0.199228137539984</v>
      </c>
      <c r="M719" s="44" t="n">
        <f aca="false">Country_Data!$DW$107+Sector_Params!$E$5</f>
        <v>0.105</v>
      </c>
      <c r="N719" s="44" t="n">
        <f aca="false">Country_Data!$DX$107+Sector_Params!$E$5</f>
        <v>0.15</v>
      </c>
      <c r="O719" s="11" t="n">
        <f aca="false">IF(p_use_ibrd=1,p_r_ibrd,p_r_wb)</f>
        <v>0.06</v>
      </c>
      <c r="P719" s="45" t="n">
        <f aca="false">Sector_Params!$D$5</f>
        <v>25</v>
      </c>
      <c r="Q719" s="46" t="n">
        <f aca="false">M719/(1-(1+M719)^-P719)</f>
        <v>0.114429319813103</v>
      </c>
      <c r="R719" s="46" t="n">
        <f aca="false">N719/(1-(1+N719)^-P719)</f>
        <v>0.154699402320206</v>
      </c>
      <c r="S719" s="46" t="n">
        <f aca="false">O719/(1-(1+O719)^-P719)</f>
        <v>0.078226718212274</v>
      </c>
      <c r="T719" s="37" t="n">
        <f aca="false">IF(AND(p_eng=1,ISNUMBER(Country_Data!$CZ$107)),Country_Data!$CZ$107,Country_Data!$CM$107)*Sector_Params!$I$5</f>
        <v>0.152213180881869</v>
      </c>
      <c r="U719" s="37" t="n">
        <f aca="false">IF(AND(p_eng=1,ISNUMBER(Country_Data!$DA$107)),Country_Data!$DA$107,Country_Data!$CN$107)*Sector_Params!$J$5</f>
        <v>0.19967715925636</v>
      </c>
      <c r="V719" s="37" t="n">
        <f aca="false">IF(AND(p_eng=1,ISNUMBER(Country_Data!$DB$107)),Country_Data!$DB$107,p_a)</f>
        <v>0.35</v>
      </c>
      <c r="W719" s="16" t="n">
        <f aca="false">T719*L719</f>
        <v>0.0303251485361315</v>
      </c>
      <c r="X719" s="16" t="n">
        <f aca="false">U719*L719</f>
        <v>0.0397813085479194</v>
      </c>
      <c r="Y719" s="16" t="n">
        <f aca="false">V719*L719</f>
        <v>0.0697298481389945</v>
      </c>
      <c r="Z719" s="16" t="n">
        <f aca="false">Q719*L719</f>
        <v>0.0227975402663318</v>
      </c>
      <c r="AA719" s="16" t="n">
        <f aca="false">R719*L719</f>
        <v>0.0308204738028035</v>
      </c>
      <c r="AB719" s="16" t="n">
        <f aca="false">S719*L719</f>
        <v>0.0155849633752965</v>
      </c>
      <c r="AC719" s="16" t="n">
        <f aca="false">Z719-W719</f>
        <v>-0.00752760826979966</v>
      </c>
      <c r="AD719" s="16" t="n">
        <f aca="false">AA719-W719</f>
        <v>0.000495325266672002</v>
      </c>
      <c r="AE719" s="16" t="n">
        <f aca="false">AB719-W719</f>
        <v>-0.014740185160835</v>
      </c>
      <c r="AF719" s="16" t="n">
        <f aca="false">AE719-X719</f>
        <v>-0.0545214937087544</v>
      </c>
      <c r="AG719" s="16" t="n">
        <f aca="false">AF719-p_spc_lo*Y719/1000</f>
        <v>-0.0580079861157041</v>
      </c>
      <c r="AH719" s="16" t="n">
        <f aca="false">AF719-p_spc_hi*Y719/1000</f>
        <v>-0.0614944785226538</v>
      </c>
      <c r="AI719" s="16" t="n">
        <f aca="false">Q719*J719</f>
        <v>0.0949897511097159</v>
      </c>
      <c r="AJ719" s="16" t="n">
        <f aca="false">S719*J719</f>
        <v>0.0649373473970688</v>
      </c>
      <c r="AK719" s="16" t="n">
        <f aca="false">T719*J719</f>
        <v>0.126354785567214</v>
      </c>
      <c r="AL719" s="16" t="n">
        <f aca="false">U719*J719</f>
        <v>0.165755452282998</v>
      </c>
      <c r="AM719" s="16" t="n">
        <f aca="false">AI719-AJ719</f>
        <v>0.0300524037126471</v>
      </c>
      <c r="AN719" s="16" t="n">
        <f aca="false">J719*Country_Data!$EB$107</f>
        <v>0.949834828067612</v>
      </c>
      <c r="AO719" s="16" t="n">
        <f aca="false">L719*Country_Data!$EB$107</f>
        <v>0.227960358736227</v>
      </c>
    </row>
    <row r="720" customFormat="false" ht="15" hidden="false" customHeight="false" outlineLevel="0" collapsed="false">
      <c r="A720" s="14" t="str">
        <f aca="false">Country_Data!$A$107</f>
        <v>NPL</v>
      </c>
      <c r="B720" s="14" t="str">
        <f aca="false">Country_Data!$E$107</f>
        <v>EMDC</v>
      </c>
      <c r="C720" s="35" t="s">
        <v>470</v>
      </c>
      <c r="D720" s="37" t="n">
        <f aca="false">IF(Country_Data!$BZ$107="","",Country_Data!$BZ$107)</f>
        <v>11.4735302609521</v>
      </c>
      <c r="E720" s="40" t="n">
        <f aca="false">Country_Data!$BW$107</f>
        <v>170.344</v>
      </c>
      <c r="F720" s="41" t="n">
        <f aca="false">Country_Data!$BX$107</f>
        <v>0.251925515427605</v>
      </c>
      <c r="G720" s="42" t="n">
        <f aca="false">IF(D720="","",D720/SUMIFS($D$5:$D$1369,$B$5:$B$1369,B720,$C$5:$C$1369,C720))</f>
        <v>0.00130984271550115</v>
      </c>
      <c r="H720" s="42" t="n">
        <f aca="false">E720/SUMIFS($E$5:$E$1369,$B$5:$B$1369,B720,$C$5:$C$1369,C720)</f>
        <v>0.00210999643387514</v>
      </c>
      <c r="I720" s="43" t="n">
        <f aca="false">IF(G720="",H720,p_beta_alloc*G720+(1-p_beta_alloc)*H720)*F720^p_phi</f>
        <v>0.000858245948448303</v>
      </c>
      <c r="J720" s="16" t="n">
        <f aca="false">INDEX(Sector_Params!$C$17:$E$17,MATCH(B720,Sector_Params!$C$15:$E$15,0))*I720/SUMIFS($I$5:$I$1369,$B$5:$B$1369,B720,$C$5:$C$1369,C720)</f>
        <v>0.569223250114241</v>
      </c>
      <c r="K720" s="28" t="n">
        <f aca="false">INDEX(Sector_Params!$F$6:$H$6,MATCH(B720,Sector_Params!$C$15:$E$15,0))</f>
        <v>0.24</v>
      </c>
      <c r="L720" s="16" t="n">
        <f aca="false">J720*K720</f>
        <v>0.136613580027418</v>
      </c>
      <c r="M720" s="44" t="n">
        <f aca="false">Country_Data!$DW$107+Sector_Params!$E$6</f>
        <v>0.105</v>
      </c>
      <c r="N720" s="44" t="n">
        <f aca="false">Country_Data!$DX$107+Sector_Params!$E$6</f>
        <v>0.15</v>
      </c>
      <c r="O720" s="11" t="n">
        <f aca="false">IF(p_use_ibrd=1,p_r_ibrd,p_r_wb)</f>
        <v>0.06</v>
      </c>
      <c r="P720" s="45" t="n">
        <f aca="false">Sector_Params!$D$6</f>
        <v>40</v>
      </c>
      <c r="Q720" s="46" t="n">
        <f aca="false">M720/(1-(1+M720)^-P720)</f>
        <v>0.10697140835497</v>
      </c>
      <c r="R720" s="46" t="n">
        <f aca="false">N720/(1-(1+N720)^-P720)</f>
        <v>0.150562085013545</v>
      </c>
      <c r="S720" s="46" t="n">
        <f aca="false">O720/(1-(1+O720)^-P720)</f>
        <v>0.0664615359206755</v>
      </c>
      <c r="T720" s="37" t="n">
        <f aca="false">p_grid_credit*IF(AND(p_eng=1,ISNUMBER(Country_Data!$CZ$107)),Country_Data!$CZ$107,Country_Data!$CM$107)*Sector_Params!$I$6</f>
        <v>0</v>
      </c>
      <c r="U720" s="37" t="n">
        <f aca="false">p_grid_credit*IF(AND(p_eng=1,ISNUMBER(Country_Data!$DA$107)),Country_Data!$DA$107,Country_Data!$CN$107)*Sector_Params!$J$6</f>
        <v>0</v>
      </c>
      <c r="V720" s="37" t="n">
        <f aca="false">p_grid_credit*IF(AND(p_eng=1,ISNUMBER(Country_Data!$DB$107)),Country_Data!$DB$107,p_a)</f>
        <v>0</v>
      </c>
      <c r="W720" s="16" t="n">
        <f aca="false">T720*L720</f>
        <v>0</v>
      </c>
      <c r="X720" s="16" t="n">
        <f aca="false">U720*L720</f>
        <v>0</v>
      </c>
      <c r="Y720" s="16" t="n">
        <f aca="false">V720*L720</f>
        <v>0</v>
      </c>
      <c r="Z720" s="16" t="n">
        <f aca="false">Q720*L720</f>
        <v>0.0146137470559473</v>
      </c>
      <c r="AA720" s="16" t="n">
        <f aca="false">R720*L720</f>
        <v>0.0205688254500928</v>
      </c>
      <c r="AB720" s="16" t="n">
        <f aca="false">S720*L720</f>
        <v>0.00907954835624431</v>
      </c>
      <c r="AC720" s="16" t="n">
        <f aca="false">Z720-W720</f>
        <v>0.0146137470559473</v>
      </c>
      <c r="AD720" s="16" t="n">
        <f aca="false">AA720-W720</f>
        <v>0.0205688254500928</v>
      </c>
      <c r="AE720" s="16" t="n">
        <f aca="false">AB720-W720</f>
        <v>0.00907954835624431</v>
      </c>
      <c r="AF720" s="16" t="n">
        <f aca="false">AE720-X720</f>
        <v>0.00907954835624431</v>
      </c>
      <c r="AG720" s="16" t="n">
        <f aca="false">AF720-p_spc_lo*Y720/1000</f>
        <v>0.00907954835624431</v>
      </c>
      <c r="AH720" s="16" t="n">
        <f aca="false">AF720-p_spc_hi*Y720/1000</f>
        <v>0.00907954835624431</v>
      </c>
      <c r="AI720" s="16" t="n">
        <f aca="false">Q720*J720</f>
        <v>0.0608906127331139</v>
      </c>
      <c r="AJ720" s="16" t="n">
        <f aca="false">S720*J720</f>
        <v>0.0378314514843513</v>
      </c>
      <c r="AK720" s="16" t="n">
        <f aca="false">T720*J720</f>
        <v>0</v>
      </c>
      <c r="AL720" s="16" t="n">
        <f aca="false">U720*J720</f>
        <v>0</v>
      </c>
      <c r="AM720" s="16" t="n">
        <f aca="false">AI720-AJ720</f>
        <v>0.0230591612487626</v>
      </c>
      <c r="AN720" s="16" t="n">
        <f aca="false">J720*Country_Data!$EB$107</f>
        <v>0.651315310674934</v>
      </c>
      <c r="AO720" s="16" t="n">
        <f aca="false">L720*Country_Data!$EB$107</f>
        <v>0.156315674561984</v>
      </c>
    </row>
    <row r="721" customFormat="false" ht="15" hidden="false" customHeight="false" outlineLevel="0" collapsed="false">
      <c r="A721" s="14" t="str">
        <f aca="false">Country_Data!$A$107</f>
        <v>NPL</v>
      </c>
      <c r="B721" s="14" t="str">
        <f aca="false">Country_Data!$E$107</f>
        <v>EMDC</v>
      </c>
      <c r="C721" s="35" t="s">
        <v>473</v>
      </c>
      <c r="D721" s="37" t="n">
        <f aca="false">IF(Country_Data!$CA$107="","",Country_Data!$CA$107)</f>
        <v>0.101734810725017</v>
      </c>
      <c r="E721" s="40" t="n">
        <f aca="false">Country_Data!$BW$107</f>
        <v>170.344</v>
      </c>
      <c r="F721" s="41" t="n">
        <f aca="false">Country_Data!$BX$107</f>
        <v>0.251925515427605</v>
      </c>
      <c r="G721" s="42" t="n">
        <f aca="false">IF(D721="","",D721/SUMIFS($D$5:$D$1369,$B$5:$B$1369,B721,$C$5:$C$1369,C721))</f>
        <v>0.00235031083559804</v>
      </c>
      <c r="H721" s="42" t="n">
        <f aca="false">E721/SUMIFS($E$5:$E$1369,$B$5:$B$1369,B721,$C$5:$C$1369,C721)</f>
        <v>0.00210999643387514</v>
      </c>
      <c r="I721" s="43" t="n">
        <f aca="false">IF(G721="",H721,p_beta_alloc*G721+(1-p_beta_alloc)*H721)*F721^p_phi</f>
        <v>0.00111936277574868</v>
      </c>
      <c r="J721" s="16" t="n">
        <f aca="false">INDEX(Sector_Params!$C$18:$E$18,MATCH(B721,Sector_Params!$C$15:$E$15,0))*I721/SUMIFS($I$5:$I$1369,$B$5:$B$1369,B721,$C$5:$C$1369,C721)</f>
        <v>0.458352571186542</v>
      </c>
      <c r="K721" s="28" t="n">
        <f aca="false">INDEX(Sector_Params!$F$7:$H$7,MATCH(B721,Sector_Params!$C$15:$E$15,0))</f>
        <v>0.24</v>
      </c>
      <c r="L721" s="16" t="n">
        <f aca="false">J721*K721</f>
        <v>0.11000461708477</v>
      </c>
      <c r="M721" s="44" t="n">
        <f aca="false">Country_Data!$DW$107+Sector_Params!$E$7</f>
        <v>0.105</v>
      </c>
      <c r="N721" s="44" t="n">
        <f aca="false">Country_Data!$DX$107+Sector_Params!$E$7</f>
        <v>0.15</v>
      </c>
      <c r="O721" s="11" t="n">
        <f aca="false">IF(p_use_ibrd=1,p_r_ibrd,p_r_wb)</f>
        <v>0.06</v>
      </c>
      <c r="P721" s="45" t="n">
        <f aca="false">Sector_Params!$D$7</f>
        <v>12</v>
      </c>
      <c r="Q721" s="46" t="n">
        <f aca="false">M721/(1-(1+M721)^-P721)</f>
        <v>0.150376745634766</v>
      </c>
      <c r="R721" s="46" t="n">
        <f aca="false">N721/(1-(1+N721)^-P721)</f>
        <v>0.18448077613084</v>
      </c>
      <c r="S721" s="46" t="n">
        <f aca="false">O721/(1-(1+O721)^-P721)</f>
        <v>0.119277029380664</v>
      </c>
      <c r="T721" s="37" t="n">
        <f aca="false">IF(AND(p_eng=1,ISNUMBER(Country_Data!$DE$107)),Country_Data!$DE$107,Country_Data!$CM$107)*Sector_Params!$I$7</f>
        <v>0.152213180881869</v>
      </c>
      <c r="U721" s="37" t="n">
        <f aca="false">IF(AND(p_eng=1,ISNUMBER(Country_Data!$DF$107)),Country_Data!$DF$107,Country_Data!$CN$107)*Sector_Params!$J$7</f>
        <v>0.19967715925636</v>
      </c>
      <c r="V721" s="37" t="n">
        <f aca="false">IF(AND(p_eng=1,ISNUMBER(Country_Data!$DG$107)),Country_Data!$DG$107,p_a)</f>
        <v>0.35</v>
      </c>
      <c r="W721" s="16" t="n">
        <f aca="false">T721*L721</f>
        <v>0.0167441526781648</v>
      </c>
      <c r="X721" s="16" t="n">
        <f aca="false">U721*L721</f>
        <v>0.0219654094445705</v>
      </c>
      <c r="Y721" s="16" t="n">
        <f aca="false">V721*L721</f>
        <v>0.0385016159796695</v>
      </c>
      <c r="Z721" s="16" t="n">
        <f aca="false">Q721*L721</f>
        <v>0.0165421363220063</v>
      </c>
      <c r="AA721" s="16" t="n">
        <f aca="false">R721*L721</f>
        <v>0.0202937371377742</v>
      </c>
      <c r="AB721" s="16" t="n">
        <f aca="false">S721*L721</f>
        <v>0.0131210239440288</v>
      </c>
      <c r="AC721" s="16" t="n">
        <f aca="false">Z721-W721</f>
        <v>-0.000202016356158543</v>
      </c>
      <c r="AD721" s="16" t="n">
        <f aca="false">AA721-W721</f>
        <v>0.00354958445960938</v>
      </c>
      <c r="AE721" s="16" t="n">
        <f aca="false">AB721-W721</f>
        <v>-0.00362312873413605</v>
      </c>
      <c r="AF721" s="16" t="n">
        <f aca="false">AE721-X721</f>
        <v>-0.0255885381787066</v>
      </c>
      <c r="AG721" s="16" t="n">
        <f aca="false">AF721-p_spc_lo*Y721/1000</f>
        <v>-0.0275136189776901</v>
      </c>
      <c r="AH721" s="16" t="n">
        <f aca="false">AF721-p_spc_hi*Y721/1000</f>
        <v>-0.0294386997766736</v>
      </c>
      <c r="AI721" s="16" t="n">
        <f aca="false">Q721*J721</f>
        <v>0.0689255680083595</v>
      </c>
      <c r="AJ721" s="16" t="n">
        <f aca="false">S721*J721</f>
        <v>0.0546709331001199</v>
      </c>
      <c r="AK721" s="16" t="n">
        <f aca="false">T721*J721</f>
        <v>0.0697673028256868</v>
      </c>
      <c r="AL721" s="16" t="n">
        <f aca="false">U721*J721</f>
        <v>0.0915225393523773</v>
      </c>
      <c r="AM721" s="16" t="n">
        <f aca="false">AI721-AJ721</f>
        <v>0.0142546349082396</v>
      </c>
      <c r="AN721" s="16" t="n">
        <f aca="false">J721*Country_Data!$EB$107</f>
        <v>0.524455118867867</v>
      </c>
      <c r="AO721" s="16" t="n">
        <f aca="false">L721*Country_Data!$EB$107</f>
        <v>0.125869228528288</v>
      </c>
    </row>
    <row r="722" customFormat="false" ht="15" hidden="false" customHeight="false" outlineLevel="0" collapsed="false">
      <c r="A722" s="14" t="str">
        <f aca="false">Country_Data!$A$107</f>
        <v>NPL</v>
      </c>
      <c r="B722" s="14" t="str">
        <f aca="false">Country_Data!$E$107</f>
        <v>EMDC</v>
      </c>
      <c r="C722" s="35" t="s">
        <v>477</v>
      </c>
      <c r="D722" s="37" t="n">
        <f aca="false">IF(Country_Data!$CB$107="","",Country_Data!$CB$107)</f>
        <v>0.0450517931022047</v>
      </c>
      <c r="E722" s="40" t="n">
        <f aca="false">Country_Data!$BW$107</f>
        <v>170.344</v>
      </c>
      <c r="F722" s="41" t="n">
        <f aca="false">Country_Data!$BX$107</f>
        <v>0.251925515427605</v>
      </c>
      <c r="G722" s="42" t="n">
        <f aca="false">IF(D722="","",D722/SUMIFS($D$5:$D$1369,$B$5:$B$1369,B722,$C$5:$C$1369,C722))</f>
        <v>0.00142062021923677</v>
      </c>
      <c r="H722" s="42" t="n">
        <f aca="false">E722/SUMIFS($E$5:$E$1369,$B$5:$B$1369,B722,$C$5:$C$1369,C722)</f>
        <v>0.00210999643387514</v>
      </c>
      <c r="I722" s="43" t="n">
        <f aca="false">IF(G722="",H722,p_beta_alloc*G722+(1-p_beta_alloc)*H722)*F722^p_phi</f>
        <v>0.000886046771705633</v>
      </c>
      <c r="J722" s="16" t="n">
        <f aca="false">INDEX(Sector_Params!$C$19:$E$19,MATCH(B722,Sector_Params!$C$15:$E$15,0))*I722/SUMIFS($I$5:$I$1369,$B$5:$B$1369,B722,$C$5:$C$1369,C722)</f>
        <v>0.285185314584199</v>
      </c>
      <c r="K722" s="28" t="n">
        <f aca="false">INDEX(Sector_Params!$F$8:$H$8,MATCH(B722,Sector_Params!$C$15:$E$15,0))</f>
        <v>0.24</v>
      </c>
      <c r="L722" s="16" t="n">
        <f aca="false">J722*K722</f>
        <v>0.0684444755002078</v>
      </c>
      <c r="M722" s="44" t="n">
        <f aca="false">Country_Data!$DW$107+Sector_Params!$E$8</f>
        <v>0.105</v>
      </c>
      <c r="N722" s="44" t="n">
        <f aca="false">Country_Data!$DX$107+Sector_Params!$E$8</f>
        <v>0.15</v>
      </c>
      <c r="O722" s="11" t="n">
        <f aca="false">IF(p_use_ibrd=1,p_r_ibrd,p_r_wb)</f>
        <v>0.06</v>
      </c>
      <c r="P722" s="45" t="n">
        <f aca="false">Sector_Params!$D$8</f>
        <v>25</v>
      </c>
      <c r="Q722" s="46" t="n">
        <f aca="false">M722/(1-(1+M722)^-P722)</f>
        <v>0.114429319813103</v>
      </c>
      <c r="R722" s="46" t="n">
        <f aca="false">N722/(1-(1+N722)^-P722)</f>
        <v>0.154699402320206</v>
      </c>
      <c r="S722" s="46" t="n">
        <f aca="false">O722/(1-(1+O722)^-P722)</f>
        <v>0.078226718212274</v>
      </c>
      <c r="T722" s="37" t="n">
        <f aca="false">Country_Data!$CM$107*Sector_Params!$I$8</f>
        <v>0.152213180881869</v>
      </c>
      <c r="U722" s="37" t="n">
        <f aca="false">Country_Data!$CN$107*Sector_Params!$J$8</f>
        <v>0.19967715925636</v>
      </c>
      <c r="V722" s="37" t="n">
        <f aca="false">p_a</f>
        <v>0.35</v>
      </c>
      <c r="W722" s="16" t="n">
        <f aca="false">T722*L722</f>
        <v>0.0104181513296778</v>
      </c>
      <c r="X722" s="16" t="n">
        <f aca="false">U722*L722</f>
        <v>0.013666798434673</v>
      </c>
      <c r="Y722" s="16" t="n">
        <f aca="false">V722*L722</f>
        <v>0.0239555664250727</v>
      </c>
      <c r="Z722" s="16" t="n">
        <f aca="false">Q722*L722</f>
        <v>0.00783205477645339</v>
      </c>
      <c r="AA722" s="16" t="n">
        <f aca="false">R722*L722</f>
        <v>0.0105883194520022</v>
      </c>
      <c r="AB722" s="16" t="n">
        <f aca="false">S722*L722</f>
        <v>0.00535418669814164</v>
      </c>
      <c r="AC722" s="16" t="n">
        <f aca="false">Z722-W722</f>
        <v>-0.00258609655322437</v>
      </c>
      <c r="AD722" s="16" t="n">
        <f aca="false">AA722-W722</f>
        <v>0.000170168122324397</v>
      </c>
      <c r="AE722" s="16" t="n">
        <f aca="false">AB722-W722</f>
        <v>-0.00506396463153612</v>
      </c>
      <c r="AF722" s="16" t="n">
        <f aca="false">AE722-X722</f>
        <v>-0.0187307630662091</v>
      </c>
      <c r="AG722" s="16" t="n">
        <f aca="false">AF722-p_spc_lo*Y722/1000</f>
        <v>-0.0199285413874628</v>
      </c>
      <c r="AH722" s="16" t="n">
        <f aca="false">AF722-p_spc_hi*Y722/1000</f>
        <v>-0.0211263197087164</v>
      </c>
      <c r="AI722" s="16" t="n">
        <f aca="false">Q722*J722</f>
        <v>0.0326335615685558</v>
      </c>
      <c r="AJ722" s="16" t="n">
        <f aca="false">S722*J722</f>
        <v>0.0223091112422568</v>
      </c>
      <c r="AK722" s="16" t="n">
        <f aca="false">T722*J722</f>
        <v>0.0434089638736573</v>
      </c>
      <c r="AL722" s="16" t="n">
        <f aca="false">U722*J722</f>
        <v>0.0569449934778043</v>
      </c>
      <c r="AM722" s="16" t="n">
        <f aca="false">AI722-AJ722</f>
        <v>0.010324450326299</v>
      </c>
      <c r="AN722" s="16" t="n">
        <f aca="false">J722*Country_Data!$EB$107</f>
        <v>0.32631408104124</v>
      </c>
      <c r="AO722" s="16" t="n">
        <f aca="false">L722*Country_Data!$EB$107</f>
        <v>0.0783153794498976</v>
      </c>
    </row>
    <row r="723" customFormat="false" ht="15" hidden="false" customHeight="false" outlineLevel="0" collapsed="false">
      <c r="A723" s="14" t="str">
        <f aca="false">Country_Data!$A$107</f>
        <v>NPL</v>
      </c>
      <c r="B723" s="14" t="str">
        <f aca="false">Country_Data!$E$107</f>
        <v>EMDC</v>
      </c>
      <c r="C723" s="35" t="s">
        <v>481</v>
      </c>
      <c r="D723" s="37" t="n">
        <f aca="false">IF(Country_Data!$CC$107="","",Country_Data!$CC$107)</f>
        <v>0.0972233135462054</v>
      </c>
      <c r="E723" s="40" t="n">
        <f aca="false">Country_Data!$BW$107</f>
        <v>170.344</v>
      </c>
      <c r="F723" s="41" t="n">
        <f aca="false">Country_Data!$BX$107</f>
        <v>0.251925515427605</v>
      </c>
      <c r="G723" s="42" t="n">
        <f aca="false">IF(D723="","",D723/SUMIFS($D$5:$D$1369,$B$5:$B$1369,B723,$C$5:$C$1369,C723))</f>
        <v>0.00138876049399683</v>
      </c>
      <c r="H723" s="42" t="n">
        <f aca="false">E723/SUMIFS($E$5:$E$1369,$B$5:$B$1369,B723,$C$5:$C$1369,C723)</f>
        <v>0.00210999643387514</v>
      </c>
      <c r="I723" s="43" t="n">
        <f aca="false">IF(G723="",H723,p_beta_alloc*G723+(1-p_beta_alloc)*H723)*F723^p_phi</f>
        <v>0.000878051226034768</v>
      </c>
      <c r="J723" s="16" t="n">
        <f aca="false">INDEX(Sector_Params!$C$20:$E$20,MATCH(B723,Sector_Params!$C$15:$E$15,0))*I723/SUMIFS($I$5:$I$1369,$B$5:$B$1369,B723,$C$5:$C$1369,C723)</f>
        <v>0.160262030672105</v>
      </c>
      <c r="K723" s="28" t="n">
        <f aca="false">INDEX(Sector_Params!$F$9:$H$9,MATCH(B723,Sector_Params!$C$15:$E$15,0))</f>
        <v>0.24</v>
      </c>
      <c r="L723" s="16" t="n">
        <f aca="false">J723*K723</f>
        <v>0.0384628873613052</v>
      </c>
      <c r="M723" s="44" t="n">
        <f aca="false">Country_Data!$DW$107+Sector_Params!$E$9</f>
        <v>0.105</v>
      </c>
      <c r="N723" s="44" t="n">
        <f aca="false">Country_Data!$DX$107+Sector_Params!$E$9</f>
        <v>0.15</v>
      </c>
      <c r="O723" s="11" t="n">
        <f aca="false">IF(p_use_ibrd=1,p_r_ibrd,p_r_wb)</f>
        <v>0.06</v>
      </c>
      <c r="P723" s="45" t="n">
        <f aca="false">Sector_Params!$D$9</f>
        <v>25</v>
      </c>
      <c r="Q723" s="46" t="n">
        <f aca="false">M723/(1-(1+M723)^-P723)</f>
        <v>0.114429319813103</v>
      </c>
      <c r="R723" s="46" t="n">
        <f aca="false">N723/(1-(1+N723)^-P723)</f>
        <v>0.154699402320206</v>
      </c>
      <c r="S723" s="46" t="n">
        <f aca="false">O723/(1-(1+O723)^-P723)</f>
        <v>0.078226718212274</v>
      </c>
      <c r="T723" s="37" t="n">
        <f aca="false">Country_Data!$CM$107*Sector_Params!$I$9</f>
        <v>0.152213180881869</v>
      </c>
      <c r="U723" s="37" t="n">
        <f aca="false">Country_Data!$CN$107*Sector_Params!$J$9</f>
        <v>0.19967715925636</v>
      </c>
      <c r="V723" s="37" t="n">
        <f aca="false">p_a</f>
        <v>0.35</v>
      </c>
      <c r="W723" s="16" t="n">
        <f aca="false">T723*L723</f>
        <v>0.00585455843116529</v>
      </c>
      <c r="X723" s="16" t="n">
        <f aca="false">U723*L723</f>
        <v>0.00768016008510277</v>
      </c>
      <c r="Y723" s="16" t="n">
        <f aca="false">V723*L723</f>
        <v>0.0134620105764568</v>
      </c>
      <c r="Z723" s="16" t="n">
        <f aca="false">Q723*L723</f>
        <v>0.00440128203880216</v>
      </c>
      <c r="AA723" s="16" t="n">
        <f aca="false">R723*L723</f>
        <v>0.00595018568630333</v>
      </c>
      <c r="AB723" s="16" t="n">
        <f aca="false">S723*L723</f>
        <v>0.00300882545124325</v>
      </c>
      <c r="AC723" s="16" t="n">
        <f aca="false">Z723-W723</f>
        <v>-0.00145327639236313</v>
      </c>
      <c r="AD723" s="16" t="n">
        <f aca="false">AA723-W723</f>
        <v>9.56272551380453E-005</v>
      </c>
      <c r="AE723" s="16" t="n">
        <f aca="false">AB723-W723</f>
        <v>-0.00284573297992203</v>
      </c>
      <c r="AF723" s="16" t="n">
        <f aca="false">AE723-X723</f>
        <v>-0.0105258930650248</v>
      </c>
      <c r="AG723" s="16" t="n">
        <f aca="false">AF723-p_spc_lo*Y723/1000</f>
        <v>-0.0111989935938476</v>
      </c>
      <c r="AH723" s="16" t="n">
        <f aca="false">AF723-p_spc_hi*Y723/1000</f>
        <v>-0.0118720941226705</v>
      </c>
      <c r="AI723" s="16" t="n">
        <f aca="false">Q723*J723</f>
        <v>0.0183386751616757</v>
      </c>
      <c r="AJ723" s="16" t="n">
        <f aca="false">S723*J723</f>
        <v>0.0125367727135136</v>
      </c>
      <c r="AK723" s="16" t="n">
        <f aca="false">T723*J723</f>
        <v>0.0243939934631887</v>
      </c>
      <c r="AL723" s="16" t="n">
        <f aca="false">U723*J723</f>
        <v>0.0320006670212615</v>
      </c>
      <c r="AM723" s="16" t="n">
        <f aca="false">AI723-AJ723</f>
        <v>0.00580190244816211</v>
      </c>
      <c r="AN723" s="16" t="n">
        <f aca="false">J723*Country_Data!$EB$107</f>
        <v>0.183374650061551</v>
      </c>
      <c r="AO723" s="16" t="n">
        <f aca="false">L723*Country_Data!$EB$107</f>
        <v>0.0440099160147723</v>
      </c>
    </row>
    <row r="724" customFormat="false" ht="15" hidden="false" customHeight="false" outlineLevel="0" collapsed="false">
      <c r="A724" s="14" t="str">
        <f aca="false">Country_Data!$A$107</f>
        <v>NPL</v>
      </c>
      <c r="B724" s="14" t="str">
        <f aca="false">Country_Data!$E$107</f>
        <v>EMDC</v>
      </c>
      <c r="C724" s="35" t="s">
        <v>484</v>
      </c>
      <c r="D724" s="37" t="n">
        <f aca="false">IF(Country_Data!$CD$107="","",Country_Data!$CD$107)</f>
        <v>0.204465244869166</v>
      </c>
      <c r="E724" s="40" t="n">
        <f aca="false">Country_Data!$BW$107</f>
        <v>170.344</v>
      </c>
      <c r="F724" s="41" t="n">
        <f aca="false">Country_Data!$BX$107</f>
        <v>0.251925515427605</v>
      </c>
      <c r="G724" s="42" t="n">
        <f aca="false">IF(D724="","",D724/SUMIFS($D$5:$D$1369,$B$5:$B$1369,B724,$C$5:$C$1369,C724))</f>
        <v>0.00114180862245546</v>
      </c>
      <c r="H724" s="42" t="n">
        <f aca="false">E724/SUMIFS($E$5:$E$1369,$B$5:$B$1369,B724,$C$5:$C$1369,C724)</f>
        <v>0.00210999643387514</v>
      </c>
      <c r="I724" s="43" t="n">
        <f aca="false">IF(G724="",H724,p_beta_alloc*G724+(1-p_beta_alloc)*H724)*F724^p_phi</f>
        <v>0.000816075959376171</v>
      </c>
      <c r="J724" s="16" t="n">
        <f aca="false">INDEX(Sector_Params!$C$21:$E$21,MATCH(B724,Sector_Params!$C$15:$E$15,0))*I724/SUMIFS($I$5:$I$1369,$B$5:$B$1369,B724,$C$5:$C$1369,C724)</f>
        <v>0.180997345242918</v>
      </c>
      <c r="K724" s="28" t="n">
        <f aca="false">INDEX(Sector_Params!$F$10:$H$10,MATCH(B724,Sector_Params!$C$15:$E$15,0))</f>
        <v>0.24</v>
      </c>
      <c r="L724" s="16" t="n">
        <f aca="false">J724*K724</f>
        <v>0.0434393628583003</v>
      </c>
      <c r="M724" s="44" t="n">
        <f aca="false">Country_Data!$DW$107+Sector_Params!$E$10</f>
        <v>0.105</v>
      </c>
      <c r="N724" s="44" t="n">
        <f aca="false">Country_Data!$DX$107+Sector_Params!$E$10</f>
        <v>0.15</v>
      </c>
      <c r="O724" s="11" t="n">
        <f aca="false">IF(p_use_ibrd=1,p_r_ibrd,p_r_wb)</f>
        <v>0.06</v>
      </c>
      <c r="P724" s="45" t="n">
        <f aca="false">Sector_Params!$D$10</f>
        <v>20</v>
      </c>
      <c r="Q724" s="46" t="n">
        <f aca="false">M724/(1-(1+M724)^-P724)</f>
        <v>0.121493265267016</v>
      </c>
      <c r="R724" s="46" t="n">
        <f aca="false">N724/(1-(1+N724)^-P724)</f>
        <v>0.159761470405744</v>
      </c>
      <c r="S724" s="46" t="n">
        <f aca="false">O724/(1-(1+O724)^-P724)</f>
        <v>0.0871845569768514</v>
      </c>
      <c r="T724" s="37" t="n">
        <f aca="false">0*Sector_Params!$I$10</f>
        <v>0</v>
      </c>
      <c r="U724" s="37" t="n">
        <f aca="false">0*Sector_Params!$J$10</f>
        <v>0</v>
      </c>
      <c r="V724" s="37" t="n">
        <f aca="false">1000*p_r_wb/(1-(1+p_r_wb)^-Sector_Params!$D$10)/p_cpt_fuel</f>
        <v>0.871845569768514</v>
      </c>
      <c r="W724" s="16" t="n">
        <f aca="false">T724*L724</f>
        <v>0</v>
      </c>
      <c r="X724" s="16" t="n">
        <f aca="false">U724*L724</f>
        <v>0</v>
      </c>
      <c r="Y724" s="16" t="n">
        <f aca="false">V724*L724</f>
        <v>0.0378724160615761</v>
      </c>
      <c r="Z724" s="16" t="n">
        <f aca="false">Q724*L724</f>
        <v>0.00527759003477365</v>
      </c>
      <c r="AA724" s="16" t="n">
        <f aca="false">R724*L724</f>
        <v>0.00693993648373072</v>
      </c>
      <c r="AB724" s="16" t="n">
        <f aca="false">S724*L724</f>
        <v>0.00378724160615761</v>
      </c>
      <c r="AC724" s="16" t="n">
        <f aca="false">Z724-W724</f>
        <v>0.00527759003477365</v>
      </c>
      <c r="AD724" s="16" t="n">
        <f aca="false">AA724-W724</f>
        <v>0.00693993648373072</v>
      </c>
      <c r="AE724" s="16" t="n">
        <f aca="false">AB724-W724</f>
        <v>0.00378724160615761</v>
      </c>
      <c r="AF724" s="16" t="n">
        <f aca="false">AE724-X724</f>
        <v>0.00378724160615761</v>
      </c>
      <c r="AG724" s="16" t="n">
        <f aca="false">AF724-p_spc_lo*Y724/1000</f>
        <v>0.0018936208030788</v>
      </c>
      <c r="AH724" s="16" t="n">
        <f aca="false">AF724-p_spc_hi*Y724/1000</f>
        <v>0</v>
      </c>
      <c r="AI724" s="16" t="n">
        <f aca="false">Q724*J724</f>
        <v>0.0219899584782236</v>
      </c>
      <c r="AJ724" s="16" t="n">
        <f aca="false">S724*J724</f>
        <v>0.01578017335899</v>
      </c>
      <c r="AK724" s="16" t="n">
        <f aca="false">T724*J724</f>
        <v>0</v>
      </c>
      <c r="AL724" s="16" t="n">
        <f aca="false">U724*J724</f>
        <v>0</v>
      </c>
      <c r="AM724" s="16" t="n">
        <f aca="false">AI724-AJ724</f>
        <v>0.00620978511923352</v>
      </c>
      <c r="AN724" s="16" t="n">
        <f aca="false">J724*Country_Data!$EB$107</f>
        <v>0.207100363740536</v>
      </c>
      <c r="AO724" s="16" t="n">
        <f aca="false">L724*Country_Data!$EB$107</f>
        <v>0.0497040872977287</v>
      </c>
    </row>
    <row r="725" customFormat="false" ht="15" hidden="false" customHeight="false" outlineLevel="0" collapsed="false">
      <c r="A725" s="14" t="str">
        <f aca="false">Country_Data!$A$107</f>
        <v>NPL</v>
      </c>
      <c r="B725" s="14" t="str">
        <f aca="false">Country_Data!$E$107</f>
        <v>EMDC</v>
      </c>
      <c r="C725" s="35" t="s">
        <v>488</v>
      </c>
      <c r="D725" s="37" t="n">
        <f aca="false">IF(Country_Data!$CE$107="","",Country_Data!$CE$107)</f>
        <v>43.621</v>
      </c>
      <c r="E725" s="40" t="n">
        <f aca="false">Country_Data!$BW$107</f>
        <v>170.344</v>
      </c>
      <c r="F725" s="41" t="n">
        <f aca="false">Country_Data!$BX$107</f>
        <v>0.251925515427605</v>
      </c>
      <c r="G725" s="42" t="n">
        <f aca="false">IF(D725="","",D725/SUMIFS($D$5:$D$1369,$B$5:$B$1369,B725,$C$5:$C$1369,C725))</f>
        <v>0.00357428767849519</v>
      </c>
      <c r="H725" s="42" t="n">
        <f aca="false">E725/SUMIFS($E$5:$E$1369,$B$5:$B$1369,B725,$C$5:$C$1369,C725)</f>
        <v>0.00210999643387514</v>
      </c>
      <c r="I725" s="43" t="n">
        <f aca="false">IF(G725="",H725,p_beta_alloc*G725+(1-p_beta_alloc)*H725)*F725^p_phi</f>
        <v>0.00142653311930201</v>
      </c>
      <c r="J725" s="16" t="n">
        <f aca="false">INDEX(Sector_Params!$C$22:$E$22,MATCH(B725,Sector_Params!$C$15:$E$15,0))*I725/SUMIFS($I$5:$I$1369,$B$5:$B$1369,B725,$C$5:$C$1369,C725)</f>
        <v>0.859926130387322</v>
      </c>
      <c r="K725" s="28" t="n">
        <f aca="false">INDEX(Sector_Params!$F$11:$H$11,MATCH(B725,Sector_Params!$C$15:$E$15,0))</f>
        <v>0.24</v>
      </c>
      <c r="L725" s="16" t="n">
        <f aca="false">J725*K725</f>
        <v>0.206382271292957</v>
      </c>
      <c r="M725" s="44" t="n">
        <f aca="false">Country_Data!$DW$107+Sector_Params!$E$11</f>
        <v>0.105</v>
      </c>
      <c r="N725" s="44" t="n">
        <f aca="false">Country_Data!$DX$107+Sector_Params!$E$11</f>
        <v>0.15</v>
      </c>
      <c r="O725" s="11" t="n">
        <f aca="false">IF(p_use_ibrd=1,p_r_ibrd,p_r_wb)</f>
        <v>0.06</v>
      </c>
      <c r="P725" s="45" t="n">
        <f aca="false">Sector_Params!$D$11</f>
        <v>30</v>
      </c>
      <c r="Q725" s="46" t="n">
        <f aca="false">M725/(1-(1+M725)^-P725)</f>
        <v>0.110528481529605</v>
      </c>
      <c r="R725" s="46" t="n">
        <f aca="false">N725/(1-(1+N725)^-P725)</f>
        <v>0.152300198192734</v>
      </c>
      <c r="S725" s="46" t="n">
        <f aca="false">O725/(1-(1+O725)^-P725)</f>
        <v>0.0726489114900472</v>
      </c>
      <c r="T725" s="37" t="n">
        <f aca="false">0*Sector_Params!$I$11</f>
        <v>0</v>
      </c>
      <c r="U725" s="37" t="n">
        <f aca="false">p_c*Sector_Params!$J$11</f>
        <v>0.129</v>
      </c>
      <c r="V725" s="37" t="n">
        <f aca="false">1000*p_r_wb/(1-(1+p_r_wb)^-Sector_Params!$D$11)/p_cpt_afolu</f>
        <v>1.45297822980094</v>
      </c>
      <c r="W725" s="16" t="n">
        <f aca="false">T725*L725</f>
        <v>0</v>
      </c>
      <c r="X725" s="16" t="n">
        <f aca="false">U725*L725</f>
        <v>0.0266233129967915</v>
      </c>
      <c r="Y725" s="16" t="n">
        <f aca="false">V725*L725</f>
        <v>0.299868947205539</v>
      </c>
      <c r="Z725" s="16" t="n">
        <f aca="false">Q725*L725</f>
        <v>0.0228111190606416</v>
      </c>
      <c r="AA725" s="16" t="n">
        <f aca="false">R725*L725</f>
        <v>0.031432060821384</v>
      </c>
      <c r="AB725" s="16" t="n">
        <f aca="false">S725*L725</f>
        <v>0.014993447360277</v>
      </c>
      <c r="AC725" s="16" t="n">
        <f aca="false">Z725-W725</f>
        <v>0.0228111190606416</v>
      </c>
      <c r="AD725" s="16" t="n">
        <f aca="false">AA725-W725</f>
        <v>0.031432060821384</v>
      </c>
      <c r="AE725" s="16" t="n">
        <f aca="false">AB725-W725</f>
        <v>0.014993447360277</v>
      </c>
      <c r="AF725" s="16" t="n">
        <f aca="false">AE725-X725</f>
        <v>-0.0116298656365145</v>
      </c>
      <c r="AG725" s="16" t="n">
        <f aca="false">AF725-p_spc_lo*Y725/1000</f>
        <v>-0.0266233129967915</v>
      </c>
      <c r="AH725" s="16" t="n">
        <f aca="false">AF725-p_spc_hi*Y725/1000</f>
        <v>-0.0416167603570684</v>
      </c>
      <c r="AI725" s="16" t="n">
        <f aca="false">Q725*J725</f>
        <v>0.0950463294193399</v>
      </c>
      <c r="AJ725" s="16" t="n">
        <f aca="false">S725*J725</f>
        <v>0.0624726973344873</v>
      </c>
      <c r="AK725" s="16" t="n">
        <f aca="false">T725*J725</f>
        <v>0</v>
      </c>
      <c r="AL725" s="16" t="n">
        <f aca="false">U725*J725</f>
        <v>0.110930470819964</v>
      </c>
      <c r="AM725" s="16" t="n">
        <f aca="false">AI725-AJ725</f>
        <v>0.0325736320848526</v>
      </c>
      <c r="AN725" s="16" t="n">
        <f aca="false">J725*Country_Data!$EB$107</f>
        <v>0.98394268796699</v>
      </c>
      <c r="AO725" s="16" t="n">
        <f aca="false">L725*Country_Data!$EB$107</f>
        <v>0.236146245112078</v>
      </c>
    </row>
    <row r="726" customFormat="false" ht="15" hidden="false" customHeight="false" outlineLevel="0" collapsed="false">
      <c r="A726" s="14" t="str">
        <f aca="false">Country_Data!$A$108</f>
        <v>CYP</v>
      </c>
      <c r="B726" s="14" t="str">
        <f aca="false">Country_Data!$E$108</f>
        <v>AE</v>
      </c>
      <c r="C726" s="35" t="s">
        <v>466</v>
      </c>
      <c r="D726" s="37" t="n">
        <f aca="false">IF(Country_Data!$BZ$108="","",Country_Data!$BZ$108)</f>
        <v>4.36114326979431</v>
      </c>
      <c r="E726" s="40" t="n">
        <f aca="false">Country_Data!$BW$108</f>
        <v>59.677</v>
      </c>
      <c r="F726" s="41" t="n">
        <f aca="false">Country_Data!$BX$108</f>
        <v>0.630443889605711</v>
      </c>
      <c r="G726" s="42" t="n">
        <f aca="false">IF(D726="","",D726/SUMIFS($D$5:$D$1369,$B$5:$B$1369,B726,$C$5:$C$1369,C726))</f>
        <v>0.000445678521320456</v>
      </c>
      <c r="H726" s="42" t="n">
        <f aca="false">E726/SUMIFS($E$5:$E$1369,$B$5:$B$1369,B726,$C$5:$C$1369,C726)</f>
        <v>0.000756507735560025</v>
      </c>
      <c r="I726" s="43" t="n">
        <f aca="false">IF(G726="",H726,p_beta_alloc*G726+(1-p_beta_alloc)*H726)*F726^p_phi</f>
        <v>0.000477270930362497</v>
      </c>
      <c r="J726" s="16" t="n">
        <f aca="false">INDEX(Sector_Params!$C$16:$E$16,MATCH(B726,Sector_Params!$C$15:$E$15,0))*I726/SUMIFS($I$5:$I$1369,$B$5:$B$1369,B726,$C$5:$C$1369,C726)</f>
        <v>0.428090700376513</v>
      </c>
      <c r="K726" s="28" t="n">
        <f aca="false">INDEX(Sector_Params!$F$5:$H$5,MATCH(B726,Sector_Params!$C$15:$E$15,0))</f>
        <v>0.38</v>
      </c>
      <c r="L726" s="16" t="n">
        <f aca="false">J726*K726</f>
        <v>0.162674466143075</v>
      </c>
      <c r="M726" s="44" t="n">
        <f aca="false">Country_Data!$DW$108+Sector_Params!$E$5</f>
        <v>0.051</v>
      </c>
      <c r="N726" s="44" t="n">
        <f aca="false">Country_Data!$DX$108+Sector_Params!$E$5</f>
        <v>0.066</v>
      </c>
      <c r="O726" s="11" t="n">
        <f aca="false">IF(p_use_ibrd=1,p_r_ibrd,p_r_wb)</f>
        <v>0.06</v>
      </c>
      <c r="P726" s="45" t="n">
        <f aca="false">Sector_Params!$D$5</f>
        <v>25</v>
      </c>
      <c r="Q726" s="46" t="n">
        <f aca="false">M726/(1-(1+M726)^-P726)</f>
        <v>0.0716652537405393</v>
      </c>
      <c r="R726" s="46" t="n">
        <f aca="false">N726/(1-(1+N726)^-P726)</f>
        <v>0.0827414471010819</v>
      </c>
      <c r="S726" s="46" t="n">
        <f aca="false">O726/(1-(1+O726)^-P726)</f>
        <v>0.078226718212274</v>
      </c>
      <c r="T726" s="37" t="n">
        <f aca="false">IF(AND(p_eng=1,ISNUMBER(Country_Data!$CZ$108)),Country_Data!$CZ$108,Country_Data!$CM$108)*Sector_Params!$I$5</f>
        <v>0.219945968481793</v>
      </c>
      <c r="U726" s="37" t="n">
        <f aca="false">IF(AND(p_eng=1,ISNUMBER(Country_Data!$DA$108)),Country_Data!$DA$108,Country_Data!$CN$108)*Sector_Params!$J$5</f>
        <v>0.0175950444002209</v>
      </c>
      <c r="V726" s="37" t="n">
        <f aca="false">IF(AND(p_eng=1,ISNUMBER(Country_Data!$DB$108)),Country_Data!$DB$108,p_a)</f>
        <v>1.35126875125982</v>
      </c>
      <c r="W726" s="16" t="n">
        <f aca="false">T726*L726</f>
        <v>0.0357795930030972</v>
      </c>
      <c r="X726" s="16" t="n">
        <f aca="false">U726*L726</f>
        <v>0.00286226445456963</v>
      </c>
      <c r="Y726" s="16" t="n">
        <f aca="false">V726*L726</f>
        <v>0.219816922727011</v>
      </c>
      <c r="Z726" s="16" t="n">
        <f aca="false">Q726*L726</f>
        <v>0.0116581068932502</v>
      </c>
      <c r="AA726" s="16" t="n">
        <f aca="false">R726*L726</f>
        <v>0.013459920735074</v>
      </c>
      <c r="AB726" s="16" t="n">
        <f aca="false">S726*L726</f>
        <v>0.0127254896233064</v>
      </c>
      <c r="AC726" s="16" t="n">
        <f aca="false">Z726-W726</f>
        <v>-0.024121486109847</v>
      </c>
      <c r="AD726" s="16" t="n">
        <f aca="false">AA726-W726</f>
        <v>-0.0223196722680232</v>
      </c>
      <c r="AE726" s="16" t="n">
        <f aca="false">AB726-W726</f>
        <v>-0.0230541033797908</v>
      </c>
      <c r="AF726" s="16" t="n">
        <f aca="false">AE726-X726</f>
        <v>-0.0259163678343604</v>
      </c>
      <c r="AG726" s="16" t="n">
        <f aca="false">AF726-p_spc_lo*Y726/1000</f>
        <v>-0.036907213970711</v>
      </c>
      <c r="AH726" s="16" t="n">
        <f aca="false">AF726-p_spc_hi*Y726/1000</f>
        <v>-0.0478980601070615</v>
      </c>
      <c r="AI726" s="16" t="n">
        <f aca="false">Q726*J726</f>
        <v>0.030679228666448</v>
      </c>
      <c r="AJ726" s="16" t="n">
        <f aca="false">S726*J726</f>
        <v>0.0334881305876485</v>
      </c>
      <c r="AK726" s="16" t="n">
        <f aca="false">T726*J726</f>
        <v>0.0941568236923611</v>
      </c>
      <c r="AL726" s="16" t="n">
        <f aca="false">U726*J726</f>
        <v>0.00753227488044639</v>
      </c>
      <c r="AM726" s="16" t="n">
        <f aca="false">AI726-AJ726</f>
        <v>-0.00280890192120049</v>
      </c>
      <c r="AN726" s="16" t="n">
        <f aca="false">J726*Country_Data!$EB$108</f>
        <v>0.447280973152012</v>
      </c>
      <c r="AO726" s="16" t="n">
        <f aca="false">L726*Country_Data!$EB$108</f>
        <v>0.169966769797765</v>
      </c>
    </row>
    <row r="727" customFormat="false" ht="15" hidden="false" customHeight="false" outlineLevel="0" collapsed="false">
      <c r="A727" s="14" t="str">
        <f aca="false">Country_Data!$A$108</f>
        <v>CYP</v>
      </c>
      <c r="B727" s="14" t="str">
        <f aca="false">Country_Data!$E$108</f>
        <v>AE</v>
      </c>
      <c r="C727" s="35" t="s">
        <v>470</v>
      </c>
      <c r="D727" s="37" t="n">
        <f aca="false">IF(Country_Data!$BZ$108="","",Country_Data!$BZ$108)</f>
        <v>4.36114326979431</v>
      </c>
      <c r="E727" s="40" t="n">
        <f aca="false">Country_Data!$BW$108</f>
        <v>59.677</v>
      </c>
      <c r="F727" s="41" t="n">
        <f aca="false">Country_Data!$BX$108</f>
        <v>0.630443889605711</v>
      </c>
      <c r="G727" s="42" t="n">
        <f aca="false">IF(D727="","",D727/SUMIFS($D$5:$D$1369,$B$5:$B$1369,B727,$C$5:$C$1369,C727))</f>
        <v>0.000445678521320456</v>
      </c>
      <c r="H727" s="42" t="n">
        <f aca="false">E727/SUMIFS($E$5:$E$1369,$B$5:$B$1369,B727,$C$5:$C$1369,C727)</f>
        <v>0.000756507735560025</v>
      </c>
      <c r="I727" s="43" t="n">
        <f aca="false">IF(G727="",H727,p_beta_alloc*G727+(1-p_beta_alloc)*H727)*F727^p_phi</f>
        <v>0.000477270930362497</v>
      </c>
      <c r="J727" s="16" t="n">
        <f aca="false">INDEX(Sector_Params!$C$17:$E$17,MATCH(B727,Sector_Params!$C$15:$E$15,0))*I727/SUMIFS($I$5:$I$1369,$B$5:$B$1369,B727,$C$5:$C$1369,C727)</f>
        <v>0.293547908829609</v>
      </c>
      <c r="K727" s="28" t="n">
        <f aca="false">INDEX(Sector_Params!$F$6:$H$6,MATCH(B727,Sector_Params!$C$15:$E$15,0))</f>
        <v>0.38</v>
      </c>
      <c r="L727" s="16" t="n">
        <f aca="false">J727*K727</f>
        <v>0.111548205355251</v>
      </c>
      <c r="M727" s="44" t="n">
        <f aca="false">Country_Data!$DW$108+Sector_Params!$E$6</f>
        <v>0.051</v>
      </c>
      <c r="N727" s="44" t="n">
        <f aca="false">Country_Data!$DX$108+Sector_Params!$E$6</f>
        <v>0.066</v>
      </c>
      <c r="O727" s="11" t="n">
        <f aca="false">IF(p_use_ibrd=1,p_r_ibrd,p_r_wb)</f>
        <v>0.06</v>
      </c>
      <c r="P727" s="45" t="n">
        <f aca="false">Sector_Params!$D$6</f>
        <v>40</v>
      </c>
      <c r="Q727" s="46" t="n">
        <f aca="false">M727/(1-(1+M727)^-P727)</f>
        <v>0.0590782864550011</v>
      </c>
      <c r="R727" s="46" t="n">
        <f aca="false">N727/(1-(1+N727)^-P727)</f>
        <v>0.0715503944010459</v>
      </c>
      <c r="S727" s="46" t="n">
        <f aca="false">O727/(1-(1+O727)^-P727)</f>
        <v>0.0664615359206755</v>
      </c>
      <c r="T727" s="37" t="n">
        <f aca="false">p_grid_credit*IF(AND(p_eng=1,ISNUMBER(Country_Data!$CZ$108)),Country_Data!$CZ$108,Country_Data!$CM$108)*Sector_Params!$I$6</f>
        <v>0</v>
      </c>
      <c r="U727" s="37" t="n">
        <f aca="false">p_grid_credit*IF(AND(p_eng=1,ISNUMBER(Country_Data!$DA$108)),Country_Data!$DA$108,Country_Data!$CN$108)*Sector_Params!$J$6</f>
        <v>0</v>
      </c>
      <c r="V727" s="37" t="n">
        <f aca="false">p_grid_credit*IF(AND(p_eng=1,ISNUMBER(Country_Data!$DB$108)),Country_Data!$DB$108,p_a)</f>
        <v>0</v>
      </c>
      <c r="W727" s="16" t="n">
        <f aca="false">T727*L727</f>
        <v>0</v>
      </c>
      <c r="X727" s="16" t="n">
        <f aca="false">U727*L727</f>
        <v>0</v>
      </c>
      <c r="Y727" s="16" t="n">
        <f aca="false">V727*L727</f>
        <v>0</v>
      </c>
      <c r="Z727" s="16" t="n">
        <f aca="false">Q727*L727</f>
        <v>0.00659007682951884</v>
      </c>
      <c r="AA727" s="16" t="n">
        <f aca="false">R727*L727</f>
        <v>0.0079813180878971</v>
      </c>
      <c r="AB727" s="16" t="n">
        <f aca="false">S727*L727</f>
        <v>0.00741366505710493</v>
      </c>
      <c r="AC727" s="16" t="n">
        <f aca="false">Z727-W727</f>
        <v>0.00659007682951884</v>
      </c>
      <c r="AD727" s="16" t="n">
        <f aca="false">AA727-W727</f>
        <v>0.0079813180878971</v>
      </c>
      <c r="AE727" s="16" t="n">
        <f aca="false">AB727-W727</f>
        <v>0.00741366505710493</v>
      </c>
      <c r="AF727" s="16" t="n">
        <f aca="false">AE727-X727</f>
        <v>0.00741366505710493</v>
      </c>
      <c r="AG727" s="16" t="n">
        <f aca="false">AF727-p_spc_lo*Y727/1000</f>
        <v>0.00741366505710493</v>
      </c>
      <c r="AH727" s="16" t="n">
        <f aca="false">AF727-p_spc_hi*Y727/1000</f>
        <v>0.00741366505710493</v>
      </c>
      <c r="AI727" s="16" t="n">
        <f aca="false">Q727*J727</f>
        <v>0.0173423074461022</v>
      </c>
      <c r="AJ727" s="16" t="n">
        <f aca="false">S727*J727</f>
        <v>0.0195096448871182</v>
      </c>
      <c r="AK727" s="16" t="n">
        <f aca="false">T727*J727</f>
        <v>0</v>
      </c>
      <c r="AL727" s="16" t="n">
        <f aca="false">U727*J727</f>
        <v>0</v>
      </c>
      <c r="AM727" s="16" t="n">
        <f aca="false">AI727-AJ727</f>
        <v>-0.00216733744101603</v>
      </c>
      <c r="AN727" s="16" t="n">
        <f aca="false">J727*Country_Data!$EB$108</f>
        <v>0.306706953018523</v>
      </c>
      <c r="AO727" s="16" t="n">
        <f aca="false">L727*Country_Data!$EB$108</f>
        <v>0.116548642147039</v>
      </c>
    </row>
    <row r="728" customFormat="false" ht="15" hidden="false" customHeight="false" outlineLevel="0" collapsed="false">
      <c r="A728" s="14" t="str">
        <f aca="false">Country_Data!$A$108</f>
        <v>CYP</v>
      </c>
      <c r="B728" s="14" t="str">
        <f aca="false">Country_Data!$E$108</f>
        <v>AE</v>
      </c>
      <c r="C728" s="35" t="s">
        <v>473</v>
      </c>
      <c r="D728" s="37" t="n">
        <f aca="false">IF(Country_Data!$CA$108="","",Country_Data!$CA$108)</f>
        <v>0.0347301398814695</v>
      </c>
      <c r="E728" s="40" t="n">
        <f aca="false">Country_Data!$BW$108</f>
        <v>59.677</v>
      </c>
      <c r="F728" s="41" t="n">
        <f aca="false">Country_Data!$BX$108</f>
        <v>0.630443889605711</v>
      </c>
      <c r="G728" s="42" t="n">
        <f aca="false">IF(D728="","",D728/SUMIFS($D$5:$D$1369,$B$5:$B$1369,B728,$C$5:$C$1369,C728))</f>
        <v>0.000679876174604428</v>
      </c>
      <c r="H728" s="42" t="n">
        <f aca="false">E728/SUMIFS($E$5:$E$1369,$B$5:$B$1369,B728,$C$5:$C$1369,C728)</f>
        <v>0.000756507735560025</v>
      </c>
      <c r="I728" s="43" t="n">
        <f aca="false">IF(G728="",H728,p_beta_alloc*G728+(1-p_beta_alloc)*H728)*F728^p_phi</f>
        <v>0.000570247980492481</v>
      </c>
      <c r="J728" s="16" t="n">
        <f aca="false">INDEX(Sector_Params!$C$18:$E$18,MATCH(B728,Sector_Params!$C$15:$E$15,0))*I728/SUMIFS($I$5:$I$1369,$B$5:$B$1369,B728,$C$5:$C$1369,C728)</f>
        <v>0.214899753882546</v>
      </c>
      <c r="K728" s="28" t="n">
        <f aca="false">INDEX(Sector_Params!$F$7:$H$7,MATCH(B728,Sector_Params!$C$15:$E$15,0))</f>
        <v>0.38</v>
      </c>
      <c r="L728" s="16" t="n">
        <f aca="false">J728*K728</f>
        <v>0.0816619064753675</v>
      </c>
      <c r="M728" s="44" t="n">
        <f aca="false">Country_Data!$DW$108+Sector_Params!$E$7</f>
        <v>0.051</v>
      </c>
      <c r="N728" s="44" t="n">
        <f aca="false">Country_Data!$DX$108+Sector_Params!$E$7</f>
        <v>0.066</v>
      </c>
      <c r="O728" s="11" t="n">
        <f aca="false">IF(p_use_ibrd=1,p_r_ibrd,p_r_wb)</f>
        <v>0.06</v>
      </c>
      <c r="P728" s="45" t="n">
        <f aca="false">Sector_Params!$D$7</f>
        <v>12</v>
      </c>
      <c r="Q728" s="46" t="n">
        <f aca="false">M728/(1-(1+M728)^-P728)</f>
        <v>0.113462625963148</v>
      </c>
      <c r="R728" s="46" t="n">
        <f aca="false">N728/(1-(1+N728)^-P728)</f>
        <v>0.123231536888487</v>
      </c>
      <c r="S728" s="46" t="n">
        <f aca="false">O728/(1-(1+O728)^-P728)</f>
        <v>0.119277029380664</v>
      </c>
      <c r="T728" s="37" t="n">
        <f aca="false">IF(AND(p_eng=1,ISNUMBER(Country_Data!$DE$108)),Country_Data!$DE$108,Country_Data!$CM$108)*Sector_Params!$I$7</f>
        <v>0.09149274</v>
      </c>
      <c r="U728" s="37" t="n">
        <f aca="false">IF(AND(p_eng=1,ISNUMBER(Country_Data!$DF$108)),Country_Data!$DF$108,Country_Data!$CN$108)*Sector_Params!$J$7</f>
        <v>0.002904075</v>
      </c>
      <c r="V728" s="37" t="n">
        <f aca="false">IF(AND(p_eng=1,ISNUMBER(Country_Data!$DG$108)),Country_Data!$DG$108,p_a)</f>
        <v>0.21618673857868</v>
      </c>
      <c r="W728" s="16" t="n">
        <f aca="false">T728*L728</f>
        <v>0.00747147157705511</v>
      </c>
      <c r="X728" s="16" t="n">
        <f aca="false">U728*L728</f>
        <v>0.000237152301047453</v>
      </c>
      <c r="Y728" s="16" t="n">
        <f aca="false">V728*L728</f>
        <v>0.0176542212270269</v>
      </c>
      <c r="Z728" s="16" t="n">
        <f aca="false">Q728*L728</f>
        <v>0.00926557434985219</v>
      </c>
      <c r="AA728" s="16" t="n">
        <f aca="false">R728*L728</f>
        <v>0.0100633222402034</v>
      </c>
      <c r="AB728" s="16" t="n">
        <f aca="false">S728*L728</f>
        <v>0.00974038961794341</v>
      </c>
      <c r="AC728" s="16" t="n">
        <f aca="false">Z728-W728</f>
        <v>0.00179410277279708</v>
      </c>
      <c r="AD728" s="16" t="n">
        <f aca="false">AA728-W728</f>
        <v>0.00259185066314831</v>
      </c>
      <c r="AE728" s="16" t="n">
        <f aca="false">AB728-W728</f>
        <v>0.00226891804088829</v>
      </c>
      <c r="AF728" s="16" t="n">
        <f aca="false">AE728-X728</f>
        <v>0.00203176573984084</v>
      </c>
      <c r="AG728" s="16" t="n">
        <f aca="false">AF728-p_spc_lo*Y728/1000</f>
        <v>0.00114905467848949</v>
      </c>
      <c r="AH728" s="16" t="n">
        <f aca="false">AF728-p_spc_hi*Y728/1000</f>
        <v>0.000266343617138149</v>
      </c>
      <c r="AI728" s="16" t="n">
        <f aca="false">Q728*J728</f>
        <v>0.0243830903943479</v>
      </c>
      <c r="AJ728" s="16" t="n">
        <f aca="false">S728*J728</f>
        <v>0.0256326042577458</v>
      </c>
      <c r="AK728" s="16" t="n">
        <f aca="false">T728*J728</f>
        <v>0.0196617673080398</v>
      </c>
      <c r="AL728" s="16" t="n">
        <f aca="false">U728*J728</f>
        <v>0.000624085002756455</v>
      </c>
      <c r="AM728" s="16" t="n">
        <f aca="false">AI728-AJ728</f>
        <v>-0.00124951386339793</v>
      </c>
      <c r="AN728" s="16" t="n">
        <f aca="false">J728*Country_Data!$EB$108</f>
        <v>0.224533191125557</v>
      </c>
      <c r="AO728" s="16" t="n">
        <f aca="false">L728*Country_Data!$EB$108</f>
        <v>0.0853226126277115</v>
      </c>
    </row>
    <row r="729" customFormat="false" ht="15" hidden="false" customHeight="false" outlineLevel="0" collapsed="false">
      <c r="A729" s="14" t="str">
        <f aca="false">Country_Data!$A$108</f>
        <v>CYP</v>
      </c>
      <c r="B729" s="14" t="str">
        <f aca="false">Country_Data!$E$108</f>
        <v>AE</v>
      </c>
      <c r="C729" s="35" t="s">
        <v>477</v>
      </c>
      <c r="D729" s="37" t="n">
        <f aca="false">IF(Country_Data!$CB$108="","",Country_Data!$CB$108)</f>
        <v>0.00971390760474734</v>
      </c>
      <c r="E729" s="40" t="n">
        <f aca="false">Country_Data!$BW$108</f>
        <v>59.677</v>
      </c>
      <c r="F729" s="41" t="n">
        <f aca="false">Country_Data!$BX$108</f>
        <v>0.630443889605711</v>
      </c>
      <c r="G729" s="42" t="n">
        <f aca="false">IF(D729="","",D729/SUMIFS($D$5:$D$1369,$B$5:$B$1369,B729,$C$5:$C$1369,C729))</f>
        <v>0.000249794174453918</v>
      </c>
      <c r="H729" s="42" t="n">
        <f aca="false">E729/SUMIFS($E$5:$E$1369,$B$5:$B$1369,B729,$C$5:$C$1369,C729)</f>
        <v>0.000756507735560025</v>
      </c>
      <c r="I729" s="43" t="n">
        <f aca="false">IF(G729="",H729,p_beta_alloc*G729+(1-p_beta_alloc)*H729)*F729^p_phi</f>
        <v>0.000399504358055276</v>
      </c>
      <c r="J729" s="16" t="n">
        <f aca="false">INDEX(Sector_Params!$C$19:$E$19,MATCH(B729,Sector_Params!$C$15:$E$15,0))*I729/SUMIFS($I$5:$I$1369,$B$5:$B$1369,B729,$C$5:$C$1369,C729)</f>
        <v>0.117437069621197</v>
      </c>
      <c r="K729" s="28" t="n">
        <f aca="false">INDEX(Sector_Params!$F$8:$H$8,MATCH(B729,Sector_Params!$C$15:$E$15,0))</f>
        <v>0.38</v>
      </c>
      <c r="L729" s="16" t="n">
        <f aca="false">J729*K729</f>
        <v>0.0446260864560547</v>
      </c>
      <c r="M729" s="44" t="n">
        <f aca="false">Country_Data!$DW$108+Sector_Params!$E$8</f>
        <v>0.051</v>
      </c>
      <c r="N729" s="44" t="n">
        <f aca="false">Country_Data!$DX$108+Sector_Params!$E$8</f>
        <v>0.066</v>
      </c>
      <c r="O729" s="11" t="n">
        <f aca="false">IF(p_use_ibrd=1,p_r_ibrd,p_r_wb)</f>
        <v>0.06</v>
      </c>
      <c r="P729" s="45" t="n">
        <f aca="false">Sector_Params!$D$8</f>
        <v>25</v>
      </c>
      <c r="Q729" s="46" t="n">
        <f aca="false">M729/(1-(1+M729)^-P729)</f>
        <v>0.0716652537405393</v>
      </c>
      <c r="R729" s="46" t="n">
        <f aca="false">N729/(1-(1+N729)^-P729)</f>
        <v>0.0827414471010819</v>
      </c>
      <c r="S729" s="46" t="n">
        <f aca="false">O729/(1-(1+O729)^-P729)</f>
        <v>0.078226718212274</v>
      </c>
      <c r="T729" s="37" t="n">
        <f aca="false">Country_Data!$CM$108*Sector_Params!$I$8</f>
        <v>0.156799089932383</v>
      </c>
      <c r="U729" s="37" t="n">
        <f aca="false">Country_Data!$CN$108*Sector_Params!$J$8</f>
        <v>0.03225</v>
      </c>
      <c r="V729" s="37" t="n">
        <f aca="false">p_a</f>
        <v>0.35</v>
      </c>
      <c r="W729" s="16" t="n">
        <f aca="false">T729*L729</f>
        <v>0.00699732974355321</v>
      </c>
      <c r="X729" s="16" t="n">
        <f aca="false">U729*L729</f>
        <v>0.00143919128820776</v>
      </c>
      <c r="Y729" s="16" t="n">
        <f aca="false">V729*L729</f>
        <v>0.0156191302596191</v>
      </c>
      <c r="Z729" s="16" t="n">
        <f aca="false">Q729*L729</f>
        <v>0.00319813980932041</v>
      </c>
      <c r="AA729" s="16" t="n">
        <f aca="false">R729*L729</f>
        <v>0.00369242697183196</v>
      </c>
      <c r="AB729" s="16" t="n">
        <f aca="false">S729*L729</f>
        <v>0.00349095229011437</v>
      </c>
      <c r="AC729" s="16" t="n">
        <f aca="false">Z729-W729</f>
        <v>-0.0037991899342328</v>
      </c>
      <c r="AD729" s="16" t="n">
        <f aca="false">AA729-W729</f>
        <v>-0.00330490277172125</v>
      </c>
      <c r="AE729" s="16" t="n">
        <f aca="false">AB729-W729</f>
        <v>-0.00350637745343884</v>
      </c>
      <c r="AF729" s="16" t="n">
        <f aca="false">AE729-X729</f>
        <v>-0.00494556874164661</v>
      </c>
      <c r="AG729" s="16" t="n">
        <f aca="false">AF729-p_spc_lo*Y729/1000</f>
        <v>-0.00572652525462756</v>
      </c>
      <c r="AH729" s="16" t="n">
        <f aca="false">AF729-p_spc_hi*Y729/1000</f>
        <v>-0.00650748176760852</v>
      </c>
      <c r="AI729" s="16" t="n">
        <f aca="false">Q729*J729</f>
        <v>0.00841615739294844</v>
      </c>
      <c r="AJ729" s="16" t="n">
        <f aca="false">S729*J729</f>
        <v>0.00918671655293255</v>
      </c>
      <c r="AK729" s="16" t="n">
        <f aca="false">T729*J729</f>
        <v>0.0184140256409295</v>
      </c>
      <c r="AL729" s="16" t="n">
        <f aca="false">U729*J729</f>
        <v>0.00378734549528359</v>
      </c>
      <c r="AM729" s="16" t="n">
        <f aca="false">AI729-AJ729</f>
        <v>-0.00077055915998411</v>
      </c>
      <c r="AN729" s="16" t="n">
        <f aca="false">J729*Country_Data!$EB$108</f>
        <v>0.122701489983526</v>
      </c>
      <c r="AO729" s="16" t="n">
        <f aca="false">L729*Country_Data!$EB$108</f>
        <v>0.0466265661937399</v>
      </c>
    </row>
    <row r="730" customFormat="false" ht="15" hidden="false" customHeight="false" outlineLevel="0" collapsed="false">
      <c r="A730" s="14" t="str">
        <f aca="false">Country_Data!$A$108</f>
        <v>CYP</v>
      </c>
      <c r="B730" s="14" t="str">
        <f aca="false">Country_Data!$E$108</f>
        <v>AE</v>
      </c>
      <c r="C730" s="35" t="s">
        <v>481</v>
      </c>
      <c r="D730" s="37" t="n">
        <f aca="false">IF(Country_Data!$CC$108="","",Country_Data!$CC$108)</f>
        <v>0.0466113940137816</v>
      </c>
      <c r="E730" s="40" t="n">
        <f aca="false">Country_Data!$BW$108</f>
        <v>59.677</v>
      </c>
      <c r="F730" s="41" t="n">
        <f aca="false">Country_Data!$BX$108</f>
        <v>0.630443889605711</v>
      </c>
      <c r="G730" s="42" t="n">
        <f aca="false">IF(D730="","",D730/SUMIFS($D$5:$D$1369,$B$5:$B$1369,B730,$C$5:$C$1369,C730))</f>
        <v>0.000848693877086003</v>
      </c>
      <c r="H730" s="42" t="n">
        <f aca="false">E730/SUMIFS($E$5:$E$1369,$B$5:$B$1369,B730,$C$5:$C$1369,C730)</f>
        <v>0.000756507735560025</v>
      </c>
      <c r="I730" s="43" t="n">
        <f aca="false">IF(G730="",H730,p_beta_alloc*G730+(1-p_beta_alloc)*H730)*F730^p_phi</f>
        <v>0.000637269027741943</v>
      </c>
      <c r="J730" s="16" t="n">
        <f aca="false">INDEX(Sector_Params!$C$20:$E$20,MATCH(B730,Sector_Params!$C$15:$E$15,0))*I730/SUMIFS($I$5:$I$1369,$B$5:$B$1369,B730,$C$5:$C$1369,C730)</f>
        <v>0.108219338648028</v>
      </c>
      <c r="K730" s="28" t="n">
        <f aca="false">INDEX(Sector_Params!$F$9:$H$9,MATCH(B730,Sector_Params!$C$15:$E$15,0))</f>
        <v>0.38</v>
      </c>
      <c r="L730" s="16" t="n">
        <f aca="false">J730*K730</f>
        <v>0.0411233486862508</v>
      </c>
      <c r="M730" s="44" t="n">
        <f aca="false">Country_Data!$DW$108+Sector_Params!$E$9</f>
        <v>0.051</v>
      </c>
      <c r="N730" s="44" t="n">
        <f aca="false">Country_Data!$DX$108+Sector_Params!$E$9</f>
        <v>0.066</v>
      </c>
      <c r="O730" s="11" t="n">
        <f aca="false">IF(p_use_ibrd=1,p_r_ibrd,p_r_wb)</f>
        <v>0.06</v>
      </c>
      <c r="P730" s="45" t="n">
        <f aca="false">Sector_Params!$D$9</f>
        <v>25</v>
      </c>
      <c r="Q730" s="46" t="n">
        <f aca="false">M730/(1-(1+M730)^-P730)</f>
        <v>0.0716652537405393</v>
      </c>
      <c r="R730" s="46" t="n">
        <f aca="false">N730/(1-(1+N730)^-P730)</f>
        <v>0.0827414471010819</v>
      </c>
      <c r="S730" s="46" t="n">
        <f aca="false">O730/(1-(1+O730)^-P730)</f>
        <v>0.078226718212274</v>
      </c>
      <c r="T730" s="37" t="n">
        <f aca="false">Country_Data!$CM$108*Sector_Params!$I$9</f>
        <v>0.156799089932383</v>
      </c>
      <c r="U730" s="37" t="n">
        <f aca="false">Country_Data!$CN$108*Sector_Params!$J$9</f>
        <v>0.03225</v>
      </c>
      <c r="V730" s="37" t="n">
        <f aca="false">p_a</f>
        <v>0.35</v>
      </c>
      <c r="W730" s="16" t="n">
        <f aca="false">T730*L730</f>
        <v>0.00644810364897617</v>
      </c>
      <c r="X730" s="16" t="n">
        <f aca="false">U730*L730</f>
        <v>0.00132622799513159</v>
      </c>
      <c r="Y730" s="16" t="n">
        <f aca="false">V730*L730</f>
        <v>0.0143931720401878</v>
      </c>
      <c r="Z730" s="16" t="n">
        <f aca="false">Q730*L730</f>
        <v>0.00294711521826084</v>
      </c>
      <c r="AA730" s="16" t="n">
        <f aca="false">R730*L730</f>
        <v>0.00340260537994277</v>
      </c>
      <c r="AB730" s="16" t="n">
        <f aca="false">S730*L730</f>
        <v>0.00321694460962443</v>
      </c>
      <c r="AC730" s="16" t="n">
        <f aca="false">Z730-W730</f>
        <v>-0.00350098843071533</v>
      </c>
      <c r="AD730" s="16" t="n">
        <f aca="false">AA730-W730</f>
        <v>-0.00304549826903341</v>
      </c>
      <c r="AE730" s="16" t="n">
        <f aca="false">AB730-W730</f>
        <v>-0.00323115903935174</v>
      </c>
      <c r="AF730" s="16" t="n">
        <f aca="false">AE730-X730</f>
        <v>-0.00455738703448333</v>
      </c>
      <c r="AG730" s="16" t="n">
        <f aca="false">AF730-p_spc_lo*Y730/1000</f>
        <v>-0.00527704563649272</v>
      </c>
      <c r="AH730" s="16" t="n">
        <f aca="false">AF730-p_spc_hi*Y730/1000</f>
        <v>-0.00599670423850211</v>
      </c>
      <c r="AI730" s="16" t="n">
        <f aca="false">Q730*J730</f>
        <v>0.00775556636384431</v>
      </c>
      <c r="AJ730" s="16" t="n">
        <f aca="false">S730*J730</f>
        <v>0.00846564370953797</v>
      </c>
      <c r="AK730" s="16" t="n">
        <f aca="false">T730*J730</f>
        <v>0.0169686938130952</v>
      </c>
      <c r="AL730" s="16" t="n">
        <f aca="false">U730*J730</f>
        <v>0.00349007367139892</v>
      </c>
      <c r="AM730" s="16" t="n">
        <f aca="false">AI730-AJ730</f>
        <v>-0.000710077345693657</v>
      </c>
      <c r="AN730" s="16" t="n">
        <f aca="false">J730*Country_Data!$EB$108</f>
        <v>0.113070550380526</v>
      </c>
      <c r="AO730" s="16" t="n">
        <f aca="false">L730*Country_Data!$EB$108</f>
        <v>0.0429668091446</v>
      </c>
    </row>
    <row r="731" customFormat="false" ht="15" hidden="false" customHeight="false" outlineLevel="0" collapsed="false">
      <c r="A731" s="14" t="str">
        <f aca="false">Country_Data!$A$108</f>
        <v>CYP</v>
      </c>
      <c r="B731" s="14" t="str">
        <f aca="false">Country_Data!$E$108</f>
        <v>AE</v>
      </c>
      <c r="C731" s="35" t="s">
        <v>484</v>
      </c>
      <c r="D731" s="37" t="n">
        <f aca="false">IF(Country_Data!$CD$108="","",Country_Data!$CD$108)</f>
        <v>0.0755642910632405</v>
      </c>
      <c r="E731" s="40" t="n">
        <f aca="false">Country_Data!$BW$108</f>
        <v>59.677</v>
      </c>
      <c r="F731" s="41" t="n">
        <f aca="false">Country_Data!$BX$108</f>
        <v>0.630443889605711</v>
      </c>
      <c r="G731" s="42" t="n">
        <f aca="false">IF(D731="","",D731/SUMIFS($D$5:$D$1369,$B$5:$B$1369,B731,$C$5:$C$1369,C731))</f>
        <v>0.000511259878630563</v>
      </c>
      <c r="H731" s="42" t="n">
        <f aca="false">E731/SUMIFS($E$5:$E$1369,$B$5:$B$1369,B731,$C$5:$C$1369,C731)</f>
        <v>0.000756507735560025</v>
      </c>
      <c r="I731" s="43" t="n">
        <f aca="false">IF(G731="",H731,p_beta_alloc*G731+(1-p_beta_alloc)*H731)*F731^p_phi</f>
        <v>0.000503306892126899</v>
      </c>
      <c r="J731" s="16" t="n">
        <f aca="false">INDEX(Sector_Params!$C$21:$E$21,MATCH(B731,Sector_Params!$C$15:$E$15,0))*I731/SUMIFS($I$5:$I$1369,$B$5:$B$1369,B731,$C$5:$C$1369,C731)</f>
        <v>0.10254864626427</v>
      </c>
      <c r="K731" s="28" t="n">
        <f aca="false">INDEX(Sector_Params!$F$10:$H$10,MATCH(B731,Sector_Params!$C$15:$E$15,0))</f>
        <v>0.38</v>
      </c>
      <c r="L731" s="16" t="n">
        <f aca="false">J731*K731</f>
        <v>0.0389684855804226</v>
      </c>
      <c r="M731" s="44" t="n">
        <f aca="false">Country_Data!$DW$108+Sector_Params!$E$10</f>
        <v>0.051</v>
      </c>
      <c r="N731" s="44" t="n">
        <f aca="false">Country_Data!$DX$108+Sector_Params!$E$10</f>
        <v>0.066</v>
      </c>
      <c r="O731" s="11" t="n">
        <f aca="false">IF(p_use_ibrd=1,p_r_ibrd,p_r_wb)</f>
        <v>0.06</v>
      </c>
      <c r="P731" s="45" t="n">
        <f aca="false">Sector_Params!$D$10</f>
        <v>20</v>
      </c>
      <c r="Q731" s="46" t="n">
        <f aca="false">M731/(1-(1+M731)^-P731)</f>
        <v>0.0809243689700452</v>
      </c>
      <c r="R731" s="46" t="n">
        <f aca="false">N731/(1-(1+N731)^-P731)</f>
        <v>0.0914785882097228</v>
      </c>
      <c r="S731" s="46" t="n">
        <f aca="false">O731/(1-(1+O731)^-P731)</f>
        <v>0.0871845569768514</v>
      </c>
      <c r="T731" s="37" t="n">
        <f aca="false">0*Sector_Params!$I$10</f>
        <v>0</v>
      </c>
      <c r="U731" s="37" t="n">
        <f aca="false">0*Sector_Params!$J$10</f>
        <v>0</v>
      </c>
      <c r="V731" s="37" t="n">
        <f aca="false">1000*p_r_wb/(1-(1+p_r_wb)^-Sector_Params!$D$10)/p_cpt_fuel</f>
        <v>0.871845569768514</v>
      </c>
      <c r="W731" s="16" t="n">
        <f aca="false">T731*L731</f>
        <v>0</v>
      </c>
      <c r="X731" s="16" t="n">
        <f aca="false">U731*L731</f>
        <v>0</v>
      </c>
      <c r="Y731" s="16" t="n">
        <f aca="false">V731*L731</f>
        <v>0.0339745015138796</v>
      </c>
      <c r="Z731" s="16" t="n">
        <f aca="false">Q731*L731</f>
        <v>0.003153500105314</v>
      </c>
      <c r="AA731" s="16" t="n">
        <f aca="false">R731*L731</f>
        <v>0.003564782045568</v>
      </c>
      <c r="AB731" s="16" t="n">
        <f aca="false">S731*L731</f>
        <v>0.00339745015138796</v>
      </c>
      <c r="AC731" s="16" t="n">
        <f aca="false">Z731-W731</f>
        <v>0.003153500105314</v>
      </c>
      <c r="AD731" s="16" t="n">
        <f aca="false">AA731-W731</f>
        <v>0.003564782045568</v>
      </c>
      <c r="AE731" s="16" t="n">
        <f aca="false">AB731-W731</f>
        <v>0.00339745015138796</v>
      </c>
      <c r="AF731" s="16" t="n">
        <f aca="false">AE731-X731</f>
        <v>0.00339745015138796</v>
      </c>
      <c r="AG731" s="16" t="n">
        <f aca="false">AF731-p_spc_lo*Y731/1000</f>
        <v>0.00169872507569398</v>
      </c>
      <c r="AH731" s="16" t="n">
        <f aca="false">AF731-p_spc_hi*Y731/1000</f>
        <v>0</v>
      </c>
      <c r="AI731" s="16" t="n">
        <f aca="false">Q731*J731</f>
        <v>0.00829868448766842</v>
      </c>
      <c r="AJ731" s="16" t="n">
        <f aca="false">S731*J731</f>
        <v>0.00894065829312622</v>
      </c>
      <c r="AK731" s="16" t="n">
        <f aca="false">T731*J731</f>
        <v>0</v>
      </c>
      <c r="AL731" s="16" t="n">
        <f aca="false">U731*J731</f>
        <v>0</v>
      </c>
      <c r="AM731" s="16" t="n">
        <f aca="false">AI731-AJ731</f>
        <v>-0.000641973805457797</v>
      </c>
      <c r="AN731" s="16" t="n">
        <f aca="false">J731*Country_Data!$EB$108</f>
        <v>0.107145654545082</v>
      </c>
      <c r="AO731" s="16" t="n">
        <f aca="false">L731*Country_Data!$EB$108</f>
        <v>0.0407153487271312</v>
      </c>
    </row>
    <row r="732" customFormat="false" ht="15" hidden="false" customHeight="false" outlineLevel="0" collapsed="false">
      <c r="A732" s="14" t="str">
        <f aca="false">Country_Data!$A$108</f>
        <v>CYP</v>
      </c>
      <c r="B732" s="14" t="str">
        <f aca="false">Country_Data!$E$108</f>
        <v>AE</v>
      </c>
      <c r="C732" s="35" t="s">
        <v>488</v>
      </c>
      <c r="D732" s="37" t="n">
        <f aca="false">IF(Country_Data!$CE$108="","",Country_Data!$CE$108)</f>
        <v>1.724</v>
      </c>
      <c r="E732" s="40" t="n">
        <f aca="false">Country_Data!$BW$108</f>
        <v>59.677</v>
      </c>
      <c r="F732" s="41" t="n">
        <f aca="false">Country_Data!$BX$108</f>
        <v>0.630443889605711</v>
      </c>
      <c r="G732" s="42" t="n">
        <f aca="false">IF(D732="","",D732/SUMIFS($D$5:$D$1369,$B$5:$B$1369,B732,$C$5:$C$1369,C732))</f>
        <v>0.000657946459034437</v>
      </c>
      <c r="H732" s="42" t="n">
        <f aca="false">E732/SUMIFS($E$5:$E$1369,$B$5:$B$1369,B732,$C$5:$C$1369,C732)</f>
        <v>0.000756507735560025</v>
      </c>
      <c r="I732" s="43" t="n">
        <f aca="false">IF(G732="",H732,p_beta_alloc*G732+(1-p_beta_alloc)*H732)*F732^p_phi</f>
        <v>0.00056154182893504</v>
      </c>
      <c r="J732" s="16" t="n">
        <f aca="false">INDEX(Sector_Params!$C$22:$E$22,MATCH(B732,Sector_Params!$C$15:$E$15,0))*I732/SUMIFS($I$5:$I$1369,$B$5:$B$1369,B732,$C$5:$C$1369,C732)</f>
        <v>0.0217584109045948</v>
      </c>
      <c r="K732" s="28" t="n">
        <f aca="false">INDEX(Sector_Params!$F$11:$H$11,MATCH(B732,Sector_Params!$C$15:$E$15,0))</f>
        <v>0.38</v>
      </c>
      <c r="L732" s="16" t="n">
        <f aca="false">J732*K732</f>
        <v>0.00826819614374604</v>
      </c>
      <c r="M732" s="44" t="n">
        <f aca="false">Country_Data!$DW$108+Sector_Params!$E$11</f>
        <v>0.051</v>
      </c>
      <c r="N732" s="44" t="n">
        <f aca="false">Country_Data!$DX$108+Sector_Params!$E$11</f>
        <v>0.066</v>
      </c>
      <c r="O732" s="11" t="n">
        <f aca="false">IF(p_use_ibrd=1,p_r_ibrd,p_r_wb)</f>
        <v>0.06</v>
      </c>
      <c r="P732" s="45" t="n">
        <f aca="false">Sector_Params!$D$11</f>
        <v>30</v>
      </c>
      <c r="Q732" s="46" t="n">
        <f aca="false">M732/(1-(1+M732)^-P732)</f>
        <v>0.0657948435812403</v>
      </c>
      <c r="R732" s="46" t="n">
        <f aca="false">N732/(1-(1+N732)^-P732)</f>
        <v>0.0773729464692759</v>
      </c>
      <c r="S732" s="46" t="n">
        <f aca="false">O732/(1-(1+O732)^-P732)</f>
        <v>0.0726489114900472</v>
      </c>
      <c r="T732" s="37" t="n">
        <f aca="false">0*Sector_Params!$I$11</f>
        <v>0</v>
      </c>
      <c r="U732" s="37" t="n">
        <f aca="false">p_c*Sector_Params!$J$11</f>
        <v>0.129</v>
      </c>
      <c r="V732" s="37" t="n">
        <f aca="false">1000*p_r_wb/(1-(1+p_r_wb)^-Sector_Params!$D$11)/p_cpt_afolu</f>
        <v>1.45297822980094</v>
      </c>
      <c r="W732" s="16" t="n">
        <f aca="false">T732*L732</f>
        <v>0</v>
      </c>
      <c r="X732" s="16" t="n">
        <f aca="false">U732*L732</f>
        <v>0.00106659730254324</v>
      </c>
      <c r="Y732" s="16" t="n">
        <f aca="false">V732*L732</f>
        <v>0.0120135089965871</v>
      </c>
      <c r="Z732" s="16" t="n">
        <f aca="false">Q732*L732</f>
        <v>0.000544004671976785</v>
      </c>
      <c r="AA732" s="16" t="n">
        <f aca="false">R732*L732</f>
        <v>0.000639734697627536</v>
      </c>
      <c r="AB732" s="16" t="n">
        <f aca="false">S732*L732</f>
        <v>0.000600675449829356</v>
      </c>
      <c r="AC732" s="16" t="n">
        <f aca="false">Z732-W732</f>
        <v>0.000544004671976785</v>
      </c>
      <c r="AD732" s="16" t="n">
        <f aca="false">AA732-W732</f>
        <v>0.000639734697627536</v>
      </c>
      <c r="AE732" s="16" t="n">
        <f aca="false">AB732-W732</f>
        <v>0.000600675449829356</v>
      </c>
      <c r="AF732" s="16" t="n">
        <f aca="false">AE732-X732</f>
        <v>-0.000465921852713884</v>
      </c>
      <c r="AG732" s="16" t="n">
        <f aca="false">AF732-p_spc_lo*Y732/1000</f>
        <v>-0.00106659730254324</v>
      </c>
      <c r="AH732" s="16" t="n">
        <f aca="false">AF732-p_spc_hi*Y732/1000</f>
        <v>-0.00166727275237259</v>
      </c>
      <c r="AI732" s="16" t="n">
        <f aca="false">Q732*J732</f>
        <v>0.00143159124204417</v>
      </c>
      <c r="AJ732" s="16" t="n">
        <f aca="false">S732*J732</f>
        <v>0.00158072486797199</v>
      </c>
      <c r="AK732" s="16" t="n">
        <f aca="false">T732*J732</f>
        <v>0</v>
      </c>
      <c r="AL732" s="16" t="n">
        <f aca="false">U732*J732</f>
        <v>0.00280683500669273</v>
      </c>
      <c r="AM732" s="16" t="n">
        <f aca="false">AI732-AJ732</f>
        <v>-0.000149133625927819</v>
      </c>
      <c r="AN732" s="16" t="n">
        <f aca="false">J732*Country_Data!$EB$108</f>
        <v>0.0227337879451456</v>
      </c>
      <c r="AO732" s="16" t="n">
        <f aca="false">L732*Country_Data!$EB$108</f>
        <v>0.00863883941915535</v>
      </c>
    </row>
    <row r="733" customFormat="false" ht="15" hidden="false" customHeight="false" outlineLevel="0" collapsed="false">
      <c r="A733" s="14" t="str">
        <f aca="false">Country_Data!$A$109</f>
        <v>HND</v>
      </c>
      <c r="B733" s="14" t="str">
        <f aca="false">Country_Data!$E$109</f>
        <v>EMDC</v>
      </c>
      <c r="C733" s="35" t="s">
        <v>466</v>
      </c>
      <c r="D733" s="37" t="n">
        <f aca="false">IF(Country_Data!$BZ$109="","",Country_Data!$BZ$109)</f>
        <v>8.9509323610921</v>
      </c>
      <c r="E733" s="40" t="n">
        <f aca="false">Country_Data!$BW$109</f>
        <v>81.159</v>
      </c>
      <c r="F733" s="41" t="n">
        <f aca="false">Country_Data!$BX$109</f>
        <v>0.457127367266723</v>
      </c>
      <c r="G733" s="42" t="n">
        <f aca="false">IF(D733="","",D733/SUMIFS($D$5:$D$1369,$B$5:$B$1369,B733,$C$5:$C$1369,C733))</f>
        <v>0.00102185755242407</v>
      </c>
      <c r="H733" s="42" t="n">
        <f aca="false">E733/SUMIFS($E$5:$E$1369,$B$5:$B$1369,B733,$C$5:$C$1369,C733)</f>
        <v>0.00100529047443334</v>
      </c>
      <c r="I733" s="43" t="n">
        <f aca="false">IF(G733="",H733,p_beta_alloc*G733+(1-p_beta_alloc)*H733)*F733^p_phi</f>
        <v>0.00068528950143978</v>
      </c>
      <c r="J733" s="16" t="n">
        <f aca="false">INDEX(Sector_Params!$C$16:$E$16,MATCH(B733,Sector_Params!$C$15:$E$15,0))*I733/SUMIFS($I$5:$I$1369,$B$5:$B$1369,B733,$C$5:$C$1369,C733)</f>
        <v>0.662829379379314</v>
      </c>
      <c r="K733" s="28" t="n">
        <f aca="false">INDEX(Sector_Params!$F$5:$H$5,MATCH(B733,Sector_Params!$C$15:$E$15,0))</f>
        <v>0.24</v>
      </c>
      <c r="L733" s="16" t="n">
        <f aca="false">J733*K733</f>
        <v>0.159079051051035</v>
      </c>
      <c r="M733" s="44" t="n">
        <f aca="false">Country_Data!$DW$109+Sector_Params!$E$5</f>
        <v>0.0669200000000001</v>
      </c>
      <c r="N733" s="44" t="n">
        <f aca="false">Country_Data!$DX$109+Sector_Params!$E$5</f>
        <v>0.11192</v>
      </c>
      <c r="O733" s="11" t="n">
        <f aca="false">IF(p_use_ibrd=1,p_r_ibrd,p_r_wb)</f>
        <v>0.06</v>
      </c>
      <c r="P733" s="45" t="n">
        <f aca="false">Sector_Params!$D$5</f>
        <v>25</v>
      </c>
      <c r="Q733" s="46" t="n">
        <f aca="false">M733/(1-(1+M733)^-P733)</f>
        <v>0.0834432182018887</v>
      </c>
      <c r="R733" s="46" t="n">
        <f aca="false">N733/(1-(1+N733)^-P733)</f>
        <v>0.12040824021084</v>
      </c>
      <c r="S733" s="46" t="n">
        <f aca="false">O733/(1-(1+O733)^-P733)</f>
        <v>0.078226718212274</v>
      </c>
      <c r="T733" s="37" t="n">
        <f aca="false">IF(AND(p_eng=1,ISNUMBER(Country_Data!$CZ$109)),Country_Data!$CZ$109,Country_Data!$CM$109)*Sector_Params!$I$5</f>
        <v>0.128926551433781</v>
      </c>
      <c r="U733" s="37" t="n">
        <f aca="false">IF(AND(p_eng=1,ISNUMBER(Country_Data!$DA$109)),Country_Data!$DA$109,Country_Data!$CN$109)*Sector_Params!$J$5</f>
        <v>0.0220368959980933</v>
      </c>
      <c r="V733" s="37" t="n">
        <f aca="false">IF(AND(p_eng=1,ISNUMBER(Country_Data!$DB$109)),Country_Data!$DB$109,p_a)</f>
        <v>0.834698384362348</v>
      </c>
      <c r="W733" s="16" t="n">
        <f aca="false">T733*L733</f>
        <v>0.0205095134573683</v>
      </c>
      <c r="X733" s="16" t="n">
        <f aca="false">U733*L733</f>
        <v>0.00350560850348704</v>
      </c>
      <c r="Y733" s="16" t="n">
        <f aca="false">V733*L733</f>
        <v>0.132783026898195</v>
      </c>
      <c r="Z733" s="16" t="n">
        <f aca="false">Q733*L733</f>
        <v>0.0132740679682009</v>
      </c>
      <c r="AA733" s="16" t="n">
        <f aca="false">R733*L733</f>
        <v>0.0191544285914655</v>
      </c>
      <c r="AB733" s="16" t="n">
        <f aca="false">S733*L733</f>
        <v>0.0124442321000453</v>
      </c>
      <c r="AC733" s="16" t="n">
        <f aca="false">Z733-W733</f>
        <v>-0.00723544548916741</v>
      </c>
      <c r="AD733" s="16" t="n">
        <f aca="false">AA733-W733</f>
        <v>-0.00135508486590288</v>
      </c>
      <c r="AE733" s="16" t="n">
        <f aca="false">AB733-W733</f>
        <v>-0.00806528135732306</v>
      </c>
      <c r="AF733" s="16" t="n">
        <f aca="false">AE733-X733</f>
        <v>-0.0115708898608101</v>
      </c>
      <c r="AG733" s="16" t="n">
        <f aca="false">AF733-p_spc_lo*Y733/1000</f>
        <v>-0.0182100412057198</v>
      </c>
      <c r="AH733" s="16" t="n">
        <f aca="false">AF733-p_spc_hi*Y733/1000</f>
        <v>-0.0248491925506296</v>
      </c>
      <c r="AI733" s="16" t="n">
        <f aca="false">Q733*J733</f>
        <v>0.0553086165341706</v>
      </c>
      <c r="AJ733" s="16" t="n">
        <f aca="false">S733*J733</f>
        <v>0.051850967083522</v>
      </c>
      <c r="AK733" s="16" t="n">
        <f aca="false">T733*J733</f>
        <v>0.0854563060723681</v>
      </c>
      <c r="AL733" s="16" t="n">
        <f aca="false">U733*J733</f>
        <v>0.0146067020978627</v>
      </c>
      <c r="AM733" s="16" t="n">
        <f aca="false">AI733-AJ733</f>
        <v>0.00345764945064856</v>
      </c>
      <c r="AN733" s="16" t="n">
        <f aca="false">J733*Country_Data!$EB$109</f>
        <v>0.760891808109404</v>
      </c>
      <c r="AO733" s="16" t="n">
        <f aca="false">L733*Country_Data!$EB$109</f>
        <v>0.182614033946257</v>
      </c>
    </row>
    <row r="734" customFormat="false" ht="15" hidden="false" customHeight="false" outlineLevel="0" collapsed="false">
      <c r="A734" s="14" t="str">
        <f aca="false">Country_Data!$A$109</f>
        <v>HND</v>
      </c>
      <c r="B734" s="14" t="str">
        <f aca="false">Country_Data!$E$109</f>
        <v>EMDC</v>
      </c>
      <c r="C734" s="35" t="s">
        <v>470</v>
      </c>
      <c r="D734" s="37" t="n">
        <f aca="false">IF(Country_Data!$BZ$109="","",Country_Data!$BZ$109)</f>
        <v>8.9509323610921</v>
      </c>
      <c r="E734" s="40" t="n">
        <f aca="false">Country_Data!$BW$109</f>
        <v>81.159</v>
      </c>
      <c r="F734" s="41" t="n">
        <f aca="false">Country_Data!$BX$109</f>
        <v>0.457127367266723</v>
      </c>
      <c r="G734" s="42" t="n">
        <f aca="false">IF(D734="","",D734/SUMIFS($D$5:$D$1369,$B$5:$B$1369,B734,$C$5:$C$1369,C734))</f>
        <v>0.00102185755242407</v>
      </c>
      <c r="H734" s="42" t="n">
        <f aca="false">E734/SUMIFS($E$5:$E$1369,$B$5:$B$1369,B734,$C$5:$C$1369,C734)</f>
        <v>0.00100529047443334</v>
      </c>
      <c r="I734" s="43" t="n">
        <f aca="false">IF(G734="",H734,p_beta_alloc*G734+(1-p_beta_alloc)*H734)*F734^p_phi</f>
        <v>0.00068528950143978</v>
      </c>
      <c r="J734" s="16" t="n">
        <f aca="false">INDEX(Sector_Params!$C$17:$E$17,MATCH(B734,Sector_Params!$C$15:$E$15,0))*I734/SUMIFS($I$5:$I$1369,$B$5:$B$1369,B734,$C$5:$C$1369,C734)</f>
        <v>0.45451157443153</v>
      </c>
      <c r="K734" s="28" t="n">
        <f aca="false">INDEX(Sector_Params!$F$6:$H$6,MATCH(B734,Sector_Params!$C$15:$E$15,0))</f>
        <v>0.24</v>
      </c>
      <c r="L734" s="16" t="n">
        <f aca="false">J734*K734</f>
        <v>0.109082777863567</v>
      </c>
      <c r="M734" s="44" t="n">
        <f aca="false">Country_Data!$DW$109+Sector_Params!$E$6</f>
        <v>0.0669200000000001</v>
      </c>
      <c r="N734" s="44" t="n">
        <f aca="false">Country_Data!$DX$109+Sector_Params!$E$6</f>
        <v>0.11192</v>
      </c>
      <c r="O734" s="11" t="n">
        <f aca="false">IF(p_use_ibrd=1,p_r_ibrd,p_r_wb)</f>
        <v>0.06</v>
      </c>
      <c r="P734" s="45" t="n">
        <f aca="false">Sector_Params!$D$6</f>
        <v>40</v>
      </c>
      <c r="Q734" s="46" t="n">
        <f aca="false">M734/(1-(1+M734)^-P734)</f>
        <v>0.0723414162758343</v>
      </c>
      <c r="R734" s="46" t="n">
        <f aca="false">N734/(1-(1+N734)^-P734)</f>
        <v>0.113550220329489</v>
      </c>
      <c r="S734" s="46" t="n">
        <f aca="false">O734/(1-(1+O734)^-P734)</f>
        <v>0.0664615359206755</v>
      </c>
      <c r="T734" s="37" t="n">
        <f aca="false">p_grid_credit*IF(AND(p_eng=1,ISNUMBER(Country_Data!$CZ$109)),Country_Data!$CZ$109,Country_Data!$CM$109)*Sector_Params!$I$6</f>
        <v>0</v>
      </c>
      <c r="U734" s="37" t="n">
        <f aca="false">p_grid_credit*IF(AND(p_eng=1,ISNUMBER(Country_Data!$DA$109)),Country_Data!$DA$109,Country_Data!$CN$109)*Sector_Params!$J$6</f>
        <v>0</v>
      </c>
      <c r="V734" s="37" t="n">
        <f aca="false">p_grid_credit*IF(AND(p_eng=1,ISNUMBER(Country_Data!$DB$109)),Country_Data!$DB$109,p_a)</f>
        <v>0</v>
      </c>
      <c r="W734" s="16" t="n">
        <f aca="false">T734*L734</f>
        <v>0</v>
      </c>
      <c r="X734" s="16" t="n">
        <f aca="false">U734*L734</f>
        <v>0</v>
      </c>
      <c r="Y734" s="16" t="n">
        <f aca="false">V734*L734</f>
        <v>0</v>
      </c>
      <c r="Z734" s="16" t="n">
        <f aca="false">Q734*L734</f>
        <v>0.00789120264195267</v>
      </c>
      <c r="AA734" s="16" t="n">
        <f aca="false">R734*L734</f>
        <v>0.0123863734605607</v>
      </c>
      <c r="AB734" s="16" t="n">
        <f aca="false">S734*L734</f>
        <v>0.00724980895930653</v>
      </c>
      <c r="AC734" s="16" t="n">
        <f aca="false">Z734-W734</f>
        <v>0.00789120264195267</v>
      </c>
      <c r="AD734" s="16" t="n">
        <f aca="false">AA734-W734</f>
        <v>0.0123863734605607</v>
      </c>
      <c r="AE734" s="16" t="n">
        <f aca="false">AB734-W734</f>
        <v>0.00724980895930653</v>
      </c>
      <c r="AF734" s="16" t="n">
        <f aca="false">AE734-X734</f>
        <v>0.00724980895930653</v>
      </c>
      <c r="AG734" s="16" t="n">
        <f aca="false">AF734-p_spc_lo*Y734/1000</f>
        <v>0.00724980895930653</v>
      </c>
      <c r="AH734" s="16" t="n">
        <f aca="false">AF734-p_spc_hi*Y734/1000</f>
        <v>0.00724980895930653</v>
      </c>
      <c r="AI734" s="16" t="n">
        <f aca="false">Q734*J734</f>
        <v>0.0328800110081361</v>
      </c>
      <c r="AJ734" s="16" t="n">
        <f aca="false">S734*J734</f>
        <v>0.0302075373304439</v>
      </c>
      <c r="AK734" s="16" t="n">
        <f aca="false">T734*J734</f>
        <v>0</v>
      </c>
      <c r="AL734" s="16" t="n">
        <f aca="false">U734*J734</f>
        <v>0</v>
      </c>
      <c r="AM734" s="16" t="n">
        <f aca="false">AI734-AJ734</f>
        <v>0.00267247367769224</v>
      </c>
      <c r="AN734" s="16" t="n">
        <f aca="false">J734*Country_Data!$EB$109</f>
        <v>0.521754382703591</v>
      </c>
      <c r="AO734" s="16" t="n">
        <f aca="false">L734*Country_Data!$EB$109</f>
        <v>0.125221051848862</v>
      </c>
    </row>
    <row r="735" customFormat="false" ht="15" hidden="false" customHeight="false" outlineLevel="0" collapsed="false">
      <c r="A735" s="14" t="str">
        <f aca="false">Country_Data!$A$109</f>
        <v>HND</v>
      </c>
      <c r="B735" s="14" t="str">
        <f aca="false">Country_Data!$E$109</f>
        <v>EMDC</v>
      </c>
      <c r="C735" s="35" t="s">
        <v>473</v>
      </c>
      <c r="D735" s="37" t="n">
        <f aca="false">IF(Country_Data!$CA$109="","",Country_Data!$CA$109)</f>
        <v>0.0834466304960034</v>
      </c>
      <c r="E735" s="40" t="n">
        <f aca="false">Country_Data!$BW$109</f>
        <v>81.159</v>
      </c>
      <c r="F735" s="41" t="n">
        <f aca="false">Country_Data!$BX$109</f>
        <v>0.457127367266723</v>
      </c>
      <c r="G735" s="42" t="n">
        <f aca="false">IF(D735="","",D735/SUMIFS($D$5:$D$1369,$B$5:$B$1369,B735,$C$5:$C$1369,C735))</f>
        <v>0.00192781132093535</v>
      </c>
      <c r="H735" s="42" t="n">
        <f aca="false">E735/SUMIFS($E$5:$E$1369,$B$5:$B$1369,B735,$C$5:$C$1369,C735)</f>
        <v>0.00100529047443334</v>
      </c>
      <c r="I735" s="43" t="n">
        <f aca="false">IF(G735="",H735,p_beta_alloc*G735+(1-p_beta_alloc)*H735)*F735^p_phi</f>
        <v>0.00099155258540067</v>
      </c>
      <c r="J735" s="16" t="n">
        <f aca="false">INDEX(Sector_Params!$C$18:$E$18,MATCH(B735,Sector_Params!$C$15:$E$15,0))*I735/SUMIFS($I$5:$I$1369,$B$5:$B$1369,B735,$C$5:$C$1369,C735)</f>
        <v>0.406017322383337</v>
      </c>
      <c r="K735" s="28" t="n">
        <f aca="false">INDEX(Sector_Params!$F$7:$H$7,MATCH(B735,Sector_Params!$C$15:$E$15,0))</f>
        <v>0.24</v>
      </c>
      <c r="L735" s="16" t="n">
        <f aca="false">J735*K735</f>
        <v>0.0974441573720009</v>
      </c>
      <c r="M735" s="44" t="n">
        <f aca="false">Country_Data!$DW$109+Sector_Params!$E$7</f>
        <v>0.0669200000000001</v>
      </c>
      <c r="N735" s="44" t="n">
        <f aca="false">Country_Data!$DX$109+Sector_Params!$E$7</f>
        <v>0.11192</v>
      </c>
      <c r="O735" s="11" t="n">
        <f aca="false">IF(p_use_ibrd=1,p_r_ibrd,p_r_wb)</f>
        <v>0.06</v>
      </c>
      <c r="P735" s="45" t="n">
        <f aca="false">Sector_Params!$D$7</f>
        <v>12</v>
      </c>
      <c r="Q735" s="46" t="n">
        <f aca="false">M735/(1-(1+M735)^-P735)</f>
        <v>0.123843341490336</v>
      </c>
      <c r="R735" s="46" t="n">
        <f aca="false">N735/(1-(1+N735)^-P735)</f>
        <v>0.155438802831538</v>
      </c>
      <c r="S735" s="46" t="n">
        <f aca="false">O735/(1-(1+O735)^-P735)</f>
        <v>0.119277029380664</v>
      </c>
      <c r="T735" s="37" t="n">
        <f aca="false">IF(AND(p_eng=1,ISNUMBER(Country_Data!$DE$109)),Country_Data!$DE$109,Country_Data!$CM$109)*Sector_Params!$I$7</f>
        <v>0.13019769</v>
      </c>
      <c r="U735" s="37" t="n">
        <f aca="false">IF(AND(p_eng=1,ISNUMBER(Country_Data!$DF$109)),Country_Data!$DF$109,Country_Data!$CN$109)*Sector_Params!$J$7</f>
        <v>0.0036036</v>
      </c>
      <c r="V735" s="37" t="n">
        <f aca="false">IF(AND(p_eng=1,ISNUMBER(Country_Data!$DG$109)),Country_Data!$DG$109,p_a)</f>
        <v>0.337400567307692</v>
      </c>
      <c r="W735" s="16" t="n">
        <f aca="false">T735*L735</f>
        <v>0.012687004193831</v>
      </c>
      <c r="X735" s="16" t="n">
        <f aca="false">U735*L735</f>
        <v>0.000351149765505742</v>
      </c>
      <c r="Y735" s="16" t="n">
        <f aca="false">V735*L735</f>
        <v>0.0328777139781332</v>
      </c>
      <c r="Z735" s="16" t="n">
        <f aca="false">Q735*L735</f>
        <v>0.0120678100576587</v>
      </c>
      <c r="AA735" s="16" t="n">
        <f aca="false">R735*L735</f>
        <v>0.0151466031648318</v>
      </c>
      <c r="AB735" s="16" t="n">
        <f aca="false">S735*L735</f>
        <v>0.0116228496218342</v>
      </c>
      <c r="AC735" s="16" t="n">
        <f aca="false">Z735-W735</f>
        <v>-0.000619194136172261</v>
      </c>
      <c r="AD735" s="16" t="n">
        <f aca="false">AA735-W735</f>
        <v>0.00245959897100086</v>
      </c>
      <c r="AE735" s="16" t="n">
        <f aca="false">AB735-W735</f>
        <v>-0.00106415457199683</v>
      </c>
      <c r="AF735" s="16" t="n">
        <f aca="false">AE735-X735</f>
        <v>-0.00141530433750258</v>
      </c>
      <c r="AG735" s="16" t="n">
        <f aca="false">AF735-p_spc_lo*Y735/1000</f>
        <v>-0.00305919003640924</v>
      </c>
      <c r="AH735" s="16" t="n">
        <f aca="false">AF735-p_spc_hi*Y735/1000</f>
        <v>-0.00470307573531589</v>
      </c>
      <c r="AI735" s="16" t="n">
        <f aca="false">Q735*J735</f>
        <v>0.0502825419069114</v>
      </c>
      <c r="AJ735" s="16" t="n">
        <f aca="false">S735*J735</f>
        <v>0.0484285400909756</v>
      </c>
      <c r="AK735" s="16" t="n">
        <f aca="false">T735*J735</f>
        <v>0.0528625174742958</v>
      </c>
      <c r="AL735" s="16" t="n">
        <f aca="false">U735*J735</f>
        <v>0.00146312402294059</v>
      </c>
      <c r="AM735" s="16" t="n">
        <f aca="false">AI735-AJ735</f>
        <v>0.00185400181593573</v>
      </c>
      <c r="AN735" s="16" t="n">
        <f aca="false">J735*Country_Data!$EB$109</f>
        <v>0.466085638571557</v>
      </c>
      <c r="AO735" s="16" t="n">
        <f aca="false">L735*Country_Data!$EB$109</f>
        <v>0.111860553257174</v>
      </c>
    </row>
    <row r="736" customFormat="false" ht="15" hidden="false" customHeight="false" outlineLevel="0" collapsed="false">
      <c r="A736" s="14" t="str">
        <f aca="false">Country_Data!$A$109</f>
        <v>HND</v>
      </c>
      <c r="B736" s="14" t="str">
        <f aca="false">Country_Data!$E$109</f>
        <v>EMDC</v>
      </c>
      <c r="C736" s="35" t="s">
        <v>477</v>
      </c>
      <c r="D736" s="37" t="n">
        <f aca="false">IF(Country_Data!$CB$109="","",Country_Data!$CB$109)</f>
        <v>0.0225183155448594</v>
      </c>
      <c r="E736" s="40" t="n">
        <f aca="false">Country_Data!$BW$109</f>
        <v>81.159</v>
      </c>
      <c r="F736" s="41" t="n">
        <f aca="false">Country_Data!$BX$109</f>
        <v>0.457127367266723</v>
      </c>
      <c r="G736" s="42" t="n">
        <f aca="false">IF(D736="","",D736/SUMIFS($D$5:$D$1369,$B$5:$B$1369,B736,$C$5:$C$1369,C736))</f>
        <v>0.000710071057407376</v>
      </c>
      <c r="H736" s="42" t="n">
        <f aca="false">E736/SUMIFS($E$5:$E$1369,$B$5:$B$1369,B736,$C$5:$C$1369,C736)</f>
        <v>0.00100529047443334</v>
      </c>
      <c r="I736" s="43" t="n">
        <f aca="false">IF(G736="",H736,p_beta_alloc*G736+(1-p_beta_alloc)*H736)*F736^p_phi</f>
        <v>0.000579888214067155</v>
      </c>
      <c r="J736" s="16" t="n">
        <f aca="false">INDEX(Sector_Params!$C$19:$E$19,MATCH(B736,Sector_Params!$C$15:$E$15,0))*I736/SUMIFS($I$5:$I$1369,$B$5:$B$1369,B736,$C$5:$C$1369,C736)</f>
        <v>0.186644326274181</v>
      </c>
      <c r="K736" s="28" t="n">
        <f aca="false">INDEX(Sector_Params!$F$8:$H$8,MATCH(B736,Sector_Params!$C$15:$E$15,0))</f>
        <v>0.24</v>
      </c>
      <c r="L736" s="16" t="n">
        <f aca="false">J736*K736</f>
        <v>0.0447946383058035</v>
      </c>
      <c r="M736" s="44" t="n">
        <f aca="false">Country_Data!$DW$109+Sector_Params!$E$8</f>
        <v>0.0669200000000001</v>
      </c>
      <c r="N736" s="44" t="n">
        <f aca="false">Country_Data!$DX$109+Sector_Params!$E$8</f>
        <v>0.11192</v>
      </c>
      <c r="O736" s="11" t="n">
        <f aca="false">IF(p_use_ibrd=1,p_r_ibrd,p_r_wb)</f>
        <v>0.06</v>
      </c>
      <c r="P736" s="45" t="n">
        <f aca="false">Sector_Params!$D$8</f>
        <v>25</v>
      </c>
      <c r="Q736" s="46" t="n">
        <f aca="false">M736/(1-(1+M736)^-P736)</f>
        <v>0.0834432182018887</v>
      </c>
      <c r="R736" s="46" t="n">
        <f aca="false">N736/(1-(1+N736)^-P736)</f>
        <v>0.12040824021084</v>
      </c>
      <c r="S736" s="46" t="n">
        <f aca="false">O736/(1-(1+O736)^-P736)</f>
        <v>0.078226718212274</v>
      </c>
      <c r="T736" s="37" t="n">
        <f aca="false">Country_Data!$CM$109*Sector_Params!$I$8</f>
        <v>0.157133860446046</v>
      </c>
      <c r="U736" s="37" t="n">
        <f aca="false">Country_Data!$CN$109*Sector_Params!$J$8</f>
        <v>0.03225</v>
      </c>
      <c r="V736" s="37" t="n">
        <f aca="false">p_a</f>
        <v>0.35</v>
      </c>
      <c r="W736" s="16" t="n">
        <f aca="false">T736*L736</f>
        <v>0.00703875444427524</v>
      </c>
      <c r="X736" s="16" t="n">
        <f aca="false">U736*L736</f>
        <v>0.00144462708536216</v>
      </c>
      <c r="Y736" s="16" t="n">
        <f aca="false">V736*L736</f>
        <v>0.0156781234070312</v>
      </c>
      <c r="Z736" s="16" t="n">
        <f aca="false">Q736*L736</f>
        <v>0.00373780877842584</v>
      </c>
      <c r="AA736" s="16" t="n">
        <f aca="false">R736*L736</f>
        <v>0.00539364356928286</v>
      </c>
      <c r="AB736" s="16" t="n">
        <f aca="false">S736*L736</f>
        <v>0.00350413754816882</v>
      </c>
      <c r="AC736" s="16" t="n">
        <f aca="false">Z736-W736</f>
        <v>-0.00330094566584939</v>
      </c>
      <c r="AD736" s="16" t="n">
        <f aca="false">AA736-W736</f>
        <v>-0.00164511087499238</v>
      </c>
      <c r="AE736" s="16" t="n">
        <f aca="false">AB736-W736</f>
        <v>-0.00353461689610641</v>
      </c>
      <c r="AF736" s="16" t="n">
        <f aca="false">AE736-X736</f>
        <v>-0.00497924398146858</v>
      </c>
      <c r="AG736" s="16" t="n">
        <f aca="false">AF736-p_spc_lo*Y736/1000</f>
        <v>-0.00576315015182014</v>
      </c>
      <c r="AH736" s="16" t="n">
        <f aca="false">AF736-p_spc_hi*Y736/1000</f>
        <v>-0.0065470563221717</v>
      </c>
      <c r="AI736" s="16" t="n">
        <f aca="false">Q736*J736</f>
        <v>0.015574203243441</v>
      </c>
      <c r="AJ736" s="16" t="n">
        <f aca="false">S736*J736</f>
        <v>0.0146005731173701</v>
      </c>
      <c r="AK736" s="16" t="n">
        <f aca="false">T736*J736</f>
        <v>0.0293281435178135</v>
      </c>
      <c r="AL736" s="16" t="n">
        <f aca="false">U736*J736</f>
        <v>0.00601927952234234</v>
      </c>
      <c r="AM736" s="16" t="n">
        <f aca="false">AI736-AJ736</f>
        <v>0.000973630126070924</v>
      </c>
      <c r="AN736" s="16" t="n">
        <f aca="false">J736*Country_Data!$EB$109</f>
        <v>0.214257459476389</v>
      </c>
      <c r="AO736" s="16" t="n">
        <f aca="false">L736*Country_Data!$EB$109</f>
        <v>0.0514217902743333</v>
      </c>
    </row>
    <row r="737" customFormat="false" ht="15" hidden="false" customHeight="false" outlineLevel="0" collapsed="false">
      <c r="A737" s="14" t="str">
        <f aca="false">Country_Data!$A$109</f>
        <v>HND</v>
      </c>
      <c r="B737" s="14" t="str">
        <f aca="false">Country_Data!$E$109</f>
        <v>EMDC</v>
      </c>
      <c r="C737" s="35" t="s">
        <v>481</v>
      </c>
      <c r="D737" s="37" t="n">
        <f aca="false">IF(Country_Data!$CC$109="","",Country_Data!$CC$109)</f>
        <v>0.0331471786773104</v>
      </c>
      <c r="E737" s="40" t="n">
        <f aca="false">Country_Data!$BW$109</f>
        <v>81.159</v>
      </c>
      <c r="F737" s="41" t="n">
        <f aca="false">Country_Data!$BX$109</f>
        <v>0.457127367266723</v>
      </c>
      <c r="G737" s="42" t="n">
        <f aca="false">IF(D737="","",D737/SUMIFS($D$5:$D$1369,$B$5:$B$1369,B737,$C$5:$C$1369,C737))</f>
        <v>0.000473482033839811</v>
      </c>
      <c r="H737" s="42" t="n">
        <f aca="false">E737/SUMIFS($E$5:$E$1369,$B$5:$B$1369,B737,$C$5:$C$1369,C737)</f>
        <v>0.00100529047443334</v>
      </c>
      <c r="I737" s="43" t="n">
        <f aca="false">IF(G737="",H737,p_beta_alloc*G737+(1-p_beta_alloc)*H737)*F737^p_phi</f>
        <v>0.000499907881176475</v>
      </c>
      <c r="J737" s="16" t="n">
        <f aca="false">INDEX(Sector_Params!$C$20:$E$20,MATCH(B737,Sector_Params!$C$15:$E$15,0))*I737/SUMIFS($I$5:$I$1369,$B$5:$B$1369,B737,$C$5:$C$1369,C737)</f>
        <v>0.0912432553031466</v>
      </c>
      <c r="K737" s="28" t="n">
        <f aca="false">INDEX(Sector_Params!$F$9:$H$9,MATCH(B737,Sector_Params!$C$15:$E$15,0))</f>
        <v>0.24</v>
      </c>
      <c r="L737" s="16" t="n">
        <f aca="false">J737*K737</f>
        <v>0.0218983812727552</v>
      </c>
      <c r="M737" s="44" t="n">
        <f aca="false">Country_Data!$DW$109+Sector_Params!$E$9</f>
        <v>0.0669200000000001</v>
      </c>
      <c r="N737" s="44" t="n">
        <f aca="false">Country_Data!$DX$109+Sector_Params!$E$9</f>
        <v>0.11192</v>
      </c>
      <c r="O737" s="11" t="n">
        <f aca="false">IF(p_use_ibrd=1,p_r_ibrd,p_r_wb)</f>
        <v>0.06</v>
      </c>
      <c r="P737" s="45" t="n">
        <f aca="false">Sector_Params!$D$9</f>
        <v>25</v>
      </c>
      <c r="Q737" s="46" t="n">
        <f aca="false">M737/(1-(1+M737)^-P737)</f>
        <v>0.0834432182018887</v>
      </c>
      <c r="R737" s="46" t="n">
        <f aca="false">N737/(1-(1+N737)^-P737)</f>
        <v>0.12040824021084</v>
      </c>
      <c r="S737" s="46" t="n">
        <f aca="false">O737/(1-(1+O737)^-P737)</f>
        <v>0.078226718212274</v>
      </c>
      <c r="T737" s="37" t="n">
        <f aca="false">Country_Data!$CM$109*Sector_Params!$I$9</f>
        <v>0.157133860446046</v>
      </c>
      <c r="U737" s="37" t="n">
        <f aca="false">Country_Data!$CN$109*Sector_Params!$J$9</f>
        <v>0.03225</v>
      </c>
      <c r="V737" s="37" t="n">
        <f aca="false">p_a</f>
        <v>0.35</v>
      </c>
      <c r="W737" s="16" t="n">
        <f aca="false">T737*L737</f>
        <v>0.00344097718690742</v>
      </c>
      <c r="X737" s="16" t="n">
        <f aca="false">U737*L737</f>
        <v>0.000706222796046355</v>
      </c>
      <c r="Y737" s="16" t="n">
        <f aca="false">V737*L737</f>
        <v>0.00766443344546431</v>
      </c>
      <c r="Z737" s="16" t="n">
        <f aca="false">Q737*L737</f>
        <v>0.00182727140681066</v>
      </c>
      <c r="AA737" s="16" t="n">
        <f aca="false">R737*L737</f>
        <v>0.00263674555251846</v>
      </c>
      <c r="AB737" s="16" t="n">
        <f aca="false">S737*L737</f>
        <v>0.00171303850112876</v>
      </c>
      <c r="AC737" s="16" t="n">
        <f aca="false">Z737-W737</f>
        <v>-0.00161370578009676</v>
      </c>
      <c r="AD737" s="16" t="n">
        <f aca="false">AA737-W737</f>
        <v>-0.000804231634388966</v>
      </c>
      <c r="AE737" s="16" t="n">
        <f aca="false">AB737-W737</f>
        <v>-0.00172793868577867</v>
      </c>
      <c r="AF737" s="16" t="n">
        <f aca="false">AE737-X737</f>
        <v>-0.00243416148182502</v>
      </c>
      <c r="AG737" s="16" t="n">
        <f aca="false">AF737-p_spc_lo*Y737/1000</f>
        <v>-0.00281738315409824</v>
      </c>
      <c r="AH737" s="16" t="n">
        <f aca="false">AF737-p_spc_hi*Y737/1000</f>
        <v>-0.00320060482637145</v>
      </c>
      <c r="AI737" s="16" t="n">
        <f aca="false">Q737*J737</f>
        <v>0.0076136308617111</v>
      </c>
      <c r="AJ737" s="16" t="n">
        <f aca="false">S737*J737</f>
        <v>0.00713766042136982</v>
      </c>
      <c r="AK737" s="16" t="n">
        <f aca="false">T737*J737</f>
        <v>0.0143374049454476</v>
      </c>
      <c r="AL737" s="16" t="n">
        <f aca="false">U737*J737</f>
        <v>0.00294259498352648</v>
      </c>
      <c r="AM737" s="16" t="n">
        <f aca="false">AI737-AJ737</f>
        <v>0.000475970440341283</v>
      </c>
      <c r="AN737" s="16" t="n">
        <f aca="false">J737*Country_Data!$EB$109</f>
        <v>0.104742257457585</v>
      </c>
      <c r="AO737" s="16" t="n">
        <f aca="false">L737*Country_Data!$EB$109</f>
        <v>0.0251381417898203</v>
      </c>
    </row>
    <row r="738" customFormat="false" ht="15" hidden="false" customHeight="false" outlineLevel="0" collapsed="false">
      <c r="A738" s="14" t="str">
        <f aca="false">Country_Data!$A$109</f>
        <v>HND</v>
      </c>
      <c r="B738" s="14" t="str">
        <f aca="false">Country_Data!$E$109</f>
        <v>EMDC</v>
      </c>
      <c r="C738" s="35" t="s">
        <v>484</v>
      </c>
      <c r="D738" s="37" t="n">
        <f aca="false">IF(Country_Data!$CD$109="","",Country_Data!$CD$109)</f>
        <v>0.149385065699429</v>
      </c>
      <c r="E738" s="40" t="n">
        <f aca="false">Country_Data!$BW$109</f>
        <v>81.159</v>
      </c>
      <c r="F738" s="41" t="n">
        <f aca="false">Country_Data!$BX$109</f>
        <v>0.457127367266723</v>
      </c>
      <c r="G738" s="42" t="n">
        <f aca="false">IF(D738="","",D738/SUMIFS($D$5:$D$1369,$B$5:$B$1369,B738,$C$5:$C$1369,C738))</f>
        <v>0.00083422078011756</v>
      </c>
      <c r="H738" s="42" t="n">
        <f aca="false">E738/SUMIFS($E$5:$E$1369,$B$5:$B$1369,B738,$C$5:$C$1369,C738)</f>
        <v>0.00100529047443334</v>
      </c>
      <c r="I738" s="43" t="n">
        <f aca="false">IF(G738="",H738,p_beta_alloc*G738+(1-p_beta_alloc)*H738)*F738^p_phi</f>
        <v>0.000621857769547443</v>
      </c>
      <c r="J738" s="16" t="n">
        <f aca="false">INDEX(Sector_Params!$C$21:$E$21,MATCH(B738,Sector_Params!$C$15:$E$15,0))*I738/SUMIFS($I$5:$I$1369,$B$5:$B$1369,B738,$C$5:$C$1369,C738)</f>
        <v>0.137921726664769</v>
      </c>
      <c r="K738" s="28" t="n">
        <f aca="false">INDEX(Sector_Params!$F$10:$H$10,MATCH(B738,Sector_Params!$C$15:$E$15,0))</f>
        <v>0.24</v>
      </c>
      <c r="L738" s="16" t="n">
        <f aca="false">J738*K738</f>
        <v>0.0331012143995446</v>
      </c>
      <c r="M738" s="44" t="n">
        <f aca="false">Country_Data!$DW$109+Sector_Params!$E$10</f>
        <v>0.0669200000000001</v>
      </c>
      <c r="N738" s="44" t="n">
        <f aca="false">Country_Data!$DX$109+Sector_Params!$E$10</f>
        <v>0.11192</v>
      </c>
      <c r="O738" s="11" t="n">
        <f aca="false">IF(p_use_ibrd=1,p_r_ibrd,p_r_wb)</f>
        <v>0.06</v>
      </c>
      <c r="P738" s="45" t="n">
        <f aca="false">Sector_Params!$D$10</f>
        <v>20</v>
      </c>
      <c r="Q738" s="46" t="n">
        <f aca="false">M738/(1-(1+M738)^-P738)</f>
        <v>0.0921452778087451</v>
      </c>
      <c r="R738" s="46" t="n">
        <f aca="false">N738/(1-(1+N738)^-P738)</f>
        <v>0.127155802918964</v>
      </c>
      <c r="S738" s="46" t="n">
        <f aca="false">O738/(1-(1+O738)^-P738)</f>
        <v>0.0871845569768514</v>
      </c>
      <c r="T738" s="37" t="n">
        <f aca="false">0*Sector_Params!$I$10</f>
        <v>0</v>
      </c>
      <c r="U738" s="37" t="n">
        <f aca="false">0*Sector_Params!$J$10</f>
        <v>0</v>
      </c>
      <c r="V738" s="37" t="n">
        <f aca="false">1000*p_r_wb/(1-(1+p_r_wb)^-Sector_Params!$D$10)/p_cpt_fuel</f>
        <v>0.871845569768514</v>
      </c>
      <c r="W738" s="16" t="n">
        <f aca="false">T738*L738</f>
        <v>0</v>
      </c>
      <c r="X738" s="16" t="n">
        <f aca="false">U738*L738</f>
        <v>0</v>
      </c>
      <c r="Y738" s="16" t="n">
        <f aca="false">V738*L738</f>
        <v>0.0288591471282007</v>
      </c>
      <c r="Z738" s="16" t="n">
        <f aca="false">Q738*L738</f>
        <v>0.00305012059665287</v>
      </c>
      <c r="AA738" s="16" t="n">
        <f aca="false">R738*L738</f>
        <v>0.00420901149456688</v>
      </c>
      <c r="AB738" s="16" t="n">
        <f aca="false">S738*L738</f>
        <v>0.00288591471282007</v>
      </c>
      <c r="AC738" s="16" t="n">
        <f aca="false">Z738-W738</f>
        <v>0.00305012059665287</v>
      </c>
      <c r="AD738" s="16" t="n">
        <f aca="false">AA738-W738</f>
        <v>0.00420901149456688</v>
      </c>
      <c r="AE738" s="16" t="n">
        <f aca="false">AB738-W738</f>
        <v>0.00288591471282007</v>
      </c>
      <c r="AF738" s="16" t="n">
        <f aca="false">AE738-X738</f>
        <v>0.00288591471282007</v>
      </c>
      <c r="AG738" s="16" t="n">
        <f aca="false">AF738-p_spc_lo*Y738/1000</f>
        <v>0.00144295735641004</v>
      </c>
      <c r="AH738" s="16" t="n">
        <f aca="false">AF738-p_spc_hi*Y738/1000</f>
        <v>0</v>
      </c>
      <c r="AI738" s="16" t="n">
        <f aca="false">Q738*J738</f>
        <v>0.012708835819387</v>
      </c>
      <c r="AJ738" s="16" t="n">
        <f aca="false">S738*J738</f>
        <v>0.0120246446367503</v>
      </c>
      <c r="AK738" s="16" t="n">
        <f aca="false">T738*J738</f>
        <v>0</v>
      </c>
      <c r="AL738" s="16" t="n">
        <f aca="false">U738*J738</f>
        <v>0</v>
      </c>
      <c r="AM738" s="16" t="n">
        <f aca="false">AI738-AJ738</f>
        <v>0.00068419118263667</v>
      </c>
      <c r="AN738" s="16" t="n">
        <f aca="false">J738*Country_Data!$EB$109</f>
        <v>0.158326584856269</v>
      </c>
      <c r="AO738" s="16" t="n">
        <f aca="false">L738*Country_Data!$EB$109</f>
        <v>0.0379983803655046</v>
      </c>
    </row>
    <row r="739" customFormat="false" ht="15" hidden="false" customHeight="false" outlineLevel="0" collapsed="false">
      <c r="A739" s="14" t="str">
        <f aca="false">Country_Data!$A$109</f>
        <v>HND</v>
      </c>
      <c r="B739" s="14" t="str">
        <f aca="false">Country_Data!$E$109</f>
        <v>EMDC</v>
      </c>
      <c r="C739" s="35" t="s">
        <v>488</v>
      </c>
      <c r="D739" s="37" t="n">
        <f aca="false">IF(Country_Data!$CE$109="","",Country_Data!$CE$109)</f>
        <v>21.022</v>
      </c>
      <c r="E739" s="40" t="n">
        <f aca="false">Country_Data!$BW$109</f>
        <v>81.159</v>
      </c>
      <c r="F739" s="41" t="n">
        <f aca="false">Country_Data!$BX$109</f>
        <v>0.457127367266723</v>
      </c>
      <c r="G739" s="42" t="n">
        <f aca="false">IF(D739="","",D739/SUMIFS($D$5:$D$1369,$B$5:$B$1369,B739,$C$5:$C$1369,C739))</f>
        <v>0.00172253445765402</v>
      </c>
      <c r="H739" s="42" t="n">
        <f aca="false">E739/SUMIFS($E$5:$E$1369,$B$5:$B$1369,B739,$C$5:$C$1369,C739)</f>
        <v>0.00100529047443334</v>
      </c>
      <c r="I739" s="43" t="n">
        <f aca="false">IF(G739="",H739,p_beta_alloc*G739+(1-p_beta_alloc)*H739)*F739^p_phi</f>
        <v>0.00092215751536562</v>
      </c>
      <c r="J739" s="16" t="n">
        <f aca="false">INDEX(Sector_Params!$C$22:$E$22,MATCH(B739,Sector_Params!$C$15:$E$15,0))*I739/SUMIFS($I$5:$I$1369,$B$5:$B$1369,B739,$C$5:$C$1369,C739)</f>
        <v>0.555884285521493</v>
      </c>
      <c r="K739" s="28" t="n">
        <f aca="false">INDEX(Sector_Params!$F$11:$H$11,MATCH(B739,Sector_Params!$C$15:$E$15,0))</f>
        <v>0.24</v>
      </c>
      <c r="L739" s="16" t="n">
        <f aca="false">J739*K739</f>
        <v>0.133412228525158</v>
      </c>
      <c r="M739" s="44" t="n">
        <f aca="false">Country_Data!$DW$109+Sector_Params!$E$11</f>
        <v>0.0669200000000001</v>
      </c>
      <c r="N739" s="44" t="n">
        <f aca="false">Country_Data!$DX$109+Sector_Params!$E$11</f>
        <v>0.11192</v>
      </c>
      <c r="O739" s="11" t="n">
        <f aca="false">IF(p_use_ibrd=1,p_r_ibrd,p_r_wb)</f>
        <v>0.06</v>
      </c>
      <c r="P739" s="45" t="n">
        <f aca="false">Sector_Params!$D$11</f>
        <v>30</v>
      </c>
      <c r="Q739" s="46" t="n">
        <f aca="false">M739/(1-(1+M739)^-P739)</f>
        <v>0.0781076202786571</v>
      </c>
      <c r="R739" s="46" t="n">
        <f aca="false">N739/(1-(1+N739)^-P739)</f>
        <v>0.116762819890288</v>
      </c>
      <c r="S739" s="46" t="n">
        <f aca="false">O739/(1-(1+O739)^-P739)</f>
        <v>0.0726489114900472</v>
      </c>
      <c r="T739" s="37" t="n">
        <f aca="false">0*Sector_Params!$I$11</f>
        <v>0</v>
      </c>
      <c r="U739" s="37" t="n">
        <f aca="false">p_c*Sector_Params!$J$11</f>
        <v>0.129</v>
      </c>
      <c r="V739" s="37" t="n">
        <f aca="false">1000*p_r_wb/(1-(1+p_r_wb)^-Sector_Params!$D$11)/p_cpt_afolu</f>
        <v>1.45297822980094</v>
      </c>
      <c r="W739" s="16" t="n">
        <f aca="false">T739*L739</f>
        <v>0</v>
      </c>
      <c r="X739" s="16" t="n">
        <f aca="false">U739*L739</f>
        <v>0.0172101774797454</v>
      </c>
      <c r="Y739" s="16" t="n">
        <f aca="false">V739*L739</f>
        <v>0.193845063636283</v>
      </c>
      <c r="Z739" s="16" t="n">
        <f aca="false">Q739*L739</f>
        <v>0.0104205116861725</v>
      </c>
      <c r="AA739" s="16" t="n">
        <f aca="false">R739*L739</f>
        <v>0.015577588010445</v>
      </c>
      <c r="AB739" s="16" t="n">
        <f aca="false">S739*L739</f>
        <v>0.00969225318181417</v>
      </c>
      <c r="AC739" s="16" t="n">
        <f aca="false">Z739-W739</f>
        <v>0.0104205116861725</v>
      </c>
      <c r="AD739" s="16" t="n">
        <f aca="false">AA739-W739</f>
        <v>0.015577588010445</v>
      </c>
      <c r="AE739" s="16" t="n">
        <f aca="false">AB739-W739</f>
        <v>0.00969225318181417</v>
      </c>
      <c r="AF739" s="16" t="n">
        <f aca="false">AE739-X739</f>
        <v>-0.00751792429793124</v>
      </c>
      <c r="AG739" s="16" t="n">
        <f aca="false">AF739-p_spc_lo*Y739/1000</f>
        <v>-0.0172101774797454</v>
      </c>
      <c r="AH739" s="16" t="n">
        <f aca="false">AF739-p_spc_hi*Y739/1000</f>
        <v>-0.0269024306615596</v>
      </c>
      <c r="AI739" s="16" t="n">
        <f aca="false">Q739*J739</f>
        <v>0.0434187986923854</v>
      </c>
      <c r="AJ739" s="16" t="n">
        <f aca="false">S739*J739</f>
        <v>0.040384388257559</v>
      </c>
      <c r="AK739" s="16" t="n">
        <f aca="false">T739*J739</f>
        <v>0</v>
      </c>
      <c r="AL739" s="16" t="n">
        <f aca="false">U739*J739</f>
        <v>0.0717090728322725</v>
      </c>
      <c r="AM739" s="16" t="n">
        <f aca="false">AI739-AJ739</f>
        <v>0.00303441043482632</v>
      </c>
      <c r="AN739" s="16" t="n">
        <f aca="false">J739*Country_Data!$EB$109</f>
        <v>0.638124700365768</v>
      </c>
      <c r="AO739" s="16" t="n">
        <f aca="false">L739*Country_Data!$EB$109</f>
        <v>0.153149928087784</v>
      </c>
    </row>
    <row r="740" customFormat="false" ht="15" hidden="false" customHeight="false" outlineLevel="0" collapsed="false">
      <c r="A740" s="14" t="str">
        <f aca="false">Country_Data!$A$110</f>
        <v>SLV</v>
      </c>
      <c r="B740" s="14" t="str">
        <f aca="false">Country_Data!$E$110</f>
        <v>EMDC</v>
      </c>
      <c r="C740" s="35" t="s">
        <v>466</v>
      </c>
      <c r="D740" s="37" t="n">
        <f aca="false">IF(Country_Data!$BZ$110="","",Country_Data!$BZ$110)</f>
        <v>10.249436644595</v>
      </c>
      <c r="E740" s="40" t="n">
        <f aca="false">Country_Data!$BW$110</f>
        <v>84.192</v>
      </c>
      <c r="F740" s="41" t="n">
        <f aca="false">Country_Data!$BX$110</f>
        <v>0.420051786393007</v>
      </c>
      <c r="G740" s="42" t="n">
        <f aca="false">IF(D740="","",D740/SUMIFS($D$5:$D$1369,$B$5:$B$1369,B740,$C$5:$C$1369,C740))</f>
        <v>0.00117009757429264</v>
      </c>
      <c r="H740" s="42" t="n">
        <f aca="false">E740/SUMIFS($E$5:$E$1369,$B$5:$B$1369,B740,$C$5:$C$1369,C740)</f>
        <v>0.00104285927159639</v>
      </c>
      <c r="I740" s="43" t="n">
        <f aca="false">IF(G740="",H740,p_beta_alloc*G740+(1-p_beta_alloc)*H740)*F740^p_phi</f>
        <v>0.000717124181701961</v>
      </c>
      <c r="J740" s="16" t="n">
        <f aca="false">INDEX(Sector_Params!$C$16:$E$16,MATCH(B740,Sector_Params!$C$15:$E$15,0))*I740/SUMIFS($I$5:$I$1369,$B$5:$B$1369,B740,$C$5:$C$1369,C740)</f>
        <v>0.693620689207623</v>
      </c>
      <c r="K740" s="28" t="n">
        <f aca="false">INDEX(Sector_Params!$F$5:$H$5,MATCH(B740,Sector_Params!$C$15:$E$15,0))</f>
        <v>0.24</v>
      </c>
      <c r="L740" s="16" t="n">
        <f aca="false">J740*K740</f>
        <v>0.16646896540983</v>
      </c>
      <c r="M740" s="44" t="n">
        <f aca="false">Country_Data!$DW$110+Sector_Params!$E$5</f>
        <v>0.048</v>
      </c>
      <c r="N740" s="44" t="n">
        <f aca="false">Country_Data!$DX$110+Sector_Params!$E$5</f>
        <v>0.093</v>
      </c>
      <c r="O740" s="11" t="n">
        <f aca="false">IF(p_use_ibrd=1,p_r_ibrd,p_r_wb)</f>
        <v>0.06</v>
      </c>
      <c r="P740" s="45" t="n">
        <f aca="false">Sector_Params!$D$5</f>
        <v>25</v>
      </c>
      <c r="Q740" s="46" t="n">
        <f aca="false">M740/(1-(1+M740)^-P740)</f>
        <v>0.0695369048789487</v>
      </c>
      <c r="R740" s="46" t="n">
        <f aca="false">N740/(1-(1+N740)^-P740)</f>
        <v>0.104291302504035</v>
      </c>
      <c r="S740" s="46" t="n">
        <f aca="false">O740/(1-(1+O740)^-P740)</f>
        <v>0.078226718212274</v>
      </c>
      <c r="T740" s="37" t="n">
        <f aca="false">IF(AND(p_eng=1,ISNUMBER(Country_Data!$CZ$110)),Country_Data!$CZ$110,Country_Data!$CM$110)*Sector_Params!$I$5</f>
        <v>0.014167622043046</v>
      </c>
      <c r="U740" s="37" t="n">
        <f aca="false">IF(AND(p_eng=1,ISNUMBER(Country_Data!$DA$110)),Country_Data!$DA$110,Country_Data!$CN$110)*Sector_Params!$J$5</f>
        <v>0.00958687206671797</v>
      </c>
      <c r="V740" s="37" t="n">
        <f aca="false">IF(AND(p_eng=1,ISNUMBER(Country_Data!$DB$110)),Country_Data!$DB$110,p_a)</f>
        <v>0.167754724501176</v>
      </c>
      <c r="W740" s="16" t="n">
        <f aca="false">T740*L740</f>
        <v>0.00235846938382336</v>
      </c>
      <c r="X740" s="16" t="n">
        <f aca="false">U740*L740</f>
        <v>0.00159591667446294</v>
      </c>
      <c r="Y740" s="16" t="n">
        <f aca="false">V740*L740</f>
        <v>0.0279259554303218</v>
      </c>
      <c r="Z740" s="16" t="n">
        <f aca="false">Q740*L740</f>
        <v>0.0115757366130003</v>
      </c>
      <c r="AA740" s="16" t="n">
        <f aca="false">R740*L740</f>
        <v>0.0173612652290903</v>
      </c>
      <c r="AB740" s="16" t="n">
        <f aca="false">S740*L740</f>
        <v>0.0130223208482035</v>
      </c>
      <c r="AC740" s="16" t="n">
        <f aca="false">Z740-W740</f>
        <v>0.00921726722917696</v>
      </c>
      <c r="AD740" s="16" t="n">
        <f aca="false">AA740-W740</f>
        <v>0.015002795845267</v>
      </c>
      <c r="AE740" s="16" t="n">
        <f aca="false">AB740-W740</f>
        <v>0.0106638514643802</v>
      </c>
      <c r="AF740" s="16" t="n">
        <f aca="false">AE740-X740</f>
        <v>0.00906793478991722</v>
      </c>
      <c r="AG740" s="16" t="n">
        <f aca="false">AF740-p_spc_lo*Y740/1000</f>
        <v>0.00767163701840113</v>
      </c>
      <c r="AH740" s="16" t="n">
        <f aca="false">AF740-p_spc_hi*Y740/1000</f>
        <v>0.00627533924688504</v>
      </c>
      <c r="AI740" s="16" t="n">
        <f aca="false">Q740*J740</f>
        <v>0.0482322358875014</v>
      </c>
      <c r="AJ740" s="16" t="n">
        <f aca="false">S740*J740</f>
        <v>0.054259670200848</v>
      </c>
      <c r="AK740" s="16" t="n">
        <f aca="false">T740*J740</f>
        <v>0.00982695576593066</v>
      </c>
      <c r="AL740" s="16" t="n">
        <f aca="false">U740*J740</f>
        <v>0.00664965281026223</v>
      </c>
      <c r="AM740" s="16" t="n">
        <f aca="false">AI740-AJ740</f>
        <v>-0.00602743431334664</v>
      </c>
      <c r="AN740" s="16" t="n">
        <f aca="false">J740*Country_Data!$EB$110</f>
        <v>0.793653060712396</v>
      </c>
      <c r="AO740" s="16" t="n">
        <f aca="false">L740*Country_Data!$EB$110</f>
        <v>0.190476734570975</v>
      </c>
    </row>
    <row r="741" customFormat="false" ht="15" hidden="false" customHeight="false" outlineLevel="0" collapsed="false">
      <c r="A741" s="14" t="str">
        <f aca="false">Country_Data!$A$110</f>
        <v>SLV</v>
      </c>
      <c r="B741" s="14" t="str">
        <f aca="false">Country_Data!$E$110</f>
        <v>EMDC</v>
      </c>
      <c r="C741" s="35" t="s">
        <v>470</v>
      </c>
      <c r="D741" s="37" t="n">
        <f aca="false">IF(Country_Data!$BZ$110="","",Country_Data!$BZ$110)</f>
        <v>10.249436644595</v>
      </c>
      <c r="E741" s="40" t="n">
        <f aca="false">Country_Data!$BW$110</f>
        <v>84.192</v>
      </c>
      <c r="F741" s="41" t="n">
        <f aca="false">Country_Data!$BX$110</f>
        <v>0.420051786393007</v>
      </c>
      <c r="G741" s="42" t="n">
        <f aca="false">IF(D741="","",D741/SUMIFS($D$5:$D$1369,$B$5:$B$1369,B741,$C$5:$C$1369,C741))</f>
        <v>0.00117009757429264</v>
      </c>
      <c r="H741" s="42" t="n">
        <f aca="false">E741/SUMIFS($E$5:$E$1369,$B$5:$B$1369,B741,$C$5:$C$1369,C741)</f>
        <v>0.00104285927159639</v>
      </c>
      <c r="I741" s="43" t="n">
        <f aca="false">IF(G741="",H741,p_beta_alloc*G741+(1-p_beta_alloc)*H741)*F741^p_phi</f>
        <v>0.000717124181701961</v>
      </c>
      <c r="J741" s="16" t="n">
        <f aca="false">INDEX(Sector_Params!$C$17:$E$17,MATCH(B741,Sector_Params!$C$15:$E$15,0))*I741/SUMIFS($I$5:$I$1369,$B$5:$B$1369,B741,$C$5:$C$1369,C741)</f>
        <v>0.475625615456656</v>
      </c>
      <c r="K741" s="28" t="n">
        <f aca="false">INDEX(Sector_Params!$F$6:$H$6,MATCH(B741,Sector_Params!$C$15:$E$15,0))</f>
        <v>0.24</v>
      </c>
      <c r="L741" s="16" t="n">
        <f aca="false">J741*K741</f>
        <v>0.114150147709597</v>
      </c>
      <c r="M741" s="44" t="n">
        <f aca="false">Country_Data!$DW$110+Sector_Params!$E$6</f>
        <v>0.048</v>
      </c>
      <c r="N741" s="44" t="n">
        <f aca="false">Country_Data!$DX$110+Sector_Params!$E$6</f>
        <v>0.093</v>
      </c>
      <c r="O741" s="11" t="n">
        <f aca="false">IF(p_use_ibrd=1,p_r_ibrd,p_r_wb)</f>
        <v>0.06</v>
      </c>
      <c r="P741" s="45" t="n">
        <f aca="false">Sector_Params!$D$6</f>
        <v>40</v>
      </c>
      <c r="Q741" s="46" t="n">
        <f aca="false">M741/(1-(1+M741)^-P741)</f>
        <v>0.0566908360201245</v>
      </c>
      <c r="R741" s="46" t="n">
        <f aca="false">N741/(1-(1+N741)^-P741)</f>
        <v>0.0957305107974326</v>
      </c>
      <c r="S741" s="46" t="n">
        <f aca="false">O741/(1-(1+O741)^-P741)</f>
        <v>0.0664615359206755</v>
      </c>
      <c r="T741" s="37" t="n">
        <f aca="false">p_grid_credit*IF(AND(p_eng=1,ISNUMBER(Country_Data!$CZ$110)),Country_Data!$CZ$110,Country_Data!$CM$110)*Sector_Params!$I$6</f>
        <v>0</v>
      </c>
      <c r="U741" s="37" t="n">
        <f aca="false">p_grid_credit*IF(AND(p_eng=1,ISNUMBER(Country_Data!$DA$110)),Country_Data!$DA$110,Country_Data!$CN$110)*Sector_Params!$J$6</f>
        <v>0</v>
      </c>
      <c r="V741" s="37" t="n">
        <f aca="false">p_grid_credit*IF(AND(p_eng=1,ISNUMBER(Country_Data!$DB$110)),Country_Data!$DB$110,p_a)</f>
        <v>0</v>
      </c>
      <c r="W741" s="16" t="n">
        <f aca="false">T741*L741</f>
        <v>0</v>
      </c>
      <c r="X741" s="16" t="n">
        <f aca="false">U741*L741</f>
        <v>0</v>
      </c>
      <c r="Y741" s="16" t="n">
        <f aca="false">V741*L741</f>
        <v>0</v>
      </c>
      <c r="Z741" s="16" t="n">
        <f aca="false">Q741*L741</f>
        <v>0.00647126730547778</v>
      </c>
      <c r="AA741" s="16" t="n">
        <f aca="false">R741*L741</f>
        <v>0.0109276519478421</v>
      </c>
      <c r="AB741" s="16" t="n">
        <f aca="false">S741*L741</f>
        <v>0.00758659414235182</v>
      </c>
      <c r="AC741" s="16" t="n">
        <f aca="false">Z741-W741</f>
        <v>0.00647126730547778</v>
      </c>
      <c r="AD741" s="16" t="n">
        <f aca="false">AA741-W741</f>
        <v>0.0109276519478421</v>
      </c>
      <c r="AE741" s="16" t="n">
        <f aca="false">AB741-W741</f>
        <v>0.00758659414235182</v>
      </c>
      <c r="AF741" s="16" t="n">
        <f aca="false">AE741-X741</f>
        <v>0.00758659414235182</v>
      </c>
      <c r="AG741" s="16" t="n">
        <f aca="false">AF741-p_spc_lo*Y741/1000</f>
        <v>0.00758659414235182</v>
      </c>
      <c r="AH741" s="16" t="n">
        <f aca="false">AF741-p_spc_hi*Y741/1000</f>
        <v>0.00758659414235182</v>
      </c>
      <c r="AI741" s="16" t="n">
        <f aca="false">Q741*J741</f>
        <v>0.0269636137728241</v>
      </c>
      <c r="AJ741" s="16" t="n">
        <f aca="false">S741*J741</f>
        <v>0.0316108089264659</v>
      </c>
      <c r="AK741" s="16" t="n">
        <f aca="false">T741*J741</f>
        <v>0</v>
      </c>
      <c r="AL741" s="16" t="n">
        <f aca="false">U741*J741</f>
        <v>0</v>
      </c>
      <c r="AM741" s="16" t="n">
        <f aca="false">AI741-AJ741</f>
        <v>-0.00464719515364184</v>
      </c>
      <c r="AN741" s="16" t="n">
        <f aca="false">J741*Country_Data!$EB$110</f>
        <v>0.544219241631357</v>
      </c>
      <c r="AO741" s="16" t="n">
        <f aca="false">L741*Country_Data!$EB$110</f>
        <v>0.130612617991526</v>
      </c>
    </row>
    <row r="742" customFormat="false" ht="15" hidden="false" customHeight="false" outlineLevel="0" collapsed="false">
      <c r="A742" s="14" t="str">
        <f aca="false">Country_Data!$A$110</f>
        <v>SLV</v>
      </c>
      <c r="B742" s="14" t="str">
        <f aca="false">Country_Data!$E$110</f>
        <v>EMDC</v>
      </c>
      <c r="C742" s="35" t="s">
        <v>473</v>
      </c>
      <c r="D742" s="37" t="n">
        <f aca="false">IF(Country_Data!$CA$110="","",Country_Data!$CA$110)</f>
        <v>0.0774207046693069</v>
      </c>
      <c r="E742" s="40" t="n">
        <f aca="false">Country_Data!$BW$110</f>
        <v>84.192</v>
      </c>
      <c r="F742" s="41" t="n">
        <f aca="false">Country_Data!$BX$110</f>
        <v>0.420051786393007</v>
      </c>
      <c r="G742" s="42" t="n">
        <f aca="false">IF(D742="","",D742/SUMIFS($D$5:$D$1369,$B$5:$B$1369,B742,$C$5:$C$1369,C742))</f>
        <v>0.0017885984137302</v>
      </c>
      <c r="H742" s="42" t="n">
        <f aca="false">E742/SUMIFS($E$5:$E$1369,$B$5:$B$1369,B742,$C$5:$C$1369,C742)</f>
        <v>0.00104285927159639</v>
      </c>
      <c r="I742" s="43" t="n">
        <f aca="false">IF(G742="",H742,p_beta_alloc*G742+(1-p_beta_alloc)*H742)*F742^p_phi</f>
        <v>0.000917553715241032</v>
      </c>
      <c r="J742" s="16" t="n">
        <f aca="false">INDEX(Sector_Params!$C$18:$E$18,MATCH(B742,Sector_Params!$C$15:$E$15,0))*I742/SUMIFS($I$5:$I$1369,$B$5:$B$1369,B742,$C$5:$C$1369,C742)</f>
        <v>0.375716535956092</v>
      </c>
      <c r="K742" s="28" t="n">
        <f aca="false">INDEX(Sector_Params!$F$7:$H$7,MATCH(B742,Sector_Params!$C$15:$E$15,0))</f>
        <v>0.24</v>
      </c>
      <c r="L742" s="16" t="n">
        <f aca="false">J742*K742</f>
        <v>0.0901719686294621</v>
      </c>
      <c r="M742" s="44" t="n">
        <f aca="false">Country_Data!$DW$110+Sector_Params!$E$7</f>
        <v>0.048</v>
      </c>
      <c r="N742" s="44" t="n">
        <f aca="false">Country_Data!$DX$110+Sector_Params!$E$7</f>
        <v>0.093</v>
      </c>
      <c r="O742" s="11" t="n">
        <f aca="false">IF(p_use_ibrd=1,p_r_ibrd,p_r_wb)</f>
        <v>0.06</v>
      </c>
      <c r="P742" s="45" t="n">
        <f aca="false">Sector_Params!$D$7</f>
        <v>12</v>
      </c>
      <c r="Q742" s="46" t="n">
        <f aca="false">M742/(1-(1+M742)^-P742)</f>
        <v>0.111556335177584</v>
      </c>
      <c r="R742" s="46" t="n">
        <f aca="false">N742/(1-(1+N742)^-P742)</f>
        <v>0.141768226613542</v>
      </c>
      <c r="S742" s="46" t="n">
        <f aca="false">O742/(1-(1+O742)^-P742)</f>
        <v>0.119277029380664</v>
      </c>
      <c r="T742" s="37" t="n">
        <f aca="false">IF(AND(p_eng=1,ISNUMBER(Country_Data!$DE$110)),Country_Data!$DE$110,Country_Data!$CM$110)*Sector_Params!$I$7</f>
        <v>0.10280448</v>
      </c>
      <c r="U742" s="37" t="n">
        <f aca="false">IF(AND(p_eng=1,ISNUMBER(Country_Data!$DF$110)),Country_Data!$DF$110,Country_Data!$CN$110)*Sector_Params!$J$7</f>
        <v>0.005859225</v>
      </c>
      <c r="V742" s="37" t="n">
        <f aca="false">IF(AND(p_eng=1,ISNUMBER(Country_Data!$DG$110)),Country_Data!$DG$110,p_a)</f>
        <v>0.493899661601186</v>
      </c>
      <c r="W742" s="16" t="n">
        <f aca="false">T742*L742</f>
        <v>0.00927008234552817</v>
      </c>
      <c r="X742" s="16" t="n">
        <f aca="false">U742*L742</f>
        <v>0.00052833785289296</v>
      </c>
      <c r="Y742" s="16" t="n">
        <f aca="false">V742*L742</f>
        <v>0.0445359047920041</v>
      </c>
      <c r="Z742" s="16" t="n">
        <f aca="false">Q742*L742</f>
        <v>0.0100592543560509</v>
      </c>
      <c r="AA742" s="16" t="n">
        <f aca="false">R742*L742</f>
        <v>0.0127835200828508</v>
      </c>
      <c r="AB742" s="16" t="n">
        <f aca="false">S742*L742</f>
        <v>0.0107554445515286</v>
      </c>
      <c r="AC742" s="16" t="n">
        <f aca="false">Z742-W742</f>
        <v>0.000789172010522702</v>
      </c>
      <c r="AD742" s="16" t="n">
        <f aca="false">AA742-W742</f>
        <v>0.0035134377373226</v>
      </c>
      <c r="AE742" s="16" t="n">
        <f aca="false">AB742-W742</f>
        <v>0.00148536220600046</v>
      </c>
      <c r="AF742" s="16" t="n">
        <f aca="false">AE742-X742</f>
        <v>0.000957024353107497</v>
      </c>
      <c r="AG742" s="16" t="n">
        <f aca="false">AF742-p_spc_lo*Y742/1000</f>
        <v>-0.00126977088649271</v>
      </c>
      <c r="AH742" s="16" t="n">
        <f aca="false">AF742-p_spc_hi*Y742/1000</f>
        <v>-0.00349656612609291</v>
      </c>
      <c r="AI742" s="16" t="n">
        <f aca="false">Q742*J742</f>
        <v>0.0419135598168786</v>
      </c>
      <c r="AJ742" s="16" t="n">
        <f aca="false">S742*J742</f>
        <v>0.0448143522980359</v>
      </c>
      <c r="AK742" s="16" t="n">
        <f aca="false">T742*J742</f>
        <v>0.0386253431063674</v>
      </c>
      <c r="AL742" s="16" t="n">
        <f aca="false">U742*J742</f>
        <v>0.00220140772038733</v>
      </c>
      <c r="AM742" s="16" t="n">
        <f aca="false">AI742-AJ742</f>
        <v>-0.00290079248115731</v>
      </c>
      <c r="AN742" s="16" t="n">
        <f aca="false">J742*Country_Data!$EB$110</f>
        <v>0.429901505767447</v>
      </c>
      <c r="AO742" s="16" t="n">
        <f aca="false">L742*Country_Data!$EB$110</f>
        <v>0.103176361384187</v>
      </c>
    </row>
    <row r="743" customFormat="false" ht="15" hidden="false" customHeight="false" outlineLevel="0" collapsed="false">
      <c r="A743" s="14" t="str">
        <f aca="false">Country_Data!$A$110</f>
        <v>SLV</v>
      </c>
      <c r="B743" s="14" t="str">
        <f aca="false">Country_Data!$E$110</f>
        <v>EMDC</v>
      </c>
      <c r="C743" s="35" t="s">
        <v>477</v>
      </c>
      <c r="D743" s="37" t="n">
        <f aca="false">IF(Country_Data!$CB$110="","",Country_Data!$CB$110)</f>
        <v>0.0284121068493859</v>
      </c>
      <c r="E743" s="40" t="n">
        <f aca="false">Country_Data!$BW$110</f>
        <v>84.192</v>
      </c>
      <c r="F743" s="41" t="n">
        <f aca="false">Country_Data!$BX$110</f>
        <v>0.420051786393007</v>
      </c>
      <c r="G743" s="42" t="n">
        <f aca="false">IF(D743="","",D743/SUMIFS($D$5:$D$1369,$B$5:$B$1369,B743,$C$5:$C$1369,C743))</f>
        <v>0.000895920243835485</v>
      </c>
      <c r="H743" s="42" t="n">
        <f aca="false">E743/SUMIFS($E$5:$E$1369,$B$5:$B$1369,B743,$C$5:$C$1369,C743)</f>
        <v>0.00104285927159639</v>
      </c>
      <c r="I743" s="43" t="n">
        <f aca="false">IF(G743="",H743,p_beta_alloc*G743+(1-p_beta_alloc)*H743)*F743^p_phi</f>
        <v>0.000628275095416987</v>
      </c>
      <c r="J743" s="16" t="n">
        <f aca="false">INDEX(Sector_Params!$C$19:$E$19,MATCH(B743,Sector_Params!$C$15:$E$15,0))*I743/SUMIFS($I$5:$I$1369,$B$5:$B$1369,B743,$C$5:$C$1369,C743)</f>
        <v>0.202218253543209</v>
      </c>
      <c r="K743" s="28" t="n">
        <f aca="false">INDEX(Sector_Params!$F$8:$H$8,MATCH(B743,Sector_Params!$C$15:$E$15,0))</f>
        <v>0.24</v>
      </c>
      <c r="L743" s="16" t="n">
        <f aca="false">J743*K743</f>
        <v>0.0485323808503701</v>
      </c>
      <c r="M743" s="44" t="n">
        <f aca="false">Country_Data!$DW$110+Sector_Params!$E$8</f>
        <v>0.048</v>
      </c>
      <c r="N743" s="44" t="n">
        <f aca="false">Country_Data!$DX$110+Sector_Params!$E$8</f>
        <v>0.093</v>
      </c>
      <c r="O743" s="11" t="n">
        <f aca="false">IF(p_use_ibrd=1,p_r_ibrd,p_r_wb)</f>
        <v>0.06</v>
      </c>
      <c r="P743" s="45" t="n">
        <f aca="false">Sector_Params!$D$8</f>
        <v>25</v>
      </c>
      <c r="Q743" s="46" t="n">
        <f aca="false">M743/(1-(1+M743)^-P743)</f>
        <v>0.0695369048789487</v>
      </c>
      <c r="R743" s="46" t="n">
        <f aca="false">N743/(1-(1+N743)^-P743)</f>
        <v>0.104291302504035</v>
      </c>
      <c r="S743" s="46" t="n">
        <f aca="false">O743/(1-(1+O743)^-P743)</f>
        <v>0.078226718212274</v>
      </c>
      <c r="T743" s="37" t="n">
        <f aca="false">Country_Data!$CM$110*Sector_Params!$I$8</f>
        <v>0.206658801714809</v>
      </c>
      <c r="U743" s="37" t="n">
        <f aca="false">Country_Data!$CN$110*Sector_Params!$J$8</f>
        <v>0.0701194574347736</v>
      </c>
      <c r="V743" s="37" t="n">
        <f aca="false">p_a</f>
        <v>0.35</v>
      </c>
      <c r="W743" s="16" t="n">
        <f aca="false">T743*L743</f>
        <v>0.0100296436709042</v>
      </c>
      <c r="X743" s="16" t="n">
        <f aca="false">U743*L743</f>
        <v>0.00340306421324575</v>
      </c>
      <c r="Y743" s="16" t="n">
        <f aca="false">V743*L743</f>
        <v>0.0169863332976295</v>
      </c>
      <c r="Z743" s="16" t="n">
        <f aca="false">Q743*L743</f>
        <v>0.00337479155074109</v>
      </c>
      <c r="AA743" s="16" t="n">
        <f aca="false">R743*L743</f>
        <v>0.005061505212507</v>
      </c>
      <c r="AB743" s="16" t="n">
        <f aca="false">S743*L743</f>
        <v>0.00379652888095266</v>
      </c>
      <c r="AC743" s="16" t="n">
        <f aca="false">Z743-W743</f>
        <v>-0.00665485212016313</v>
      </c>
      <c r="AD743" s="16" t="n">
        <f aca="false">AA743-W743</f>
        <v>-0.00496813845839723</v>
      </c>
      <c r="AE743" s="16" t="n">
        <f aca="false">AB743-W743</f>
        <v>-0.00623311478995157</v>
      </c>
      <c r="AF743" s="16" t="n">
        <f aca="false">AE743-X743</f>
        <v>-0.00963617900319732</v>
      </c>
      <c r="AG743" s="16" t="n">
        <f aca="false">AF743-p_spc_lo*Y743/1000</f>
        <v>-0.0104854956680788</v>
      </c>
      <c r="AH743" s="16" t="n">
        <f aca="false">AF743-p_spc_hi*Y743/1000</f>
        <v>-0.0113348123329603</v>
      </c>
      <c r="AI743" s="16" t="n">
        <f aca="false">Q743*J743</f>
        <v>0.0140616314614212</v>
      </c>
      <c r="AJ743" s="16" t="n">
        <f aca="false">S743*J743</f>
        <v>0.0158188703373027</v>
      </c>
      <c r="AK743" s="16" t="n">
        <f aca="false">T743*J743</f>
        <v>0.0417901819621009</v>
      </c>
      <c r="AL743" s="16" t="n">
        <f aca="false">U743*J743</f>
        <v>0.0141794342218573</v>
      </c>
      <c r="AM743" s="16" t="n">
        <f aca="false">AI743-AJ743</f>
        <v>-0.00175723887588152</v>
      </c>
      <c r="AN743" s="16" t="n">
        <f aca="false">J743*Country_Data!$EB$110</f>
        <v>0.231381702353522</v>
      </c>
      <c r="AO743" s="16" t="n">
        <f aca="false">L743*Country_Data!$EB$110</f>
        <v>0.0555316085648452</v>
      </c>
    </row>
    <row r="744" customFormat="false" ht="15" hidden="false" customHeight="false" outlineLevel="0" collapsed="false">
      <c r="A744" s="14" t="str">
        <f aca="false">Country_Data!$A$110</f>
        <v>SLV</v>
      </c>
      <c r="B744" s="14" t="str">
        <f aca="false">Country_Data!$E$110</f>
        <v>EMDC</v>
      </c>
      <c r="C744" s="35" t="s">
        <v>481</v>
      </c>
      <c r="D744" s="37" t="n">
        <f aca="false">IF(Country_Data!$CC$110="","",Country_Data!$CC$110)</f>
        <v>0.048486467382884</v>
      </c>
      <c r="E744" s="40" t="n">
        <f aca="false">Country_Data!$BW$110</f>
        <v>84.192</v>
      </c>
      <c r="F744" s="41" t="n">
        <f aca="false">Country_Data!$BX$110</f>
        <v>0.420051786393007</v>
      </c>
      <c r="G744" s="42" t="n">
        <f aca="false">IF(D744="","",D744/SUMIFS($D$5:$D$1369,$B$5:$B$1369,B744,$C$5:$C$1369,C744))</f>
        <v>0.000692592012540427</v>
      </c>
      <c r="H744" s="42" t="n">
        <f aca="false">E744/SUMIFS($E$5:$E$1369,$B$5:$B$1369,B744,$C$5:$C$1369,C744)</f>
        <v>0.00104285927159639</v>
      </c>
      <c r="I744" s="43" t="n">
        <f aca="false">IF(G744="",H744,p_beta_alloc*G744+(1-p_beta_alloc)*H744)*F744^p_phi</f>
        <v>0.000562385156462575</v>
      </c>
      <c r="J744" s="16" t="n">
        <f aca="false">INDEX(Sector_Params!$C$20:$E$20,MATCH(B744,Sector_Params!$C$15:$E$15,0))*I744/SUMIFS($I$5:$I$1369,$B$5:$B$1369,B744,$C$5:$C$1369,C744)</f>
        <v>0.102646616190674</v>
      </c>
      <c r="K744" s="28" t="n">
        <f aca="false">INDEX(Sector_Params!$F$9:$H$9,MATCH(B744,Sector_Params!$C$15:$E$15,0))</f>
        <v>0.24</v>
      </c>
      <c r="L744" s="16" t="n">
        <f aca="false">J744*K744</f>
        <v>0.0246351878857618</v>
      </c>
      <c r="M744" s="44" t="n">
        <f aca="false">Country_Data!$DW$110+Sector_Params!$E$9</f>
        <v>0.048</v>
      </c>
      <c r="N744" s="44" t="n">
        <f aca="false">Country_Data!$DX$110+Sector_Params!$E$9</f>
        <v>0.093</v>
      </c>
      <c r="O744" s="11" t="n">
        <f aca="false">IF(p_use_ibrd=1,p_r_ibrd,p_r_wb)</f>
        <v>0.06</v>
      </c>
      <c r="P744" s="45" t="n">
        <f aca="false">Sector_Params!$D$9</f>
        <v>25</v>
      </c>
      <c r="Q744" s="46" t="n">
        <f aca="false">M744/(1-(1+M744)^-P744)</f>
        <v>0.0695369048789487</v>
      </c>
      <c r="R744" s="46" t="n">
        <f aca="false">N744/(1-(1+N744)^-P744)</f>
        <v>0.104291302504035</v>
      </c>
      <c r="S744" s="46" t="n">
        <f aca="false">O744/(1-(1+O744)^-P744)</f>
        <v>0.078226718212274</v>
      </c>
      <c r="T744" s="37" t="n">
        <f aca="false">Country_Data!$CM$110*Sector_Params!$I$9</f>
        <v>0.206658801714809</v>
      </c>
      <c r="U744" s="37" t="n">
        <f aca="false">Country_Data!$CN$110*Sector_Params!$J$9</f>
        <v>0.0701194574347736</v>
      </c>
      <c r="V744" s="37" t="n">
        <f aca="false">p_a</f>
        <v>0.35</v>
      </c>
      <c r="W744" s="16" t="n">
        <f aca="false">T744*L744</f>
        <v>0.00509107840849072</v>
      </c>
      <c r="X744" s="16" t="n">
        <f aca="false">U744*L744</f>
        <v>0.00172740600835333</v>
      </c>
      <c r="Y744" s="16" t="n">
        <f aca="false">V744*L744</f>
        <v>0.00862231576001664</v>
      </c>
      <c r="Z744" s="16" t="n">
        <f aca="false">Q744*L744</f>
        <v>0.00171305471668725</v>
      </c>
      <c r="AA744" s="16" t="n">
        <f aca="false">R744*L744</f>
        <v>0.00256923583203773</v>
      </c>
      <c r="AB744" s="16" t="n">
        <f aca="false">S744*L744</f>
        <v>0.00192712990084591</v>
      </c>
      <c r="AC744" s="16" t="n">
        <f aca="false">Z744-W744</f>
        <v>-0.00337802369180347</v>
      </c>
      <c r="AD744" s="16" t="n">
        <f aca="false">AA744-W744</f>
        <v>-0.00252184257645299</v>
      </c>
      <c r="AE744" s="16" t="n">
        <f aca="false">AB744-W744</f>
        <v>-0.00316394850764481</v>
      </c>
      <c r="AF744" s="16" t="n">
        <f aca="false">AE744-X744</f>
        <v>-0.00489135451599813</v>
      </c>
      <c r="AG744" s="16" t="n">
        <f aca="false">AF744-p_spc_lo*Y744/1000</f>
        <v>-0.00532247030399896</v>
      </c>
      <c r="AH744" s="16" t="n">
        <f aca="false">AF744-p_spc_hi*Y744/1000</f>
        <v>-0.0057535860919998</v>
      </c>
      <c r="AI744" s="16" t="n">
        <f aca="false">Q744*J744</f>
        <v>0.00713772798619687</v>
      </c>
      <c r="AJ744" s="16" t="n">
        <f aca="false">S744*J744</f>
        <v>0.00802970792019131</v>
      </c>
      <c r="AK744" s="16" t="n">
        <f aca="false">T744*J744</f>
        <v>0.0212128267020447</v>
      </c>
      <c r="AL744" s="16" t="n">
        <f aca="false">U744*J744</f>
        <v>0.00719752503480553</v>
      </c>
      <c r="AM744" s="16" t="n">
        <f aca="false">AI744-AJ744</f>
        <v>-0.000891979933994438</v>
      </c>
      <c r="AN744" s="16" t="n">
        <f aca="false">J744*Country_Data!$EB$110</f>
        <v>0.117450073763751</v>
      </c>
      <c r="AO744" s="16" t="n">
        <f aca="false">L744*Country_Data!$EB$110</f>
        <v>0.0281880177033003</v>
      </c>
    </row>
    <row r="745" customFormat="false" ht="15" hidden="false" customHeight="false" outlineLevel="0" collapsed="false">
      <c r="A745" s="14" t="str">
        <f aca="false">Country_Data!$A$110</f>
        <v>SLV</v>
      </c>
      <c r="B745" s="14" t="str">
        <f aca="false">Country_Data!$E$110</f>
        <v>EMDC</v>
      </c>
      <c r="C745" s="35" t="s">
        <v>484</v>
      </c>
      <c r="D745" s="37" t="n">
        <f aca="false">IF(Country_Data!$CD$110="","",Country_Data!$CD$110)</f>
        <v>0.119678390702144</v>
      </c>
      <c r="E745" s="40" t="n">
        <f aca="false">Country_Data!$BW$110</f>
        <v>84.192</v>
      </c>
      <c r="F745" s="41" t="n">
        <f aca="false">Country_Data!$BX$110</f>
        <v>0.420051786393007</v>
      </c>
      <c r="G745" s="42" t="n">
        <f aca="false">IF(D745="","",D745/SUMIFS($D$5:$D$1369,$B$5:$B$1369,B745,$C$5:$C$1369,C745))</f>
        <v>0.000668327854510146</v>
      </c>
      <c r="H745" s="42" t="n">
        <f aca="false">E745/SUMIFS($E$5:$E$1369,$B$5:$B$1369,B745,$C$5:$C$1369,C745)</f>
        <v>0.00104285927159639</v>
      </c>
      <c r="I745" s="43" t="n">
        <f aca="false">IF(G745="",H745,p_beta_alloc*G745+(1-p_beta_alloc)*H745)*F745^p_phi</f>
        <v>0.000554522185928614</v>
      </c>
      <c r="J745" s="16" t="n">
        <f aca="false">INDEX(Sector_Params!$C$21:$E$21,MATCH(B745,Sector_Params!$C$15:$E$15,0))*I745/SUMIFS($I$5:$I$1369,$B$5:$B$1369,B745,$C$5:$C$1369,C745)</f>
        <v>0.122987379273006</v>
      </c>
      <c r="K745" s="28" t="n">
        <f aca="false">INDEX(Sector_Params!$F$10:$H$10,MATCH(B745,Sector_Params!$C$15:$E$15,0))</f>
        <v>0.24</v>
      </c>
      <c r="L745" s="16" t="n">
        <f aca="false">J745*K745</f>
        <v>0.0295169710255213</v>
      </c>
      <c r="M745" s="44" t="n">
        <f aca="false">Country_Data!$DW$110+Sector_Params!$E$10</f>
        <v>0.048</v>
      </c>
      <c r="N745" s="44" t="n">
        <f aca="false">Country_Data!$DX$110+Sector_Params!$E$10</f>
        <v>0.093</v>
      </c>
      <c r="O745" s="11" t="n">
        <f aca="false">IF(p_use_ibrd=1,p_r_ibrd,p_r_wb)</f>
        <v>0.06</v>
      </c>
      <c r="P745" s="45" t="n">
        <f aca="false">Sector_Params!$D$10</f>
        <v>20</v>
      </c>
      <c r="Q745" s="46" t="n">
        <f aca="false">M745/(1-(1+M745)^-P745)</f>
        <v>0.0788874744974858</v>
      </c>
      <c r="R745" s="46" t="n">
        <f aca="false">N745/(1-(1+N745)^-P745)</f>
        <v>0.111898169668652</v>
      </c>
      <c r="S745" s="46" t="n">
        <f aca="false">O745/(1-(1+O745)^-P745)</f>
        <v>0.0871845569768514</v>
      </c>
      <c r="T745" s="37" t="n">
        <f aca="false">0*Sector_Params!$I$10</f>
        <v>0</v>
      </c>
      <c r="U745" s="37" t="n">
        <f aca="false">0*Sector_Params!$J$10</f>
        <v>0</v>
      </c>
      <c r="V745" s="37" t="n">
        <f aca="false">1000*p_r_wb/(1-(1+p_r_wb)^-Sector_Params!$D$10)/p_cpt_fuel</f>
        <v>0.871845569768514</v>
      </c>
      <c r="W745" s="16" t="n">
        <f aca="false">T745*L745</f>
        <v>0</v>
      </c>
      <c r="X745" s="16" t="n">
        <f aca="false">U745*L745</f>
        <v>0</v>
      </c>
      <c r="Y745" s="16" t="n">
        <f aca="false">V745*L745</f>
        <v>0.0257342404215864</v>
      </c>
      <c r="Z745" s="16" t="n">
        <f aca="false">Q745*L745</f>
        <v>0.00232851929901884</v>
      </c>
      <c r="AA745" s="16" t="n">
        <f aca="false">R745*L745</f>
        <v>0.00330289503191848</v>
      </c>
      <c r="AB745" s="16" t="n">
        <f aca="false">S745*L745</f>
        <v>0.00257342404215864</v>
      </c>
      <c r="AC745" s="16" t="n">
        <f aca="false">Z745-W745</f>
        <v>0.00232851929901884</v>
      </c>
      <c r="AD745" s="16" t="n">
        <f aca="false">AA745-W745</f>
        <v>0.00330289503191848</v>
      </c>
      <c r="AE745" s="16" t="n">
        <f aca="false">AB745-W745</f>
        <v>0.00257342404215864</v>
      </c>
      <c r="AF745" s="16" t="n">
        <f aca="false">AE745-X745</f>
        <v>0.00257342404215864</v>
      </c>
      <c r="AG745" s="16" t="n">
        <f aca="false">AF745-p_spc_lo*Y745/1000</f>
        <v>0.00128671202107932</v>
      </c>
      <c r="AH745" s="16" t="n">
        <f aca="false">AF745-p_spc_hi*Y745/1000</f>
        <v>0</v>
      </c>
      <c r="AI745" s="16" t="n">
        <f aca="false">Q745*J745</f>
        <v>0.00970216374591183</v>
      </c>
      <c r="AJ745" s="16" t="n">
        <f aca="false">S745*J745</f>
        <v>0.010722600175661</v>
      </c>
      <c r="AK745" s="16" t="n">
        <f aca="false">T745*J745</f>
        <v>0</v>
      </c>
      <c r="AL745" s="16" t="n">
        <f aca="false">U745*J745</f>
        <v>0</v>
      </c>
      <c r="AM745" s="16" t="n">
        <f aca="false">AI745-AJ745</f>
        <v>-0.00102043642974915</v>
      </c>
      <c r="AN745" s="16" t="n">
        <f aca="false">J745*Country_Data!$EB$110</f>
        <v>0.140724334651153</v>
      </c>
      <c r="AO745" s="16" t="n">
        <f aca="false">L745*Country_Data!$EB$110</f>
        <v>0.0337738403162768</v>
      </c>
    </row>
    <row r="746" customFormat="false" ht="15" hidden="false" customHeight="false" outlineLevel="0" collapsed="false">
      <c r="A746" s="14" t="str">
        <f aca="false">Country_Data!$A$110</f>
        <v>SLV</v>
      </c>
      <c r="B746" s="14" t="str">
        <f aca="false">Country_Data!$E$110</f>
        <v>EMDC</v>
      </c>
      <c r="C746" s="35" t="s">
        <v>488</v>
      </c>
      <c r="D746" s="37" t="n">
        <f aca="false">IF(Country_Data!$CE$110="","",Country_Data!$CE$110)</f>
        <v>6.358</v>
      </c>
      <c r="E746" s="40" t="n">
        <f aca="false">Country_Data!$BW$110</f>
        <v>84.192</v>
      </c>
      <c r="F746" s="41" t="n">
        <f aca="false">Country_Data!$BX$110</f>
        <v>0.420051786393007</v>
      </c>
      <c r="G746" s="42" t="n">
        <f aca="false">IF(D746="","",D746/SUMIFS($D$5:$D$1369,$B$5:$B$1369,B746,$C$5:$C$1369,C746))</f>
        <v>0.000520972033192097</v>
      </c>
      <c r="H746" s="42" t="n">
        <f aca="false">E746/SUMIFS($E$5:$E$1369,$B$5:$B$1369,B746,$C$5:$C$1369,C746)</f>
        <v>0.00104285927159639</v>
      </c>
      <c r="I746" s="43" t="n">
        <f aca="false">IF(G746="",H746,p_beta_alloc*G746+(1-p_beta_alloc)*H746)*F746^p_phi</f>
        <v>0.000506770498868819</v>
      </c>
      <c r="J746" s="16" t="n">
        <f aca="false">INDEX(Sector_Params!$C$22:$E$22,MATCH(B746,Sector_Params!$C$15:$E$15,0))*I746/SUMIFS($I$5:$I$1369,$B$5:$B$1369,B746,$C$5:$C$1369,C746)</f>
        <v>0.305485507619999</v>
      </c>
      <c r="K746" s="28" t="n">
        <f aca="false">INDEX(Sector_Params!$F$11:$H$11,MATCH(B746,Sector_Params!$C$15:$E$15,0))</f>
        <v>0.24</v>
      </c>
      <c r="L746" s="16" t="n">
        <f aca="false">J746*K746</f>
        <v>0.0733165218287998</v>
      </c>
      <c r="M746" s="44" t="n">
        <f aca="false">Country_Data!$DW$110+Sector_Params!$E$11</f>
        <v>0.048</v>
      </c>
      <c r="N746" s="44" t="n">
        <f aca="false">Country_Data!$DX$110+Sector_Params!$E$11</f>
        <v>0.093</v>
      </c>
      <c r="O746" s="11" t="n">
        <f aca="false">IF(p_use_ibrd=1,p_r_ibrd,p_r_wb)</f>
        <v>0.06</v>
      </c>
      <c r="P746" s="45" t="n">
        <f aca="false">Sector_Params!$D$11</f>
        <v>30</v>
      </c>
      <c r="Q746" s="46" t="n">
        <f aca="false">M746/(1-(1+M746)^-P746)</f>
        <v>0.0635759421442572</v>
      </c>
      <c r="R746" s="46" t="n">
        <f aca="false">N746/(1-(1+N746)^-P746)</f>
        <v>0.0999361376323761</v>
      </c>
      <c r="S746" s="46" t="n">
        <f aca="false">O746/(1-(1+O746)^-P746)</f>
        <v>0.0726489114900472</v>
      </c>
      <c r="T746" s="37" t="n">
        <f aca="false">0*Sector_Params!$I$11</f>
        <v>0</v>
      </c>
      <c r="U746" s="37" t="n">
        <f aca="false">p_c*Sector_Params!$J$11</f>
        <v>0.129</v>
      </c>
      <c r="V746" s="37" t="n">
        <f aca="false">1000*p_r_wb/(1-(1+p_r_wb)^-Sector_Params!$D$11)/p_cpt_afolu</f>
        <v>1.45297822980094</v>
      </c>
      <c r="W746" s="16" t="n">
        <f aca="false">T746*L746</f>
        <v>0</v>
      </c>
      <c r="X746" s="16" t="n">
        <f aca="false">U746*L746</f>
        <v>0.00945783131591517</v>
      </c>
      <c r="Y746" s="16" t="n">
        <f aca="false">V746*L746</f>
        <v>0.106527310101972</v>
      </c>
      <c r="Z746" s="16" t="n">
        <f aca="false">Q746*L746</f>
        <v>0.00466116695000595</v>
      </c>
      <c r="AA746" s="16" t="n">
        <f aca="false">R746*L746</f>
        <v>0.00732697001621005</v>
      </c>
      <c r="AB746" s="16" t="n">
        <f aca="false">S746*L746</f>
        <v>0.00532636550509859</v>
      </c>
      <c r="AC746" s="16" t="n">
        <f aca="false">Z746-W746</f>
        <v>0.00466116695000595</v>
      </c>
      <c r="AD746" s="16" t="n">
        <f aca="false">AA746-W746</f>
        <v>0.00732697001621005</v>
      </c>
      <c r="AE746" s="16" t="n">
        <f aca="false">AB746-W746</f>
        <v>0.00532636550509859</v>
      </c>
      <c r="AF746" s="16" t="n">
        <f aca="false">AE746-X746</f>
        <v>-0.00413146581081658</v>
      </c>
      <c r="AG746" s="16" t="n">
        <f aca="false">AF746-p_spc_lo*Y746/1000</f>
        <v>-0.00945783131591517</v>
      </c>
      <c r="AH746" s="16" t="n">
        <f aca="false">AF746-p_spc_hi*Y746/1000</f>
        <v>-0.0147841968210138</v>
      </c>
      <c r="AI746" s="16" t="n">
        <f aca="false">Q746*J746</f>
        <v>0.0194215289583581</v>
      </c>
      <c r="AJ746" s="16" t="n">
        <f aca="false">S746*J746</f>
        <v>0.0221931896045775</v>
      </c>
      <c r="AK746" s="16" t="n">
        <f aca="false">T746*J746</f>
        <v>0</v>
      </c>
      <c r="AL746" s="16" t="n">
        <f aca="false">U746*J746</f>
        <v>0.0394076304829799</v>
      </c>
      <c r="AM746" s="16" t="n">
        <f aca="false">AI746-AJ746</f>
        <v>-0.00277166064621934</v>
      </c>
      <c r="AN746" s="16" t="n">
        <f aca="false">J746*Country_Data!$EB$110</f>
        <v>0.349541920963836</v>
      </c>
      <c r="AO746" s="16" t="n">
        <f aca="false">L746*Country_Data!$EB$110</f>
        <v>0.0838900610313206</v>
      </c>
    </row>
    <row r="747" customFormat="false" ht="15" hidden="false" customHeight="false" outlineLevel="0" collapsed="false">
      <c r="A747" s="14" t="str">
        <f aca="false">Country_Data!$A$111</f>
        <v>GEO</v>
      </c>
      <c r="B747" s="14" t="str">
        <f aca="false">Country_Data!$E$111</f>
        <v>EMDC</v>
      </c>
      <c r="C747" s="35" t="s">
        <v>466</v>
      </c>
      <c r="D747" s="37" t="n">
        <f aca="false">IF(Country_Data!$BZ$111="","",Country_Data!$BZ$111)</f>
        <v>14.8624999383712</v>
      </c>
      <c r="E747" s="40" t="n">
        <f aca="false">Country_Data!$BW$111</f>
        <v>104.795</v>
      </c>
      <c r="F747" s="41" t="n">
        <f aca="false">Country_Data!$BX$111</f>
        <v>0.326265566105253</v>
      </c>
      <c r="G747" s="42" t="n">
        <f aca="false">IF(D747="","",D747/SUMIFS($D$5:$D$1369,$B$5:$B$1369,B747,$C$5:$C$1369,C747))</f>
        <v>0.00169673473077992</v>
      </c>
      <c r="H747" s="42" t="n">
        <f aca="false">E747/SUMIFS($E$5:$E$1369,$B$5:$B$1369,B747,$C$5:$C$1369,C747)</f>
        <v>0.00129806201737628</v>
      </c>
      <c r="I747" s="43" t="n">
        <f aca="false">IF(G747="",H747,p_beta_alloc*G747+(1-p_beta_alloc)*H747)*F747^p_phi</f>
        <v>0.000855308873559027</v>
      </c>
      <c r="J747" s="16" t="n">
        <f aca="false">INDEX(Sector_Params!$C$16:$E$16,MATCH(B747,Sector_Params!$C$15:$E$15,0))*I747/SUMIFS($I$5:$I$1369,$B$5:$B$1369,B747,$C$5:$C$1369,C747)</f>
        <v>0.827276426455759</v>
      </c>
      <c r="K747" s="28" t="n">
        <f aca="false">INDEX(Sector_Params!$F$5:$H$5,MATCH(B747,Sector_Params!$C$15:$E$15,0))</f>
        <v>0.24</v>
      </c>
      <c r="L747" s="16" t="n">
        <f aca="false">J747*K747</f>
        <v>0.198546342349382</v>
      </c>
      <c r="M747" s="44" t="n">
        <f aca="false">Country_Data!$DW$111+Sector_Params!$E$5</f>
        <v>0.105</v>
      </c>
      <c r="N747" s="44" t="n">
        <f aca="false">Country_Data!$DX$111+Sector_Params!$E$5</f>
        <v>0.15</v>
      </c>
      <c r="O747" s="11" t="n">
        <f aca="false">IF(p_use_ibrd=1,p_r_ibrd,p_r_wb)</f>
        <v>0.06</v>
      </c>
      <c r="P747" s="45" t="n">
        <f aca="false">Sector_Params!$D$5</f>
        <v>25</v>
      </c>
      <c r="Q747" s="46" t="n">
        <f aca="false">M747/(1-(1+M747)^-P747)</f>
        <v>0.114429319813103</v>
      </c>
      <c r="R747" s="46" t="n">
        <f aca="false">N747/(1-(1+N747)^-P747)</f>
        <v>0.154699402320206</v>
      </c>
      <c r="S747" s="46" t="n">
        <f aca="false">O747/(1-(1+O747)^-P747)</f>
        <v>0.078226718212274</v>
      </c>
      <c r="T747" s="37" t="n">
        <f aca="false">IF(AND(p_eng=1,ISNUMBER(Country_Data!$CZ$111)),Country_Data!$CZ$111,Country_Data!$CM$111)*Sector_Params!$I$5</f>
        <v>0.00241052649727767</v>
      </c>
      <c r="U747" s="37" t="n">
        <f aca="false">IF(AND(p_eng=1,ISNUMBER(Country_Data!$DA$111)),Country_Data!$DA$111,Country_Data!$CN$111)*Sector_Params!$J$5</f>
        <v>0</v>
      </c>
      <c r="V747" s="37" t="n">
        <f aca="false">IF(AND(p_eng=1,ISNUMBER(Country_Data!$DB$111)),Country_Data!$DB$111,p_a)</f>
        <v>0.19723960753176</v>
      </c>
      <c r="W747" s="16" t="n">
        <f aca="false">T747*L747</f>
        <v>0.00047860121917075</v>
      </c>
      <c r="X747" s="16" t="n">
        <f aca="false">U747*L747</f>
        <v>0</v>
      </c>
      <c r="Y747" s="16" t="n">
        <f aca="false">V747*L747</f>
        <v>0.0391612026418587</v>
      </c>
      <c r="Z747" s="16" t="n">
        <f aca="false">Q747*L747</f>
        <v>0.0227195229064193</v>
      </c>
      <c r="AA747" s="16" t="n">
        <f aca="false">R747*L747</f>
        <v>0.0307150004943125</v>
      </c>
      <c r="AB747" s="16" t="n">
        <f aca="false">S747*L747</f>
        <v>0.0155316287750428</v>
      </c>
      <c r="AC747" s="16" t="n">
        <f aca="false">Z747-W747</f>
        <v>0.0222409216872486</v>
      </c>
      <c r="AD747" s="16" t="n">
        <f aca="false">AA747-W747</f>
        <v>0.0302363992751418</v>
      </c>
      <c r="AE747" s="16" t="n">
        <f aca="false">AB747-W747</f>
        <v>0.015053027555872</v>
      </c>
      <c r="AF747" s="16" t="n">
        <f aca="false">AE747-X747</f>
        <v>0.015053027555872</v>
      </c>
      <c r="AG747" s="16" t="n">
        <f aca="false">AF747-p_spc_lo*Y747/1000</f>
        <v>0.0130949674237791</v>
      </c>
      <c r="AH747" s="16" t="n">
        <f aca="false">AF747-p_spc_hi*Y747/1000</f>
        <v>0.0111369072916862</v>
      </c>
      <c r="AI747" s="16" t="n">
        <f aca="false">Q747*J747</f>
        <v>0.0946646787767473</v>
      </c>
      <c r="AJ747" s="16" t="n">
        <f aca="false">S747*J747</f>
        <v>0.0647151198960116</v>
      </c>
      <c r="AK747" s="16" t="n">
        <f aca="false">T747*J747</f>
        <v>0.00199417174654479</v>
      </c>
      <c r="AL747" s="16" t="n">
        <f aca="false">U747*J747</f>
        <v>0</v>
      </c>
      <c r="AM747" s="16" t="n">
        <f aca="false">AI747-AJ747</f>
        <v>0.0299495588807357</v>
      </c>
      <c r="AN747" s="16" t="n">
        <f aca="false">J747*Country_Data!$EB$111</f>
        <v>0.876722833554264</v>
      </c>
      <c r="AO747" s="16" t="n">
        <f aca="false">L747*Country_Data!$EB$111</f>
        <v>0.210413480053023</v>
      </c>
    </row>
    <row r="748" customFormat="false" ht="15" hidden="false" customHeight="false" outlineLevel="0" collapsed="false">
      <c r="A748" s="14" t="str">
        <f aca="false">Country_Data!$A$111</f>
        <v>GEO</v>
      </c>
      <c r="B748" s="14" t="str">
        <f aca="false">Country_Data!$E$111</f>
        <v>EMDC</v>
      </c>
      <c r="C748" s="35" t="s">
        <v>470</v>
      </c>
      <c r="D748" s="37" t="n">
        <f aca="false">IF(Country_Data!$BZ$111="","",Country_Data!$BZ$111)</f>
        <v>14.8624999383712</v>
      </c>
      <c r="E748" s="40" t="n">
        <f aca="false">Country_Data!$BW$111</f>
        <v>104.795</v>
      </c>
      <c r="F748" s="41" t="n">
        <f aca="false">Country_Data!$BX$111</f>
        <v>0.326265566105253</v>
      </c>
      <c r="G748" s="42" t="n">
        <f aca="false">IF(D748="","",D748/SUMIFS($D$5:$D$1369,$B$5:$B$1369,B748,$C$5:$C$1369,C748))</f>
        <v>0.00169673473077992</v>
      </c>
      <c r="H748" s="42" t="n">
        <f aca="false">E748/SUMIFS($E$5:$E$1369,$B$5:$B$1369,B748,$C$5:$C$1369,C748)</f>
        <v>0.00129806201737628</v>
      </c>
      <c r="I748" s="43" t="n">
        <f aca="false">IF(G748="",H748,p_beta_alloc*G748+(1-p_beta_alloc)*H748)*F748^p_phi</f>
        <v>0.000855308873559027</v>
      </c>
      <c r="J748" s="16" t="n">
        <f aca="false">INDEX(Sector_Params!$C$17:$E$17,MATCH(B748,Sector_Params!$C$15:$E$15,0))*I748/SUMIFS($I$5:$I$1369,$B$5:$B$1369,B748,$C$5:$C$1369,C748)</f>
        <v>0.567275263855377</v>
      </c>
      <c r="K748" s="28" t="n">
        <f aca="false">INDEX(Sector_Params!$F$6:$H$6,MATCH(B748,Sector_Params!$C$15:$E$15,0))</f>
        <v>0.24</v>
      </c>
      <c r="L748" s="16" t="n">
        <f aca="false">J748*K748</f>
        <v>0.136146063325291</v>
      </c>
      <c r="M748" s="44" t="n">
        <f aca="false">Country_Data!$DW$111+Sector_Params!$E$6</f>
        <v>0.105</v>
      </c>
      <c r="N748" s="44" t="n">
        <f aca="false">Country_Data!$DX$111+Sector_Params!$E$6</f>
        <v>0.15</v>
      </c>
      <c r="O748" s="11" t="n">
        <f aca="false">IF(p_use_ibrd=1,p_r_ibrd,p_r_wb)</f>
        <v>0.06</v>
      </c>
      <c r="P748" s="45" t="n">
        <f aca="false">Sector_Params!$D$6</f>
        <v>40</v>
      </c>
      <c r="Q748" s="46" t="n">
        <f aca="false">M748/(1-(1+M748)^-P748)</f>
        <v>0.10697140835497</v>
      </c>
      <c r="R748" s="46" t="n">
        <f aca="false">N748/(1-(1+N748)^-P748)</f>
        <v>0.150562085013545</v>
      </c>
      <c r="S748" s="46" t="n">
        <f aca="false">O748/(1-(1+O748)^-P748)</f>
        <v>0.0664615359206755</v>
      </c>
      <c r="T748" s="37" t="n">
        <f aca="false">p_grid_credit*IF(AND(p_eng=1,ISNUMBER(Country_Data!$CZ$111)),Country_Data!$CZ$111,Country_Data!$CM$111)*Sector_Params!$I$6</f>
        <v>0</v>
      </c>
      <c r="U748" s="37" t="n">
        <f aca="false">p_grid_credit*IF(AND(p_eng=1,ISNUMBER(Country_Data!$DA$111)),Country_Data!$DA$111,Country_Data!$CN$111)*Sector_Params!$J$6</f>
        <v>0</v>
      </c>
      <c r="V748" s="37" t="n">
        <f aca="false">p_grid_credit*IF(AND(p_eng=1,ISNUMBER(Country_Data!$DB$111)),Country_Data!$DB$111,p_a)</f>
        <v>0</v>
      </c>
      <c r="W748" s="16" t="n">
        <f aca="false">T748*L748</f>
        <v>0</v>
      </c>
      <c r="X748" s="16" t="n">
        <f aca="false">U748*L748</f>
        <v>0</v>
      </c>
      <c r="Y748" s="16" t="n">
        <f aca="false">V748*L748</f>
        <v>0</v>
      </c>
      <c r="Z748" s="16" t="n">
        <f aca="false">Q748*L748</f>
        <v>0.0145637361358913</v>
      </c>
      <c r="AA748" s="16" t="n">
        <f aca="false">R748*L748</f>
        <v>0.0204984351606419</v>
      </c>
      <c r="AB748" s="16" t="n">
        <f aca="false">S748*L748</f>
        <v>0.00904847647815236</v>
      </c>
      <c r="AC748" s="16" t="n">
        <f aca="false">Z748-W748</f>
        <v>0.0145637361358913</v>
      </c>
      <c r="AD748" s="16" t="n">
        <f aca="false">AA748-W748</f>
        <v>0.0204984351606419</v>
      </c>
      <c r="AE748" s="16" t="n">
        <f aca="false">AB748-W748</f>
        <v>0.00904847647815236</v>
      </c>
      <c r="AF748" s="16" t="n">
        <f aca="false">AE748-X748</f>
        <v>0.00904847647815236</v>
      </c>
      <c r="AG748" s="16" t="n">
        <f aca="false">AF748-p_spc_lo*Y748/1000</f>
        <v>0.00904847647815236</v>
      </c>
      <c r="AH748" s="16" t="n">
        <f aca="false">AF748-p_spc_hi*Y748/1000</f>
        <v>0.00904847647815236</v>
      </c>
      <c r="AI748" s="16" t="n">
        <f aca="false">Q748*J748</f>
        <v>0.0606822338995471</v>
      </c>
      <c r="AJ748" s="16" t="n">
        <f aca="false">S748*J748</f>
        <v>0.0377019853256348</v>
      </c>
      <c r="AK748" s="16" t="n">
        <f aca="false">T748*J748</f>
        <v>0</v>
      </c>
      <c r="AL748" s="16" t="n">
        <f aca="false">U748*J748</f>
        <v>0</v>
      </c>
      <c r="AM748" s="16" t="n">
        <f aca="false">AI748-AJ748</f>
        <v>0.0229802485739123</v>
      </c>
      <c r="AN748" s="16" t="n">
        <f aca="false">J748*Country_Data!$EB$111</f>
        <v>0.601181371580067</v>
      </c>
      <c r="AO748" s="16" t="n">
        <f aca="false">L748*Country_Data!$EB$111</f>
        <v>0.144283529179216</v>
      </c>
    </row>
    <row r="749" customFormat="false" ht="15" hidden="false" customHeight="false" outlineLevel="0" collapsed="false">
      <c r="A749" s="14" t="str">
        <f aca="false">Country_Data!$A$111</f>
        <v>GEO</v>
      </c>
      <c r="B749" s="14" t="str">
        <f aca="false">Country_Data!$E$111</f>
        <v>EMDC</v>
      </c>
      <c r="C749" s="35" t="s">
        <v>473</v>
      </c>
      <c r="D749" s="37" t="n">
        <f aca="false">IF(Country_Data!$CA$111="","",Country_Data!$CA$111)</f>
        <v>0.0542989831506919</v>
      </c>
      <c r="E749" s="40" t="n">
        <f aca="false">Country_Data!$BW$111</f>
        <v>104.795</v>
      </c>
      <c r="F749" s="41" t="n">
        <f aca="false">Country_Data!$BX$111</f>
        <v>0.326265566105253</v>
      </c>
      <c r="G749" s="42" t="n">
        <f aca="false">IF(D749="","",D749/SUMIFS($D$5:$D$1369,$B$5:$B$1369,B749,$C$5:$C$1369,C749))</f>
        <v>0.00125443284900755</v>
      </c>
      <c r="H749" s="42" t="n">
        <f aca="false">E749/SUMIFS($E$5:$E$1369,$B$5:$B$1369,B749,$C$5:$C$1369,C749)</f>
        <v>0.00129806201737628</v>
      </c>
      <c r="I749" s="43" t="n">
        <f aca="false">IF(G749="",H749,p_beta_alloc*G749+(1-p_beta_alloc)*H749)*F749^p_phi</f>
        <v>0.000728988206053067</v>
      </c>
      <c r="J749" s="16" t="n">
        <f aca="false">INDEX(Sector_Params!$C$18:$E$18,MATCH(B749,Sector_Params!$C$15:$E$15,0))*I749/SUMIFS($I$5:$I$1369,$B$5:$B$1369,B749,$C$5:$C$1369,C749)</f>
        <v>0.298503421632548</v>
      </c>
      <c r="K749" s="28" t="n">
        <f aca="false">INDEX(Sector_Params!$F$7:$H$7,MATCH(B749,Sector_Params!$C$15:$E$15,0))</f>
        <v>0.24</v>
      </c>
      <c r="L749" s="16" t="n">
        <f aca="false">J749*K749</f>
        <v>0.0716408211918114</v>
      </c>
      <c r="M749" s="44" t="n">
        <f aca="false">Country_Data!$DW$111+Sector_Params!$E$7</f>
        <v>0.105</v>
      </c>
      <c r="N749" s="44" t="n">
        <f aca="false">Country_Data!$DX$111+Sector_Params!$E$7</f>
        <v>0.15</v>
      </c>
      <c r="O749" s="11" t="n">
        <f aca="false">IF(p_use_ibrd=1,p_r_ibrd,p_r_wb)</f>
        <v>0.06</v>
      </c>
      <c r="P749" s="45" t="n">
        <f aca="false">Sector_Params!$D$7</f>
        <v>12</v>
      </c>
      <c r="Q749" s="46" t="n">
        <f aca="false">M749/(1-(1+M749)^-P749)</f>
        <v>0.150376745634766</v>
      </c>
      <c r="R749" s="46" t="n">
        <f aca="false">N749/(1-(1+N749)^-P749)</f>
        <v>0.18448077613084</v>
      </c>
      <c r="S749" s="46" t="n">
        <f aca="false">O749/(1-(1+O749)^-P749)</f>
        <v>0.119277029380664</v>
      </c>
      <c r="T749" s="37" t="n">
        <f aca="false">IF(AND(p_eng=1,ISNUMBER(Country_Data!$DE$111)),Country_Data!$DE$111,Country_Data!$CM$111)*Sector_Params!$I$7</f>
        <v>0.188477955</v>
      </c>
      <c r="U749" s="37" t="n">
        <f aca="false">IF(AND(p_eng=1,ISNUMBER(Country_Data!$DF$111)),Country_Data!$DF$111,Country_Data!$CN$111)*Sector_Params!$J$7</f>
        <v>0.0496296</v>
      </c>
      <c r="V749" s="37" t="n">
        <f aca="false">IF(AND(p_eng=1,ISNUMBER(Country_Data!$DG$111)),Country_Data!$DG$111,p_a)</f>
        <v>0.486981</v>
      </c>
      <c r="W749" s="16" t="n">
        <f aca="false">T749*L749</f>
        <v>0.0135027154727533</v>
      </c>
      <c r="X749" s="16" t="n">
        <f aca="false">U749*L749</f>
        <v>0.00355550529942112</v>
      </c>
      <c r="Y749" s="16" t="n">
        <f aca="false">V749*L749</f>
        <v>0.0348877187448095</v>
      </c>
      <c r="Z749" s="16" t="n">
        <f aca="false">Q749*L749</f>
        <v>0.0107731135454268</v>
      </c>
      <c r="AA749" s="16" t="n">
        <f aca="false">R749*L749</f>
        <v>0.0132163542961161</v>
      </c>
      <c r="AB749" s="16" t="n">
        <f aca="false">S749*L749</f>
        <v>0.00854510433415055</v>
      </c>
      <c r="AC749" s="16" t="n">
        <f aca="false">Z749-W749</f>
        <v>-0.00272960192732652</v>
      </c>
      <c r="AD749" s="16" t="n">
        <f aca="false">AA749-W749</f>
        <v>-0.000286361176637212</v>
      </c>
      <c r="AE749" s="16" t="n">
        <f aca="false">AB749-W749</f>
        <v>-0.00495761113860273</v>
      </c>
      <c r="AF749" s="16" t="n">
        <f aca="false">AE749-X749</f>
        <v>-0.00851311643802385</v>
      </c>
      <c r="AG749" s="16" t="n">
        <f aca="false">AF749-p_spc_lo*Y749/1000</f>
        <v>-0.0102575023752643</v>
      </c>
      <c r="AH749" s="16" t="n">
        <f aca="false">AF749-p_spc_hi*Y749/1000</f>
        <v>-0.0120018883125048</v>
      </c>
      <c r="AI749" s="16" t="n">
        <f aca="false">Q749*J749</f>
        <v>0.0448879731059448</v>
      </c>
      <c r="AJ749" s="16" t="n">
        <f aca="false">S749*J749</f>
        <v>0.035604601392294</v>
      </c>
      <c r="AK749" s="16" t="n">
        <f aca="false">T749*J749</f>
        <v>0.0562613144698053</v>
      </c>
      <c r="AL749" s="16" t="n">
        <f aca="false">U749*J749</f>
        <v>0.0148146054142547</v>
      </c>
      <c r="AM749" s="16" t="n">
        <f aca="false">AI749-AJ749</f>
        <v>0.00928337171365085</v>
      </c>
      <c r="AN749" s="16" t="n">
        <f aca="false">J749*Country_Data!$EB$111</f>
        <v>0.316345005454263</v>
      </c>
      <c r="AO749" s="16" t="n">
        <f aca="false">L749*Country_Data!$EB$111</f>
        <v>0.0759228013090231</v>
      </c>
    </row>
    <row r="750" customFormat="false" ht="15" hidden="false" customHeight="false" outlineLevel="0" collapsed="false">
      <c r="A750" s="14" t="str">
        <f aca="false">Country_Data!$A$111</f>
        <v>GEO</v>
      </c>
      <c r="B750" s="14" t="str">
        <f aca="false">Country_Data!$E$111</f>
        <v>EMDC</v>
      </c>
      <c r="C750" s="35" t="s">
        <v>477</v>
      </c>
      <c r="D750" s="37" t="n">
        <f aca="false">IF(Country_Data!$CB$111="","",Country_Data!$CB$111)</f>
        <v>0.0707323393435973</v>
      </c>
      <c r="E750" s="40" t="n">
        <f aca="false">Country_Data!$BW$111</f>
        <v>104.795</v>
      </c>
      <c r="F750" s="41" t="n">
        <f aca="false">Country_Data!$BX$111</f>
        <v>0.326265566105253</v>
      </c>
      <c r="G750" s="42" t="n">
        <f aca="false">IF(D750="","",D750/SUMIFS($D$5:$D$1369,$B$5:$B$1369,B750,$C$5:$C$1369,C750))</f>
        <v>0.00223040603949931</v>
      </c>
      <c r="H750" s="42" t="n">
        <f aca="false">E750/SUMIFS($E$5:$E$1369,$B$5:$B$1369,B750,$C$5:$C$1369,C750)</f>
        <v>0.00129806201737628</v>
      </c>
      <c r="I750" s="43" t="n">
        <f aca="false">IF(G750="",H750,p_beta_alloc*G750+(1-p_beta_alloc)*H750)*F750^p_phi</f>
        <v>0.00100772449448307</v>
      </c>
      <c r="J750" s="16" t="n">
        <f aca="false">INDEX(Sector_Params!$C$19:$E$19,MATCH(B750,Sector_Params!$C$15:$E$15,0))*I750/SUMIFS($I$5:$I$1369,$B$5:$B$1369,B750,$C$5:$C$1369,C750)</f>
        <v>0.324348822376655</v>
      </c>
      <c r="K750" s="28" t="n">
        <f aca="false">INDEX(Sector_Params!$F$8:$H$8,MATCH(B750,Sector_Params!$C$15:$E$15,0))</f>
        <v>0.24</v>
      </c>
      <c r="L750" s="16" t="n">
        <f aca="false">J750*K750</f>
        <v>0.0778437173703972</v>
      </c>
      <c r="M750" s="44" t="n">
        <f aca="false">Country_Data!$DW$111+Sector_Params!$E$8</f>
        <v>0.105</v>
      </c>
      <c r="N750" s="44" t="n">
        <f aca="false">Country_Data!$DX$111+Sector_Params!$E$8</f>
        <v>0.15</v>
      </c>
      <c r="O750" s="11" t="n">
        <f aca="false">IF(p_use_ibrd=1,p_r_ibrd,p_r_wb)</f>
        <v>0.06</v>
      </c>
      <c r="P750" s="45" t="n">
        <f aca="false">Sector_Params!$D$8</f>
        <v>25</v>
      </c>
      <c r="Q750" s="46" t="n">
        <f aca="false">M750/(1-(1+M750)^-P750)</f>
        <v>0.114429319813103</v>
      </c>
      <c r="R750" s="46" t="n">
        <f aca="false">N750/(1-(1+N750)^-P750)</f>
        <v>0.154699402320206</v>
      </c>
      <c r="S750" s="46" t="n">
        <f aca="false">O750/(1-(1+O750)^-P750)</f>
        <v>0.078226718212274</v>
      </c>
      <c r="T750" s="37" t="n">
        <f aca="false">Country_Data!$CM$111*Sector_Params!$I$8</f>
        <v>0.16687642623972</v>
      </c>
      <c r="U750" s="37" t="n">
        <f aca="false">Country_Data!$CN$111*Sector_Params!$J$8</f>
        <v>0.116347488419091</v>
      </c>
      <c r="V750" s="37" t="n">
        <f aca="false">p_a</f>
        <v>0.35</v>
      </c>
      <c r="W750" s="16" t="n">
        <f aca="false">T750*L750</f>
        <v>0.0129902813599867</v>
      </c>
      <c r="X750" s="16" t="n">
        <f aca="false">U750*L750</f>
        <v>0.0090569210052513</v>
      </c>
      <c r="Y750" s="16" t="n">
        <f aca="false">V750*L750</f>
        <v>0.027245301079639</v>
      </c>
      <c r="Z750" s="16" t="n">
        <f aca="false">Q750*L750</f>
        <v>0.008907603630418</v>
      </c>
      <c r="AA750" s="16" t="n">
        <f aca="false">R750*L750</f>
        <v>0.0120423765515835</v>
      </c>
      <c r="AB750" s="16" t="n">
        <f aca="false">S750*L750</f>
        <v>0.00608945854332996</v>
      </c>
      <c r="AC750" s="16" t="n">
        <f aca="false">Z750-W750</f>
        <v>-0.00408267772956871</v>
      </c>
      <c r="AD750" s="16" t="n">
        <f aca="false">AA750-W750</f>
        <v>-0.000947904808403193</v>
      </c>
      <c r="AE750" s="16" t="n">
        <f aca="false">AB750-W750</f>
        <v>-0.00690082281665676</v>
      </c>
      <c r="AF750" s="16" t="n">
        <f aca="false">AE750-X750</f>
        <v>-0.0159577438219081</v>
      </c>
      <c r="AG750" s="16" t="n">
        <f aca="false">AF750-p_spc_lo*Y750/1000</f>
        <v>-0.01732000887589</v>
      </c>
      <c r="AH750" s="16" t="n">
        <f aca="false">AF750-p_spc_hi*Y750/1000</f>
        <v>-0.018682273929872</v>
      </c>
      <c r="AI750" s="16" t="n">
        <f aca="false">Q750*J750</f>
        <v>0.0371150151267417</v>
      </c>
      <c r="AJ750" s="16" t="n">
        <f aca="false">S750*J750</f>
        <v>0.0253727439305415</v>
      </c>
      <c r="AK750" s="16" t="n">
        <f aca="false">T750*J750</f>
        <v>0.054126172333278</v>
      </c>
      <c r="AL750" s="16" t="n">
        <f aca="false">U750*J750</f>
        <v>0.0377371708552138</v>
      </c>
      <c r="AM750" s="16" t="n">
        <f aca="false">AI750-AJ750</f>
        <v>0.0117422711962002</v>
      </c>
      <c r="AN750" s="16" t="n">
        <f aca="false">J750*Country_Data!$EB$111</f>
        <v>0.343735188771581</v>
      </c>
      <c r="AO750" s="16" t="n">
        <f aca="false">L750*Country_Data!$EB$111</f>
        <v>0.0824964453051795</v>
      </c>
    </row>
    <row r="751" customFormat="false" ht="15" hidden="false" customHeight="false" outlineLevel="0" collapsed="false">
      <c r="A751" s="14" t="str">
        <f aca="false">Country_Data!$A$111</f>
        <v>GEO</v>
      </c>
      <c r="B751" s="14" t="str">
        <f aca="false">Country_Data!$E$111</f>
        <v>EMDC</v>
      </c>
      <c r="C751" s="35" t="s">
        <v>481</v>
      </c>
      <c r="D751" s="37" t="n">
        <f aca="false">IF(Country_Data!$CC$111="","",Country_Data!$CC$111)</f>
        <v>0.0621294129565105</v>
      </c>
      <c r="E751" s="40" t="n">
        <f aca="false">Country_Data!$BW$111</f>
        <v>104.795</v>
      </c>
      <c r="F751" s="41" t="n">
        <f aca="false">Country_Data!$BX$111</f>
        <v>0.326265566105253</v>
      </c>
      <c r="G751" s="42" t="n">
        <f aca="false">IF(D751="","",D751/SUMIFS($D$5:$D$1369,$B$5:$B$1369,B751,$C$5:$C$1369,C751))</f>
        <v>0.000887471030168199</v>
      </c>
      <c r="H751" s="42" t="n">
        <f aca="false">E751/SUMIFS($E$5:$E$1369,$B$5:$B$1369,B751,$C$5:$C$1369,C751)</f>
        <v>0.00129806201737628</v>
      </c>
      <c r="I751" s="43" t="n">
        <f aca="false">IF(G751="",H751,p_beta_alloc*G751+(1-p_beta_alloc)*H751)*F751^p_phi</f>
        <v>0.000624184532780785</v>
      </c>
      <c r="J751" s="16" t="n">
        <f aca="false">INDEX(Sector_Params!$C$20:$E$20,MATCH(B751,Sector_Params!$C$15:$E$15,0))*I751/SUMIFS($I$5:$I$1369,$B$5:$B$1369,B751,$C$5:$C$1369,C751)</f>
        <v>0.113926246865245</v>
      </c>
      <c r="K751" s="28" t="n">
        <f aca="false">INDEX(Sector_Params!$F$9:$H$9,MATCH(B751,Sector_Params!$C$15:$E$15,0))</f>
        <v>0.24</v>
      </c>
      <c r="L751" s="16" t="n">
        <f aca="false">J751*K751</f>
        <v>0.0273422992476587</v>
      </c>
      <c r="M751" s="44" t="n">
        <f aca="false">Country_Data!$DW$111+Sector_Params!$E$9</f>
        <v>0.105</v>
      </c>
      <c r="N751" s="44" t="n">
        <f aca="false">Country_Data!$DX$111+Sector_Params!$E$9</f>
        <v>0.15</v>
      </c>
      <c r="O751" s="11" t="n">
        <f aca="false">IF(p_use_ibrd=1,p_r_ibrd,p_r_wb)</f>
        <v>0.06</v>
      </c>
      <c r="P751" s="45" t="n">
        <f aca="false">Sector_Params!$D$9</f>
        <v>25</v>
      </c>
      <c r="Q751" s="46" t="n">
        <f aca="false">M751/(1-(1+M751)^-P751)</f>
        <v>0.114429319813103</v>
      </c>
      <c r="R751" s="46" t="n">
        <f aca="false">N751/(1-(1+N751)^-P751)</f>
        <v>0.154699402320206</v>
      </c>
      <c r="S751" s="46" t="n">
        <f aca="false">O751/(1-(1+O751)^-P751)</f>
        <v>0.078226718212274</v>
      </c>
      <c r="T751" s="37" t="n">
        <f aca="false">Country_Data!$CM$111*Sector_Params!$I$9</f>
        <v>0.16687642623972</v>
      </c>
      <c r="U751" s="37" t="n">
        <f aca="false">Country_Data!$CN$111*Sector_Params!$J$9</f>
        <v>0.116347488419091</v>
      </c>
      <c r="V751" s="37" t="n">
        <f aca="false">p_a</f>
        <v>0.35</v>
      </c>
      <c r="W751" s="16" t="n">
        <f aca="false">T751*L751</f>
        <v>0.00456278518362628</v>
      </c>
      <c r="X751" s="16" t="n">
        <f aca="false">U751*L751</f>
        <v>0.0031812078450683</v>
      </c>
      <c r="Y751" s="16" t="n">
        <f aca="false">V751*L751</f>
        <v>0.00956980473668055</v>
      </c>
      <c r="Z751" s="16" t="n">
        <f aca="false">Q751*L751</f>
        <v>0.00312876070503591</v>
      </c>
      <c r="AA751" s="16" t="n">
        <f aca="false">R751*L751</f>
        <v>0.00422983735167303</v>
      </c>
      <c r="AB751" s="16" t="n">
        <f aca="false">S751*L751</f>
        <v>0.00213889833852227</v>
      </c>
      <c r="AC751" s="16" t="n">
        <f aca="false">Z751-W751</f>
        <v>-0.00143402447859036</v>
      </c>
      <c r="AD751" s="16" t="n">
        <f aca="false">AA751-W751</f>
        <v>-0.000332947831953243</v>
      </c>
      <c r="AE751" s="16" t="n">
        <f aca="false">AB751-W751</f>
        <v>-0.00242388684510401</v>
      </c>
      <c r="AF751" s="16" t="n">
        <f aca="false">AE751-X751</f>
        <v>-0.00560509469017231</v>
      </c>
      <c r="AG751" s="16" t="n">
        <f aca="false">AF751-p_spc_lo*Y751/1000</f>
        <v>-0.00608358492700634</v>
      </c>
      <c r="AH751" s="16" t="n">
        <f aca="false">AF751-p_spc_hi*Y751/1000</f>
        <v>-0.00656207516384036</v>
      </c>
      <c r="AI751" s="16" t="n">
        <f aca="false">Q751*J751</f>
        <v>0.0130365029376496</v>
      </c>
      <c r="AJ751" s="16" t="n">
        <f aca="false">S751*J751</f>
        <v>0.00891207641050945</v>
      </c>
      <c r="AK751" s="16" t="n">
        <f aca="false">T751*J751</f>
        <v>0.0190116049317762</v>
      </c>
      <c r="AL751" s="16" t="n">
        <f aca="false">U751*J751</f>
        <v>0.0132550326877846</v>
      </c>
      <c r="AM751" s="16" t="n">
        <f aca="false">AI751-AJ751</f>
        <v>0.00412442652714019</v>
      </c>
      <c r="AN751" s="16" t="n">
        <f aca="false">J751*Country_Data!$EB$111</f>
        <v>0.120735631735351</v>
      </c>
      <c r="AO751" s="16" t="n">
        <f aca="false">L751*Country_Data!$EB$111</f>
        <v>0.0289765516164843</v>
      </c>
    </row>
    <row r="752" customFormat="false" ht="15" hidden="false" customHeight="false" outlineLevel="0" collapsed="false">
      <c r="A752" s="14" t="str">
        <f aca="false">Country_Data!$A$111</f>
        <v>GEO</v>
      </c>
      <c r="B752" s="14" t="str">
        <f aca="false">Country_Data!$E$111</f>
        <v>EMDC</v>
      </c>
      <c r="C752" s="35" t="s">
        <v>484</v>
      </c>
      <c r="D752" s="37" t="n">
        <f aca="false">IF(Country_Data!$CD$111="","",Country_Data!$CD$111)</f>
        <v>0.165496463772761</v>
      </c>
      <c r="E752" s="40" t="n">
        <f aca="false">Country_Data!$BW$111</f>
        <v>104.795</v>
      </c>
      <c r="F752" s="41" t="n">
        <f aca="false">Country_Data!$BX$111</f>
        <v>0.326265566105253</v>
      </c>
      <c r="G752" s="42" t="n">
        <f aca="false">IF(D752="","",D752/SUMIFS($D$5:$D$1369,$B$5:$B$1369,B752,$C$5:$C$1369,C752))</f>
        <v>0.000924192712764178</v>
      </c>
      <c r="H752" s="42" t="n">
        <f aca="false">E752/SUMIFS($E$5:$E$1369,$B$5:$B$1369,B752,$C$5:$C$1369,C752)</f>
        <v>0.00129806201737628</v>
      </c>
      <c r="I752" s="43" t="n">
        <f aca="false">IF(G752="",H752,p_beta_alloc*G752+(1-p_beta_alloc)*H752)*F752^p_phi</f>
        <v>0.000634672183068136</v>
      </c>
      <c r="J752" s="16" t="n">
        <f aca="false">INDEX(Sector_Params!$C$21:$E$21,MATCH(B752,Sector_Params!$C$15:$E$15,0))*I752/SUMIFS($I$5:$I$1369,$B$5:$B$1369,B752,$C$5:$C$1369,C752)</f>
        <v>0.140763833213115</v>
      </c>
      <c r="K752" s="28" t="n">
        <f aca="false">INDEX(Sector_Params!$F$10:$H$10,MATCH(B752,Sector_Params!$C$15:$E$15,0))</f>
        <v>0.24</v>
      </c>
      <c r="L752" s="16" t="n">
        <f aca="false">J752*K752</f>
        <v>0.0337833199711476</v>
      </c>
      <c r="M752" s="44" t="n">
        <f aca="false">Country_Data!$DW$111+Sector_Params!$E$10</f>
        <v>0.105</v>
      </c>
      <c r="N752" s="44" t="n">
        <f aca="false">Country_Data!$DX$111+Sector_Params!$E$10</f>
        <v>0.15</v>
      </c>
      <c r="O752" s="11" t="n">
        <f aca="false">IF(p_use_ibrd=1,p_r_ibrd,p_r_wb)</f>
        <v>0.06</v>
      </c>
      <c r="P752" s="45" t="n">
        <f aca="false">Sector_Params!$D$10</f>
        <v>20</v>
      </c>
      <c r="Q752" s="46" t="n">
        <f aca="false">M752/(1-(1+M752)^-P752)</f>
        <v>0.121493265267016</v>
      </c>
      <c r="R752" s="46" t="n">
        <f aca="false">N752/(1-(1+N752)^-P752)</f>
        <v>0.159761470405744</v>
      </c>
      <c r="S752" s="46" t="n">
        <f aca="false">O752/(1-(1+O752)^-P752)</f>
        <v>0.0871845569768514</v>
      </c>
      <c r="T752" s="37" t="n">
        <f aca="false">0*Sector_Params!$I$10</f>
        <v>0</v>
      </c>
      <c r="U752" s="37" t="n">
        <f aca="false">0*Sector_Params!$J$10</f>
        <v>0</v>
      </c>
      <c r="V752" s="37" t="n">
        <f aca="false">1000*p_r_wb/(1-(1+p_r_wb)^-Sector_Params!$D$10)/p_cpt_fuel</f>
        <v>0.871845569768514</v>
      </c>
      <c r="W752" s="16" t="n">
        <f aca="false">T752*L752</f>
        <v>0</v>
      </c>
      <c r="X752" s="16" t="n">
        <f aca="false">U752*L752</f>
        <v>0</v>
      </c>
      <c r="Y752" s="16" t="n">
        <f aca="false">V752*L752</f>
        <v>0.0294538378489172</v>
      </c>
      <c r="Z752" s="16" t="n">
        <f aca="false">Q752*L752</f>
        <v>0.00410444585485512</v>
      </c>
      <c r="AA752" s="16" t="n">
        <f aca="false">R752*L752</f>
        <v>0.00539727287377827</v>
      </c>
      <c r="AB752" s="16" t="n">
        <f aca="false">S752*L752</f>
        <v>0.00294538378489172</v>
      </c>
      <c r="AC752" s="16" t="n">
        <f aca="false">Z752-W752</f>
        <v>0.00410444585485512</v>
      </c>
      <c r="AD752" s="16" t="n">
        <f aca="false">AA752-W752</f>
        <v>0.00539727287377827</v>
      </c>
      <c r="AE752" s="16" t="n">
        <f aca="false">AB752-W752</f>
        <v>0.00294538378489172</v>
      </c>
      <c r="AF752" s="16" t="n">
        <f aca="false">AE752-X752</f>
        <v>0.00294538378489172</v>
      </c>
      <c r="AG752" s="16" t="n">
        <f aca="false">AF752-p_spc_lo*Y752/1000</f>
        <v>0.00147269189244586</v>
      </c>
      <c r="AH752" s="16" t="n">
        <f aca="false">AF752-p_spc_hi*Y752/1000</f>
        <v>0</v>
      </c>
      <c r="AI752" s="16" t="n">
        <f aca="false">Q752*J752</f>
        <v>0.017101857728563</v>
      </c>
      <c r="AJ752" s="16" t="n">
        <f aca="false">S752*J752</f>
        <v>0.0122724324370488</v>
      </c>
      <c r="AK752" s="16" t="n">
        <f aca="false">T752*J752</f>
        <v>0</v>
      </c>
      <c r="AL752" s="16" t="n">
        <f aca="false">U752*J752</f>
        <v>0</v>
      </c>
      <c r="AM752" s="16" t="n">
        <f aca="false">AI752-AJ752</f>
        <v>0.00482942529151416</v>
      </c>
      <c r="AN752" s="16" t="n">
        <f aca="false">J752*Country_Data!$EB$111</f>
        <v>0.149177303704014</v>
      </c>
      <c r="AO752" s="16" t="n">
        <f aca="false">L752*Country_Data!$EB$111</f>
        <v>0.0358025528889633</v>
      </c>
    </row>
    <row r="753" customFormat="false" ht="15" hidden="false" customHeight="false" outlineLevel="0" collapsed="false">
      <c r="A753" s="14" t="str">
        <f aca="false">Country_Data!$A$111</f>
        <v>GEO</v>
      </c>
      <c r="B753" s="14" t="str">
        <f aca="false">Country_Data!$E$111</f>
        <v>EMDC</v>
      </c>
      <c r="C753" s="35" t="s">
        <v>488</v>
      </c>
      <c r="D753" s="37" t="n">
        <f aca="false">IF(Country_Data!$CE$111="","",Country_Data!$CE$111)</f>
        <v>6.25</v>
      </c>
      <c r="E753" s="40" t="n">
        <f aca="false">Country_Data!$BW$111</f>
        <v>104.795</v>
      </c>
      <c r="F753" s="41" t="n">
        <f aca="false">Country_Data!$BX$111</f>
        <v>0.326265566105253</v>
      </c>
      <c r="G753" s="42" t="n">
        <f aca="false">IF(D753="","",D753/SUMIFS($D$5:$D$1369,$B$5:$B$1369,B753,$C$5:$C$1369,C753))</f>
        <v>0.000512122555434194</v>
      </c>
      <c r="H753" s="42" t="n">
        <f aca="false">E753/SUMIFS($E$5:$E$1369,$B$5:$B$1369,B753,$C$5:$C$1369,C753)</f>
        <v>0.00129806201737628</v>
      </c>
      <c r="I753" s="43" t="n">
        <f aca="false">IF(G753="",H753,p_beta_alloc*G753+(1-p_beta_alloc)*H753)*F753^p_phi</f>
        <v>0.000516985644804667</v>
      </c>
      <c r="J753" s="16" t="n">
        <f aca="false">INDEX(Sector_Params!$C$22:$E$22,MATCH(B753,Sector_Params!$C$15:$E$15,0))*I753/SUMIFS($I$5:$I$1369,$B$5:$B$1369,B753,$C$5:$C$1369,C753)</f>
        <v>0.311643283277009</v>
      </c>
      <c r="K753" s="28" t="n">
        <f aca="false">INDEX(Sector_Params!$F$11:$H$11,MATCH(B753,Sector_Params!$C$15:$E$15,0))</f>
        <v>0.24</v>
      </c>
      <c r="L753" s="16" t="n">
        <f aca="false">J753*K753</f>
        <v>0.0747943879864821</v>
      </c>
      <c r="M753" s="44" t="n">
        <f aca="false">Country_Data!$DW$111+Sector_Params!$E$11</f>
        <v>0.105</v>
      </c>
      <c r="N753" s="44" t="n">
        <f aca="false">Country_Data!$DX$111+Sector_Params!$E$11</f>
        <v>0.15</v>
      </c>
      <c r="O753" s="11" t="n">
        <f aca="false">IF(p_use_ibrd=1,p_r_ibrd,p_r_wb)</f>
        <v>0.06</v>
      </c>
      <c r="P753" s="45" t="n">
        <f aca="false">Sector_Params!$D$11</f>
        <v>30</v>
      </c>
      <c r="Q753" s="46" t="n">
        <f aca="false">M753/(1-(1+M753)^-P753)</f>
        <v>0.110528481529605</v>
      </c>
      <c r="R753" s="46" t="n">
        <f aca="false">N753/(1-(1+N753)^-P753)</f>
        <v>0.152300198192734</v>
      </c>
      <c r="S753" s="46" t="n">
        <f aca="false">O753/(1-(1+O753)^-P753)</f>
        <v>0.0726489114900472</v>
      </c>
      <c r="T753" s="37" t="n">
        <f aca="false">0*Sector_Params!$I$11</f>
        <v>0</v>
      </c>
      <c r="U753" s="37" t="n">
        <f aca="false">p_c*Sector_Params!$J$11</f>
        <v>0.129</v>
      </c>
      <c r="V753" s="37" t="n">
        <f aca="false">1000*p_r_wb/(1-(1+p_r_wb)^-Sector_Params!$D$11)/p_cpt_afolu</f>
        <v>1.45297822980094</v>
      </c>
      <c r="W753" s="16" t="n">
        <f aca="false">T753*L753</f>
        <v>0</v>
      </c>
      <c r="X753" s="16" t="n">
        <f aca="false">U753*L753</f>
        <v>0.00964847605025619</v>
      </c>
      <c r="Y753" s="16" t="n">
        <f aca="false">V753*L753</f>
        <v>0.108674617455644</v>
      </c>
      <c r="Z753" s="16" t="n">
        <f aca="false">Q753*L753</f>
        <v>0.00826691013108201</v>
      </c>
      <c r="AA753" s="16" t="n">
        <f aca="false">R753*L753</f>
        <v>0.0113912001140455</v>
      </c>
      <c r="AB753" s="16" t="n">
        <f aca="false">S753*L753</f>
        <v>0.00543373087278219</v>
      </c>
      <c r="AC753" s="16" t="n">
        <f aca="false">Z753-W753</f>
        <v>0.00826691013108201</v>
      </c>
      <c r="AD753" s="16" t="n">
        <f aca="false">AA753-W753</f>
        <v>0.0113912001140455</v>
      </c>
      <c r="AE753" s="16" t="n">
        <f aca="false">AB753-W753</f>
        <v>0.00543373087278219</v>
      </c>
      <c r="AF753" s="16" t="n">
        <f aca="false">AE753-X753</f>
        <v>-0.004214745177474</v>
      </c>
      <c r="AG753" s="16" t="n">
        <f aca="false">AF753-p_spc_lo*Y753/1000</f>
        <v>-0.00964847605025619</v>
      </c>
      <c r="AH753" s="16" t="n">
        <f aca="false">AF753-p_spc_hi*Y753/1000</f>
        <v>-0.0150822069230384</v>
      </c>
      <c r="AI753" s="16" t="n">
        <f aca="false">Q753*J753</f>
        <v>0.0344454588795084</v>
      </c>
      <c r="AJ753" s="16" t="n">
        <f aca="false">S753*J753</f>
        <v>0.0226405453032591</v>
      </c>
      <c r="AK753" s="16" t="n">
        <f aca="false">T753*J753</f>
        <v>0</v>
      </c>
      <c r="AL753" s="16" t="n">
        <f aca="false">U753*J753</f>
        <v>0.0402019835427341</v>
      </c>
      <c r="AM753" s="16" t="n">
        <f aca="false">AI753-AJ753</f>
        <v>0.0118049135762493</v>
      </c>
      <c r="AN753" s="16" t="n">
        <f aca="false">J753*Country_Data!$EB$111</f>
        <v>0.330270238139543</v>
      </c>
      <c r="AO753" s="16" t="n">
        <f aca="false">L753*Country_Data!$EB$111</f>
        <v>0.0792648571534902</v>
      </c>
    </row>
    <row r="754" customFormat="false" ht="15" hidden="false" customHeight="false" outlineLevel="0" collapsed="false">
      <c r="A754" s="14" t="str">
        <f aca="false">Country_Data!$A$112</f>
        <v>ISL</v>
      </c>
      <c r="B754" s="14" t="str">
        <f aca="false">Country_Data!$E$112</f>
        <v>AE</v>
      </c>
      <c r="C754" s="35" t="s">
        <v>466</v>
      </c>
      <c r="D754" s="37" t="n">
        <f aca="false">IF(Country_Data!$BZ$112="","",Country_Data!$BZ$112)</f>
        <v>21.0994942044101</v>
      </c>
      <c r="E754" s="40" t="n">
        <f aca="false">Country_Data!$BW$112</f>
        <v>30.161</v>
      </c>
      <c r="F754" s="41" t="n">
        <f aca="false">Country_Data!$BX$112</f>
        <v>1.10032823845363</v>
      </c>
      <c r="G754" s="42" t="n">
        <f aca="false">IF(D754="","",D754/SUMIFS($D$5:$D$1369,$B$5:$B$1369,B754,$C$5:$C$1369,C754))</f>
        <v>0.0021562216134382</v>
      </c>
      <c r="H754" s="42" t="n">
        <f aca="false">E754/SUMIFS($E$5:$E$1369,$B$5:$B$1369,B754,$C$5:$C$1369,C754)</f>
        <v>0.000382342105203444</v>
      </c>
      <c r="I754" s="43" t="n">
        <f aca="false">IF(G754="",H754,p_beta_alloc*G754+(1-p_beta_alloc)*H754)*F754^p_phi</f>
        <v>0.00133143264924661</v>
      </c>
      <c r="J754" s="16" t="n">
        <f aca="false">INDEX(Sector_Params!$C$16:$E$16,MATCH(B754,Sector_Params!$C$15:$E$15,0))*I754/SUMIFS($I$5:$I$1369,$B$5:$B$1369,B754,$C$5:$C$1369,C754)</f>
        <v>1.19423559881854</v>
      </c>
      <c r="K754" s="28" t="n">
        <f aca="false">INDEX(Sector_Params!$F$5:$H$5,MATCH(B754,Sector_Params!$C$15:$E$15,0))</f>
        <v>0.38</v>
      </c>
      <c r="L754" s="16" t="n">
        <f aca="false">J754*K754</f>
        <v>0.453809527551044</v>
      </c>
      <c r="M754" s="44" t="n">
        <f aca="false">Country_Data!$DW$112+Sector_Params!$E$5</f>
        <v>0.055</v>
      </c>
      <c r="N754" s="44" t="n">
        <f aca="false">Country_Data!$DX$112+Sector_Params!$E$5</f>
        <v>0.07</v>
      </c>
      <c r="O754" s="11" t="n">
        <f aca="false">IF(p_use_ibrd=1,p_r_ibrd,p_r_wb)</f>
        <v>0.06</v>
      </c>
      <c r="P754" s="45" t="n">
        <f aca="false">Sector_Params!$D$5</f>
        <v>25</v>
      </c>
      <c r="Q754" s="46" t="n">
        <f aca="false">M754/(1-(1+M754)^-P754)</f>
        <v>0.0745493529464385</v>
      </c>
      <c r="R754" s="46" t="n">
        <f aca="false">N754/(1-(1+N754)^-P754)</f>
        <v>0.0858105172206656</v>
      </c>
      <c r="S754" s="46" t="n">
        <f aca="false">O754/(1-(1+O754)^-P754)</f>
        <v>0.078226718212274</v>
      </c>
      <c r="T754" s="37" t="n">
        <f aca="false">IF(AND(p_eng=1,ISNUMBER(Country_Data!$CZ$112)),Country_Data!$CZ$112,Country_Data!$CM$112)*Sector_Params!$I$5</f>
        <v>0.113973834116381</v>
      </c>
      <c r="U754" s="37" t="n">
        <f aca="false">IF(AND(p_eng=1,ISNUMBER(Country_Data!$DA$112)),Country_Data!$DA$112,Country_Data!$CN$112)*Sector_Params!$J$5</f>
        <v>0.03225</v>
      </c>
      <c r="V754" s="37" t="n">
        <f aca="false">IF(AND(p_eng=1,ISNUMBER(Country_Data!$DB$112)),Country_Data!$DB$112,p_a)</f>
        <v>0.35</v>
      </c>
      <c r="W754" s="16" t="n">
        <f aca="false">T754*L754</f>
        <v>0.0517224118135357</v>
      </c>
      <c r="X754" s="16" t="n">
        <f aca="false">U754*L754</f>
        <v>0.0146353572635212</v>
      </c>
      <c r="Y754" s="16" t="n">
        <f aca="false">V754*L754</f>
        <v>0.158833334642865</v>
      </c>
      <c r="Z754" s="16" t="n">
        <f aca="false">Q754*L754</f>
        <v>0.0338312066398593</v>
      </c>
      <c r="AA754" s="16" t="n">
        <f aca="false">R754*L754</f>
        <v>0.038941630278821</v>
      </c>
      <c r="AB754" s="16" t="n">
        <f aca="false">S754*L754</f>
        <v>0.0355000300337807</v>
      </c>
      <c r="AC754" s="16" t="n">
        <f aca="false">Z754-W754</f>
        <v>-0.0178912051736764</v>
      </c>
      <c r="AD754" s="16" t="n">
        <f aca="false">AA754-W754</f>
        <v>-0.0127807815347147</v>
      </c>
      <c r="AE754" s="16" t="n">
        <f aca="false">AB754-W754</f>
        <v>-0.016222381779755</v>
      </c>
      <c r="AF754" s="16" t="n">
        <f aca="false">AE754-X754</f>
        <v>-0.0308577390432762</v>
      </c>
      <c r="AG754" s="16" t="n">
        <f aca="false">AF754-p_spc_lo*Y754/1000</f>
        <v>-0.0387994057754195</v>
      </c>
      <c r="AH754" s="16" t="n">
        <f aca="false">AF754-p_spc_hi*Y754/1000</f>
        <v>-0.0467410725075627</v>
      </c>
      <c r="AI754" s="16" t="n">
        <f aca="false">Q754*J754</f>
        <v>0.0890294911575244</v>
      </c>
      <c r="AJ754" s="16" t="n">
        <f aca="false">S754*J754</f>
        <v>0.0934211316678439</v>
      </c>
      <c r="AK754" s="16" t="n">
        <f aca="false">T754*J754</f>
        <v>0.13611161003562</v>
      </c>
      <c r="AL754" s="16" t="n">
        <f aca="false">U754*J754</f>
        <v>0.0385140980618978</v>
      </c>
      <c r="AM754" s="16" t="n">
        <f aca="false">AI754-AJ754</f>
        <v>-0.00439164051031946</v>
      </c>
      <c r="AN754" s="16" t="n">
        <f aca="false">J754*Country_Data!$EB$112</f>
        <v>1.24777029807592</v>
      </c>
      <c r="AO754" s="16" t="n">
        <f aca="false">L754*Country_Data!$EB$112</f>
        <v>0.474152713268849</v>
      </c>
    </row>
    <row r="755" customFormat="false" ht="15" hidden="false" customHeight="false" outlineLevel="0" collapsed="false">
      <c r="A755" s="14" t="str">
        <f aca="false">Country_Data!$A$112</f>
        <v>ISL</v>
      </c>
      <c r="B755" s="14" t="str">
        <f aca="false">Country_Data!$E$112</f>
        <v>AE</v>
      </c>
      <c r="C755" s="35" t="s">
        <v>470</v>
      </c>
      <c r="D755" s="37" t="n">
        <f aca="false">IF(Country_Data!$BZ$112="","",Country_Data!$BZ$112)</f>
        <v>21.0994942044101</v>
      </c>
      <c r="E755" s="40" t="n">
        <f aca="false">Country_Data!$BW$112</f>
        <v>30.161</v>
      </c>
      <c r="F755" s="41" t="n">
        <f aca="false">Country_Data!$BX$112</f>
        <v>1.10032823845363</v>
      </c>
      <c r="G755" s="42" t="n">
        <f aca="false">IF(D755="","",D755/SUMIFS($D$5:$D$1369,$B$5:$B$1369,B755,$C$5:$C$1369,C755))</f>
        <v>0.0021562216134382</v>
      </c>
      <c r="H755" s="42" t="n">
        <f aca="false">E755/SUMIFS($E$5:$E$1369,$B$5:$B$1369,B755,$C$5:$C$1369,C755)</f>
        <v>0.000382342105203444</v>
      </c>
      <c r="I755" s="43" t="n">
        <f aca="false">IF(G755="",H755,p_beta_alloc*G755+(1-p_beta_alloc)*H755)*F755^p_phi</f>
        <v>0.00133143264924661</v>
      </c>
      <c r="J755" s="16" t="n">
        <f aca="false">INDEX(Sector_Params!$C$17:$E$17,MATCH(B755,Sector_Params!$C$15:$E$15,0))*I755/SUMIFS($I$5:$I$1369,$B$5:$B$1369,B755,$C$5:$C$1369,C755)</f>
        <v>0.818904410618425</v>
      </c>
      <c r="K755" s="28" t="n">
        <f aca="false">INDEX(Sector_Params!$F$6:$H$6,MATCH(B755,Sector_Params!$C$15:$E$15,0))</f>
        <v>0.38</v>
      </c>
      <c r="L755" s="16" t="n">
        <f aca="false">J755*K755</f>
        <v>0.311183676035002</v>
      </c>
      <c r="M755" s="44" t="n">
        <f aca="false">Country_Data!$DW$112+Sector_Params!$E$6</f>
        <v>0.055</v>
      </c>
      <c r="N755" s="44" t="n">
        <f aca="false">Country_Data!$DX$112+Sector_Params!$E$6</f>
        <v>0.07</v>
      </c>
      <c r="O755" s="11" t="n">
        <f aca="false">IF(p_use_ibrd=1,p_r_ibrd,p_r_wb)</f>
        <v>0.06</v>
      </c>
      <c r="P755" s="45" t="n">
        <f aca="false">Sector_Params!$D$6</f>
        <v>40</v>
      </c>
      <c r="Q755" s="46" t="n">
        <f aca="false">M755/(1-(1+M755)^-P755)</f>
        <v>0.062320343360638</v>
      </c>
      <c r="R755" s="46" t="n">
        <f aca="false">N755/(1-(1+N755)^-P755)</f>
        <v>0.0750091388736103</v>
      </c>
      <c r="S755" s="46" t="n">
        <f aca="false">O755/(1-(1+O755)^-P755)</f>
        <v>0.0664615359206755</v>
      </c>
      <c r="T755" s="37" t="n">
        <f aca="false">p_grid_credit*IF(AND(p_eng=1,ISNUMBER(Country_Data!$CZ$112)),Country_Data!$CZ$112,Country_Data!$CM$112)*Sector_Params!$I$6</f>
        <v>0</v>
      </c>
      <c r="U755" s="37" t="n">
        <f aca="false">p_grid_credit*IF(AND(p_eng=1,ISNUMBER(Country_Data!$DA$112)),Country_Data!$DA$112,Country_Data!$CN$112)*Sector_Params!$J$6</f>
        <v>0</v>
      </c>
      <c r="V755" s="37" t="n">
        <f aca="false">p_grid_credit*IF(AND(p_eng=1,ISNUMBER(Country_Data!$DB$112)),Country_Data!$DB$112,p_a)</f>
        <v>0</v>
      </c>
      <c r="W755" s="16" t="n">
        <f aca="false">T755*L755</f>
        <v>0</v>
      </c>
      <c r="X755" s="16" t="n">
        <f aca="false">U755*L755</f>
        <v>0</v>
      </c>
      <c r="Y755" s="16" t="n">
        <f aca="false">V755*L755</f>
        <v>0</v>
      </c>
      <c r="Z755" s="16" t="n">
        <f aca="false">Q755*L755</f>
        <v>0.0193930735387268</v>
      </c>
      <c r="AA755" s="16" t="n">
        <f aca="false">R755*L755</f>
        <v>0.02334161957091</v>
      </c>
      <c r="AB755" s="16" t="n">
        <f aca="false">S755*L755</f>
        <v>0.0206817450627281</v>
      </c>
      <c r="AC755" s="16" t="n">
        <f aca="false">Z755-W755</f>
        <v>0.0193930735387268</v>
      </c>
      <c r="AD755" s="16" t="n">
        <f aca="false">AA755-W755</f>
        <v>0.02334161957091</v>
      </c>
      <c r="AE755" s="16" t="n">
        <f aca="false">AB755-W755</f>
        <v>0.0206817450627281</v>
      </c>
      <c r="AF755" s="16" t="n">
        <f aca="false">AE755-X755</f>
        <v>0.0206817450627281</v>
      </c>
      <c r="AG755" s="16" t="n">
        <f aca="false">AF755-p_spc_lo*Y755/1000</f>
        <v>0.0206817450627281</v>
      </c>
      <c r="AH755" s="16" t="n">
        <f aca="false">AF755-p_spc_hi*Y755/1000</f>
        <v>0.0206817450627281</v>
      </c>
      <c r="AI755" s="16" t="n">
        <f aca="false">Q755*J755</f>
        <v>0.0510344040492811</v>
      </c>
      <c r="AJ755" s="16" t="n">
        <f aca="false">S755*J755</f>
        <v>0.0544256449019161</v>
      </c>
      <c r="AK755" s="16" t="n">
        <f aca="false">T755*J755</f>
        <v>0</v>
      </c>
      <c r="AL755" s="16" t="n">
        <f aca="false">U755*J755</f>
        <v>0</v>
      </c>
      <c r="AM755" s="16" t="n">
        <f aca="false">AI755-AJ755</f>
        <v>-0.00339124085263495</v>
      </c>
      <c r="AN755" s="16" t="n">
        <f aca="false">J755*Country_Data!$EB$112</f>
        <v>0.85561391868063</v>
      </c>
      <c r="AO755" s="16" t="n">
        <f aca="false">L755*Country_Data!$EB$112</f>
        <v>0.32513328909864</v>
      </c>
    </row>
    <row r="756" customFormat="false" ht="15" hidden="false" customHeight="false" outlineLevel="0" collapsed="false">
      <c r="A756" s="14" t="str">
        <f aca="false">Country_Data!$A$112</f>
        <v>ISL</v>
      </c>
      <c r="B756" s="14" t="str">
        <f aca="false">Country_Data!$E$112</f>
        <v>AE</v>
      </c>
      <c r="C756" s="35" t="s">
        <v>473</v>
      </c>
      <c r="D756" s="37" t="n">
        <f aca="false">IF(Country_Data!$CA$112="","",Country_Data!$CA$112)</f>
        <v>0.0233698923782677</v>
      </c>
      <c r="E756" s="40" t="n">
        <f aca="false">Country_Data!$BW$112</f>
        <v>30.161</v>
      </c>
      <c r="F756" s="41" t="n">
        <f aca="false">Country_Data!$BX$112</f>
        <v>1.10032823845363</v>
      </c>
      <c r="G756" s="42" t="n">
        <f aca="false">IF(D756="","",D756/SUMIFS($D$5:$D$1369,$B$5:$B$1369,B756,$C$5:$C$1369,C756))</f>
        <v>0.00045748831088156</v>
      </c>
      <c r="H756" s="42" t="n">
        <f aca="false">E756/SUMIFS($E$5:$E$1369,$B$5:$B$1369,B756,$C$5:$C$1369,C756)</f>
        <v>0.000382342105203444</v>
      </c>
      <c r="I756" s="43" t="n">
        <f aca="false">IF(G756="",H756,p_beta_alloc*G756+(1-p_beta_alloc)*H756)*F756^p_phi</f>
        <v>0.000440476489754711</v>
      </c>
      <c r="J756" s="16" t="n">
        <f aca="false">INDEX(Sector_Params!$C$18:$E$18,MATCH(B756,Sector_Params!$C$15:$E$15,0))*I756/SUMIFS($I$5:$I$1369,$B$5:$B$1369,B756,$C$5:$C$1369,C756)</f>
        <v>0.165994957417624</v>
      </c>
      <c r="K756" s="28" t="n">
        <f aca="false">INDEX(Sector_Params!$F$7:$H$7,MATCH(B756,Sector_Params!$C$15:$E$15,0))</f>
        <v>0.38</v>
      </c>
      <c r="L756" s="16" t="n">
        <f aca="false">J756*K756</f>
        <v>0.063078083818697</v>
      </c>
      <c r="M756" s="44" t="n">
        <f aca="false">Country_Data!$DW$112+Sector_Params!$E$7</f>
        <v>0.055</v>
      </c>
      <c r="N756" s="44" t="n">
        <f aca="false">Country_Data!$DX$112+Sector_Params!$E$7</f>
        <v>0.07</v>
      </c>
      <c r="O756" s="11" t="n">
        <f aca="false">IF(p_use_ibrd=1,p_r_ibrd,p_r_wb)</f>
        <v>0.06</v>
      </c>
      <c r="P756" s="45" t="n">
        <f aca="false">Sector_Params!$D$7</f>
        <v>12</v>
      </c>
      <c r="Q756" s="46" t="n">
        <f aca="false">M756/(1-(1+M756)^-P756)</f>
        <v>0.116029231191614</v>
      </c>
      <c r="R756" s="46" t="n">
        <f aca="false">N756/(1-(1+N756)^-P756)</f>
        <v>0.12590198865502</v>
      </c>
      <c r="S756" s="46" t="n">
        <f aca="false">O756/(1-(1+O756)^-P756)</f>
        <v>0.119277029380664</v>
      </c>
      <c r="T756" s="37" t="n">
        <f aca="false">IF(AND(p_eng=1,ISNUMBER(Country_Data!$DE$112)),Country_Data!$DE$112,Country_Data!$CM$112)*Sector_Params!$I$7</f>
        <v>0.113973834116381</v>
      </c>
      <c r="U756" s="37" t="n">
        <f aca="false">IF(AND(p_eng=1,ISNUMBER(Country_Data!$DF$112)),Country_Data!$DF$112,Country_Data!$CN$112)*Sector_Params!$J$7</f>
        <v>0.03225</v>
      </c>
      <c r="V756" s="37" t="n">
        <f aca="false">IF(AND(p_eng=1,ISNUMBER(Country_Data!$DG$112)),Country_Data!$DG$112,p_a)</f>
        <v>0.35</v>
      </c>
      <c r="W756" s="16" t="n">
        <f aca="false">T756*L756</f>
        <v>0.00718925106153132</v>
      </c>
      <c r="X756" s="16" t="n">
        <f aca="false">U756*L756</f>
        <v>0.00203426820315298</v>
      </c>
      <c r="Y756" s="16" t="n">
        <f aca="false">V756*L756</f>
        <v>0.0220773293365439</v>
      </c>
      <c r="Z756" s="16" t="n">
        <f aca="false">Q756*L756</f>
        <v>0.00731890157052363</v>
      </c>
      <c r="AA756" s="16" t="n">
        <f aca="false">R756*L756</f>
        <v>0.00794165619332202</v>
      </c>
      <c r="AB756" s="16" t="n">
        <f aca="false">S756*L756</f>
        <v>0.00752376645691868</v>
      </c>
      <c r="AC756" s="16" t="n">
        <f aca="false">Z756-W756</f>
        <v>0.000129650508992306</v>
      </c>
      <c r="AD756" s="16" t="n">
        <f aca="false">AA756-W756</f>
        <v>0.000752405131790696</v>
      </c>
      <c r="AE756" s="16" t="n">
        <f aca="false">AB756-W756</f>
        <v>0.000334515395387359</v>
      </c>
      <c r="AF756" s="16" t="n">
        <f aca="false">AE756-X756</f>
        <v>-0.00169975280776562</v>
      </c>
      <c r="AG756" s="16" t="n">
        <f aca="false">AF756-p_spc_lo*Y756/1000</f>
        <v>-0.00280361927459282</v>
      </c>
      <c r="AH756" s="16" t="n">
        <f aca="false">AF756-p_spc_hi*Y756/1000</f>
        <v>-0.00390748574142001</v>
      </c>
      <c r="AI756" s="16" t="n">
        <f aca="false">Q756*J756</f>
        <v>0.0192602672908517</v>
      </c>
      <c r="AJ756" s="16" t="n">
        <f aca="false">S756*J756</f>
        <v>0.0197993854129439</v>
      </c>
      <c r="AK756" s="16" t="n">
        <f aca="false">T756*J756</f>
        <v>0.0189190817408719</v>
      </c>
      <c r="AL756" s="16" t="n">
        <f aca="false">U756*J756</f>
        <v>0.00535333737671836</v>
      </c>
      <c r="AM756" s="16" t="n">
        <f aca="false">AI756-AJ756</f>
        <v>-0.000539118122092241</v>
      </c>
      <c r="AN756" s="16" t="n">
        <f aca="false">J756*Country_Data!$EB$112</f>
        <v>0.173436110681172</v>
      </c>
      <c r="AO756" s="16" t="n">
        <f aca="false">L756*Country_Data!$EB$112</f>
        <v>0.0659057220588455</v>
      </c>
    </row>
    <row r="757" customFormat="false" ht="15" hidden="false" customHeight="false" outlineLevel="0" collapsed="false">
      <c r="A757" s="14" t="str">
        <f aca="false">Country_Data!$A$112</f>
        <v>ISL</v>
      </c>
      <c r="B757" s="14" t="str">
        <f aca="false">Country_Data!$E$112</f>
        <v>AE</v>
      </c>
      <c r="C757" s="35" t="s">
        <v>477</v>
      </c>
      <c r="D757" s="37" t="n">
        <f aca="false">IF(Country_Data!$CB$112="","",Country_Data!$CB$112)</f>
        <v>0.00410736034864622</v>
      </c>
      <c r="E757" s="40" t="n">
        <f aca="false">Country_Data!$BW$112</f>
        <v>30.161</v>
      </c>
      <c r="F757" s="41" t="n">
        <f aca="false">Country_Data!$BX$112</f>
        <v>1.10032823845363</v>
      </c>
      <c r="G757" s="42" t="n">
        <f aca="false">IF(D757="","",D757/SUMIFS($D$5:$D$1369,$B$5:$B$1369,B757,$C$5:$C$1369,C757))</f>
        <v>0.00010562121127994</v>
      </c>
      <c r="H757" s="42" t="n">
        <f aca="false">E757/SUMIFS($E$5:$E$1369,$B$5:$B$1369,B757,$C$5:$C$1369,C757)</f>
        <v>0.000382342105203444</v>
      </c>
      <c r="I757" s="43" t="n">
        <f aca="false">IF(G757="",H757,p_beta_alloc*G757+(1-p_beta_alloc)*H757)*F757^p_phi</f>
        <v>0.000255928297733757</v>
      </c>
      <c r="J757" s="16" t="n">
        <f aca="false">INDEX(Sector_Params!$C$19:$E$19,MATCH(B757,Sector_Params!$C$15:$E$15,0))*I757/SUMIFS($I$5:$I$1369,$B$5:$B$1369,B757,$C$5:$C$1369,C757)</f>
        <v>0.0752318935024861</v>
      </c>
      <c r="K757" s="28" t="n">
        <f aca="false">INDEX(Sector_Params!$F$8:$H$8,MATCH(B757,Sector_Params!$C$15:$E$15,0))</f>
        <v>0.38</v>
      </c>
      <c r="L757" s="16" t="n">
        <f aca="false">J757*K757</f>
        <v>0.0285881195309447</v>
      </c>
      <c r="M757" s="44" t="n">
        <f aca="false">Country_Data!$DW$112+Sector_Params!$E$8</f>
        <v>0.055</v>
      </c>
      <c r="N757" s="44" t="n">
        <f aca="false">Country_Data!$DX$112+Sector_Params!$E$8</f>
        <v>0.07</v>
      </c>
      <c r="O757" s="11" t="n">
        <f aca="false">IF(p_use_ibrd=1,p_r_ibrd,p_r_wb)</f>
        <v>0.06</v>
      </c>
      <c r="P757" s="45" t="n">
        <f aca="false">Sector_Params!$D$8</f>
        <v>25</v>
      </c>
      <c r="Q757" s="46" t="n">
        <f aca="false">M757/(1-(1+M757)^-P757)</f>
        <v>0.0745493529464385</v>
      </c>
      <c r="R757" s="46" t="n">
        <f aca="false">N757/(1-(1+N757)^-P757)</f>
        <v>0.0858105172206656</v>
      </c>
      <c r="S757" s="46" t="n">
        <f aca="false">O757/(1-(1+O757)^-P757)</f>
        <v>0.078226718212274</v>
      </c>
      <c r="T757" s="37" t="n">
        <f aca="false">Country_Data!$CM$112*Sector_Params!$I$8</f>
        <v>0.113973834116381</v>
      </c>
      <c r="U757" s="37" t="n">
        <f aca="false">Country_Data!$CN$112*Sector_Params!$J$8</f>
        <v>0.03225</v>
      </c>
      <c r="V757" s="37" t="n">
        <f aca="false">p_a</f>
        <v>0.35</v>
      </c>
      <c r="W757" s="16" t="n">
        <f aca="false">T757*L757</f>
        <v>0.00325829759311915</v>
      </c>
      <c r="X757" s="16" t="n">
        <f aca="false">U757*L757</f>
        <v>0.000921966854872966</v>
      </c>
      <c r="Y757" s="16" t="n">
        <f aca="false">V757*L757</f>
        <v>0.0100058418358306</v>
      </c>
      <c r="Z757" s="16" t="n">
        <f aca="false">Q757*L757</f>
        <v>0.00213122581298737</v>
      </c>
      <c r="AA757" s="16" t="n">
        <f aca="false">R757*L757</f>
        <v>0.00245316132331658</v>
      </c>
      <c r="AB757" s="16" t="n">
        <f aca="false">S757*L757</f>
        <v>0.00223635477076602</v>
      </c>
      <c r="AC757" s="16" t="n">
        <f aca="false">Z757-W757</f>
        <v>-0.00112707178013178</v>
      </c>
      <c r="AD757" s="16" t="n">
        <f aca="false">AA757-W757</f>
        <v>-0.000805136269802574</v>
      </c>
      <c r="AE757" s="16" t="n">
        <f aca="false">AB757-W757</f>
        <v>-0.00102194282235313</v>
      </c>
      <c r="AF757" s="16" t="n">
        <f aca="false">AE757-X757</f>
        <v>-0.0019439096772261</v>
      </c>
      <c r="AG757" s="16" t="n">
        <f aca="false">AF757-p_spc_lo*Y757/1000</f>
        <v>-0.00244420176901763</v>
      </c>
      <c r="AH757" s="16" t="n">
        <f aca="false">AF757-p_spc_hi*Y757/1000</f>
        <v>-0.00294449386080917</v>
      </c>
      <c r="AI757" s="16" t="n">
        <f aca="false">Q757*J757</f>
        <v>0.00560848898154571</v>
      </c>
      <c r="AJ757" s="16" t="n">
        <f aca="false">S757*J757</f>
        <v>0.00588514413359478</v>
      </c>
      <c r="AK757" s="16" t="n">
        <f aca="false">T757*J757</f>
        <v>0.00857446735031355</v>
      </c>
      <c r="AL757" s="16" t="n">
        <f aca="false">U757*J757</f>
        <v>0.00242622856545518</v>
      </c>
      <c r="AM757" s="16" t="n">
        <f aca="false">AI757-AJ757</f>
        <v>-0.000276655152049072</v>
      </c>
      <c r="AN757" s="16" t="n">
        <f aca="false">J757*Country_Data!$EB$112</f>
        <v>0.0786043576939768</v>
      </c>
      <c r="AO757" s="16" t="n">
        <f aca="false">L757*Country_Data!$EB$112</f>
        <v>0.0298696559237112</v>
      </c>
    </row>
    <row r="758" customFormat="false" ht="15" hidden="false" customHeight="false" outlineLevel="0" collapsed="false">
      <c r="A758" s="14" t="str">
        <f aca="false">Country_Data!$A$112</f>
        <v>ISL</v>
      </c>
      <c r="B758" s="14" t="str">
        <f aca="false">Country_Data!$E$112</f>
        <v>AE</v>
      </c>
      <c r="C758" s="35" t="s">
        <v>481</v>
      </c>
      <c r="D758" s="37" t="n">
        <f aca="false">IF(Country_Data!$CC$112="","",Country_Data!$CC$112)</f>
        <v>0.0721894738963711</v>
      </c>
      <c r="E758" s="40" t="n">
        <f aca="false">Country_Data!$BW$112</f>
        <v>30.161</v>
      </c>
      <c r="F758" s="41" t="n">
        <f aca="false">Country_Data!$BX$112</f>
        <v>1.10032823845363</v>
      </c>
      <c r="G758" s="42" t="n">
        <f aca="false">IF(D758="","",D758/SUMIFS($D$5:$D$1369,$B$5:$B$1369,B758,$C$5:$C$1369,C758))</f>
        <v>0.00131441605174467</v>
      </c>
      <c r="H758" s="42" t="n">
        <f aca="false">E758/SUMIFS($E$5:$E$1369,$B$5:$B$1369,B758,$C$5:$C$1369,C758)</f>
        <v>0.000382342105203444</v>
      </c>
      <c r="I758" s="43" t="n">
        <f aca="false">IF(G758="",H758,p_beta_alloc*G758+(1-p_beta_alloc)*H758)*F758^p_phi</f>
        <v>0.000889920229871184</v>
      </c>
      <c r="J758" s="16" t="n">
        <f aca="false">INDEX(Sector_Params!$C$20:$E$20,MATCH(B758,Sector_Params!$C$15:$E$15,0))*I758/SUMIFS($I$5:$I$1369,$B$5:$B$1369,B758,$C$5:$C$1369,C758)</f>
        <v>0.151123896711891</v>
      </c>
      <c r="K758" s="28" t="n">
        <f aca="false">INDEX(Sector_Params!$F$9:$H$9,MATCH(B758,Sector_Params!$C$15:$E$15,0))</f>
        <v>0.38</v>
      </c>
      <c r="L758" s="16" t="n">
        <f aca="false">J758*K758</f>
        <v>0.0574270807505188</v>
      </c>
      <c r="M758" s="44" t="n">
        <f aca="false">Country_Data!$DW$112+Sector_Params!$E$9</f>
        <v>0.055</v>
      </c>
      <c r="N758" s="44" t="n">
        <f aca="false">Country_Data!$DX$112+Sector_Params!$E$9</f>
        <v>0.07</v>
      </c>
      <c r="O758" s="11" t="n">
        <f aca="false">IF(p_use_ibrd=1,p_r_ibrd,p_r_wb)</f>
        <v>0.06</v>
      </c>
      <c r="P758" s="45" t="n">
        <f aca="false">Sector_Params!$D$9</f>
        <v>25</v>
      </c>
      <c r="Q758" s="46" t="n">
        <f aca="false">M758/(1-(1+M758)^-P758)</f>
        <v>0.0745493529464385</v>
      </c>
      <c r="R758" s="46" t="n">
        <f aca="false">N758/(1-(1+N758)^-P758)</f>
        <v>0.0858105172206656</v>
      </c>
      <c r="S758" s="46" t="n">
        <f aca="false">O758/(1-(1+O758)^-P758)</f>
        <v>0.078226718212274</v>
      </c>
      <c r="T758" s="37" t="n">
        <f aca="false">Country_Data!$CM$112*Sector_Params!$I$9</f>
        <v>0.113973834116381</v>
      </c>
      <c r="U758" s="37" t="n">
        <f aca="false">Country_Data!$CN$112*Sector_Params!$J$9</f>
        <v>0.03225</v>
      </c>
      <c r="V758" s="37" t="n">
        <f aca="false">p_a</f>
        <v>0.35</v>
      </c>
      <c r="W758" s="16" t="n">
        <f aca="false">T758*L758</f>
        <v>0.00654518457524762</v>
      </c>
      <c r="X758" s="16" t="n">
        <f aca="false">U758*L758</f>
        <v>0.00185202335420423</v>
      </c>
      <c r="Y758" s="16" t="n">
        <f aca="false">V758*L758</f>
        <v>0.0200994782626816</v>
      </c>
      <c r="Z758" s="16" t="n">
        <f aca="false">Q758*L758</f>
        <v>0.00428115171155405</v>
      </c>
      <c r="AA758" s="16" t="n">
        <f aca="false">R758*L758</f>
        <v>0.00492784750167494</v>
      </c>
      <c r="AB758" s="16" t="n">
        <f aca="false">S758*L758</f>
        <v>0.00449233206362433</v>
      </c>
      <c r="AC758" s="16" t="n">
        <f aca="false">Z758-W758</f>
        <v>-0.00226403286369357</v>
      </c>
      <c r="AD758" s="16" t="n">
        <f aca="false">AA758-W758</f>
        <v>-0.00161733707357267</v>
      </c>
      <c r="AE758" s="16" t="n">
        <f aca="false">AB758-W758</f>
        <v>-0.00205285251162328</v>
      </c>
      <c r="AF758" s="16" t="n">
        <f aca="false">AE758-X758</f>
        <v>-0.00390487586582751</v>
      </c>
      <c r="AG758" s="16" t="n">
        <f aca="false">AF758-p_spc_lo*Y758/1000</f>
        <v>-0.00490984977896159</v>
      </c>
      <c r="AH758" s="16" t="n">
        <f aca="false">AF758-p_spc_hi*Y758/1000</f>
        <v>-0.00591482369209567</v>
      </c>
      <c r="AI758" s="16" t="n">
        <f aca="false">Q758*J758</f>
        <v>0.0112661887146159</v>
      </c>
      <c r="AJ758" s="16" t="n">
        <f aca="false">S758*J758</f>
        <v>0.0118219264832219</v>
      </c>
      <c r="AK758" s="16" t="n">
        <f aca="false">T758*J758</f>
        <v>0.0172241699348622</v>
      </c>
      <c r="AL758" s="16" t="n">
        <f aca="false">U758*J758</f>
        <v>0.0048737456689585</v>
      </c>
      <c r="AM758" s="16" t="n">
        <f aca="false">AI758-AJ758</f>
        <v>-0.000555737768606011</v>
      </c>
      <c r="AN758" s="16" t="n">
        <f aca="false">J758*Country_Data!$EB$112</f>
        <v>0.157898416219666</v>
      </c>
      <c r="AO758" s="16" t="n">
        <f aca="false">L758*Country_Data!$EB$112</f>
        <v>0.060001398163473</v>
      </c>
    </row>
    <row r="759" customFormat="false" ht="15" hidden="false" customHeight="false" outlineLevel="0" collapsed="false">
      <c r="A759" s="14" t="str">
        <f aca="false">Country_Data!$A$112</f>
        <v>ISL</v>
      </c>
      <c r="B759" s="14" t="str">
        <f aca="false">Country_Data!$E$112</f>
        <v>AE</v>
      </c>
      <c r="C759" s="35" t="s">
        <v>484</v>
      </c>
      <c r="D759" s="37" t="n">
        <f aca="false">IF(Country_Data!$CD$112="","",Country_Data!$CD$112)</f>
        <v>0.0239814012105911</v>
      </c>
      <c r="E759" s="40" t="n">
        <f aca="false">Country_Data!$BW$112</f>
        <v>30.161</v>
      </c>
      <c r="F759" s="41" t="n">
        <f aca="false">Country_Data!$BX$112</f>
        <v>1.10032823845363</v>
      </c>
      <c r="G759" s="42" t="n">
        <f aca="false">IF(D759="","",D759/SUMIFS($D$5:$D$1369,$B$5:$B$1369,B759,$C$5:$C$1369,C759))</f>
        <v>0.000162255585274485</v>
      </c>
      <c r="H759" s="42" t="n">
        <f aca="false">E759/SUMIFS($E$5:$E$1369,$B$5:$B$1369,B759,$C$5:$C$1369,C759)</f>
        <v>0.000382342105203444</v>
      </c>
      <c r="I759" s="43" t="n">
        <f aca="false">IF(G759="",H759,p_beta_alloc*G759+(1-p_beta_alloc)*H759)*F759^p_phi</f>
        <v>0.000285632044798388</v>
      </c>
      <c r="J759" s="16" t="n">
        <f aca="false">INDEX(Sector_Params!$C$21:$E$21,MATCH(B759,Sector_Params!$C$15:$E$15,0))*I759/SUMIFS($I$5:$I$1369,$B$5:$B$1369,B759,$C$5:$C$1369,C759)</f>
        <v>0.0581974536450115</v>
      </c>
      <c r="K759" s="28" t="n">
        <f aca="false">INDEX(Sector_Params!$F$10:$H$10,MATCH(B759,Sector_Params!$C$15:$E$15,0))</f>
        <v>0.38</v>
      </c>
      <c r="L759" s="16" t="n">
        <f aca="false">J759*K759</f>
        <v>0.0221150323851044</v>
      </c>
      <c r="M759" s="44" t="n">
        <f aca="false">Country_Data!$DW$112+Sector_Params!$E$10</f>
        <v>0.055</v>
      </c>
      <c r="N759" s="44" t="n">
        <f aca="false">Country_Data!$DX$112+Sector_Params!$E$10</f>
        <v>0.07</v>
      </c>
      <c r="O759" s="11" t="n">
        <f aca="false">IF(p_use_ibrd=1,p_r_ibrd,p_r_wb)</f>
        <v>0.06</v>
      </c>
      <c r="P759" s="45" t="n">
        <f aca="false">Sector_Params!$D$10</f>
        <v>20</v>
      </c>
      <c r="Q759" s="46" t="n">
        <f aca="false">M759/(1-(1+M759)^-P759)</f>
        <v>0.0836793300349332</v>
      </c>
      <c r="R759" s="46" t="n">
        <f aca="false">N759/(1-(1+N759)^-P759)</f>
        <v>0.0943929257432557</v>
      </c>
      <c r="S759" s="46" t="n">
        <f aca="false">O759/(1-(1+O759)^-P759)</f>
        <v>0.0871845569768514</v>
      </c>
      <c r="T759" s="37" t="n">
        <f aca="false">0*Sector_Params!$I$10</f>
        <v>0</v>
      </c>
      <c r="U759" s="37" t="n">
        <f aca="false">0*Sector_Params!$J$10</f>
        <v>0</v>
      </c>
      <c r="V759" s="37" t="n">
        <f aca="false">1000*p_r_wb/(1-(1+p_r_wb)^-Sector_Params!$D$10)/p_cpt_fuel</f>
        <v>0.871845569768514</v>
      </c>
      <c r="W759" s="16" t="n">
        <f aca="false">T759*L759</f>
        <v>0</v>
      </c>
      <c r="X759" s="16" t="n">
        <f aca="false">U759*L759</f>
        <v>0</v>
      </c>
      <c r="Y759" s="16" t="n">
        <f aca="false">V759*L759</f>
        <v>0.0192808930102405</v>
      </c>
      <c r="Z759" s="16" t="n">
        <f aca="false">Q759*L759</f>
        <v>0.00185057109368639</v>
      </c>
      <c r="AA759" s="16" t="n">
        <f aca="false">R759*L759</f>
        <v>0.00208750260973685</v>
      </c>
      <c r="AB759" s="16" t="n">
        <f aca="false">S759*L759</f>
        <v>0.00192808930102405</v>
      </c>
      <c r="AC759" s="16" t="n">
        <f aca="false">Z759-W759</f>
        <v>0.00185057109368639</v>
      </c>
      <c r="AD759" s="16" t="n">
        <f aca="false">AA759-W759</f>
        <v>0.00208750260973685</v>
      </c>
      <c r="AE759" s="16" t="n">
        <f aca="false">AB759-W759</f>
        <v>0.00192808930102405</v>
      </c>
      <c r="AF759" s="16" t="n">
        <f aca="false">AE759-X759</f>
        <v>0.00192808930102405</v>
      </c>
      <c r="AG759" s="16" t="n">
        <f aca="false">AF759-p_spc_lo*Y759/1000</f>
        <v>0.000964044650512023</v>
      </c>
      <c r="AH759" s="16" t="n">
        <f aca="false">AF759-p_spc_hi*Y759/1000</f>
        <v>0</v>
      </c>
      <c r="AI759" s="16" t="n">
        <f aca="false">Q759*J759</f>
        <v>0.00486992393075364</v>
      </c>
      <c r="AJ759" s="16" t="n">
        <f aca="false">S759*J759</f>
        <v>0.00507391921322117</v>
      </c>
      <c r="AK759" s="16" t="n">
        <f aca="false">T759*J759</f>
        <v>0</v>
      </c>
      <c r="AL759" s="16" t="n">
        <f aca="false">U759*J759</f>
        <v>0</v>
      </c>
      <c r="AM759" s="16" t="n">
        <f aca="false">AI759-AJ759</f>
        <v>-0.000203995282467529</v>
      </c>
      <c r="AN759" s="16" t="n">
        <f aca="false">J759*Country_Data!$EB$112</f>
        <v>0.0608063050153051</v>
      </c>
      <c r="AO759" s="16" t="n">
        <f aca="false">L759*Country_Data!$EB$112</f>
        <v>0.0231063959058159</v>
      </c>
    </row>
    <row r="760" customFormat="false" ht="15" hidden="false" customHeight="false" outlineLevel="0" collapsed="false">
      <c r="A760" s="14" t="str">
        <f aca="false">Country_Data!$A$112</f>
        <v>ISL</v>
      </c>
      <c r="B760" s="14" t="str">
        <f aca="false">Country_Data!$E$112</f>
        <v>AE</v>
      </c>
      <c r="C760" s="35" t="s">
        <v>488</v>
      </c>
      <c r="D760" s="37" t="n">
        <f aca="false">IF(Country_Data!$CE$112="","",Country_Data!$CE$112)</f>
        <v>10.141</v>
      </c>
      <c r="E760" s="40" t="n">
        <f aca="false">Country_Data!$BW$112</f>
        <v>30.161</v>
      </c>
      <c r="F760" s="41" t="n">
        <f aca="false">Country_Data!$BX$112</f>
        <v>1.10032823845363</v>
      </c>
      <c r="G760" s="42" t="n">
        <f aca="false">IF(D760="","",D760/SUMIFS($D$5:$D$1369,$B$5:$B$1369,B760,$C$5:$C$1369,C760))</f>
        <v>0.00387020594029479</v>
      </c>
      <c r="H760" s="42" t="n">
        <f aca="false">E760/SUMIFS($E$5:$E$1369,$B$5:$B$1369,B760,$C$5:$C$1369,C760)</f>
        <v>0.000382342105203444</v>
      </c>
      <c r="I760" s="43" t="n">
        <f aca="false">IF(G760="",H760,p_beta_alloc*G760+(1-p_beta_alloc)*H760)*F760^p_phi</f>
        <v>0.00223038770651613</v>
      </c>
      <c r="J760" s="16" t="n">
        <f aca="false">INDEX(Sector_Params!$C$22:$E$22,MATCH(B760,Sector_Params!$C$15:$E$15,0))*I760/SUMIFS($I$5:$I$1369,$B$5:$B$1369,B760,$C$5:$C$1369,C760)</f>
        <v>0.0864222212741856</v>
      </c>
      <c r="K760" s="28" t="n">
        <f aca="false">INDEX(Sector_Params!$F$11:$H$11,MATCH(B760,Sector_Params!$C$15:$E$15,0))</f>
        <v>0.38</v>
      </c>
      <c r="L760" s="16" t="n">
        <f aca="false">J760*K760</f>
        <v>0.0328404440841905</v>
      </c>
      <c r="M760" s="44" t="n">
        <f aca="false">Country_Data!$DW$112+Sector_Params!$E$11</f>
        <v>0.055</v>
      </c>
      <c r="N760" s="44" t="n">
        <f aca="false">Country_Data!$DX$112+Sector_Params!$E$11</f>
        <v>0.07</v>
      </c>
      <c r="O760" s="11" t="n">
        <f aca="false">IF(p_use_ibrd=1,p_r_ibrd,p_r_wb)</f>
        <v>0.06</v>
      </c>
      <c r="P760" s="45" t="n">
        <f aca="false">Sector_Params!$D$11</f>
        <v>30</v>
      </c>
      <c r="Q760" s="46" t="n">
        <f aca="false">M760/(1-(1+M760)^-P760)</f>
        <v>0.0688053896793896</v>
      </c>
      <c r="R760" s="46" t="n">
        <f aca="false">N760/(1-(1+N760)^-P760)</f>
        <v>0.0805864035111112</v>
      </c>
      <c r="S760" s="46" t="n">
        <f aca="false">O760/(1-(1+O760)^-P760)</f>
        <v>0.0726489114900472</v>
      </c>
      <c r="T760" s="37" t="n">
        <f aca="false">0*Sector_Params!$I$11</f>
        <v>0</v>
      </c>
      <c r="U760" s="37" t="n">
        <f aca="false">p_c*Sector_Params!$J$11</f>
        <v>0.129</v>
      </c>
      <c r="V760" s="37" t="n">
        <f aca="false">1000*p_r_wb/(1-(1+p_r_wb)^-Sector_Params!$D$11)/p_cpt_afolu</f>
        <v>1.45297822980094</v>
      </c>
      <c r="W760" s="16" t="n">
        <f aca="false">T760*L760</f>
        <v>0</v>
      </c>
      <c r="X760" s="16" t="n">
        <f aca="false">U760*L760</f>
        <v>0.00423641728686058</v>
      </c>
      <c r="Y760" s="16" t="n">
        <f aca="false">V760*L760</f>
        <v>0.047716450311324</v>
      </c>
      <c r="Z760" s="16" t="n">
        <f aca="false">Q760*L760</f>
        <v>0.00225959955245693</v>
      </c>
      <c r="AA760" s="16" t="n">
        <f aca="false">R760*L760</f>
        <v>0.00264649327845266</v>
      </c>
      <c r="AB760" s="16" t="n">
        <f aca="false">S760*L760</f>
        <v>0.0023858225155662</v>
      </c>
      <c r="AC760" s="16" t="n">
        <f aca="false">Z760-W760</f>
        <v>0.00225959955245693</v>
      </c>
      <c r="AD760" s="16" t="n">
        <f aca="false">AA760-W760</f>
        <v>0.00264649327845266</v>
      </c>
      <c r="AE760" s="16" t="n">
        <f aca="false">AB760-W760</f>
        <v>0.0023858225155662</v>
      </c>
      <c r="AF760" s="16" t="n">
        <f aca="false">AE760-X760</f>
        <v>-0.00185059477129438</v>
      </c>
      <c r="AG760" s="16" t="n">
        <f aca="false">AF760-p_spc_lo*Y760/1000</f>
        <v>-0.00423641728686058</v>
      </c>
      <c r="AH760" s="16" t="n">
        <f aca="false">AF760-p_spc_hi*Y760/1000</f>
        <v>-0.00662223980242678</v>
      </c>
      <c r="AI760" s="16" t="n">
        <f aca="false">Q760*J760</f>
        <v>0.00594631461172878</v>
      </c>
      <c r="AJ760" s="16" t="n">
        <f aca="false">S760*J760</f>
        <v>0.00627848030412159</v>
      </c>
      <c r="AK760" s="16" t="n">
        <f aca="false">T760*J760</f>
        <v>0</v>
      </c>
      <c r="AL760" s="16" t="n">
        <f aca="false">U760*J760</f>
        <v>0.0111484665443699</v>
      </c>
      <c r="AM760" s="16" t="n">
        <f aca="false">AI760-AJ760</f>
        <v>-0.00033216569239281</v>
      </c>
      <c r="AN760" s="16" t="n">
        <f aca="false">J760*Country_Data!$EB$112</f>
        <v>0.0902963208485457</v>
      </c>
      <c r="AO760" s="16" t="n">
        <f aca="false">L760*Country_Data!$EB$112</f>
        <v>0.0343126019224473</v>
      </c>
    </row>
    <row r="761" customFormat="false" ht="15" hidden="false" customHeight="false" outlineLevel="0" collapsed="false">
      <c r="A761" s="14" t="str">
        <f aca="false">Country_Data!$A$113</f>
        <v>SEN</v>
      </c>
      <c r="B761" s="14" t="str">
        <f aca="false">Country_Data!$E$113</f>
        <v>EMDC</v>
      </c>
      <c r="C761" s="35" t="s">
        <v>466</v>
      </c>
      <c r="D761" s="37" t="n">
        <f aca="false">IF(Country_Data!$BZ$113="","",Country_Data!$BZ$113)</f>
        <v>6.61587652426545</v>
      </c>
      <c r="E761" s="40" t="n">
        <f aca="false">Country_Data!$BW$113</f>
        <v>94.026</v>
      </c>
      <c r="F761" s="41" t="n">
        <f aca="false">Country_Data!$BX$113</f>
        <v>0.349148107970136</v>
      </c>
      <c r="G761" s="42" t="n">
        <f aca="false">IF(D761="","",D761/SUMIFS($D$5:$D$1369,$B$5:$B$1369,B761,$C$5:$C$1369,C761))</f>
        <v>0.000755282591745664</v>
      </c>
      <c r="H761" s="42" t="n">
        <f aca="false">E761/SUMIFS($E$5:$E$1369,$B$5:$B$1369,B761,$C$5:$C$1369,C761)</f>
        <v>0.00116466987209144</v>
      </c>
      <c r="I761" s="43" t="n">
        <f aca="false">IF(G761="",H761,p_beta_alloc*G761+(1-p_beta_alloc)*H761)*F761^p_phi</f>
        <v>0.000567238012854953</v>
      </c>
      <c r="J761" s="16" t="n">
        <f aca="false">INDEX(Sector_Params!$C$16:$E$16,MATCH(B761,Sector_Params!$C$15:$E$15,0))*I761/SUMIFS($I$5:$I$1369,$B$5:$B$1369,B761,$C$5:$C$1369,C761)</f>
        <v>0.548646986756798</v>
      </c>
      <c r="K761" s="28" t="n">
        <f aca="false">INDEX(Sector_Params!$F$5:$H$5,MATCH(B761,Sector_Params!$C$15:$E$15,0))</f>
        <v>0.24</v>
      </c>
      <c r="L761" s="16" t="n">
        <f aca="false">J761*K761</f>
        <v>0.131675276821632</v>
      </c>
      <c r="M761" s="44" t="n">
        <f aca="false">Country_Data!$DW$113+Sector_Params!$E$5</f>
        <v>0.07693</v>
      </c>
      <c r="N761" s="44" t="n">
        <f aca="false">Country_Data!$DX$113+Sector_Params!$E$5</f>
        <v>0.12193</v>
      </c>
      <c r="O761" s="11" t="n">
        <f aca="false">IF(p_use_ibrd=1,p_r_ibrd,p_r_wb)</f>
        <v>0.06</v>
      </c>
      <c r="P761" s="45" t="n">
        <f aca="false">Sector_Params!$D$5</f>
        <v>25</v>
      </c>
      <c r="Q761" s="46" t="n">
        <f aca="false">M761/(1-(1+M761)^-P761)</f>
        <v>0.0912344817520352</v>
      </c>
      <c r="R761" s="46" t="n">
        <f aca="false">N761/(1-(1+N761)^-P761)</f>
        <v>0.129210368087673</v>
      </c>
      <c r="S761" s="46" t="n">
        <f aca="false">O761/(1-(1+O761)^-P761)</f>
        <v>0.078226718212274</v>
      </c>
      <c r="T761" s="37" t="n">
        <f aca="false">IF(AND(p_eng=1,ISNUMBER(Country_Data!$CZ$113)),Country_Data!$CZ$113,Country_Data!$CM$113)*Sector_Params!$I$5</f>
        <v>0.2426493078755</v>
      </c>
      <c r="U761" s="37" t="n">
        <f aca="false">IF(AND(p_eng=1,ISNUMBER(Country_Data!$DA$113)),Country_Data!$DA$113,Country_Data!$CN$113)*Sector_Params!$J$5</f>
        <v>0.00235297590567983</v>
      </c>
      <c r="V761" s="37" t="n">
        <f aca="false">IF(AND(p_eng=1,ISNUMBER(Country_Data!$DB$113)),Country_Data!$DB$113,p_a)</f>
        <v>1.50178382023153</v>
      </c>
      <c r="W761" s="16" t="n">
        <f aca="false">T761*L761</f>
        <v>0.0319509147850837</v>
      </c>
      <c r="X761" s="16" t="n">
        <f aca="false">U761*L761</f>
        <v>0.00030982875373502</v>
      </c>
      <c r="Y761" s="16" t="n">
        <f aca="false">V761*L761</f>
        <v>0.197747800255235</v>
      </c>
      <c r="Z761" s="16" t="n">
        <f aca="false">Q761*L761</f>
        <v>0.0120133256403773</v>
      </c>
      <c r="AA761" s="16" t="n">
        <f aca="false">R761*L761</f>
        <v>0.0170138109861693</v>
      </c>
      <c r="AB761" s="16" t="n">
        <f aca="false">S761*L761</f>
        <v>0.0103005247754489</v>
      </c>
      <c r="AC761" s="16" t="n">
        <f aca="false">Z761-W761</f>
        <v>-0.0199375891447064</v>
      </c>
      <c r="AD761" s="16" t="n">
        <f aca="false">AA761-W761</f>
        <v>-0.0149371037989144</v>
      </c>
      <c r="AE761" s="16" t="n">
        <f aca="false">AB761-W761</f>
        <v>-0.0216503900096348</v>
      </c>
      <c r="AF761" s="16" t="n">
        <f aca="false">AE761-X761</f>
        <v>-0.0219602187633698</v>
      </c>
      <c r="AG761" s="16" t="n">
        <f aca="false">AF761-p_spc_lo*Y761/1000</f>
        <v>-0.0318476087761315</v>
      </c>
      <c r="AH761" s="16" t="n">
        <f aca="false">AF761-p_spc_hi*Y761/1000</f>
        <v>-0.0417349987888933</v>
      </c>
      <c r="AI761" s="16" t="n">
        <f aca="false">Q761*J761</f>
        <v>0.0500555235015722</v>
      </c>
      <c r="AJ761" s="16" t="n">
        <f aca="false">S761*J761</f>
        <v>0.0429188532310372</v>
      </c>
      <c r="AK761" s="16" t="n">
        <f aca="false">T761*J761</f>
        <v>0.133128811604516</v>
      </c>
      <c r="AL761" s="16" t="n">
        <f aca="false">U761*J761</f>
        <v>0.00129095314056259</v>
      </c>
      <c r="AM761" s="16" t="n">
        <f aca="false">AI761-AJ761</f>
        <v>0.00713667027053494</v>
      </c>
      <c r="AN761" s="16" t="n">
        <f aca="false">J761*Country_Data!$EB$113</f>
        <v>0.669434385391628</v>
      </c>
      <c r="AO761" s="16" t="n">
        <f aca="false">L761*Country_Data!$EB$113</f>
        <v>0.160664252493991</v>
      </c>
    </row>
    <row r="762" customFormat="false" ht="15" hidden="false" customHeight="false" outlineLevel="0" collapsed="false">
      <c r="A762" s="14" t="str">
        <f aca="false">Country_Data!$A$113</f>
        <v>SEN</v>
      </c>
      <c r="B762" s="14" t="str">
        <f aca="false">Country_Data!$E$113</f>
        <v>EMDC</v>
      </c>
      <c r="C762" s="35" t="s">
        <v>470</v>
      </c>
      <c r="D762" s="37" t="n">
        <f aca="false">IF(Country_Data!$BZ$113="","",Country_Data!$BZ$113)</f>
        <v>6.61587652426545</v>
      </c>
      <c r="E762" s="40" t="n">
        <f aca="false">Country_Data!$BW$113</f>
        <v>94.026</v>
      </c>
      <c r="F762" s="41" t="n">
        <f aca="false">Country_Data!$BX$113</f>
        <v>0.349148107970136</v>
      </c>
      <c r="G762" s="42" t="n">
        <f aca="false">IF(D762="","",D762/SUMIFS($D$5:$D$1369,$B$5:$B$1369,B762,$C$5:$C$1369,C762))</f>
        <v>0.000755282591745664</v>
      </c>
      <c r="H762" s="42" t="n">
        <f aca="false">E762/SUMIFS($E$5:$E$1369,$B$5:$B$1369,B762,$C$5:$C$1369,C762)</f>
        <v>0.00116466987209144</v>
      </c>
      <c r="I762" s="43" t="n">
        <f aca="false">IF(G762="",H762,p_beta_alloc*G762+(1-p_beta_alloc)*H762)*F762^p_phi</f>
        <v>0.000567238012854953</v>
      </c>
      <c r="J762" s="16" t="n">
        <f aca="false">INDEX(Sector_Params!$C$17:$E$17,MATCH(B762,Sector_Params!$C$15:$E$15,0))*I762/SUMIFS($I$5:$I$1369,$B$5:$B$1369,B762,$C$5:$C$1369,C762)</f>
        <v>0.376215076633233</v>
      </c>
      <c r="K762" s="28" t="n">
        <f aca="false">INDEX(Sector_Params!$F$6:$H$6,MATCH(B762,Sector_Params!$C$15:$E$15,0))</f>
        <v>0.24</v>
      </c>
      <c r="L762" s="16" t="n">
        <f aca="false">J762*K762</f>
        <v>0.0902916183919759</v>
      </c>
      <c r="M762" s="44" t="n">
        <f aca="false">Country_Data!$DW$113+Sector_Params!$E$6</f>
        <v>0.07693</v>
      </c>
      <c r="N762" s="44" t="n">
        <f aca="false">Country_Data!$DX$113+Sector_Params!$E$6</f>
        <v>0.12193</v>
      </c>
      <c r="O762" s="11" t="n">
        <f aca="false">IF(p_use_ibrd=1,p_r_ibrd,p_r_wb)</f>
        <v>0.06</v>
      </c>
      <c r="P762" s="45" t="n">
        <f aca="false">Sector_Params!$D$6</f>
        <v>40</v>
      </c>
      <c r="Q762" s="46" t="n">
        <f aca="false">M762/(1-(1+M762)^-P762)</f>
        <v>0.0811140521346425</v>
      </c>
      <c r="R762" s="46" t="n">
        <f aca="false">N762/(1-(1+N762)^-P762)</f>
        <v>0.123165545641499</v>
      </c>
      <c r="S762" s="46" t="n">
        <f aca="false">O762/(1-(1+O762)^-P762)</f>
        <v>0.0664615359206755</v>
      </c>
      <c r="T762" s="37" t="n">
        <f aca="false">p_grid_credit*IF(AND(p_eng=1,ISNUMBER(Country_Data!$CZ$113)),Country_Data!$CZ$113,Country_Data!$CM$113)*Sector_Params!$I$6</f>
        <v>0</v>
      </c>
      <c r="U762" s="37" t="n">
        <f aca="false">p_grid_credit*IF(AND(p_eng=1,ISNUMBER(Country_Data!$DA$113)),Country_Data!$DA$113,Country_Data!$CN$113)*Sector_Params!$J$6</f>
        <v>0</v>
      </c>
      <c r="V762" s="37" t="n">
        <f aca="false">p_grid_credit*IF(AND(p_eng=1,ISNUMBER(Country_Data!$DB$113)),Country_Data!$DB$113,p_a)</f>
        <v>0</v>
      </c>
      <c r="W762" s="16" t="n">
        <f aca="false">T762*L762</f>
        <v>0</v>
      </c>
      <c r="X762" s="16" t="n">
        <f aca="false">U762*L762</f>
        <v>0</v>
      </c>
      <c r="Y762" s="16" t="n">
        <f aca="false">V762*L762</f>
        <v>0</v>
      </c>
      <c r="Z762" s="16" t="n">
        <f aca="false">Q762*L762</f>
        <v>0.00732391904156798</v>
      </c>
      <c r="AA762" s="16" t="n">
        <f aca="false">R762*L762</f>
        <v>0.0111208164461017</v>
      </c>
      <c r="AB762" s="16" t="n">
        <f aca="false">S762*L762</f>
        <v>0.00600091963909423</v>
      </c>
      <c r="AC762" s="16" t="n">
        <f aca="false">Z762-W762</f>
        <v>0.00732391904156798</v>
      </c>
      <c r="AD762" s="16" t="n">
        <f aca="false">AA762-W762</f>
        <v>0.0111208164461017</v>
      </c>
      <c r="AE762" s="16" t="n">
        <f aca="false">AB762-W762</f>
        <v>0.00600091963909423</v>
      </c>
      <c r="AF762" s="16" t="n">
        <f aca="false">AE762-X762</f>
        <v>0.00600091963909423</v>
      </c>
      <c r="AG762" s="16" t="n">
        <f aca="false">AF762-p_spc_lo*Y762/1000</f>
        <v>0.00600091963909423</v>
      </c>
      <c r="AH762" s="16" t="n">
        <f aca="false">AF762-p_spc_hi*Y762/1000</f>
        <v>0.00600091963909423</v>
      </c>
      <c r="AI762" s="16" t="n">
        <f aca="false">Q762*J762</f>
        <v>0.0305163293398666</v>
      </c>
      <c r="AJ762" s="16" t="n">
        <f aca="false">S762*J762</f>
        <v>0.0250038318295593</v>
      </c>
      <c r="AK762" s="16" t="n">
        <f aca="false">T762*J762</f>
        <v>0</v>
      </c>
      <c r="AL762" s="16" t="n">
        <f aca="false">U762*J762</f>
        <v>0</v>
      </c>
      <c r="AM762" s="16" t="n">
        <f aca="false">AI762-AJ762</f>
        <v>0.00551249751030729</v>
      </c>
      <c r="AN762" s="16" t="n">
        <f aca="false">J762*Country_Data!$EB$113</f>
        <v>0.459040721411402</v>
      </c>
      <c r="AO762" s="16" t="n">
        <f aca="false">L762*Country_Data!$EB$113</f>
        <v>0.110169773138736</v>
      </c>
    </row>
    <row r="763" customFormat="false" ht="15" hidden="false" customHeight="false" outlineLevel="0" collapsed="false">
      <c r="A763" s="14" t="str">
        <f aca="false">Country_Data!$A$113</f>
        <v>SEN</v>
      </c>
      <c r="B763" s="14" t="str">
        <f aca="false">Country_Data!$E$113</f>
        <v>EMDC</v>
      </c>
      <c r="C763" s="35" t="s">
        <v>473</v>
      </c>
      <c r="D763" s="37" t="n">
        <f aca="false">IF(Country_Data!$CA$113="","",Country_Data!$CA$113)</f>
        <v>0.0656822295119524</v>
      </c>
      <c r="E763" s="40" t="n">
        <f aca="false">Country_Data!$BW$113</f>
        <v>94.026</v>
      </c>
      <c r="F763" s="41" t="n">
        <f aca="false">Country_Data!$BX$113</f>
        <v>0.349148107970136</v>
      </c>
      <c r="G763" s="42" t="n">
        <f aca="false">IF(D763="","",D763/SUMIFS($D$5:$D$1369,$B$5:$B$1369,B763,$C$5:$C$1369,C763))</f>
        <v>0.00151741232551601</v>
      </c>
      <c r="H763" s="42" t="n">
        <f aca="false">E763/SUMIFS($E$5:$E$1369,$B$5:$B$1369,B763,$C$5:$C$1369,C763)</f>
        <v>0.00116466987209144</v>
      </c>
      <c r="I763" s="43" t="n">
        <f aca="false">IF(G763="",H763,p_beta_alloc*G763+(1-p_beta_alloc)*H763)*F763^p_phi</f>
        <v>0.000792404502059367</v>
      </c>
      <c r="J763" s="16" t="n">
        <f aca="false">INDEX(Sector_Params!$C$18:$E$18,MATCH(B763,Sector_Params!$C$15:$E$15,0))*I763/SUMIFS($I$5:$I$1369,$B$5:$B$1369,B763,$C$5:$C$1369,C763)</f>
        <v>0.324470894340556</v>
      </c>
      <c r="K763" s="28" t="n">
        <f aca="false">INDEX(Sector_Params!$F$7:$H$7,MATCH(B763,Sector_Params!$C$15:$E$15,0))</f>
        <v>0.24</v>
      </c>
      <c r="L763" s="16" t="n">
        <f aca="false">J763*K763</f>
        <v>0.0778730146417334</v>
      </c>
      <c r="M763" s="44" t="n">
        <f aca="false">Country_Data!$DW$113+Sector_Params!$E$7</f>
        <v>0.07693</v>
      </c>
      <c r="N763" s="44" t="n">
        <f aca="false">Country_Data!$DX$113+Sector_Params!$E$7</f>
        <v>0.12193</v>
      </c>
      <c r="O763" s="11" t="n">
        <f aca="false">IF(p_use_ibrd=1,p_r_ibrd,p_r_wb)</f>
        <v>0.06</v>
      </c>
      <c r="P763" s="45" t="n">
        <f aca="false">Sector_Params!$D$7</f>
        <v>12</v>
      </c>
      <c r="Q763" s="46" t="n">
        <f aca="false">M763/(1-(1+M763)^-P763)</f>
        <v>0.130592003166036</v>
      </c>
      <c r="R763" s="46" t="n">
        <f aca="false">N763/(1-(1+N763)^-P763)</f>
        <v>0.162883114078526</v>
      </c>
      <c r="S763" s="46" t="n">
        <f aca="false">O763/(1-(1+O763)^-P763)</f>
        <v>0.119277029380664</v>
      </c>
      <c r="T763" s="37" t="n">
        <f aca="false">IF(AND(p_eng=1,ISNUMBER(Country_Data!$DE$113)),Country_Data!$DE$113,Country_Data!$CM$113)*Sector_Params!$I$7</f>
        <v>0.12814722</v>
      </c>
      <c r="U763" s="37" t="n">
        <f aca="false">IF(AND(p_eng=1,ISNUMBER(Country_Data!$DF$113)),Country_Data!$DF$113,Country_Data!$CN$113)*Sector_Params!$J$7</f>
        <v>0.00035145</v>
      </c>
      <c r="V763" s="37" t="n">
        <f aca="false">IF(AND(p_eng=1,ISNUMBER(Country_Data!$DG$113)),Country_Data!$DG$113,p_a)</f>
        <v>0.180868205111402</v>
      </c>
      <c r="W763" s="16" t="n">
        <f aca="false">T763*L763</f>
        <v>0.00997921033935744</v>
      </c>
      <c r="X763" s="16" t="n">
        <f aca="false">U763*L763</f>
        <v>2.73684709958372E-005</v>
      </c>
      <c r="Y763" s="16" t="n">
        <f aca="false">V763*L763</f>
        <v>0.0140847523848643</v>
      </c>
      <c r="Z763" s="16" t="n">
        <f aca="false">Q763*L763</f>
        <v>0.0101695929746421</v>
      </c>
      <c r="AA763" s="16" t="n">
        <f aca="false">R763*L763</f>
        <v>0.0126841991275282</v>
      </c>
      <c r="AB763" s="16" t="n">
        <f aca="false">S763*L763</f>
        <v>0.00928846185538288</v>
      </c>
      <c r="AC763" s="16" t="n">
        <f aca="false">Z763-W763</f>
        <v>0.000190382635284614</v>
      </c>
      <c r="AD763" s="16" t="n">
        <f aca="false">AA763-W763</f>
        <v>0.00270498878817078</v>
      </c>
      <c r="AE763" s="16" t="n">
        <f aca="false">AB763-W763</f>
        <v>-0.000690748483974555</v>
      </c>
      <c r="AF763" s="16" t="n">
        <f aca="false">AE763-X763</f>
        <v>-0.000718116954970392</v>
      </c>
      <c r="AG763" s="16" t="n">
        <f aca="false">AF763-p_spc_lo*Y763/1000</f>
        <v>-0.00142235457421361</v>
      </c>
      <c r="AH763" s="16" t="n">
        <f aca="false">AF763-p_spc_hi*Y763/1000</f>
        <v>-0.00212659219345682</v>
      </c>
      <c r="AI763" s="16" t="n">
        <f aca="false">Q763*J763</f>
        <v>0.0423733040610085</v>
      </c>
      <c r="AJ763" s="16" t="n">
        <f aca="false">S763*J763</f>
        <v>0.0387019243974287</v>
      </c>
      <c r="AK763" s="16" t="n">
        <f aca="false">T763*J763</f>
        <v>0.041580043080656</v>
      </c>
      <c r="AL763" s="16" t="n">
        <f aca="false">U763*J763</f>
        <v>0.000114035295815988</v>
      </c>
      <c r="AM763" s="16" t="n">
        <f aca="false">AI763-AJ763</f>
        <v>0.00367137966357987</v>
      </c>
      <c r="AN763" s="16" t="n">
        <f aca="false">J763*Country_Data!$EB$113</f>
        <v>0.395904796660492</v>
      </c>
      <c r="AO763" s="16" t="n">
        <f aca="false">L763*Country_Data!$EB$113</f>
        <v>0.0950171511985182</v>
      </c>
    </row>
    <row r="764" customFormat="false" ht="15" hidden="false" customHeight="false" outlineLevel="0" collapsed="false">
      <c r="A764" s="14" t="str">
        <f aca="false">Country_Data!$A$113</f>
        <v>SEN</v>
      </c>
      <c r="B764" s="14" t="str">
        <f aca="false">Country_Data!$E$113</f>
        <v>EMDC</v>
      </c>
      <c r="C764" s="35" t="s">
        <v>477</v>
      </c>
      <c r="D764" s="37" t="n">
        <f aca="false">IF(Country_Data!$CB$113="","",Country_Data!$CB$113)</f>
        <v>0.0210115303765239</v>
      </c>
      <c r="E764" s="40" t="n">
        <f aca="false">Country_Data!$BW$113</f>
        <v>94.026</v>
      </c>
      <c r="F764" s="41" t="n">
        <f aca="false">Country_Data!$BX$113</f>
        <v>0.349148107970136</v>
      </c>
      <c r="G764" s="42" t="n">
        <f aca="false">IF(D764="","",D764/SUMIFS($D$5:$D$1369,$B$5:$B$1369,B764,$C$5:$C$1369,C764))</f>
        <v>0.000662557532888446</v>
      </c>
      <c r="H764" s="42" t="n">
        <f aca="false">E764/SUMIFS($E$5:$E$1369,$B$5:$B$1369,B764,$C$5:$C$1369,C764)</f>
        <v>0.00116466987209144</v>
      </c>
      <c r="I764" s="43" t="n">
        <f aca="false">IF(G764="",H764,p_beta_alloc*G764+(1-p_beta_alloc)*H764)*F764^p_phi</f>
        <v>0.000539842970988703</v>
      </c>
      <c r="J764" s="16" t="n">
        <f aca="false">INDEX(Sector_Params!$C$19:$E$19,MATCH(B764,Sector_Params!$C$15:$E$15,0))*I764/SUMIFS($I$5:$I$1369,$B$5:$B$1369,B764,$C$5:$C$1369,C764)</f>
        <v>0.173755260358456</v>
      </c>
      <c r="K764" s="28" t="n">
        <f aca="false">INDEX(Sector_Params!$F$8:$H$8,MATCH(B764,Sector_Params!$C$15:$E$15,0))</f>
        <v>0.24</v>
      </c>
      <c r="L764" s="16" t="n">
        <f aca="false">J764*K764</f>
        <v>0.0417012624860295</v>
      </c>
      <c r="M764" s="44" t="n">
        <f aca="false">Country_Data!$DW$113+Sector_Params!$E$8</f>
        <v>0.07693</v>
      </c>
      <c r="N764" s="44" t="n">
        <f aca="false">Country_Data!$DX$113+Sector_Params!$E$8</f>
        <v>0.12193</v>
      </c>
      <c r="O764" s="11" t="n">
        <f aca="false">IF(p_use_ibrd=1,p_r_ibrd,p_r_wb)</f>
        <v>0.06</v>
      </c>
      <c r="P764" s="45" t="n">
        <f aca="false">Sector_Params!$D$8</f>
        <v>25</v>
      </c>
      <c r="Q764" s="46" t="n">
        <f aca="false">M764/(1-(1+M764)^-P764)</f>
        <v>0.0912344817520352</v>
      </c>
      <c r="R764" s="46" t="n">
        <f aca="false">N764/(1-(1+N764)^-P764)</f>
        <v>0.129210368087673</v>
      </c>
      <c r="S764" s="46" t="n">
        <f aca="false">O764/(1-(1+O764)^-P764)</f>
        <v>0.078226718212274</v>
      </c>
      <c r="T764" s="37" t="n">
        <f aca="false">Country_Data!$CM$113*Sector_Params!$I$8</f>
        <v>0.148108862794109</v>
      </c>
      <c r="U764" s="37" t="n">
        <f aca="false">Country_Data!$CN$113*Sector_Params!$J$8</f>
        <v>0.03225</v>
      </c>
      <c r="V764" s="37" t="n">
        <f aca="false">p_a</f>
        <v>0.35</v>
      </c>
      <c r="W764" s="16" t="n">
        <f aca="false">T764*L764</f>
        <v>0.00617632656388448</v>
      </c>
      <c r="X764" s="16" t="n">
        <f aca="false">U764*L764</f>
        <v>0.00134486571517445</v>
      </c>
      <c r="Y764" s="16" t="n">
        <f aca="false">V764*L764</f>
        <v>0.0145954418701103</v>
      </c>
      <c r="Z764" s="16" t="n">
        <f aca="false">Q764*L764</f>
        <v>0.00380459307131849</v>
      </c>
      <c r="AA764" s="16" t="n">
        <f aca="false">R764*L764</f>
        <v>0.00538823547554056</v>
      </c>
      <c r="AB764" s="16" t="n">
        <f aca="false">S764*L764</f>
        <v>0.0032621529095907</v>
      </c>
      <c r="AC764" s="16" t="n">
        <f aca="false">Z764-W764</f>
        <v>-0.00237173349256598</v>
      </c>
      <c r="AD764" s="16" t="n">
        <f aca="false">AA764-W764</f>
        <v>-0.000788091088343912</v>
      </c>
      <c r="AE764" s="16" t="n">
        <f aca="false">AB764-W764</f>
        <v>-0.00291417365429377</v>
      </c>
      <c r="AF764" s="16" t="n">
        <f aca="false">AE764-X764</f>
        <v>-0.00425903936946822</v>
      </c>
      <c r="AG764" s="16" t="n">
        <f aca="false">AF764-p_spc_lo*Y764/1000</f>
        <v>-0.00498881146297374</v>
      </c>
      <c r="AH764" s="16" t="n">
        <f aca="false">AF764-p_spc_hi*Y764/1000</f>
        <v>-0.00571858355647926</v>
      </c>
      <c r="AI764" s="16" t="n">
        <f aca="false">Q764*J764</f>
        <v>0.0158524711304937</v>
      </c>
      <c r="AJ764" s="16" t="n">
        <f aca="false">S764*J764</f>
        <v>0.0135923037899613</v>
      </c>
      <c r="AK764" s="16" t="n">
        <f aca="false">T764*J764</f>
        <v>0.0257346940161853</v>
      </c>
      <c r="AL764" s="16" t="n">
        <f aca="false">U764*J764</f>
        <v>0.00560360714656022</v>
      </c>
      <c r="AM764" s="16" t="n">
        <f aca="false">AI764-AJ764</f>
        <v>0.00226016734053245</v>
      </c>
      <c r="AN764" s="16" t="n">
        <f aca="false">J764*Country_Data!$EB$113</f>
        <v>0.212008356437372</v>
      </c>
      <c r="AO764" s="16" t="n">
        <f aca="false">L764*Country_Data!$EB$113</f>
        <v>0.0508820055449694</v>
      </c>
    </row>
    <row r="765" customFormat="false" ht="15" hidden="false" customHeight="false" outlineLevel="0" collapsed="false">
      <c r="A765" s="14" t="str">
        <f aca="false">Country_Data!$A$113</f>
        <v>SEN</v>
      </c>
      <c r="B765" s="14" t="str">
        <f aca="false">Country_Data!$E$113</f>
        <v>EMDC</v>
      </c>
      <c r="C765" s="35" t="s">
        <v>481</v>
      </c>
      <c r="D765" s="37" t="n">
        <f aca="false">IF(Country_Data!$CC$113="","",Country_Data!$CC$113)</f>
        <v>0.0386425034849645</v>
      </c>
      <c r="E765" s="40" t="n">
        <f aca="false">Country_Data!$BW$113</f>
        <v>94.026</v>
      </c>
      <c r="F765" s="41" t="n">
        <f aca="false">Country_Data!$BX$113</f>
        <v>0.349148107970136</v>
      </c>
      <c r="G765" s="42" t="n">
        <f aca="false">IF(D765="","",D765/SUMIFS($D$5:$D$1369,$B$5:$B$1369,B765,$C$5:$C$1369,C765))</f>
        <v>0.000551978535514008</v>
      </c>
      <c r="H765" s="42" t="n">
        <f aca="false">E765/SUMIFS($E$5:$E$1369,$B$5:$B$1369,B765,$C$5:$C$1369,C765)</f>
        <v>0.00116466987209144</v>
      </c>
      <c r="I765" s="43" t="n">
        <f aca="false">IF(G765="",H765,p_beta_alloc*G765+(1-p_beta_alloc)*H765)*F765^p_phi</f>
        <v>0.000507173094043515</v>
      </c>
      <c r="J765" s="16" t="n">
        <f aca="false">INDEX(Sector_Params!$C$20:$E$20,MATCH(B765,Sector_Params!$C$15:$E$15,0))*I765/SUMIFS($I$5:$I$1369,$B$5:$B$1369,B765,$C$5:$C$1369,C765)</f>
        <v>0.0925693029559641</v>
      </c>
      <c r="K765" s="28" t="n">
        <f aca="false">INDEX(Sector_Params!$F$9:$H$9,MATCH(B765,Sector_Params!$C$15:$E$15,0))</f>
        <v>0.24</v>
      </c>
      <c r="L765" s="16" t="n">
        <f aca="false">J765*K765</f>
        <v>0.0222166327094314</v>
      </c>
      <c r="M765" s="44" t="n">
        <f aca="false">Country_Data!$DW$113+Sector_Params!$E$9</f>
        <v>0.07693</v>
      </c>
      <c r="N765" s="44" t="n">
        <f aca="false">Country_Data!$DX$113+Sector_Params!$E$9</f>
        <v>0.12193</v>
      </c>
      <c r="O765" s="11" t="n">
        <f aca="false">IF(p_use_ibrd=1,p_r_ibrd,p_r_wb)</f>
        <v>0.06</v>
      </c>
      <c r="P765" s="45" t="n">
        <f aca="false">Sector_Params!$D$9</f>
        <v>25</v>
      </c>
      <c r="Q765" s="46" t="n">
        <f aca="false">M765/(1-(1+M765)^-P765)</f>
        <v>0.0912344817520352</v>
      </c>
      <c r="R765" s="46" t="n">
        <f aca="false">N765/(1-(1+N765)^-P765)</f>
        <v>0.129210368087673</v>
      </c>
      <c r="S765" s="46" t="n">
        <f aca="false">O765/(1-(1+O765)^-P765)</f>
        <v>0.078226718212274</v>
      </c>
      <c r="T765" s="37" t="n">
        <f aca="false">Country_Data!$CM$113*Sector_Params!$I$9</f>
        <v>0.148108862794109</v>
      </c>
      <c r="U765" s="37" t="n">
        <f aca="false">Country_Data!$CN$113*Sector_Params!$J$9</f>
        <v>0.03225</v>
      </c>
      <c r="V765" s="37" t="n">
        <f aca="false">p_a</f>
        <v>0.35</v>
      </c>
      <c r="W765" s="16" t="n">
        <f aca="false">T765*L765</f>
        <v>0.00329048020570829</v>
      </c>
      <c r="X765" s="16" t="n">
        <f aca="false">U765*L765</f>
        <v>0.000716486404879162</v>
      </c>
      <c r="Y765" s="16" t="n">
        <f aca="false">V765*L765</f>
        <v>0.00777582144830098</v>
      </c>
      <c r="Z765" s="16" t="n">
        <f aca="false">Q765*L765</f>
        <v>0.00202692297152028</v>
      </c>
      <c r="AA765" s="16" t="n">
        <f aca="false">R765*L765</f>
        <v>0.00287061929005427</v>
      </c>
      <c r="AB765" s="16" t="n">
        <f aca="false">S765*L765</f>
        <v>0.00173793426658628</v>
      </c>
      <c r="AC765" s="16" t="n">
        <f aca="false">Z765-W765</f>
        <v>-0.001263557234188</v>
      </c>
      <c r="AD765" s="16" t="n">
        <f aca="false">AA765-W765</f>
        <v>-0.000419860915654014</v>
      </c>
      <c r="AE765" s="16" t="n">
        <f aca="false">AB765-W765</f>
        <v>-0.00155254593912201</v>
      </c>
      <c r="AF765" s="16" t="n">
        <f aca="false">AE765-X765</f>
        <v>-0.00226903234400117</v>
      </c>
      <c r="AG765" s="16" t="n">
        <f aca="false">AF765-p_spc_lo*Y765/1000</f>
        <v>-0.00265782341641622</v>
      </c>
      <c r="AH765" s="16" t="n">
        <f aca="false">AF765-p_spc_hi*Y765/1000</f>
        <v>-0.00304661448883127</v>
      </c>
      <c r="AI765" s="16" t="n">
        <f aca="false">Q765*J765</f>
        <v>0.00844551238133452</v>
      </c>
      <c r="AJ765" s="16" t="n">
        <f aca="false">S765*J765</f>
        <v>0.00724139277744282</v>
      </c>
      <c r="AK765" s="16" t="n">
        <f aca="false">T765*J765</f>
        <v>0.0137103341904512</v>
      </c>
      <c r="AL765" s="16" t="n">
        <f aca="false">U765*J765</f>
        <v>0.00298536002032984</v>
      </c>
      <c r="AM765" s="16" t="n">
        <f aca="false">AI765-AJ765</f>
        <v>0.0012041196038917</v>
      </c>
      <c r="AN765" s="16" t="n">
        <f aca="false">J765*Country_Data!$EB$113</f>
        <v>0.112948901436192</v>
      </c>
      <c r="AO765" s="16" t="n">
        <f aca="false">L765*Country_Data!$EB$113</f>
        <v>0.027107736344686</v>
      </c>
    </row>
    <row r="766" customFormat="false" ht="15" hidden="false" customHeight="false" outlineLevel="0" collapsed="false">
      <c r="A766" s="14" t="str">
        <f aca="false">Country_Data!$A$113</f>
        <v>SEN</v>
      </c>
      <c r="B766" s="14" t="str">
        <f aca="false">Country_Data!$E$113</f>
        <v>EMDC</v>
      </c>
      <c r="C766" s="35" t="s">
        <v>484</v>
      </c>
      <c r="D766" s="37" t="n">
        <f aca="false">IF(Country_Data!$CD$113="","",Country_Data!$CD$113)</f>
        <v>0.158254065554055</v>
      </c>
      <c r="E766" s="40" t="n">
        <f aca="false">Country_Data!$BW$113</f>
        <v>94.026</v>
      </c>
      <c r="F766" s="41" t="n">
        <f aca="false">Country_Data!$BX$113</f>
        <v>0.349148107970136</v>
      </c>
      <c r="G766" s="42" t="n">
        <f aca="false">IF(D766="","",D766/SUMIFS($D$5:$D$1369,$B$5:$B$1369,B766,$C$5:$C$1369,C766))</f>
        <v>0.000883748515322867</v>
      </c>
      <c r="H766" s="42" t="n">
        <f aca="false">E766/SUMIFS($E$5:$E$1369,$B$5:$B$1369,B766,$C$5:$C$1369,C766)</f>
        <v>0.00116466987209144</v>
      </c>
      <c r="I766" s="43" t="n">
        <f aca="false">IF(G766="",H766,p_beta_alloc*G766+(1-p_beta_alloc)*H766)*F766^p_phi</f>
        <v>0.000605192470885583</v>
      </c>
      <c r="J766" s="16" t="n">
        <f aca="false">INDEX(Sector_Params!$C$21:$E$21,MATCH(B766,Sector_Params!$C$15:$E$15,0))*I766/SUMIFS($I$5:$I$1369,$B$5:$B$1369,B766,$C$5:$C$1369,C766)</f>
        <v>0.134225532970027</v>
      </c>
      <c r="K766" s="28" t="n">
        <f aca="false">INDEX(Sector_Params!$F$10:$H$10,MATCH(B766,Sector_Params!$C$15:$E$15,0))</f>
        <v>0.24</v>
      </c>
      <c r="L766" s="16" t="n">
        <f aca="false">J766*K766</f>
        <v>0.0322141279128064</v>
      </c>
      <c r="M766" s="44" t="n">
        <f aca="false">Country_Data!$DW$113+Sector_Params!$E$10</f>
        <v>0.07693</v>
      </c>
      <c r="N766" s="44" t="n">
        <f aca="false">Country_Data!$DX$113+Sector_Params!$E$10</f>
        <v>0.12193</v>
      </c>
      <c r="O766" s="11" t="n">
        <f aca="false">IF(p_use_ibrd=1,p_r_ibrd,p_r_wb)</f>
        <v>0.06</v>
      </c>
      <c r="P766" s="45" t="n">
        <f aca="false">Sector_Params!$D$10</f>
        <v>20</v>
      </c>
      <c r="Q766" s="46" t="n">
        <f aca="false">M766/(1-(1+M766)^-P766)</f>
        <v>0.0995364684523641</v>
      </c>
      <c r="R766" s="46" t="n">
        <f aca="false">N766/(1-(1+N766)^-P766)</f>
        <v>0.135501535796337</v>
      </c>
      <c r="S766" s="46" t="n">
        <f aca="false">O766/(1-(1+O766)^-P766)</f>
        <v>0.0871845569768514</v>
      </c>
      <c r="T766" s="37" t="n">
        <f aca="false">0*Sector_Params!$I$10</f>
        <v>0</v>
      </c>
      <c r="U766" s="37" t="n">
        <f aca="false">0*Sector_Params!$J$10</f>
        <v>0</v>
      </c>
      <c r="V766" s="37" t="n">
        <f aca="false">1000*p_r_wb/(1-(1+p_r_wb)^-Sector_Params!$D$10)/p_cpt_fuel</f>
        <v>0.871845569768514</v>
      </c>
      <c r="W766" s="16" t="n">
        <f aca="false">T766*L766</f>
        <v>0</v>
      </c>
      <c r="X766" s="16" t="n">
        <f aca="false">U766*L766</f>
        <v>0</v>
      </c>
      <c r="Y766" s="16" t="n">
        <f aca="false">V766*L766</f>
        <v>0.0280857447047365</v>
      </c>
      <c r="Z766" s="16" t="n">
        <f aca="false">Q766*L766</f>
        <v>0.00320648052671348</v>
      </c>
      <c r="AA766" s="16" t="n">
        <f aca="false">R766*L766</f>
        <v>0.00436506380652491</v>
      </c>
      <c r="AB766" s="16" t="n">
        <f aca="false">S766*L766</f>
        <v>0.00280857447047365</v>
      </c>
      <c r="AC766" s="16" t="n">
        <f aca="false">Z766-W766</f>
        <v>0.00320648052671348</v>
      </c>
      <c r="AD766" s="16" t="n">
        <f aca="false">AA766-W766</f>
        <v>0.00436506380652491</v>
      </c>
      <c r="AE766" s="16" t="n">
        <f aca="false">AB766-W766</f>
        <v>0.00280857447047365</v>
      </c>
      <c r="AF766" s="16" t="n">
        <f aca="false">AE766-X766</f>
        <v>0.00280857447047365</v>
      </c>
      <c r="AG766" s="16" t="n">
        <f aca="false">AF766-p_spc_lo*Y766/1000</f>
        <v>0.00140428723523683</v>
      </c>
      <c r="AH766" s="16" t="n">
        <f aca="false">AF766-p_spc_hi*Y766/1000</f>
        <v>0</v>
      </c>
      <c r="AI766" s="16" t="n">
        <f aca="false">Q766*J766</f>
        <v>0.0133603355279728</v>
      </c>
      <c r="AJ766" s="16" t="n">
        <f aca="false">S766*J766</f>
        <v>0.0117023936269735</v>
      </c>
      <c r="AK766" s="16" t="n">
        <f aca="false">T766*J766</f>
        <v>0</v>
      </c>
      <c r="AL766" s="16" t="n">
        <f aca="false">U766*J766</f>
        <v>0</v>
      </c>
      <c r="AM766" s="16" t="n">
        <f aca="false">AI766-AJ766</f>
        <v>0.00165794190099929</v>
      </c>
      <c r="AN766" s="16" t="n">
        <f aca="false">J766*Country_Data!$EB$113</f>
        <v>0.163775960383583</v>
      </c>
      <c r="AO766" s="16" t="n">
        <f aca="false">L766*Country_Data!$EB$113</f>
        <v>0.0393062304920599</v>
      </c>
    </row>
    <row r="767" customFormat="false" ht="15" hidden="false" customHeight="false" outlineLevel="0" collapsed="false">
      <c r="A767" s="14" t="str">
        <f aca="false">Country_Data!$A$113</f>
        <v>SEN</v>
      </c>
      <c r="B767" s="14" t="str">
        <f aca="false">Country_Data!$E$113</f>
        <v>EMDC</v>
      </c>
      <c r="C767" s="35" t="s">
        <v>488</v>
      </c>
      <c r="D767" s="37" t="n">
        <f aca="false">IF(Country_Data!$CE$113="","",Country_Data!$CE$113)</f>
        <v>23.68</v>
      </c>
      <c r="E767" s="40" t="n">
        <f aca="false">Country_Data!$BW$113</f>
        <v>94.026</v>
      </c>
      <c r="F767" s="41" t="n">
        <f aca="false">Country_Data!$BX$113</f>
        <v>0.349148107970136</v>
      </c>
      <c r="G767" s="42" t="n">
        <f aca="false">IF(D767="","",D767/SUMIFS($D$5:$D$1369,$B$5:$B$1369,B767,$C$5:$C$1369,C767))</f>
        <v>0.00194032993802907</v>
      </c>
      <c r="H767" s="42" t="n">
        <f aca="false">E767/SUMIFS($E$5:$E$1369,$B$5:$B$1369,B767,$C$5:$C$1369,C767)</f>
        <v>0.00116466987209144</v>
      </c>
      <c r="I767" s="43" t="n">
        <f aca="false">IF(G767="",H767,p_beta_alloc*G767+(1-p_beta_alloc)*H767)*F767^p_phi</f>
        <v>0.000917352880022763</v>
      </c>
      <c r="J767" s="16" t="n">
        <f aca="false">INDEX(Sector_Params!$C$22:$E$22,MATCH(B767,Sector_Params!$C$15:$E$15,0))*I767/SUMIFS($I$5:$I$1369,$B$5:$B$1369,B767,$C$5:$C$1369,C767)</f>
        <v>0.552988011034486</v>
      </c>
      <c r="K767" s="28" t="n">
        <f aca="false">INDEX(Sector_Params!$F$11:$H$11,MATCH(B767,Sector_Params!$C$15:$E$15,0))</f>
        <v>0.24</v>
      </c>
      <c r="L767" s="16" t="n">
        <f aca="false">J767*K767</f>
        <v>0.132717122648277</v>
      </c>
      <c r="M767" s="44" t="n">
        <f aca="false">Country_Data!$DW$113+Sector_Params!$E$11</f>
        <v>0.07693</v>
      </c>
      <c r="N767" s="44" t="n">
        <f aca="false">Country_Data!$DX$113+Sector_Params!$E$11</f>
        <v>0.12193</v>
      </c>
      <c r="O767" s="11" t="n">
        <f aca="false">IF(p_use_ibrd=1,p_r_ibrd,p_r_wb)</f>
        <v>0.06</v>
      </c>
      <c r="P767" s="45" t="n">
        <f aca="false">Sector_Params!$D$11</f>
        <v>30</v>
      </c>
      <c r="Q767" s="46" t="n">
        <f aca="false">M767/(1-(1+M767)^-P767)</f>
        <v>0.0862673153201156</v>
      </c>
      <c r="R767" s="46" t="n">
        <f aca="false">N767/(1-(1+N767)^-P767)</f>
        <v>0.125921413847473</v>
      </c>
      <c r="S767" s="46" t="n">
        <f aca="false">O767/(1-(1+O767)^-P767)</f>
        <v>0.0726489114900472</v>
      </c>
      <c r="T767" s="37" t="n">
        <f aca="false">0*Sector_Params!$I$11</f>
        <v>0</v>
      </c>
      <c r="U767" s="37" t="n">
        <f aca="false">p_c*Sector_Params!$J$11</f>
        <v>0.129</v>
      </c>
      <c r="V767" s="37" t="n">
        <f aca="false">1000*p_r_wb/(1-(1+p_r_wb)^-Sector_Params!$D$11)/p_cpt_afolu</f>
        <v>1.45297822980094</v>
      </c>
      <c r="W767" s="16" t="n">
        <f aca="false">T767*L767</f>
        <v>0</v>
      </c>
      <c r="X767" s="16" t="n">
        <f aca="false">U767*L767</f>
        <v>0.0171205088216277</v>
      </c>
      <c r="Y767" s="16" t="n">
        <f aca="false">V767*L767</f>
        <v>0.192835089929768</v>
      </c>
      <c r="Z767" s="16" t="n">
        <f aca="false">Q767*L767</f>
        <v>0.0114491498678773</v>
      </c>
      <c r="AA767" s="16" t="n">
        <f aca="false">R767*L767</f>
        <v>0.0167119277256395</v>
      </c>
      <c r="AB767" s="16" t="n">
        <f aca="false">S767*L767</f>
        <v>0.00964175449648839</v>
      </c>
      <c r="AC767" s="16" t="n">
        <f aca="false">Z767-W767</f>
        <v>0.0114491498678773</v>
      </c>
      <c r="AD767" s="16" t="n">
        <f aca="false">AA767-W767</f>
        <v>0.0167119277256395</v>
      </c>
      <c r="AE767" s="16" t="n">
        <f aca="false">AB767-W767</f>
        <v>0.00964175449648839</v>
      </c>
      <c r="AF767" s="16" t="n">
        <f aca="false">AE767-X767</f>
        <v>-0.0074787543251393</v>
      </c>
      <c r="AG767" s="16" t="n">
        <f aca="false">AF767-p_spc_lo*Y767/1000</f>
        <v>-0.0171205088216277</v>
      </c>
      <c r="AH767" s="16" t="n">
        <f aca="false">AF767-p_spc_hi*Y767/1000</f>
        <v>-0.0267622633181161</v>
      </c>
      <c r="AI767" s="16" t="n">
        <f aca="false">Q767*J767</f>
        <v>0.0477047911161556</v>
      </c>
      <c r="AJ767" s="16" t="n">
        <f aca="false">S767*J767</f>
        <v>0.0401739770687016</v>
      </c>
      <c r="AK767" s="16" t="n">
        <f aca="false">T767*J767</f>
        <v>0</v>
      </c>
      <c r="AL767" s="16" t="n">
        <f aca="false">U767*J767</f>
        <v>0.0713354534234487</v>
      </c>
      <c r="AM767" s="16" t="n">
        <f aca="false">AI767-AJ767</f>
        <v>0.00753081404745395</v>
      </c>
      <c r="AN767" s="16" t="n">
        <f aca="false">J767*Country_Data!$EB$113</f>
        <v>0.674731108037427</v>
      </c>
      <c r="AO767" s="16" t="n">
        <f aca="false">L767*Country_Data!$EB$113</f>
        <v>0.161935465928982</v>
      </c>
    </row>
    <row r="768" customFormat="false" ht="15" hidden="false" customHeight="false" outlineLevel="0" collapsed="false">
      <c r="A768" s="14" t="str">
        <f aca="false">Country_Data!$A$114</f>
        <v>PNG</v>
      </c>
      <c r="B768" s="14" t="str">
        <f aca="false">Country_Data!$E$114</f>
        <v>EMDC</v>
      </c>
      <c r="C768" s="35" t="s">
        <v>466</v>
      </c>
      <c r="D768" s="37" t="n">
        <f aca="false">IF(Country_Data!$BZ$114="","",Country_Data!$BZ$114)</f>
        <v>4.96098059746521</v>
      </c>
      <c r="E768" s="40" t="n">
        <f aca="false">Country_Data!$BW$114</f>
        <v>44.942</v>
      </c>
      <c r="F768" s="41" t="n">
        <f aca="false">Country_Data!$BX$114</f>
        <v>0.684348716123003</v>
      </c>
      <c r="G768" s="42" t="n">
        <f aca="false">IF(D768="","",D768/SUMIFS($D$5:$D$1369,$B$5:$B$1369,B768,$C$5:$C$1369,C768))</f>
        <v>0.000566356138829162</v>
      </c>
      <c r="H768" s="42" t="n">
        <f aca="false">E768/SUMIFS($E$5:$E$1369,$B$5:$B$1369,B768,$C$5:$C$1369,C768)</f>
        <v>0.00055668212400329</v>
      </c>
      <c r="I768" s="43" t="n">
        <f aca="false">IF(G768="",H768,p_beta_alloc*G768+(1-p_beta_alloc)*H768)*F768^p_phi</f>
        <v>0.00046451878993145</v>
      </c>
      <c r="J768" s="16" t="n">
        <f aca="false">INDEX(Sector_Params!$C$16:$E$16,MATCH(B768,Sector_Params!$C$15:$E$15,0))*I768/SUMIFS($I$5:$I$1369,$B$5:$B$1369,B768,$C$5:$C$1369,C768)</f>
        <v>0.449294350188363</v>
      </c>
      <c r="K768" s="28" t="n">
        <f aca="false">INDEX(Sector_Params!$F$5:$H$5,MATCH(B768,Sector_Params!$C$15:$E$15,0))</f>
        <v>0.24</v>
      </c>
      <c r="L768" s="16" t="n">
        <f aca="false">J768*K768</f>
        <v>0.107830644045207</v>
      </c>
      <c r="M768" s="44" t="n">
        <f aca="false">Country_Data!$DW$114+Sector_Params!$E$5</f>
        <v>0.105</v>
      </c>
      <c r="N768" s="44" t="n">
        <f aca="false">Country_Data!$DX$114+Sector_Params!$E$5</f>
        <v>0.15</v>
      </c>
      <c r="O768" s="11" t="n">
        <f aca="false">IF(p_use_ibrd=1,p_r_ibrd,p_r_wb)</f>
        <v>0.06</v>
      </c>
      <c r="P768" s="45" t="n">
        <f aca="false">Sector_Params!$D$5</f>
        <v>25</v>
      </c>
      <c r="Q768" s="46" t="n">
        <f aca="false">M768/(1-(1+M768)^-P768)</f>
        <v>0.114429319813103</v>
      </c>
      <c r="R768" s="46" t="n">
        <f aca="false">N768/(1-(1+N768)^-P768)</f>
        <v>0.154699402320206</v>
      </c>
      <c r="S768" s="46" t="n">
        <f aca="false">O768/(1-(1+O768)^-P768)</f>
        <v>0.078226718212274</v>
      </c>
      <c r="T768" s="37" t="n">
        <f aca="false">IF(AND(p_eng=1,ISNUMBER(Country_Data!$CZ$114)),Country_Data!$CZ$114,Country_Data!$CM$114)*Sector_Params!$I$5</f>
        <v>0.218578160085902</v>
      </c>
      <c r="U768" s="37" t="n">
        <f aca="false">IF(AND(p_eng=1,ISNUMBER(Country_Data!$DA$114)),Country_Data!$DA$114,Country_Data!$CN$114)*Sector_Params!$J$5</f>
        <v>0.000238499356671587</v>
      </c>
      <c r="V768" s="37" t="n">
        <f aca="false">IF(AND(p_eng=1,ISNUMBER(Country_Data!$DB$114)),Country_Data!$DB$114,p_a)</f>
        <v>1.25387264428888</v>
      </c>
      <c r="W768" s="16" t="n">
        <f aca="false">T768*L768</f>
        <v>0.0235694237762791</v>
      </c>
      <c r="X768" s="16" t="n">
        <f aca="false">U768*L768</f>
        <v>2.57175392342648E-005</v>
      </c>
      <c r="Y768" s="16" t="n">
        <f aca="false">V768*L768</f>
        <v>0.135205894784336</v>
      </c>
      <c r="Z768" s="16" t="n">
        <f aca="false">Q768*L768</f>
        <v>0.0123389872531019</v>
      </c>
      <c r="AA768" s="16" t="n">
        <f aca="false">R768*L768</f>
        <v>0.0166813361855965</v>
      </c>
      <c r="AB768" s="16" t="n">
        <f aca="false">S768*L768</f>
        <v>0.00843523740637243</v>
      </c>
      <c r="AC768" s="16" t="n">
        <f aca="false">Z768-W768</f>
        <v>-0.0112304365231772</v>
      </c>
      <c r="AD768" s="16" t="n">
        <f aca="false">AA768-W768</f>
        <v>-0.00688808759068267</v>
      </c>
      <c r="AE768" s="16" t="n">
        <f aca="false">AB768-W768</f>
        <v>-0.0151341863699067</v>
      </c>
      <c r="AF768" s="16" t="n">
        <f aca="false">AE768-X768</f>
        <v>-0.015159903909141</v>
      </c>
      <c r="AG768" s="16" t="n">
        <f aca="false">AF768-p_spc_lo*Y768/1000</f>
        <v>-0.0219201986483578</v>
      </c>
      <c r="AH768" s="16" t="n">
        <f aca="false">AF768-p_spc_hi*Y768/1000</f>
        <v>-0.0286804933875746</v>
      </c>
      <c r="AI768" s="16" t="n">
        <f aca="false">Q768*J768</f>
        <v>0.0514124468879246</v>
      </c>
      <c r="AJ768" s="16" t="n">
        <f aca="false">S768*J768</f>
        <v>0.0351468225265518</v>
      </c>
      <c r="AK768" s="16" t="n">
        <f aca="false">T768*J768</f>
        <v>0.0982059324011631</v>
      </c>
      <c r="AL768" s="16" t="n">
        <f aca="false">U768*J768</f>
        <v>0.000107156413476103</v>
      </c>
      <c r="AM768" s="16" t="n">
        <f aca="false">AI768-AJ768</f>
        <v>0.0162656243613728</v>
      </c>
      <c r="AN768" s="16" t="n">
        <f aca="false">J768*Country_Data!$EB$114</f>
        <v>0.515765295147737</v>
      </c>
      <c r="AO768" s="16" t="n">
        <f aca="false">L768*Country_Data!$EB$114</f>
        <v>0.123783670835457</v>
      </c>
    </row>
    <row r="769" customFormat="false" ht="15" hidden="false" customHeight="false" outlineLevel="0" collapsed="false">
      <c r="A769" s="14" t="str">
        <f aca="false">Country_Data!$A$114</f>
        <v>PNG</v>
      </c>
      <c r="B769" s="14" t="str">
        <f aca="false">Country_Data!$E$114</f>
        <v>EMDC</v>
      </c>
      <c r="C769" s="35" t="s">
        <v>470</v>
      </c>
      <c r="D769" s="37" t="n">
        <f aca="false">IF(Country_Data!$BZ$114="","",Country_Data!$BZ$114)</f>
        <v>4.96098059746521</v>
      </c>
      <c r="E769" s="40" t="n">
        <f aca="false">Country_Data!$BW$114</f>
        <v>44.942</v>
      </c>
      <c r="F769" s="41" t="n">
        <f aca="false">Country_Data!$BX$114</f>
        <v>0.684348716123003</v>
      </c>
      <c r="G769" s="42" t="n">
        <f aca="false">IF(D769="","",D769/SUMIFS($D$5:$D$1369,$B$5:$B$1369,B769,$C$5:$C$1369,C769))</f>
        <v>0.000566356138829162</v>
      </c>
      <c r="H769" s="42" t="n">
        <f aca="false">E769/SUMIFS($E$5:$E$1369,$B$5:$B$1369,B769,$C$5:$C$1369,C769)</f>
        <v>0.00055668212400329</v>
      </c>
      <c r="I769" s="43" t="n">
        <f aca="false">IF(G769="",H769,p_beta_alloc*G769+(1-p_beta_alloc)*H769)*F769^p_phi</f>
        <v>0.00046451878993145</v>
      </c>
      <c r="J769" s="16" t="n">
        <f aca="false">INDEX(Sector_Params!$C$17:$E$17,MATCH(B769,Sector_Params!$C$15:$E$15,0))*I769/SUMIFS($I$5:$I$1369,$B$5:$B$1369,B769,$C$5:$C$1369,C769)</f>
        <v>0.308087554414877</v>
      </c>
      <c r="K769" s="28" t="n">
        <f aca="false">INDEX(Sector_Params!$F$6:$H$6,MATCH(B769,Sector_Params!$C$15:$E$15,0))</f>
        <v>0.24</v>
      </c>
      <c r="L769" s="16" t="n">
        <f aca="false">J769*K769</f>
        <v>0.0739410130595706</v>
      </c>
      <c r="M769" s="44" t="n">
        <f aca="false">Country_Data!$DW$114+Sector_Params!$E$6</f>
        <v>0.105</v>
      </c>
      <c r="N769" s="44" t="n">
        <f aca="false">Country_Data!$DX$114+Sector_Params!$E$6</f>
        <v>0.15</v>
      </c>
      <c r="O769" s="11" t="n">
        <f aca="false">IF(p_use_ibrd=1,p_r_ibrd,p_r_wb)</f>
        <v>0.06</v>
      </c>
      <c r="P769" s="45" t="n">
        <f aca="false">Sector_Params!$D$6</f>
        <v>40</v>
      </c>
      <c r="Q769" s="46" t="n">
        <f aca="false">M769/(1-(1+M769)^-P769)</f>
        <v>0.10697140835497</v>
      </c>
      <c r="R769" s="46" t="n">
        <f aca="false">N769/(1-(1+N769)^-P769)</f>
        <v>0.150562085013545</v>
      </c>
      <c r="S769" s="46" t="n">
        <f aca="false">O769/(1-(1+O769)^-P769)</f>
        <v>0.0664615359206755</v>
      </c>
      <c r="T769" s="37" t="n">
        <f aca="false">p_grid_credit*IF(AND(p_eng=1,ISNUMBER(Country_Data!$CZ$114)),Country_Data!$CZ$114,Country_Data!$CM$114)*Sector_Params!$I$6</f>
        <v>0</v>
      </c>
      <c r="U769" s="37" t="n">
        <f aca="false">p_grid_credit*IF(AND(p_eng=1,ISNUMBER(Country_Data!$DA$114)),Country_Data!$DA$114,Country_Data!$CN$114)*Sector_Params!$J$6</f>
        <v>0</v>
      </c>
      <c r="V769" s="37" t="n">
        <f aca="false">p_grid_credit*IF(AND(p_eng=1,ISNUMBER(Country_Data!$DB$114)),Country_Data!$DB$114,p_a)</f>
        <v>0</v>
      </c>
      <c r="W769" s="16" t="n">
        <f aca="false">T769*L769</f>
        <v>0</v>
      </c>
      <c r="X769" s="16" t="n">
        <f aca="false">U769*L769</f>
        <v>0</v>
      </c>
      <c r="Y769" s="16" t="n">
        <f aca="false">V769*L769</f>
        <v>0</v>
      </c>
      <c r="Z769" s="16" t="n">
        <f aca="false">Q769*L769</f>
        <v>0.00790957430217552</v>
      </c>
      <c r="AA769" s="16" t="n">
        <f aca="false">R769*L769</f>
        <v>0.0111327130942627</v>
      </c>
      <c r="AB769" s="16" t="n">
        <f aca="false">S769*L769</f>
        <v>0.00491423329546979</v>
      </c>
      <c r="AC769" s="16" t="n">
        <f aca="false">Z769-W769</f>
        <v>0.00790957430217552</v>
      </c>
      <c r="AD769" s="16" t="n">
        <f aca="false">AA769-W769</f>
        <v>0.0111327130942627</v>
      </c>
      <c r="AE769" s="16" t="n">
        <f aca="false">AB769-W769</f>
        <v>0.00491423329546979</v>
      </c>
      <c r="AF769" s="16" t="n">
        <f aca="false">AE769-X769</f>
        <v>0.00491423329546979</v>
      </c>
      <c r="AG769" s="16" t="n">
        <f aca="false">AF769-p_spc_lo*Y769/1000</f>
        <v>0.00491423329546979</v>
      </c>
      <c r="AH769" s="16" t="n">
        <f aca="false">AF769-p_spc_hi*Y769/1000</f>
        <v>0.00491423329546979</v>
      </c>
      <c r="AI769" s="16" t="n">
        <f aca="false">Q769*J769</f>
        <v>0.032956559592398</v>
      </c>
      <c r="AJ769" s="16" t="n">
        <f aca="false">S769*J769</f>
        <v>0.0204759720644574</v>
      </c>
      <c r="AK769" s="16" t="n">
        <f aca="false">T769*J769</f>
        <v>0</v>
      </c>
      <c r="AL769" s="16" t="n">
        <f aca="false">U769*J769</f>
        <v>0</v>
      </c>
      <c r="AM769" s="16" t="n">
        <f aca="false">AI769-AJ769</f>
        <v>0.0124805875279406</v>
      </c>
      <c r="AN769" s="16" t="n">
        <f aca="false">J769*Country_Data!$EB$114</f>
        <v>0.353667630958448</v>
      </c>
      <c r="AO769" s="16" t="n">
        <f aca="false">L769*Country_Data!$EB$114</f>
        <v>0.0848802314300276</v>
      </c>
    </row>
    <row r="770" customFormat="false" ht="15" hidden="false" customHeight="false" outlineLevel="0" collapsed="false">
      <c r="A770" s="14" t="str">
        <f aca="false">Country_Data!$A$114</f>
        <v>PNG</v>
      </c>
      <c r="B770" s="14" t="str">
        <f aca="false">Country_Data!$E$114</f>
        <v>EMDC</v>
      </c>
      <c r="C770" s="35" t="s">
        <v>473</v>
      </c>
      <c r="D770" s="37" t="n">
        <f aca="false">IF(Country_Data!$CA$114="","",Country_Data!$CA$114)</f>
        <v>0.0516582001097634</v>
      </c>
      <c r="E770" s="40" t="n">
        <f aca="false">Country_Data!$BW$114</f>
        <v>44.942</v>
      </c>
      <c r="F770" s="41" t="n">
        <f aca="false">Country_Data!$BX$114</f>
        <v>0.684348716123003</v>
      </c>
      <c r="G770" s="42" t="n">
        <f aca="false">IF(D770="","",D770/SUMIFS($D$5:$D$1369,$B$5:$B$1369,B770,$C$5:$C$1369,C770))</f>
        <v>0.00119342461641414</v>
      </c>
      <c r="H770" s="42" t="n">
        <f aca="false">E770/SUMIFS($E$5:$E$1369,$B$5:$B$1369,B770,$C$5:$C$1369,C770)</f>
        <v>0.00055668212400329</v>
      </c>
      <c r="I770" s="43" t="n">
        <f aca="false">IF(G770="",H770,p_beta_alloc*G770+(1-p_beta_alloc)*H770)*F770^p_phi</f>
        <v>0.000723891155105609</v>
      </c>
      <c r="J770" s="16" t="n">
        <f aca="false">INDEX(Sector_Params!$C$18:$E$18,MATCH(B770,Sector_Params!$C$15:$E$15,0))*I770/SUMIFS($I$5:$I$1369,$B$5:$B$1369,B770,$C$5:$C$1369,C770)</f>
        <v>0.296416299871979</v>
      </c>
      <c r="K770" s="28" t="n">
        <f aca="false">INDEX(Sector_Params!$F$7:$H$7,MATCH(B770,Sector_Params!$C$15:$E$15,0))</f>
        <v>0.24</v>
      </c>
      <c r="L770" s="16" t="n">
        <f aca="false">J770*K770</f>
        <v>0.0711399119692748</v>
      </c>
      <c r="M770" s="44" t="n">
        <f aca="false">Country_Data!$DW$114+Sector_Params!$E$7</f>
        <v>0.105</v>
      </c>
      <c r="N770" s="44" t="n">
        <f aca="false">Country_Data!$DX$114+Sector_Params!$E$7</f>
        <v>0.15</v>
      </c>
      <c r="O770" s="11" t="n">
        <f aca="false">IF(p_use_ibrd=1,p_r_ibrd,p_r_wb)</f>
        <v>0.06</v>
      </c>
      <c r="P770" s="45" t="n">
        <f aca="false">Sector_Params!$D$7</f>
        <v>12</v>
      </c>
      <c r="Q770" s="46" t="n">
        <f aca="false">M770/(1-(1+M770)^-P770)</f>
        <v>0.150376745634766</v>
      </c>
      <c r="R770" s="46" t="n">
        <f aca="false">N770/(1-(1+N770)^-P770)</f>
        <v>0.18448077613084</v>
      </c>
      <c r="S770" s="46" t="n">
        <f aca="false">O770/(1-(1+O770)^-P770)</f>
        <v>0.119277029380664</v>
      </c>
      <c r="T770" s="37" t="n">
        <f aca="false">IF(AND(p_eng=1,ISNUMBER(Country_Data!$DE$114)),Country_Data!$DE$114,Country_Data!$CM$114)*Sector_Params!$I$7</f>
        <v>0.09423738</v>
      </c>
      <c r="U770" s="37" t="n">
        <f aca="false">IF(AND(p_eng=1,ISNUMBER(Country_Data!$DF$114)),Country_Data!$DF$114,Country_Data!$CN$114)*Sector_Params!$J$7</f>
        <v>0.000112725</v>
      </c>
      <c r="V770" s="37" t="n">
        <f aca="false">IF(AND(p_eng=1,ISNUMBER(Country_Data!$DG$114)),Country_Data!$DG$114,p_a)</f>
        <v>0.239040846723044</v>
      </c>
      <c r="W770" s="16" t="n">
        <f aca="false">T770*L770</f>
        <v>0.0067040389174151</v>
      </c>
      <c r="X770" s="16" t="n">
        <f aca="false">U770*L770</f>
        <v>8.0192465767365E-006</v>
      </c>
      <c r="Y770" s="16" t="n">
        <f aca="false">V770*L770</f>
        <v>0.0170053447929383</v>
      </c>
      <c r="Z770" s="16" t="n">
        <f aca="false">Q770*L770</f>
        <v>0.0106977884466833</v>
      </c>
      <c r="AA770" s="16" t="n">
        <f aca="false">R770*L770</f>
        <v>0.0131239461739714</v>
      </c>
      <c r="AB770" s="16" t="n">
        <f aca="false">S770*L770</f>
        <v>0.00848535737009701</v>
      </c>
      <c r="AC770" s="16" t="n">
        <f aca="false">Z770-W770</f>
        <v>0.00399374952926817</v>
      </c>
      <c r="AD770" s="16" t="n">
        <f aca="false">AA770-W770</f>
        <v>0.00641990725655632</v>
      </c>
      <c r="AE770" s="16" t="n">
        <f aca="false">AB770-W770</f>
        <v>0.00178131845268191</v>
      </c>
      <c r="AF770" s="16" t="n">
        <f aca="false">AE770-X770</f>
        <v>0.00177329920610518</v>
      </c>
      <c r="AG770" s="16" t="n">
        <f aca="false">AF770-p_spc_lo*Y770/1000</f>
        <v>0.00092303196645826</v>
      </c>
      <c r="AH770" s="16" t="n">
        <f aca="false">AF770-p_spc_hi*Y770/1000</f>
        <v>7.27647268113454E-005</v>
      </c>
      <c r="AI770" s="16" t="n">
        <f aca="false">Q770*J770</f>
        <v>0.044574118527847</v>
      </c>
      <c r="AJ770" s="16" t="n">
        <f aca="false">S770*J770</f>
        <v>0.0353556557087376</v>
      </c>
      <c r="AK770" s="16" t="n">
        <f aca="false">T770*J770</f>
        <v>0.0279334954892296</v>
      </c>
      <c r="AL770" s="16" t="n">
        <f aca="false">U770*J770</f>
        <v>3.34135274030688E-005</v>
      </c>
      <c r="AM770" s="16" t="n">
        <f aca="false">AI770-AJ770</f>
        <v>0.0092184628191094</v>
      </c>
      <c r="AN770" s="16" t="n">
        <f aca="false">J770*Country_Data!$EB$114</f>
        <v>0.340269670263997</v>
      </c>
      <c r="AO770" s="16" t="n">
        <f aca="false">L770*Country_Data!$EB$114</f>
        <v>0.0816647208633593</v>
      </c>
    </row>
    <row r="771" customFormat="false" ht="15" hidden="false" customHeight="false" outlineLevel="0" collapsed="false">
      <c r="A771" s="14" t="str">
        <f aca="false">Country_Data!$A$114</f>
        <v>PNG</v>
      </c>
      <c r="B771" s="14" t="str">
        <f aca="false">Country_Data!$E$114</f>
        <v>EMDC</v>
      </c>
      <c r="C771" s="35" t="s">
        <v>477</v>
      </c>
      <c r="D771" s="37" t="n">
        <f aca="false">IF(Country_Data!$CB$114="","",Country_Data!$CB$114)</f>
        <v>0.00876791801021605</v>
      </c>
      <c r="E771" s="40" t="n">
        <f aca="false">Country_Data!$BW$114</f>
        <v>44.942</v>
      </c>
      <c r="F771" s="41" t="n">
        <f aca="false">Country_Data!$BX$114</f>
        <v>0.684348716123003</v>
      </c>
      <c r="G771" s="42" t="n">
        <f aca="false">IF(D771="","",D771/SUMIFS($D$5:$D$1369,$B$5:$B$1369,B771,$C$5:$C$1369,C771))</f>
        <v>0.000276479153175228</v>
      </c>
      <c r="H771" s="42" t="n">
        <f aca="false">E771/SUMIFS($E$5:$E$1369,$B$5:$B$1369,B771,$C$5:$C$1369,C771)</f>
        <v>0.00055668212400329</v>
      </c>
      <c r="I771" s="43" t="n">
        <f aca="false">IF(G771="",H771,p_beta_alloc*G771+(1-p_beta_alloc)*H771)*F771^p_phi</f>
        <v>0.000344617882668213</v>
      </c>
      <c r="J771" s="16" t="n">
        <f aca="false">INDEX(Sector_Params!$C$19:$E$19,MATCH(B771,Sector_Params!$C$15:$E$15,0))*I771/SUMIFS($I$5:$I$1369,$B$5:$B$1369,B771,$C$5:$C$1369,C771)</f>
        <v>0.110919606524706</v>
      </c>
      <c r="K771" s="28" t="n">
        <f aca="false">INDEX(Sector_Params!$F$8:$H$8,MATCH(B771,Sector_Params!$C$15:$E$15,0))</f>
        <v>0.24</v>
      </c>
      <c r="L771" s="16" t="n">
        <f aca="false">J771*K771</f>
        <v>0.0266207055659295</v>
      </c>
      <c r="M771" s="44" t="n">
        <f aca="false">Country_Data!$DW$114+Sector_Params!$E$8</f>
        <v>0.105</v>
      </c>
      <c r="N771" s="44" t="n">
        <f aca="false">Country_Data!$DX$114+Sector_Params!$E$8</f>
        <v>0.15</v>
      </c>
      <c r="O771" s="11" t="n">
        <f aca="false">IF(p_use_ibrd=1,p_r_ibrd,p_r_wb)</f>
        <v>0.06</v>
      </c>
      <c r="P771" s="45" t="n">
        <f aca="false">Sector_Params!$D$8</f>
        <v>25</v>
      </c>
      <c r="Q771" s="46" t="n">
        <f aca="false">M771/(1-(1+M771)^-P771)</f>
        <v>0.114429319813103</v>
      </c>
      <c r="R771" s="46" t="n">
        <f aca="false">N771/(1-(1+N771)^-P771)</f>
        <v>0.154699402320206</v>
      </c>
      <c r="S771" s="46" t="n">
        <f aca="false">O771/(1-(1+O771)^-P771)</f>
        <v>0.078226718212274</v>
      </c>
      <c r="T771" s="37" t="n">
        <f aca="false">Country_Data!$CM$114*Sector_Params!$I$8</f>
        <v>0.343450419412937</v>
      </c>
      <c r="U771" s="37" t="n">
        <f aca="false">Country_Data!$CN$114*Sector_Params!$J$8</f>
        <v>0.03225</v>
      </c>
      <c r="V771" s="37" t="n">
        <f aca="false">p_a</f>
        <v>0.35</v>
      </c>
      <c r="W771" s="16" t="n">
        <f aca="false">T771*L771</f>
        <v>0.00914289249168677</v>
      </c>
      <c r="X771" s="16" t="n">
        <f aca="false">U771*L771</f>
        <v>0.000858517754501225</v>
      </c>
      <c r="Y771" s="16" t="n">
        <f aca="false">V771*L771</f>
        <v>0.00931724694807531</v>
      </c>
      <c r="Z771" s="16" t="n">
        <f aca="false">Q771*L771</f>
        <v>0.0030461892308542</v>
      </c>
      <c r="AA771" s="16" t="n">
        <f aca="false">R771*L771</f>
        <v>0.00411820724039148</v>
      </c>
      <c r="AB771" s="16" t="n">
        <f aca="false">S771*L771</f>
        <v>0.00208245043291788</v>
      </c>
      <c r="AC771" s="16" t="n">
        <f aca="false">Z771-W771</f>
        <v>-0.00609670326083257</v>
      </c>
      <c r="AD771" s="16" t="n">
        <f aca="false">AA771-W771</f>
        <v>-0.00502468525129529</v>
      </c>
      <c r="AE771" s="16" t="n">
        <f aca="false">AB771-W771</f>
        <v>-0.00706044205876889</v>
      </c>
      <c r="AF771" s="16" t="n">
        <f aca="false">AE771-X771</f>
        <v>-0.00791895981327012</v>
      </c>
      <c r="AG771" s="16" t="n">
        <f aca="false">AF771-p_spc_lo*Y771/1000</f>
        <v>-0.00838482216067388</v>
      </c>
      <c r="AH771" s="16" t="n">
        <f aca="false">AF771-p_spc_hi*Y771/1000</f>
        <v>-0.00885068450807765</v>
      </c>
      <c r="AI771" s="16" t="n">
        <f aca="false">Q771*J771</f>
        <v>0.0126924551285592</v>
      </c>
      <c r="AJ771" s="16" t="n">
        <f aca="false">S771*J771</f>
        <v>0.00867687680382448</v>
      </c>
      <c r="AK771" s="16" t="n">
        <f aca="false">T771*J771</f>
        <v>0.0380953853820282</v>
      </c>
      <c r="AL771" s="16" t="n">
        <f aca="false">U771*J771</f>
        <v>0.00357715731042177</v>
      </c>
      <c r="AM771" s="16" t="n">
        <f aca="false">AI771-AJ771</f>
        <v>0.00401557832473469</v>
      </c>
      <c r="AN771" s="16" t="n">
        <f aca="false">J771*Country_Data!$EB$114</f>
        <v>0.127329630503704</v>
      </c>
      <c r="AO771" s="16" t="n">
        <f aca="false">L771*Country_Data!$EB$114</f>
        <v>0.0305591113208889</v>
      </c>
    </row>
    <row r="772" customFormat="false" ht="15" hidden="false" customHeight="false" outlineLevel="0" collapsed="false">
      <c r="A772" s="14" t="str">
        <f aca="false">Country_Data!$A$114</f>
        <v>PNG</v>
      </c>
      <c r="B772" s="14" t="str">
        <f aca="false">Country_Data!$E$114</f>
        <v>EMDC</v>
      </c>
      <c r="C772" s="35" t="s">
        <v>481</v>
      </c>
      <c r="D772" s="37" t="n">
        <f aca="false">IF(Country_Data!$CC$114="","",Country_Data!$CC$114)</f>
        <v>0.0488373500010378</v>
      </c>
      <c r="E772" s="40" t="n">
        <f aca="false">Country_Data!$BW$114</f>
        <v>44.942</v>
      </c>
      <c r="F772" s="41" t="n">
        <f aca="false">Country_Data!$BX$114</f>
        <v>0.684348716123003</v>
      </c>
      <c r="G772" s="42" t="n">
        <f aca="false">IF(D772="","",D772/SUMIFS($D$5:$D$1369,$B$5:$B$1369,B772,$C$5:$C$1369,C772))</f>
        <v>0.000697604101723034</v>
      </c>
      <c r="H772" s="42" t="n">
        <f aca="false">E772/SUMIFS($E$5:$E$1369,$B$5:$B$1369,B772,$C$5:$C$1369,C772)</f>
        <v>0.00055668212400329</v>
      </c>
      <c r="I772" s="43" t="n">
        <f aca="false">IF(G772="",H772,p_beta_alloc*G772+(1-p_beta_alloc)*H772)*F772^p_phi</f>
        <v>0.000518806472659786</v>
      </c>
      <c r="J772" s="16" t="n">
        <f aca="false">INDEX(Sector_Params!$C$20:$E$20,MATCH(B772,Sector_Params!$C$15:$E$15,0))*I772/SUMIFS($I$5:$I$1369,$B$5:$B$1369,B772,$C$5:$C$1369,C772)</f>
        <v>0.0946926288227709</v>
      </c>
      <c r="K772" s="28" t="n">
        <f aca="false">INDEX(Sector_Params!$F$9:$H$9,MATCH(B772,Sector_Params!$C$15:$E$15,0))</f>
        <v>0.24</v>
      </c>
      <c r="L772" s="16" t="n">
        <f aca="false">J772*K772</f>
        <v>0.022726230917465</v>
      </c>
      <c r="M772" s="44" t="n">
        <f aca="false">Country_Data!$DW$114+Sector_Params!$E$9</f>
        <v>0.105</v>
      </c>
      <c r="N772" s="44" t="n">
        <f aca="false">Country_Data!$DX$114+Sector_Params!$E$9</f>
        <v>0.15</v>
      </c>
      <c r="O772" s="11" t="n">
        <f aca="false">IF(p_use_ibrd=1,p_r_ibrd,p_r_wb)</f>
        <v>0.06</v>
      </c>
      <c r="P772" s="45" t="n">
        <f aca="false">Sector_Params!$D$9</f>
        <v>25</v>
      </c>
      <c r="Q772" s="46" t="n">
        <f aca="false">M772/(1-(1+M772)^-P772)</f>
        <v>0.114429319813103</v>
      </c>
      <c r="R772" s="46" t="n">
        <f aca="false">N772/(1-(1+N772)^-P772)</f>
        <v>0.154699402320206</v>
      </c>
      <c r="S772" s="46" t="n">
        <f aca="false">O772/(1-(1+O772)^-P772)</f>
        <v>0.078226718212274</v>
      </c>
      <c r="T772" s="37" t="n">
        <f aca="false">Country_Data!$CM$114*Sector_Params!$I$9</f>
        <v>0.343450419412937</v>
      </c>
      <c r="U772" s="37" t="n">
        <f aca="false">Country_Data!$CN$114*Sector_Params!$J$9</f>
        <v>0.03225</v>
      </c>
      <c r="V772" s="37" t="n">
        <f aca="false">p_a</f>
        <v>0.35</v>
      </c>
      <c r="W772" s="16" t="n">
        <f aca="false">T772*L772</f>
        <v>0.00780533354027861</v>
      </c>
      <c r="X772" s="16" t="n">
        <f aca="false">U772*L772</f>
        <v>0.000732920947088247</v>
      </c>
      <c r="Y772" s="16" t="n">
        <f aca="false">V772*L772</f>
        <v>0.00795418082111276</v>
      </c>
      <c r="Z772" s="16" t="n">
        <f aca="false">Q772*L772</f>
        <v>0.00260054714580104</v>
      </c>
      <c r="AA772" s="16" t="n">
        <f aca="false">R772*L772</f>
        <v>0.00351573433992284</v>
      </c>
      <c r="AB772" s="16" t="n">
        <f aca="false">S772*L772</f>
        <v>0.0017777984620076</v>
      </c>
      <c r="AC772" s="16" t="n">
        <f aca="false">Z772-W772</f>
        <v>-0.00520478639447757</v>
      </c>
      <c r="AD772" s="16" t="n">
        <f aca="false">AA772-W772</f>
        <v>-0.00428959920035577</v>
      </c>
      <c r="AE772" s="16" t="n">
        <f aca="false">AB772-W772</f>
        <v>-0.00602753507827101</v>
      </c>
      <c r="AF772" s="16" t="n">
        <f aca="false">AE772-X772</f>
        <v>-0.00676045602535925</v>
      </c>
      <c r="AG772" s="16" t="n">
        <f aca="false">AF772-p_spc_lo*Y772/1000</f>
        <v>-0.00715816506641489</v>
      </c>
      <c r="AH772" s="16" t="n">
        <f aca="false">AF772-p_spc_hi*Y772/1000</f>
        <v>-0.00755587410747053</v>
      </c>
      <c r="AI772" s="16" t="n">
        <f aca="false">Q772*J772</f>
        <v>0.0108356131075043</v>
      </c>
      <c r="AJ772" s="16" t="n">
        <f aca="false">S772*J772</f>
        <v>0.00740749359169835</v>
      </c>
      <c r="AK772" s="16" t="n">
        <f aca="false">T772*J772</f>
        <v>0.0325222230844942</v>
      </c>
      <c r="AL772" s="16" t="n">
        <f aca="false">U772*J772</f>
        <v>0.00305383727953436</v>
      </c>
      <c r="AM772" s="16" t="n">
        <f aca="false">AI772-AJ772</f>
        <v>0.00342811951580599</v>
      </c>
      <c r="AN772" s="16" t="n">
        <f aca="false">J772*Country_Data!$EB$114</f>
        <v>0.108701949251345</v>
      </c>
      <c r="AO772" s="16" t="n">
        <f aca="false">L772*Country_Data!$EB$114</f>
        <v>0.0260884678203229</v>
      </c>
    </row>
    <row r="773" customFormat="false" ht="15" hidden="false" customHeight="false" outlineLevel="0" collapsed="false">
      <c r="A773" s="14" t="str">
        <f aca="false">Country_Data!$A$114</f>
        <v>PNG</v>
      </c>
      <c r="B773" s="14" t="str">
        <f aca="false">Country_Data!$E$114</f>
        <v>EMDC</v>
      </c>
      <c r="C773" s="35" t="s">
        <v>484</v>
      </c>
      <c r="D773" s="37" t="n">
        <f aca="false">IF(Country_Data!$CD$114="","",Country_Data!$CD$114)</f>
        <v>0.117861790654223</v>
      </c>
      <c r="E773" s="40" t="n">
        <f aca="false">Country_Data!$BW$114</f>
        <v>44.942</v>
      </c>
      <c r="F773" s="41" t="n">
        <f aca="false">Country_Data!$BX$114</f>
        <v>0.684348716123003</v>
      </c>
      <c r="G773" s="42" t="n">
        <f aca="false">IF(D773="","",D773/SUMIFS($D$5:$D$1369,$B$5:$B$1369,B773,$C$5:$C$1369,C773))</f>
        <v>0.000658183296203447</v>
      </c>
      <c r="H773" s="42" t="n">
        <f aca="false">E773/SUMIFS($E$5:$E$1369,$B$5:$B$1369,B773,$C$5:$C$1369,C773)</f>
        <v>0.00055668212400329</v>
      </c>
      <c r="I773" s="43" t="n">
        <f aca="false">IF(G773="",H773,p_beta_alloc*G773+(1-p_beta_alloc)*H773)*F773^p_phi</f>
        <v>0.00050250096866752</v>
      </c>
      <c r="J773" s="16" t="n">
        <f aca="false">INDEX(Sector_Params!$C$21:$E$21,MATCH(B773,Sector_Params!$C$15:$E$15,0))*I773/SUMIFS($I$5:$I$1369,$B$5:$B$1369,B773,$C$5:$C$1369,C773)</f>
        <v>0.111449602534967</v>
      </c>
      <c r="K773" s="28" t="n">
        <f aca="false">INDEX(Sector_Params!$F$10:$H$10,MATCH(B773,Sector_Params!$C$15:$E$15,0))</f>
        <v>0.24</v>
      </c>
      <c r="L773" s="16" t="n">
        <f aca="false">J773*K773</f>
        <v>0.026747904608392</v>
      </c>
      <c r="M773" s="44" t="n">
        <f aca="false">Country_Data!$DW$114+Sector_Params!$E$10</f>
        <v>0.105</v>
      </c>
      <c r="N773" s="44" t="n">
        <f aca="false">Country_Data!$DX$114+Sector_Params!$E$10</f>
        <v>0.15</v>
      </c>
      <c r="O773" s="11" t="n">
        <f aca="false">IF(p_use_ibrd=1,p_r_ibrd,p_r_wb)</f>
        <v>0.06</v>
      </c>
      <c r="P773" s="45" t="n">
        <f aca="false">Sector_Params!$D$10</f>
        <v>20</v>
      </c>
      <c r="Q773" s="46" t="n">
        <f aca="false">M773/(1-(1+M773)^-P773)</f>
        <v>0.121493265267016</v>
      </c>
      <c r="R773" s="46" t="n">
        <f aca="false">N773/(1-(1+N773)^-P773)</f>
        <v>0.159761470405744</v>
      </c>
      <c r="S773" s="46" t="n">
        <f aca="false">O773/(1-(1+O773)^-P773)</f>
        <v>0.0871845569768514</v>
      </c>
      <c r="T773" s="37" t="n">
        <f aca="false">0*Sector_Params!$I$10</f>
        <v>0</v>
      </c>
      <c r="U773" s="37" t="n">
        <f aca="false">0*Sector_Params!$J$10</f>
        <v>0</v>
      </c>
      <c r="V773" s="37" t="n">
        <f aca="false">1000*p_r_wb/(1-(1+p_r_wb)^-Sector_Params!$D$10)/p_cpt_fuel</f>
        <v>0.871845569768514</v>
      </c>
      <c r="W773" s="16" t="n">
        <f aca="false">T773*L773</f>
        <v>0</v>
      </c>
      <c r="X773" s="16" t="n">
        <f aca="false">U773*L773</f>
        <v>0</v>
      </c>
      <c r="Y773" s="16" t="n">
        <f aca="false">V773*L773</f>
        <v>0.0233200421334174</v>
      </c>
      <c r="Z773" s="16" t="n">
        <f aca="false">Q773*L773</f>
        <v>0.00324969026992422</v>
      </c>
      <c r="AA773" s="16" t="n">
        <f aca="false">R773*L773</f>
        <v>0.00427328457050928</v>
      </c>
      <c r="AB773" s="16" t="n">
        <f aca="false">S773*L773</f>
        <v>0.00233200421334174</v>
      </c>
      <c r="AC773" s="16" t="n">
        <f aca="false">Z773-W773</f>
        <v>0.00324969026992422</v>
      </c>
      <c r="AD773" s="16" t="n">
        <f aca="false">AA773-W773</f>
        <v>0.00427328457050928</v>
      </c>
      <c r="AE773" s="16" t="n">
        <f aca="false">AB773-W773</f>
        <v>0.00233200421334174</v>
      </c>
      <c r="AF773" s="16" t="n">
        <f aca="false">AE773-X773</f>
        <v>0.00233200421334174</v>
      </c>
      <c r="AG773" s="16" t="n">
        <f aca="false">AF773-p_spc_lo*Y773/1000</f>
        <v>0.00116600210667087</v>
      </c>
      <c r="AH773" s="16" t="n">
        <f aca="false">AF773-p_spc_hi*Y773/1000</f>
        <v>0</v>
      </c>
      <c r="AI773" s="16" t="n">
        <f aca="false">Q773*J773</f>
        <v>0.0135403761246842</v>
      </c>
      <c r="AJ773" s="16" t="n">
        <f aca="false">S773*J773</f>
        <v>0.00971668422225725</v>
      </c>
      <c r="AK773" s="16" t="n">
        <f aca="false">T773*J773</f>
        <v>0</v>
      </c>
      <c r="AL773" s="16" t="n">
        <f aca="false">U773*J773</f>
        <v>0</v>
      </c>
      <c r="AM773" s="16" t="n">
        <f aca="false">AI773-AJ773</f>
        <v>0.00382369190242698</v>
      </c>
      <c r="AN773" s="16" t="n">
        <f aca="false">J773*Country_Data!$EB$114</f>
        <v>0.127938036882606</v>
      </c>
      <c r="AO773" s="16" t="n">
        <f aca="false">L773*Country_Data!$EB$114</f>
        <v>0.0307051288518254</v>
      </c>
    </row>
    <row r="774" customFormat="false" ht="15" hidden="false" customHeight="false" outlineLevel="0" collapsed="false">
      <c r="A774" s="14" t="str">
        <f aca="false">Country_Data!$A$114</f>
        <v>PNG</v>
      </c>
      <c r="B774" s="14" t="str">
        <f aca="false">Country_Data!$E$114</f>
        <v>EMDC</v>
      </c>
      <c r="C774" s="35" t="s">
        <v>488</v>
      </c>
      <c r="D774" s="37" t="n">
        <f aca="false">IF(Country_Data!$CE$114="","",Country_Data!$CE$114)</f>
        <v>36.597</v>
      </c>
      <c r="E774" s="40" t="n">
        <f aca="false">Country_Data!$BW$114</f>
        <v>44.942</v>
      </c>
      <c r="F774" s="41" t="n">
        <f aca="false">Country_Data!$BX$114</f>
        <v>0.684348716123003</v>
      </c>
      <c r="G774" s="42" t="n">
        <f aca="false">IF(D774="","",D774/SUMIFS($D$5:$D$1369,$B$5:$B$1369,B774,$C$5:$C$1369,C774))</f>
        <v>0.00299874386579603</v>
      </c>
      <c r="H774" s="42" t="n">
        <f aca="false">E774/SUMIFS($E$5:$E$1369,$B$5:$B$1369,B774,$C$5:$C$1369,C774)</f>
        <v>0.00055668212400329</v>
      </c>
      <c r="I774" s="43" t="n">
        <f aca="false">IF(G774="",H774,p_beta_alloc*G774+(1-p_beta_alloc)*H774)*F774^p_phi</f>
        <v>0.00147061968690804</v>
      </c>
      <c r="J774" s="16" t="n">
        <f aca="false">INDEX(Sector_Params!$C$22:$E$22,MATCH(B774,Sector_Params!$C$15:$E$15,0))*I774/SUMIFS($I$5:$I$1369,$B$5:$B$1369,B774,$C$5:$C$1369,C774)</f>
        <v>0.886501883148016</v>
      </c>
      <c r="K774" s="28" t="n">
        <f aca="false">INDEX(Sector_Params!$F$11:$H$11,MATCH(B774,Sector_Params!$C$15:$E$15,0))</f>
        <v>0.24</v>
      </c>
      <c r="L774" s="16" t="n">
        <f aca="false">J774*K774</f>
        <v>0.212760451955524</v>
      </c>
      <c r="M774" s="44" t="n">
        <f aca="false">Country_Data!$DW$114+Sector_Params!$E$11</f>
        <v>0.105</v>
      </c>
      <c r="N774" s="44" t="n">
        <f aca="false">Country_Data!$DX$114+Sector_Params!$E$11</f>
        <v>0.15</v>
      </c>
      <c r="O774" s="11" t="n">
        <f aca="false">IF(p_use_ibrd=1,p_r_ibrd,p_r_wb)</f>
        <v>0.06</v>
      </c>
      <c r="P774" s="45" t="n">
        <f aca="false">Sector_Params!$D$11</f>
        <v>30</v>
      </c>
      <c r="Q774" s="46" t="n">
        <f aca="false">M774/(1-(1+M774)^-P774)</f>
        <v>0.110528481529605</v>
      </c>
      <c r="R774" s="46" t="n">
        <f aca="false">N774/(1-(1+N774)^-P774)</f>
        <v>0.152300198192734</v>
      </c>
      <c r="S774" s="46" t="n">
        <f aca="false">O774/(1-(1+O774)^-P774)</f>
        <v>0.0726489114900472</v>
      </c>
      <c r="T774" s="37" t="n">
        <f aca="false">0*Sector_Params!$I$11</f>
        <v>0</v>
      </c>
      <c r="U774" s="37" t="n">
        <f aca="false">p_c*Sector_Params!$J$11</f>
        <v>0.129</v>
      </c>
      <c r="V774" s="37" t="n">
        <f aca="false">1000*p_r_wb/(1-(1+p_r_wb)^-Sector_Params!$D$11)/p_cpt_afolu</f>
        <v>1.45297822980094</v>
      </c>
      <c r="W774" s="16" t="n">
        <f aca="false">T774*L774</f>
        <v>0</v>
      </c>
      <c r="X774" s="16" t="n">
        <f aca="false">U774*L774</f>
        <v>0.0274460983022626</v>
      </c>
      <c r="Y774" s="16" t="n">
        <f aca="false">V774*L774</f>
        <v>0.309136304853986</v>
      </c>
      <c r="Z774" s="16" t="n">
        <f aca="false">Q774*L774</f>
        <v>0.0235160896841966</v>
      </c>
      <c r="AA774" s="16" t="n">
        <f aca="false">R774*L774</f>
        <v>0.032403459000402</v>
      </c>
      <c r="AB774" s="16" t="n">
        <f aca="false">S774*L774</f>
        <v>0.0154568152426993</v>
      </c>
      <c r="AC774" s="16" t="n">
        <f aca="false">Z774-W774</f>
        <v>0.0235160896841966</v>
      </c>
      <c r="AD774" s="16" t="n">
        <f aca="false">AA774-W774</f>
        <v>0.032403459000402</v>
      </c>
      <c r="AE774" s="16" t="n">
        <f aca="false">AB774-W774</f>
        <v>0.0154568152426993</v>
      </c>
      <c r="AF774" s="16" t="n">
        <f aca="false">AE774-X774</f>
        <v>-0.0119892830595633</v>
      </c>
      <c r="AG774" s="16" t="n">
        <f aca="false">AF774-p_spc_lo*Y774/1000</f>
        <v>-0.0274460983022626</v>
      </c>
      <c r="AH774" s="16" t="n">
        <f aca="false">AF774-p_spc_hi*Y774/1000</f>
        <v>-0.0429029135449619</v>
      </c>
      <c r="AI774" s="16" t="n">
        <f aca="false">Q774*J774</f>
        <v>0.0979837070174857</v>
      </c>
      <c r="AJ774" s="16" t="n">
        <f aca="false">S774*J774</f>
        <v>0.0644033968445804</v>
      </c>
      <c r="AK774" s="16" t="n">
        <f aca="false">T774*J774</f>
        <v>0</v>
      </c>
      <c r="AL774" s="16" t="n">
        <f aca="false">U774*J774</f>
        <v>0.114358742926094</v>
      </c>
      <c r="AM774" s="16" t="n">
        <f aca="false">AI774-AJ774</f>
        <v>0.0335803101729053</v>
      </c>
      <c r="AN774" s="16" t="n">
        <f aca="false">J774*Country_Data!$EB$114</f>
        <v>1.01765558640827</v>
      </c>
      <c r="AO774" s="16" t="n">
        <f aca="false">L774*Country_Data!$EB$114</f>
        <v>0.244237340737985</v>
      </c>
    </row>
    <row r="775" customFormat="false" ht="15" hidden="false" customHeight="false" outlineLevel="0" collapsed="false">
      <c r="A775" s="14" t="str">
        <f aca="false">Country_Data!$A$115</f>
        <v>BIH</v>
      </c>
      <c r="B775" s="14" t="str">
        <f aca="false">Country_Data!$E$115</f>
        <v>EMDC</v>
      </c>
      <c r="C775" s="35" t="s">
        <v>466</v>
      </c>
      <c r="D775" s="37" t="n">
        <f aca="false">IF(Country_Data!$BZ$115="","",Country_Data!$BZ$115)</f>
        <v>13.7699140228252</v>
      </c>
      <c r="E775" s="40" t="n">
        <f aca="false">Country_Data!$BW$115</f>
        <v>75.17</v>
      </c>
      <c r="F775" s="41" t="n">
        <f aca="false">Country_Data!$BX$115</f>
        <v>0.395609950778236</v>
      </c>
      <c r="G775" s="42" t="n">
        <f aca="false">IF(D775="","",D775/SUMIFS($D$5:$D$1369,$B$5:$B$1369,B775,$C$5:$C$1369,C775))</f>
        <v>0.00157200278952139</v>
      </c>
      <c r="H775" s="42" t="n">
        <f aca="false">E775/SUMIFS($E$5:$E$1369,$B$5:$B$1369,B775,$C$5:$C$1369,C775)</f>
        <v>0.000931106654384036</v>
      </c>
      <c r="I775" s="43" t="n">
        <f aca="false">IF(G775="",H775,p_beta_alloc*G775+(1-p_beta_alloc)*H775)*F775^p_phi</f>
        <v>0.000787197029359009</v>
      </c>
      <c r="J775" s="16" t="n">
        <f aca="false">INDEX(Sector_Params!$C$16:$E$16,MATCH(B775,Sector_Params!$C$15:$E$15,0))*I775/SUMIFS($I$5:$I$1369,$B$5:$B$1369,B775,$C$5:$C$1369,C775)</f>
        <v>0.761396923961373</v>
      </c>
      <c r="K775" s="28" t="n">
        <f aca="false">INDEX(Sector_Params!$F$5:$H$5,MATCH(B775,Sector_Params!$C$15:$E$15,0))</f>
        <v>0.24</v>
      </c>
      <c r="L775" s="16" t="n">
        <f aca="false">J775*K775</f>
        <v>0.18273526175073</v>
      </c>
      <c r="M775" s="44" t="n">
        <f aca="false">Country_Data!$DW$115+Sector_Params!$E$5</f>
        <v>0.12608</v>
      </c>
      <c r="N775" s="44" t="n">
        <f aca="false">Country_Data!$DX$115+Sector_Params!$E$5</f>
        <v>0.17108</v>
      </c>
      <c r="O775" s="11" t="n">
        <f aca="false">IF(p_use_ibrd=1,p_r_ibrd,p_r_wb)</f>
        <v>0.06</v>
      </c>
      <c r="P775" s="45" t="n">
        <f aca="false">Sector_Params!$D$5</f>
        <v>25</v>
      </c>
      <c r="Q775" s="46" t="n">
        <f aca="false">M775/(1-(1+M775)^-P775)</f>
        <v>0.132908438905335</v>
      </c>
      <c r="R775" s="46" t="n">
        <f aca="false">N775/(1-(1+N775)^-P775)</f>
        <v>0.174445073921069</v>
      </c>
      <c r="S775" s="46" t="n">
        <f aca="false">O775/(1-(1+O775)^-P775)</f>
        <v>0.078226718212274</v>
      </c>
      <c r="T775" s="37" t="n">
        <f aca="false">IF(AND(p_eng=1,ISNUMBER(Country_Data!$CZ$115)),Country_Data!$CZ$115,Country_Data!$CM$115)*Sector_Params!$I$5</f>
        <v>0.0210532198810487</v>
      </c>
      <c r="U775" s="37" t="n">
        <f aca="false">IF(AND(p_eng=1,ISNUMBER(Country_Data!$DA$115)),Country_Data!$DA$115,Country_Data!$CN$115)*Sector_Params!$J$5</f>
        <v>0.0279260930999665</v>
      </c>
      <c r="V775" s="37" t="n">
        <f aca="false">IF(AND(p_eng=1,ISNUMBER(Country_Data!$DB$115)),Country_Data!$DB$115,p_a)</f>
        <v>1.23077492911086</v>
      </c>
      <c r="W775" s="16" t="n">
        <f aca="false">T775*L775</f>
        <v>0.00384716564565911</v>
      </c>
      <c r="X775" s="16" t="n">
        <f aca="false">U775*L775</f>
        <v>0.00510308193229763</v>
      </c>
      <c r="Y775" s="16" t="n">
        <f aca="false">V775*L775</f>
        <v>0.224905978827308</v>
      </c>
      <c r="Z775" s="16" t="n">
        <f aca="false">Q775*L775</f>
        <v>0.0242870583722472</v>
      </c>
      <c r="AA775" s="16" t="n">
        <f aca="false">R775*L775</f>
        <v>0.0318772662440919</v>
      </c>
      <c r="AB775" s="16" t="n">
        <f aca="false">S775*L775</f>
        <v>0.0142947798284204</v>
      </c>
      <c r="AC775" s="16" t="n">
        <f aca="false">Z775-W775</f>
        <v>0.0204398927265881</v>
      </c>
      <c r="AD775" s="16" t="n">
        <f aca="false">AA775-W775</f>
        <v>0.0280301005984328</v>
      </c>
      <c r="AE775" s="16" t="n">
        <f aca="false">AB775-W775</f>
        <v>0.0104476141827613</v>
      </c>
      <c r="AF775" s="16" t="n">
        <f aca="false">AE775-X775</f>
        <v>0.00534453225046371</v>
      </c>
      <c r="AG775" s="16" t="n">
        <f aca="false">AF775-p_spc_lo*Y775/1000</f>
        <v>-0.0059007666909017</v>
      </c>
      <c r="AH775" s="16" t="n">
        <f aca="false">AF775-p_spc_hi*Y775/1000</f>
        <v>-0.0171460656322671</v>
      </c>
      <c r="AI775" s="16" t="n">
        <f aca="false">Q775*J775</f>
        <v>0.10119607655103</v>
      </c>
      <c r="AJ775" s="16" t="n">
        <f aca="false">S775*J775</f>
        <v>0.0595615826184185</v>
      </c>
      <c r="AK775" s="16" t="n">
        <f aca="false">T775*J775</f>
        <v>0.0160298568569129</v>
      </c>
      <c r="AL775" s="16" t="n">
        <f aca="false">U775*J775</f>
        <v>0.0212628413845735</v>
      </c>
      <c r="AM775" s="16" t="n">
        <f aca="false">AI775-AJ775</f>
        <v>0.0416344939326116</v>
      </c>
      <c r="AN775" s="16" t="n">
        <f aca="false">J775*Country_Data!$EB$115</f>
        <v>0.929022293267598</v>
      </c>
      <c r="AO775" s="16" t="n">
        <f aca="false">L775*Country_Data!$EB$115</f>
        <v>0.222965350384224</v>
      </c>
    </row>
    <row r="776" customFormat="false" ht="15" hidden="false" customHeight="false" outlineLevel="0" collapsed="false">
      <c r="A776" s="14" t="str">
        <f aca="false">Country_Data!$A$115</f>
        <v>BIH</v>
      </c>
      <c r="B776" s="14" t="str">
        <f aca="false">Country_Data!$E$115</f>
        <v>EMDC</v>
      </c>
      <c r="C776" s="35" t="s">
        <v>470</v>
      </c>
      <c r="D776" s="37" t="n">
        <f aca="false">IF(Country_Data!$BZ$115="","",Country_Data!$BZ$115)</f>
        <v>13.7699140228252</v>
      </c>
      <c r="E776" s="40" t="n">
        <f aca="false">Country_Data!$BW$115</f>
        <v>75.17</v>
      </c>
      <c r="F776" s="41" t="n">
        <f aca="false">Country_Data!$BX$115</f>
        <v>0.395609950778236</v>
      </c>
      <c r="G776" s="42" t="n">
        <f aca="false">IF(D776="","",D776/SUMIFS($D$5:$D$1369,$B$5:$B$1369,B776,$C$5:$C$1369,C776))</f>
        <v>0.00157200278952139</v>
      </c>
      <c r="H776" s="42" t="n">
        <f aca="false">E776/SUMIFS($E$5:$E$1369,$B$5:$B$1369,B776,$C$5:$C$1369,C776)</f>
        <v>0.000931106654384036</v>
      </c>
      <c r="I776" s="43" t="n">
        <f aca="false">IF(G776="",H776,p_beta_alloc*G776+(1-p_beta_alloc)*H776)*F776^p_phi</f>
        <v>0.000787197029359009</v>
      </c>
      <c r="J776" s="16" t="n">
        <f aca="false">INDEX(Sector_Params!$C$17:$E$17,MATCH(B776,Sector_Params!$C$15:$E$15,0))*I776/SUMIFS($I$5:$I$1369,$B$5:$B$1369,B776,$C$5:$C$1369,C776)</f>
        <v>0.522100747859227</v>
      </c>
      <c r="K776" s="28" t="n">
        <f aca="false">INDEX(Sector_Params!$F$6:$H$6,MATCH(B776,Sector_Params!$C$15:$E$15,0))</f>
        <v>0.24</v>
      </c>
      <c r="L776" s="16" t="n">
        <f aca="false">J776*K776</f>
        <v>0.125304179486215</v>
      </c>
      <c r="M776" s="44" t="n">
        <f aca="false">Country_Data!$DW$115+Sector_Params!$E$6</f>
        <v>0.12608</v>
      </c>
      <c r="N776" s="44" t="n">
        <f aca="false">Country_Data!$DX$115+Sector_Params!$E$6</f>
        <v>0.17108</v>
      </c>
      <c r="O776" s="11" t="n">
        <f aca="false">IF(p_use_ibrd=1,p_r_ibrd,p_r_wb)</f>
        <v>0.06</v>
      </c>
      <c r="P776" s="45" t="n">
        <f aca="false">Sector_Params!$D$6</f>
        <v>40</v>
      </c>
      <c r="Q776" s="46" t="n">
        <f aca="false">M776/(1-(1+M776)^-P776)</f>
        <v>0.127180655103062</v>
      </c>
      <c r="R776" s="46" t="n">
        <f aca="false">N776/(1-(1+N776)^-P776)</f>
        <v>0.171389400775856</v>
      </c>
      <c r="S776" s="46" t="n">
        <f aca="false">O776/(1-(1+O776)^-P776)</f>
        <v>0.0664615359206755</v>
      </c>
      <c r="T776" s="37" t="n">
        <f aca="false">p_grid_credit*IF(AND(p_eng=1,ISNUMBER(Country_Data!$CZ$115)),Country_Data!$CZ$115,Country_Data!$CM$115)*Sector_Params!$I$6</f>
        <v>0</v>
      </c>
      <c r="U776" s="37" t="n">
        <f aca="false">p_grid_credit*IF(AND(p_eng=1,ISNUMBER(Country_Data!$DA$115)),Country_Data!$DA$115,Country_Data!$CN$115)*Sector_Params!$J$6</f>
        <v>0</v>
      </c>
      <c r="V776" s="37" t="n">
        <f aca="false">p_grid_credit*IF(AND(p_eng=1,ISNUMBER(Country_Data!$DB$115)),Country_Data!$DB$115,p_a)</f>
        <v>0</v>
      </c>
      <c r="W776" s="16" t="n">
        <f aca="false">T776*L776</f>
        <v>0</v>
      </c>
      <c r="X776" s="16" t="n">
        <f aca="false">U776*L776</f>
        <v>0</v>
      </c>
      <c r="Y776" s="16" t="n">
        <f aca="false">V776*L776</f>
        <v>0</v>
      </c>
      <c r="Z776" s="16" t="n">
        <f aca="false">Q776*L776</f>
        <v>0.0159362676342084</v>
      </c>
      <c r="AA776" s="16" t="n">
        <f aca="false">R776*L776</f>
        <v>0.0214758082368526</v>
      </c>
      <c r="AB776" s="16" t="n">
        <f aca="false">S776*L776</f>
        <v>0.00832790822593382</v>
      </c>
      <c r="AC776" s="16" t="n">
        <f aca="false">Z776-W776</f>
        <v>0.0159362676342084</v>
      </c>
      <c r="AD776" s="16" t="n">
        <f aca="false">AA776-W776</f>
        <v>0.0214758082368526</v>
      </c>
      <c r="AE776" s="16" t="n">
        <f aca="false">AB776-W776</f>
        <v>0.00832790822593382</v>
      </c>
      <c r="AF776" s="16" t="n">
        <f aca="false">AE776-X776</f>
        <v>0.00832790822593382</v>
      </c>
      <c r="AG776" s="16" t="n">
        <f aca="false">AF776-p_spc_lo*Y776/1000</f>
        <v>0.00832790822593382</v>
      </c>
      <c r="AH776" s="16" t="n">
        <f aca="false">AF776-p_spc_hi*Y776/1000</f>
        <v>0.00832790822593382</v>
      </c>
      <c r="AI776" s="16" t="n">
        <f aca="false">Q776*J776</f>
        <v>0.0664011151425352</v>
      </c>
      <c r="AJ776" s="16" t="n">
        <f aca="false">S776*J776</f>
        <v>0.0346996176080576</v>
      </c>
      <c r="AK776" s="16" t="n">
        <f aca="false">T776*J776</f>
        <v>0</v>
      </c>
      <c r="AL776" s="16" t="n">
        <f aca="false">U776*J776</f>
        <v>0</v>
      </c>
      <c r="AM776" s="16" t="n">
        <f aca="false">AI776-AJ776</f>
        <v>0.0317014975344776</v>
      </c>
      <c r="AN776" s="16" t="n">
        <f aca="false">J776*Country_Data!$EB$115</f>
        <v>0.637043858240639</v>
      </c>
      <c r="AO776" s="16" t="n">
        <f aca="false">L776*Country_Data!$EB$115</f>
        <v>0.152890525977753</v>
      </c>
    </row>
    <row r="777" customFormat="false" ht="15" hidden="false" customHeight="false" outlineLevel="0" collapsed="false">
      <c r="A777" s="14" t="str">
        <f aca="false">Country_Data!$A$115</f>
        <v>BIH</v>
      </c>
      <c r="B777" s="14" t="str">
        <f aca="false">Country_Data!$E$115</f>
        <v>EMDC</v>
      </c>
      <c r="C777" s="35" t="s">
        <v>473</v>
      </c>
      <c r="D777" s="37" t="n">
        <f aca="false">IF(Country_Data!$CA$115="","",Country_Data!$CA$115)</f>
        <v>0.0720633148897693</v>
      </c>
      <c r="E777" s="40" t="n">
        <f aca="false">Country_Data!$BW$115</f>
        <v>75.17</v>
      </c>
      <c r="F777" s="41" t="n">
        <f aca="false">Country_Data!$BX$115</f>
        <v>0.395609950778236</v>
      </c>
      <c r="G777" s="42" t="n">
        <f aca="false">IF(D777="","",D777/SUMIFS($D$5:$D$1369,$B$5:$B$1369,B777,$C$5:$C$1369,C777))</f>
        <v>0.00166483024470688</v>
      </c>
      <c r="H777" s="42" t="n">
        <f aca="false">E777/SUMIFS($E$5:$E$1369,$B$5:$B$1369,B777,$C$5:$C$1369,C777)</f>
        <v>0.000931106654384036</v>
      </c>
      <c r="I777" s="43" t="n">
        <f aca="false">IF(G777="",H777,p_beta_alloc*G777+(1-p_beta_alloc)*H777)*F777^p_phi</f>
        <v>0.000816390118435834</v>
      </c>
      <c r="J777" s="16" t="n">
        <f aca="false">INDEX(Sector_Params!$C$18:$E$18,MATCH(B777,Sector_Params!$C$15:$E$15,0))*I777/SUMIFS($I$5:$I$1369,$B$5:$B$1369,B777,$C$5:$C$1369,C777)</f>
        <v>0.33429243671791</v>
      </c>
      <c r="K777" s="28" t="n">
        <f aca="false">INDEX(Sector_Params!$F$7:$H$7,MATCH(B777,Sector_Params!$C$15:$E$15,0))</f>
        <v>0.24</v>
      </c>
      <c r="L777" s="16" t="n">
        <f aca="false">J777*K777</f>
        <v>0.0802301848122983</v>
      </c>
      <c r="M777" s="44" t="n">
        <f aca="false">Country_Data!$DW$115+Sector_Params!$E$7</f>
        <v>0.12608</v>
      </c>
      <c r="N777" s="44" t="n">
        <f aca="false">Country_Data!$DX$115+Sector_Params!$E$7</f>
        <v>0.17108</v>
      </c>
      <c r="O777" s="11" t="n">
        <f aca="false">IF(p_use_ibrd=1,p_r_ibrd,p_r_wb)</f>
        <v>0.06</v>
      </c>
      <c r="P777" s="45" t="n">
        <f aca="false">Sector_Params!$D$7</f>
        <v>12</v>
      </c>
      <c r="Q777" s="46" t="n">
        <f aca="false">M777/(1-(1+M777)^-P777)</f>
        <v>0.166010483945424</v>
      </c>
      <c r="R777" s="46" t="n">
        <f aca="false">N777/(1-(1+N777)^-P777)</f>
        <v>0.201341834574531</v>
      </c>
      <c r="S777" s="46" t="n">
        <f aca="false">O777/(1-(1+O777)^-P777)</f>
        <v>0.119277029380664</v>
      </c>
      <c r="T777" s="37" t="n">
        <f aca="false">IF(AND(p_eng=1,ISNUMBER(Country_Data!$DE$115)),Country_Data!$DE$115,Country_Data!$CM$115)*Sector_Params!$I$7</f>
        <v>0.17665785</v>
      </c>
      <c r="U777" s="37" t="n">
        <f aca="false">IF(AND(p_eng=1,ISNUMBER(Country_Data!$DF$115)),Country_Data!$DF$115,Country_Data!$CN$115)*Sector_Params!$J$7</f>
        <v>0.002744775</v>
      </c>
      <c r="V777" s="37" t="n">
        <f aca="false">IF(AND(p_eng=1,ISNUMBER(Country_Data!$DG$115)),Country_Data!$DG$115,p_a)</f>
        <v>0.244460752066116</v>
      </c>
      <c r="W777" s="16" t="n">
        <f aca="false">T777*L777</f>
        <v>0.0141732919540433</v>
      </c>
      <c r="X777" s="16" t="n">
        <f aca="false">U777*L777</f>
        <v>0.000220213805518176</v>
      </c>
      <c r="Y777" s="16" t="n">
        <f aca="false">V777*L777</f>
        <v>0.0196131313176179</v>
      </c>
      <c r="Z777" s="16" t="n">
        <f aca="false">Q777*L777</f>
        <v>0.0133190518077204</v>
      </c>
      <c r="AA777" s="16" t="n">
        <f aca="false">R777*L777</f>
        <v>0.0161536925983618</v>
      </c>
      <c r="AB777" s="16" t="n">
        <f aca="false">S777*L777</f>
        <v>0.00956961811107257</v>
      </c>
      <c r="AC777" s="16" t="n">
        <f aca="false">Z777-W777</f>
        <v>-0.000854240146322859</v>
      </c>
      <c r="AD777" s="16" t="n">
        <f aca="false">AA777-W777</f>
        <v>0.00198040064431858</v>
      </c>
      <c r="AE777" s="16" t="n">
        <f aca="false">AB777-W777</f>
        <v>-0.0046036738429707</v>
      </c>
      <c r="AF777" s="16" t="n">
        <f aca="false">AE777-X777</f>
        <v>-0.00482388764848888</v>
      </c>
      <c r="AG777" s="16" t="n">
        <f aca="false">AF777-p_spc_lo*Y777/1000</f>
        <v>-0.00580454421436977</v>
      </c>
      <c r="AH777" s="16" t="n">
        <f aca="false">AF777-p_spc_hi*Y777/1000</f>
        <v>-0.00678520078025066</v>
      </c>
      <c r="AI777" s="16" t="n">
        <f aca="false">Q777*J777</f>
        <v>0.055496049198835</v>
      </c>
      <c r="AJ777" s="16" t="n">
        <f aca="false">S777*J777</f>
        <v>0.0398734087961357</v>
      </c>
      <c r="AK777" s="16" t="n">
        <f aca="false">T777*J777</f>
        <v>0.059055383141847</v>
      </c>
      <c r="AL777" s="16" t="n">
        <f aca="false">U777*J777</f>
        <v>0.0009175575229924</v>
      </c>
      <c r="AM777" s="16" t="n">
        <f aca="false">AI777-AJ777</f>
        <v>0.0156226404026993</v>
      </c>
      <c r="AN777" s="16" t="n">
        <f aca="false">J777*Country_Data!$EB$115</f>
        <v>0.407888601080612</v>
      </c>
      <c r="AO777" s="16" t="n">
        <f aca="false">L777*Country_Data!$EB$115</f>
        <v>0.0978932642593469</v>
      </c>
    </row>
    <row r="778" customFormat="false" ht="15" hidden="false" customHeight="false" outlineLevel="0" collapsed="false">
      <c r="A778" s="14" t="str">
        <f aca="false">Country_Data!$A$115</f>
        <v>BIH</v>
      </c>
      <c r="B778" s="14" t="str">
        <f aca="false">Country_Data!$E$115</f>
        <v>EMDC</v>
      </c>
      <c r="C778" s="35" t="s">
        <v>477</v>
      </c>
      <c r="D778" s="37" t="n">
        <f aca="false">IF(Country_Data!$CB$115="","",Country_Data!$CB$115)</f>
        <v>0.0360156370460483</v>
      </c>
      <c r="E778" s="40" t="n">
        <f aca="false">Country_Data!$BW$115</f>
        <v>75.17</v>
      </c>
      <c r="F778" s="41" t="n">
        <f aca="false">Country_Data!$BX$115</f>
        <v>0.395609950778236</v>
      </c>
      <c r="G778" s="42" t="n">
        <f aca="false">IF(D778="","",D778/SUMIFS($D$5:$D$1369,$B$5:$B$1369,B778,$C$5:$C$1369,C778))</f>
        <v>0.00113568270368811</v>
      </c>
      <c r="H778" s="42" t="n">
        <f aca="false">E778/SUMIFS($E$5:$E$1369,$B$5:$B$1369,B778,$C$5:$C$1369,C778)</f>
        <v>0.000931106654384036</v>
      </c>
      <c r="I778" s="43" t="n">
        <f aca="false">IF(G778="",H778,p_beta_alloc*G778+(1-p_beta_alloc)*H778)*F778^p_phi</f>
        <v>0.000649979746968936</v>
      </c>
      <c r="J778" s="16" t="n">
        <f aca="false">INDEX(Sector_Params!$C$19:$E$19,MATCH(B778,Sector_Params!$C$15:$E$15,0))*I778/SUMIFS($I$5:$I$1369,$B$5:$B$1369,B778,$C$5:$C$1369,C778)</f>
        <v>0.2092041690484</v>
      </c>
      <c r="K778" s="28" t="n">
        <f aca="false">INDEX(Sector_Params!$F$8:$H$8,MATCH(B778,Sector_Params!$C$15:$E$15,0))</f>
        <v>0.24</v>
      </c>
      <c r="L778" s="16" t="n">
        <f aca="false">J778*K778</f>
        <v>0.0502090005716159</v>
      </c>
      <c r="M778" s="44" t="n">
        <f aca="false">Country_Data!$DW$115+Sector_Params!$E$8</f>
        <v>0.12608</v>
      </c>
      <c r="N778" s="44" t="n">
        <f aca="false">Country_Data!$DX$115+Sector_Params!$E$8</f>
        <v>0.17108</v>
      </c>
      <c r="O778" s="11" t="n">
        <f aca="false">IF(p_use_ibrd=1,p_r_ibrd,p_r_wb)</f>
        <v>0.06</v>
      </c>
      <c r="P778" s="45" t="n">
        <f aca="false">Sector_Params!$D$8</f>
        <v>25</v>
      </c>
      <c r="Q778" s="46" t="n">
        <f aca="false">M778/(1-(1+M778)^-P778)</f>
        <v>0.132908438905335</v>
      </c>
      <c r="R778" s="46" t="n">
        <f aca="false">N778/(1-(1+N778)^-P778)</f>
        <v>0.174445073921069</v>
      </c>
      <c r="S778" s="46" t="n">
        <f aca="false">O778/(1-(1+O778)^-P778)</f>
        <v>0.078226718212274</v>
      </c>
      <c r="T778" s="37" t="n">
        <f aca="false">Country_Data!$CM$115*Sector_Params!$I$8</f>
        <v>0.0829903325881316</v>
      </c>
      <c r="U778" s="37" t="n">
        <f aca="false">Country_Data!$CN$115*Sector_Params!$J$8</f>
        <v>0.093804814182933</v>
      </c>
      <c r="V778" s="37" t="n">
        <f aca="false">p_a</f>
        <v>0.35</v>
      </c>
      <c r="W778" s="16" t="n">
        <f aca="false">T778*L778</f>
        <v>0.0041668616563561</v>
      </c>
      <c r="X778" s="16" t="n">
        <f aca="false">U778*L778</f>
        <v>0.00470984596893121</v>
      </c>
      <c r="Y778" s="16" t="n">
        <f aca="false">V778*L778</f>
        <v>0.0175731502000656</v>
      </c>
      <c r="Z778" s="16" t="n">
        <f aca="false">Q778*L778</f>
        <v>0.00667319988497054</v>
      </c>
      <c r="AA778" s="16" t="n">
        <f aca="false">R778*L778</f>
        <v>0.00875871281621853</v>
      </c>
      <c r="AB778" s="16" t="n">
        <f aca="false">S778*L778</f>
        <v>0.0039276853394357</v>
      </c>
      <c r="AC778" s="16" t="n">
        <f aca="false">Z778-W778</f>
        <v>0.00250633822861445</v>
      </c>
      <c r="AD778" s="16" t="n">
        <f aca="false">AA778-W778</f>
        <v>0.00459185115986243</v>
      </c>
      <c r="AE778" s="16" t="n">
        <f aca="false">AB778-W778</f>
        <v>-0.000239176316920393</v>
      </c>
      <c r="AF778" s="16" t="n">
        <f aca="false">AE778-X778</f>
        <v>-0.0049490222858516</v>
      </c>
      <c r="AG778" s="16" t="n">
        <f aca="false">AF778-p_spc_lo*Y778/1000</f>
        <v>-0.00582767979585488</v>
      </c>
      <c r="AH778" s="16" t="n">
        <f aca="false">AF778-p_spc_hi*Y778/1000</f>
        <v>-0.00670633730585816</v>
      </c>
      <c r="AI778" s="16" t="n">
        <f aca="false">Q778*J778</f>
        <v>0.0278049995207106</v>
      </c>
      <c r="AJ778" s="16" t="n">
        <f aca="false">S778*J778</f>
        <v>0.0163653555809821</v>
      </c>
      <c r="AK778" s="16" t="n">
        <f aca="false">T778*J778</f>
        <v>0.0173619235681504</v>
      </c>
      <c r="AL778" s="16" t="n">
        <f aca="false">U778*J778</f>
        <v>0.01962435820388</v>
      </c>
      <c r="AM778" s="16" t="n">
        <f aca="false">AI778-AJ778</f>
        <v>0.0114396439397285</v>
      </c>
      <c r="AN778" s="16" t="n">
        <f aca="false">J778*Country_Data!$EB$115</f>
        <v>0.255261520993939</v>
      </c>
      <c r="AO778" s="16" t="n">
        <f aca="false">L778*Country_Data!$EB$115</f>
        <v>0.0612627650385453</v>
      </c>
    </row>
    <row r="779" customFormat="false" ht="15" hidden="false" customHeight="false" outlineLevel="0" collapsed="false">
      <c r="A779" s="14" t="str">
        <f aca="false">Country_Data!$A$115</f>
        <v>BIH</v>
      </c>
      <c r="B779" s="14" t="str">
        <f aca="false">Country_Data!$E$115</f>
        <v>EMDC</v>
      </c>
      <c r="C779" s="35" t="s">
        <v>481</v>
      </c>
      <c r="D779" s="37" t="n">
        <f aca="false">IF(Country_Data!$CC$115="","",Country_Data!$CC$115)</f>
        <v>0.0581855754828332</v>
      </c>
      <c r="E779" s="40" t="n">
        <f aca="false">Country_Data!$BW$115</f>
        <v>75.17</v>
      </c>
      <c r="F779" s="41" t="n">
        <f aca="false">Country_Data!$BX$115</f>
        <v>0.395609950778236</v>
      </c>
      <c r="G779" s="42" t="n">
        <f aca="false">IF(D779="","",D779/SUMIFS($D$5:$D$1369,$B$5:$B$1369,B779,$C$5:$C$1369,C779))</f>
        <v>0.000831136335552136</v>
      </c>
      <c r="H779" s="42" t="n">
        <f aca="false">E779/SUMIFS($E$5:$E$1369,$B$5:$B$1369,B779,$C$5:$C$1369,C779)</f>
        <v>0.000931106654384036</v>
      </c>
      <c r="I779" s="43" t="n">
        <f aca="false">IF(G779="",H779,p_beta_alloc*G779+(1-p_beta_alloc)*H779)*F779^p_phi</f>
        <v>0.000554203672581767</v>
      </c>
      <c r="J779" s="16" t="n">
        <f aca="false">INDEX(Sector_Params!$C$20:$E$20,MATCH(B779,Sector_Params!$C$15:$E$15,0))*I779/SUMIFS($I$5:$I$1369,$B$5:$B$1369,B779,$C$5:$C$1369,C779)</f>
        <v>0.101153330626265</v>
      </c>
      <c r="K779" s="28" t="n">
        <f aca="false">INDEX(Sector_Params!$F$9:$H$9,MATCH(B779,Sector_Params!$C$15:$E$15,0))</f>
        <v>0.24</v>
      </c>
      <c r="L779" s="16" t="n">
        <f aca="false">J779*K779</f>
        <v>0.0242767993503036</v>
      </c>
      <c r="M779" s="44" t="n">
        <f aca="false">Country_Data!$DW$115+Sector_Params!$E$9</f>
        <v>0.12608</v>
      </c>
      <c r="N779" s="44" t="n">
        <f aca="false">Country_Data!$DX$115+Sector_Params!$E$9</f>
        <v>0.17108</v>
      </c>
      <c r="O779" s="11" t="n">
        <f aca="false">IF(p_use_ibrd=1,p_r_ibrd,p_r_wb)</f>
        <v>0.06</v>
      </c>
      <c r="P779" s="45" t="n">
        <f aca="false">Sector_Params!$D$9</f>
        <v>25</v>
      </c>
      <c r="Q779" s="46" t="n">
        <f aca="false">M779/(1-(1+M779)^-P779)</f>
        <v>0.132908438905335</v>
      </c>
      <c r="R779" s="46" t="n">
        <f aca="false">N779/(1-(1+N779)^-P779)</f>
        <v>0.174445073921069</v>
      </c>
      <c r="S779" s="46" t="n">
        <f aca="false">O779/(1-(1+O779)^-P779)</f>
        <v>0.078226718212274</v>
      </c>
      <c r="T779" s="37" t="n">
        <f aca="false">Country_Data!$CM$115*Sector_Params!$I$9</f>
        <v>0.0829903325881316</v>
      </c>
      <c r="U779" s="37" t="n">
        <f aca="false">Country_Data!$CN$115*Sector_Params!$J$9</f>
        <v>0.093804814182933</v>
      </c>
      <c r="V779" s="37" t="n">
        <f aca="false">p_a</f>
        <v>0.35</v>
      </c>
      <c r="W779" s="16" t="n">
        <f aca="false">T779*L779</f>
        <v>0.00201473965225704</v>
      </c>
      <c r="X779" s="16" t="n">
        <f aca="false">U779*L779</f>
        <v>0.00227728065201158</v>
      </c>
      <c r="Y779" s="16" t="n">
        <f aca="false">V779*L779</f>
        <v>0.00849687977260627</v>
      </c>
      <c r="Z779" s="16" t="n">
        <f aca="false">Q779*L779</f>
        <v>0.0032265915032669</v>
      </c>
      <c r="AA779" s="16" t="n">
        <f aca="false">R779*L779</f>
        <v>0.00423496805723067</v>
      </c>
      <c r="AB779" s="16" t="n">
        <f aca="false">S779*L779</f>
        <v>0.00189909434187212</v>
      </c>
      <c r="AC779" s="16" t="n">
        <f aca="false">Z779-W779</f>
        <v>0.00121185185100987</v>
      </c>
      <c r="AD779" s="16" t="n">
        <f aca="false">AA779-W779</f>
        <v>0.00222022840497364</v>
      </c>
      <c r="AE779" s="16" t="n">
        <f aca="false">AB779-W779</f>
        <v>-0.000115645310384918</v>
      </c>
      <c r="AF779" s="16" t="n">
        <f aca="false">AE779-X779</f>
        <v>-0.0023929259623965</v>
      </c>
      <c r="AG779" s="16" t="n">
        <f aca="false">AF779-p_spc_lo*Y779/1000</f>
        <v>-0.00281776995102681</v>
      </c>
      <c r="AH779" s="16" t="n">
        <f aca="false">AF779-p_spc_hi*Y779/1000</f>
        <v>-0.00324261393965712</v>
      </c>
      <c r="AI779" s="16" t="n">
        <f aca="false">Q779*J779</f>
        <v>0.0134441312636121</v>
      </c>
      <c r="AJ779" s="16" t="n">
        <f aca="false">S779*J779</f>
        <v>0.00791289309113382</v>
      </c>
      <c r="AK779" s="16" t="n">
        <f aca="false">T779*J779</f>
        <v>0.00839474855107098</v>
      </c>
      <c r="AL779" s="16" t="n">
        <f aca="false">U779*J779</f>
        <v>0.00948866938338158</v>
      </c>
      <c r="AM779" s="16" t="n">
        <f aca="false">AI779-AJ779</f>
        <v>0.00553123817247828</v>
      </c>
      <c r="AN779" s="16" t="n">
        <f aca="false">J779*Country_Data!$EB$115</f>
        <v>0.123422746050962</v>
      </c>
      <c r="AO779" s="16" t="n">
        <f aca="false">L779*Country_Data!$EB$115</f>
        <v>0.0296214590522309</v>
      </c>
    </row>
    <row r="780" customFormat="false" ht="15" hidden="false" customHeight="false" outlineLevel="0" collapsed="false">
      <c r="A780" s="14" t="str">
        <f aca="false">Country_Data!$A$115</f>
        <v>BIH</v>
      </c>
      <c r="B780" s="14" t="str">
        <f aca="false">Country_Data!$E$115</f>
        <v>EMDC</v>
      </c>
      <c r="C780" s="35" t="s">
        <v>484</v>
      </c>
      <c r="D780" s="37" t="n">
        <f aca="false">IF(Country_Data!$CD$115="","",Country_Data!$CD$115)</f>
        <v>0.244726020541122</v>
      </c>
      <c r="E780" s="40" t="n">
        <f aca="false">Country_Data!$BW$115</f>
        <v>75.17</v>
      </c>
      <c r="F780" s="41" t="n">
        <f aca="false">Country_Data!$BX$115</f>
        <v>0.395609950778236</v>
      </c>
      <c r="G780" s="42" t="n">
        <f aca="false">IF(D780="","",D780/SUMIFS($D$5:$D$1369,$B$5:$B$1369,B780,$C$5:$C$1369,C780))</f>
        <v>0.00136663950184721</v>
      </c>
      <c r="H780" s="42" t="n">
        <f aca="false">E780/SUMIFS($E$5:$E$1369,$B$5:$B$1369,B780,$C$5:$C$1369,C780)</f>
        <v>0.000931106654384036</v>
      </c>
      <c r="I780" s="43" t="n">
        <f aca="false">IF(G780="",H780,p_beta_alloc*G780+(1-p_beta_alloc)*H780)*F780^p_phi</f>
        <v>0.000722612809763607</v>
      </c>
      <c r="J780" s="16" t="n">
        <f aca="false">INDEX(Sector_Params!$C$21:$E$21,MATCH(B780,Sector_Params!$C$15:$E$15,0))*I780/SUMIFS($I$5:$I$1369,$B$5:$B$1369,B780,$C$5:$C$1369,C780)</f>
        <v>0.160268169528874</v>
      </c>
      <c r="K780" s="28" t="n">
        <f aca="false">INDEX(Sector_Params!$F$10:$H$10,MATCH(B780,Sector_Params!$C$15:$E$15,0))</f>
        <v>0.24</v>
      </c>
      <c r="L780" s="16" t="n">
        <f aca="false">J780*K780</f>
        <v>0.0384643606869298</v>
      </c>
      <c r="M780" s="44" t="n">
        <f aca="false">Country_Data!$DW$115+Sector_Params!$E$10</f>
        <v>0.12608</v>
      </c>
      <c r="N780" s="44" t="n">
        <f aca="false">Country_Data!$DX$115+Sector_Params!$E$10</f>
        <v>0.17108</v>
      </c>
      <c r="O780" s="11" t="n">
        <f aca="false">IF(p_use_ibrd=1,p_r_ibrd,p_r_wb)</f>
        <v>0.06</v>
      </c>
      <c r="P780" s="45" t="n">
        <f aca="false">Sector_Params!$D$10</f>
        <v>20</v>
      </c>
      <c r="Q780" s="46" t="n">
        <f aca="false">M780/(1-(1+M780)^-P780)</f>
        <v>0.139012055571727</v>
      </c>
      <c r="R780" s="46" t="n">
        <f aca="false">N780/(1-(1+N780)^-P780)</f>
        <v>0.178671434391099</v>
      </c>
      <c r="S780" s="46" t="n">
        <f aca="false">O780/(1-(1+O780)^-P780)</f>
        <v>0.0871845569768514</v>
      </c>
      <c r="T780" s="37" t="n">
        <f aca="false">0*Sector_Params!$I$10</f>
        <v>0</v>
      </c>
      <c r="U780" s="37" t="n">
        <f aca="false">0*Sector_Params!$J$10</f>
        <v>0</v>
      </c>
      <c r="V780" s="37" t="n">
        <f aca="false">1000*p_r_wb/(1-(1+p_r_wb)^-Sector_Params!$D$10)/p_cpt_fuel</f>
        <v>0.871845569768514</v>
      </c>
      <c r="W780" s="16" t="n">
        <f aca="false">T780*L780</f>
        <v>0</v>
      </c>
      <c r="X780" s="16" t="n">
        <f aca="false">U780*L780</f>
        <v>0</v>
      </c>
      <c r="Y780" s="16" t="n">
        <f aca="false">V780*L780</f>
        <v>0.0335349824588779</v>
      </c>
      <c r="Z780" s="16" t="n">
        <f aca="false">Q780*L780</f>
        <v>0.00534700984534244</v>
      </c>
      <c r="AA780" s="16" t="n">
        <f aca="false">R780*L780</f>
        <v>0.00687248249687035</v>
      </c>
      <c r="AB780" s="16" t="n">
        <f aca="false">S780*L780</f>
        <v>0.00335349824588779</v>
      </c>
      <c r="AC780" s="16" t="n">
        <f aca="false">Z780-W780</f>
        <v>0.00534700984534244</v>
      </c>
      <c r="AD780" s="16" t="n">
        <f aca="false">AA780-W780</f>
        <v>0.00687248249687035</v>
      </c>
      <c r="AE780" s="16" t="n">
        <f aca="false">AB780-W780</f>
        <v>0.00335349824588779</v>
      </c>
      <c r="AF780" s="16" t="n">
        <f aca="false">AE780-X780</f>
        <v>0.00335349824588779</v>
      </c>
      <c r="AG780" s="16" t="n">
        <f aca="false">AF780-p_spc_lo*Y780/1000</f>
        <v>0.00167674912294389</v>
      </c>
      <c r="AH780" s="16" t="n">
        <f aca="false">AF780-p_spc_hi*Y780/1000</f>
        <v>0</v>
      </c>
      <c r="AI780" s="16" t="n">
        <f aca="false">Q780*J780</f>
        <v>0.0222792076889268</v>
      </c>
      <c r="AJ780" s="16" t="n">
        <f aca="false">S780*J780</f>
        <v>0.0139729093578658</v>
      </c>
      <c r="AK780" s="16" t="n">
        <f aca="false">T780*J780</f>
        <v>0</v>
      </c>
      <c r="AL780" s="16" t="n">
        <f aca="false">U780*J780</f>
        <v>0</v>
      </c>
      <c r="AM780" s="16" t="n">
        <f aca="false">AI780-AJ780</f>
        <v>0.00830629833106103</v>
      </c>
      <c r="AN780" s="16" t="n">
        <f aca="false">J780*Country_Data!$EB$115</f>
        <v>0.195552014603448</v>
      </c>
      <c r="AO780" s="16" t="n">
        <f aca="false">L780*Country_Data!$EB$115</f>
        <v>0.0469324835048275</v>
      </c>
    </row>
    <row r="781" customFormat="false" ht="15" hidden="false" customHeight="false" outlineLevel="0" collapsed="false">
      <c r="A781" s="14" t="str">
        <f aca="false">Country_Data!$A$115</f>
        <v>BIH</v>
      </c>
      <c r="B781" s="14" t="str">
        <f aca="false">Country_Data!$E$115</f>
        <v>EMDC</v>
      </c>
      <c r="C781" s="35" t="s">
        <v>488</v>
      </c>
      <c r="D781" s="37" t="n">
        <f aca="false">IF(Country_Data!$CE$115="","",Country_Data!$CE$115)</f>
        <v>7.634</v>
      </c>
      <c r="E781" s="40" t="n">
        <f aca="false">Country_Data!$BW$115</f>
        <v>75.17</v>
      </c>
      <c r="F781" s="41" t="n">
        <f aca="false">Country_Data!$BX$115</f>
        <v>0.395609950778236</v>
      </c>
      <c r="G781" s="42" t="n">
        <f aca="false">IF(D781="","",D781/SUMIFS($D$5:$D$1369,$B$5:$B$1369,B781,$C$5:$C$1369,C781))</f>
        <v>0.000625526974109542</v>
      </c>
      <c r="H781" s="42" t="n">
        <f aca="false">E781/SUMIFS($E$5:$E$1369,$B$5:$B$1369,B781,$C$5:$C$1369,C781)</f>
        <v>0.000931106654384036</v>
      </c>
      <c r="I781" s="43" t="n">
        <f aca="false">IF(G781="",H781,p_beta_alloc*G781+(1-p_beta_alloc)*H781)*F781^p_phi</f>
        <v>0.000489542065822982</v>
      </c>
      <c r="J781" s="16" t="n">
        <f aca="false">INDEX(Sector_Params!$C$22:$E$22,MATCH(B781,Sector_Params!$C$15:$E$15,0))*I781/SUMIFS($I$5:$I$1369,$B$5:$B$1369,B781,$C$5:$C$1369,C781)</f>
        <v>0.295100063664102</v>
      </c>
      <c r="K781" s="28" t="n">
        <f aca="false">INDEX(Sector_Params!$F$11:$H$11,MATCH(B781,Sector_Params!$C$15:$E$15,0))</f>
        <v>0.24</v>
      </c>
      <c r="L781" s="16" t="n">
        <f aca="false">J781*K781</f>
        <v>0.0708240152793844</v>
      </c>
      <c r="M781" s="44" t="n">
        <f aca="false">Country_Data!$DW$115+Sector_Params!$E$11</f>
        <v>0.12608</v>
      </c>
      <c r="N781" s="44" t="n">
        <f aca="false">Country_Data!$DX$115+Sector_Params!$E$11</f>
        <v>0.17108</v>
      </c>
      <c r="O781" s="11" t="n">
        <f aca="false">IF(p_use_ibrd=1,p_r_ibrd,p_r_wb)</f>
        <v>0.06</v>
      </c>
      <c r="P781" s="45" t="n">
        <f aca="false">Sector_Params!$D$11</f>
        <v>30</v>
      </c>
      <c r="Q781" s="46" t="n">
        <f aca="false">M781/(1-(1+M781)^-P781)</f>
        <v>0.129761881260806</v>
      </c>
      <c r="R781" s="46" t="n">
        <f aca="false">N781/(1-(1+N781)^-P781)</f>
        <v>0.172591550315862</v>
      </c>
      <c r="S781" s="46" t="n">
        <f aca="false">O781/(1-(1+O781)^-P781)</f>
        <v>0.0726489114900472</v>
      </c>
      <c r="T781" s="37" t="n">
        <f aca="false">0*Sector_Params!$I$11</f>
        <v>0</v>
      </c>
      <c r="U781" s="37" t="n">
        <f aca="false">p_c*Sector_Params!$J$11</f>
        <v>0.129</v>
      </c>
      <c r="V781" s="37" t="n">
        <f aca="false">1000*p_r_wb/(1-(1+p_r_wb)^-Sector_Params!$D$11)/p_cpt_afolu</f>
        <v>1.45297822980094</v>
      </c>
      <c r="W781" s="16" t="n">
        <f aca="false">T781*L781</f>
        <v>0</v>
      </c>
      <c r="X781" s="16" t="n">
        <f aca="false">U781*L781</f>
        <v>0.00913629797104059</v>
      </c>
      <c r="Y781" s="16" t="n">
        <f aca="false">V781*L781</f>
        <v>0.102905752348035</v>
      </c>
      <c r="Z781" s="16" t="n">
        <f aca="false">Q781*L781</f>
        <v>0.00919025746109702</v>
      </c>
      <c r="AA781" s="16" t="n">
        <f aca="false">R781*L781</f>
        <v>0.0122236265966632</v>
      </c>
      <c r="AB781" s="16" t="n">
        <f aca="false">S781*L781</f>
        <v>0.00514528761740175</v>
      </c>
      <c r="AC781" s="16" t="n">
        <f aca="false">Z781-W781</f>
        <v>0.00919025746109702</v>
      </c>
      <c r="AD781" s="16" t="n">
        <f aca="false">AA781-W781</f>
        <v>0.0122236265966632</v>
      </c>
      <c r="AE781" s="16" t="n">
        <f aca="false">AB781-W781</f>
        <v>0.00514528761740175</v>
      </c>
      <c r="AF781" s="16" t="n">
        <f aca="false">AE781-X781</f>
        <v>-0.00399101035363884</v>
      </c>
      <c r="AG781" s="16" t="n">
        <f aca="false">AF781-p_spc_lo*Y781/1000</f>
        <v>-0.00913629797104058</v>
      </c>
      <c r="AH781" s="16" t="n">
        <f aca="false">AF781-p_spc_hi*Y781/1000</f>
        <v>-0.0142815855884423</v>
      </c>
      <c r="AI781" s="16" t="n">
        <f aca="false">Q781*J781</f>
        <v>0.0382927394212376</v>
      </c>
      <c r="AJ781" s="16" t="n">
        <f aca="false">S781*J781</f>
        <v>0.0214386984058406</v>
      </c>
      <c r="AK781" s="16" t="n">
        <f aca="false">T781*J781</f>
        <v>0</v>
      </c>
      <c r="AL781" s="16" t="n">
        <f aca="false">U781*J781</f>
        <v>0.0380679082126691</v>
      </c>
      <c r="AM781" s="16" t="n">
        <f aca="false">AI781-AJ781</f>
        <v>0.016854041015397</v>
      </c>
      <c r="AN781" s="16" t="n">
        <f aca="false">J781*Country_Data!$EB$115</f>
        <v>0.360067829618059</v>
      </c>
      <c r="AO781" s="16" t="n">
        <f aca="false">L781*Country_Data!$EB$115</f>
        <v>0.0864162791083341</v>
      </c>
    </row>
    <row r="782" customFormat="false" ht="15" hidden="false" customHeight="false" outlineLevel="0" collapsed="false">
      <c r="A782" s="14" t="str">
        <f aca="false">Country_Data!$A$116</f>
        <v>LBN</v>
      </c>
      <c r="B782" s="14" t="str">
        <f aca="false">Country_Data!$E$116</f>
        <v>EMDC</v>
      </c>
      <c r="C782" s="35" t="s">
        <v>466</v>
      </c>
      <c r="D782" s="37" t="n">
        <f aca="false">IF(Country_Data!$BZ$116="","",Country_Data!$BZ$116)</f>
        <v>22.1465458892347</v>
      </c>
      <c r="E782" s="40" t="n">
        <f aca="false">Country_Data!$BW$116</f>
        <v>65.627</v>
      </c>
      <c r="F782" s="41" t="n">
        <f aca="false">Country_Data!$BX$116</f>
        <v>0.447056851600713</v>
      </c>
      <c r="G782" s="42" t="n">
        <f aca="false">IF(D782="","",D782/SUMIFS($D$5:$D$1369,$B$5:$B$1369,B782,$C$5:$C$1369,C782))</f>
        <v>0.00252829697109449</v>
      </c>
      <c r="H782" s="42" t="n">
        <f aca="false">E782/SUMIFS($E$5:$E$1369,$B$5:$B$1369,B782,$C$5:$C$1369,C782)</f>
        <v>0.000812900577454584</v>
      </c>
      <c r="I782" s="43" t="n">
        <f aca="false">IF(G782="",H782,p_beta_alloc*G782+(1-p_beta_alloc)*H782)*F782^p_phi</f>
        <v>0.00111700093349427</v>
      </c>
      <c r="J782" s="16" t="n">
        <f aca="false">INDEX(Sector_Params!$C$16:$E$16,MATCH(B782,Sector_Params!$C$15:$E$15,0))*I782/SUMIFS($I$5:$I$1369,$B$5:$B$1369,B782,$C$5:$C$1369,C782)</f>
        <v>1.08039162129085</v>
      </c>
      <c r="K782" s="28" t="n">
        <f aca="false">INDEX(Sector_Params!$F$5:$H$5,MATCH(B782,Sector_Params!$C$15:$E$15,0))</f>
        <v>0.24</v>
      </c>
      <c r="L782" s="16" t="n">
        <f aca="false">J782*K782</f>
        <v>0.259293989109803</v>
      </c>
      <c r="M782" s="44" t="n">
        <f aca="false">Country_Data!$DW$116+Sector_Params!$E$5</f>
        <v>0.2342</v>
      </c>
      <c r="N782" s="44" t="n">
        <f aca="false">Country_Data!$DX$116+Sector_Params!$E$5</f>
        <v>0.2792</v>
      </c>
      <c r="O782" s="11" t="n">
        <f aca="false">IF(p_use_ibrd=1,p_r_ibrd,p_r_wb)</f>
        <v>0.06</v>
      </c>
      <c r="P782" s="45" t="n">
        <f aca="false">Sector_Params!$D$5</f>
        <v>25</v>
      </c>
      <c r="Q782" s="46" t="n">
        <f aca="false">M782/(1-(1+M782)^-P782)</f>
        <v>0.235422388370175</v>
      </c>
      <c r="R782" s="46" t="n">
        <f aca="false">N782/(1-(1+N782)^-P782)</f>
        <v>0.279793439237854</v>
      </c>
      <c r="S782" s="46" t="n">
        <f aca="false">O782/(1-(1+O782)^-P782)</f>
        <v>0.078226718212274</v>
      </c>
      <c r="T782" s="37" t="n">
        <f aca="false">IF(AND(p_eng=1,ISNUMBER(Country_Data!$CZ$116)),Country_Data!$CZ$116,Country_Data!$CM$116)*Sector_Params!$I$5</f>
        <v>0.176086052709627</v>
      </c>
      <c r="U782" s="37" t="n">
        <f aca="false">IF(AND(p_eng=1,ISNUMBER(Country_Data!$DA$116)),Country_Data!$DA$116,Country_Data!$CN$116)*Sector_Params!$J$5</f>
        <v>0</v>
      </c>
      <c r="V782" s="37" t="n">
        <f aca="false">IF(AND(p_eng=1,ISNUMBER(Country_Data!$DB$116)),Country_Data!$DB$116,p_a)</f>
        <v>1.05070630212688</v>
      </c>
      <c r="W782" s="16" t="n">
        <f aca="false">T782*L782</f>
        <v>0.0456580550336782</v>
      </c>
      <c r="X782" s="16" t="n">
        <f aca="false">U782*L782</f>
        <v>0</v>
      </c>
      <c r="Y782" s="16" t="n">
        <f aca="false">V782*L782</f>
        <v>0.272441828461288</v>
      </c>
      <c r="Z782" s="16" t="n">
        <f aca="false">Q782*L782</f>
        <v>0.0610436102062601</v>
      </c>
      <c r="AA782" s="16" t="n">
        <f aca="false">R782*L782</f>
        <v>0.0725487569867346</v>
      </c>
      <c r="AB782" s="16" t="n">
        <f aca="false">S782*L782</f>
        <v>0.020283717820229</v>
      </c>
      <c r="AC782" s="16" t="n">
        <f aca="false">Z782-W782</f>
        <v>0.0153855551725819</v>
      </c>
      <c r="AD782" s="16" t="n">
        <f aca="false">AA782-W782</f>
        <v>0.0268907019530564</v>
      </c>
      <c r="AE782" s="16" t="n">
        <f aca="false">AB782-W782</f>
        <v>-0.0253743372134492</v>
      </c>
      <c r="AF782" s="16" t="n">
        <f aca="false">AE782-X782</f>
        <v>-0.0253743372134492</v>
      </c>
      <c r="AG782" s="16" t="n">
        <f aca="false">AF782-p_spc_lo*Y782/1000</f>
        <v>-0.0389964286365136</v>
      </c>
      <c r="AH782" s="16" t="n">
        <f aca="false">AF782-p_spc_hi*Y782/1000</f>
        <v>-0.052618520059578</v>
      </c>
      <c r="AI782" s="16" t="n">
        <f aca="false">Q782*J782</f>
        <v>0.254348375859417</v>
      </c>
      <c r="AJ782" s="16" t="n">
        <f aca="false">S782*J782</f>
        <v>0.0845154909176208</v>
      </c>
      <c r="AK782" s="16" t="n">
        <f aca="false">T782*J782</f>
        <v>0.190241895973659</v>
      </c>
      <c r="AL782" s="16" t="n">
        <f aca="false">U782*J782</f>
        <v>0</v>
      </c>
      <c r="AM782" s="16" t="n">
        <f aca="false">AI782-AJ782</f>
        <v>0.169832884941796</v>
      </c>
      <c r="AN782" s="16" t="n">
        <f aca="false">J782*Country_Data!$EB$116</f>
        <v>1.240230381701</v>
      </c>
      <c r="AO782" s="16" t="n">
        <f aca="false">L782*Country_Data!$EB$116</f>
        <v>0.29765529160824</v>
      </c>
    </row>
    <row r="783" customFormat="false" ht="15" hidden="false" customHeight="false" outlineLevel="0" collapsed="false">
      <c r="A783" s="14" t="str">
        <f aca="false">Country_Data!$A$116</f>
        <v>LBN</v>
      </c>
      <c r="B783" s="14" t="str">
        <f aca="false">Country_Data!$E$116</f>
        <v>EMDC</v>
      </c>
      <c r="C783" s="35" t="s">
        <v>470</v>
      </c>
      <c r="D783" s="37" t="n">
        <f aca="false">IF(Country_Data!$BZ$116="","",Country_Data!$BZ$116)</f>
        <v>22.1465458892347</v>
      </c>
      <c r="E783" s="40" t="n">
        <f aca="false">Country_Data!$BW$116</f>
        <v>65.627</v>
      </c>
      <c r="F783" s="41" t="n">
        <f aca="false">Country_Data!$BX$116</f>
        <v>0.447056851600713</v>
      </c>
      <c r="G783" s="42" t="n">
        <f aca="false">IF(D783="","",D783/SUMIFS($D$5:$D$1369,$B$5:$B$1369,B783,$C$5:$C$1369,C783))</f>
        <v>0.00252829697109449</v>
      </c>
      <c r="H783" s="42" t="n">
        <f aca="false">E783/SUMIFS($E$5:$E$1369,$B$5:$B$1369,B783,$C$5:$C$1369,C783)</f>
        <v>0.000812900577454584</v>
      </c>
      <c r="I783" s="43" t="n">
        <f aca="false">IF(G783="",H783,p_beta_alloc*G783+(1-p_beta_alloc)*H783)*F783^p_phi</f>
        <v>0.00111700093349427</v>
      </c>
      <c r="J783" s="16" t="n">
        <f aca="false">INDEX(Sector_Params!$C$17:$E$17,MATCH(B783,Sector_Params!$C$15:$E$15,0))*I783/SUMIFS($I$5:$I$1369,$B$5:$B$1369,B783,$C$5:$C$1369,C783)</f>
        <v>0.740839968885152</v>
      </c>
      <c r="K783" s="28" t="n">
        <f aca="false">INDEX(Sector_Params!$F$6:$H$6,MATCH(B783,Sector_Params!$C$15:$E$15,0))</f>
        <v>0.24</v>
      </c>
      <c r="L783" s="16" t="n">
        <f aca="false">J783*K783</f>
        <v>0.177801592532436</v>
      </c>
      <c r="M783" s="44" t="n">
        <f aca="false">Country_Data!$DW$116+Sector_Params!$E$6</f>
        <v>0.2342</v>
      </c>
      <c r="N783" s="44" t="n">
        <f aca="false">Country_Data!$DX$116+Sector_Params!$E$6</f>
        <v>0.2792</v>
      </c>
      <c r="O783" s="11" t="n">
        <f aca="false">IF(p_use_ibrd=1,p_r_ibrd,p_r_wb)</f>
        <v>0.06</v>
      </c>
      <c r="P783" s="45" t="n">
        <f aca="false">Sector_Params!$D$6</f>
        <v>40</v>
      </c>
      <c r="Q783" s="46" t="n">
        <f aca="false">M783/(1-(1+M783)^-P783)</f>
        <v>0.234251791827839</v>
      </c>
      <c r="R783" s="46" t="n">
        <f aca="false">N783/(1-(1+N783)^-P783)</f>
        <v>0.279214736702177</v>
      </c>
      <c r="S783" s="46" t="n">
        <f aca="false">O783/(1-(1+O783)^-P783)</f>
        <v>0.0664615359206755</v>
      </c>
      <c r="T783" s="37" t="n">
        <f aca="false">p_grid_credit*IF(AND(p_eng=1,ISNUMBER(Country_Data!$CZ$116)),Country_Data!$CZ$116,Country_Data!$CM$116)*Sector_Params!$I$6</f>
        <v>0</v>
      </c>
      <c r="U783" s="37" t="n">
        <f aca="false">p_grid_credit*IF(AND(p_eng=1,ISNUMBER(Country_Data!$DA$116)),Country_Data!$DA$116,Country_Data!$CN$116)*Sector_Params!$J$6</f>
        <v>0</v>
      </c>
      <c r="V783" s="37" t="n">
        <f aca="false">p_grid_credit*IF(AND(p_eng=1,ISNUMBER(Country_Data!$DB$116)),Country_Data!$DB$116,p_a)</f>
        <v>0</v>
      </c>
      <c r="W783" s="16" t="n">
        <f aca="false">T783*L783</f>
        <v>0</v>
      </c>
      <c r="X783" s="16" t="n">
        <f aca="false">U783*L783</f>
        <v>0</v>
      </c>
      <c r="Y783" s="16" t="n">
        <f aca="false">V783*L783</f>
        <v>0</v>
      </c>
      <c r="Z783" s="16" t="n">
        <f aca="false">Q783*L783</f>
        <v>0.0416503416405665</v>
      </c>
      <c r="AA783" s="16" t="n">
        <f aca="false">R783*L783</f>
        <v>0.0496448248441721</v>
      </c>
      <c r="AB783" s="16" t="n">
        <f aca="false">S783*L783</f>
        <v>0.0118169669288478</v>
      </c>
      <c r="AC783" s="16" t="n">
        <f aca="false">Z783-W783</f>
        <v>0.0416503416405665</v>
      </c>
      <c r="AD783" s="16" t="n">
        <f aca="false">AA783-W783</f>
        <v>0.0496448248441721</v>
      </c>
      <c r="AE783" s="16" t="n">
        <f aca="false">AB783-W783</f>
        <v>0.0118169669288478</v>
      </c>
      <c r="AF783" s="16" t="n">
        <f aca="false">AE783-X783</f>
        <v>0.0118169669288478</v>
      </c>
      <c r="AG783" s="16" t="n">
        <f aca="false">AF783-p_spc_lo*Y783/1000</f>
        <v>0.0118169669288478</v>
      </c>
      <c r="AH783" s="16" t="n">
        <f aca="false">AF783-p_spc_hi*Y783/1000</f>
        <v>0.0118169669288478</v>
      </c>
      <c r="AI783" s="16" t="n">
        <f aca="false">Q783*J783</f>
        <v>0.173543090169027</v>
      </c>
      <c r="AJ783" s="16" t="n">
        <f aca="false">S783*J783</f>
        <v>0.0492373622035326</v>
      </c>
      <c r="AK783" s="16" t="n">
        <f aca="false">T783*J783</f>
        <v>0</v>
      </c>
      <c r="AL783" s="16" t="n">
        <f aca="false">U783*J783</f>
        <v>0</v>
      </c>
      <c r="AM783" s="16" t="n">
        <f aca="false">AI783-AJ783</f>
        <v>0.124305727965494</v>
      </c>
      <c r="AN783" s="16" t="n">
        <f aca="false">J783*Country_Data!$EB$116</f>
        <v>0.850443690309256</v>
      </c>
      <c r="AO783" s="16" t="n">
        <f aca="false">L783*Country_Data!$EB$116</f>
        <v>0.204106485674221</v>
      </c>
    </row>
    <row r="784" customFormat="false" ht="15" hidden="false" customHeight="false" outlineLevel="0" collapsed="false">
      <c r="A784" s="14" t="str">
        <f aca="false">Country_Data!$A$116</f>
        <v>LBN</v>
      </c>
      <c r="B784" s="14" t="str">
        <f aca="false">Country_Data!$E$116</f>
        <v>EMDC</v>
      </c>
      <c r="C784" s="35" t="s">
        <v>473</v>
      </c>
      <c r="D784" s="37" t="n">
        <f aca="false">IF(Country_Data!$CA$116="","",Country_Data!$CA$116)</f>
        <v>0.121241141637177</v>
      </c>
      <c r="E784" s="40" t="n">
        <f aca="false">Country_Data!$BW$116</f>
        <v>65.627</v>
      </c>
      <c r="F784" s="41" t="n">
        <f aca="false">Country_Data!$BX$116</f>
        <v>0.447056851600713</v>
      </c>
      <c r="G784" s="42" t="n">
        <f aca="false">IF(D784="","",D784/SUMIFS($D$5:$D$1369,$B$5:$B$1369,B784,$C$5:$C$1369,C784))</f>
        <v>0.00280095246533017</v>
      </c>
      <c r="H784" s="42" t="n">
        <f aca="false">E784/SUMIFS($E$5:$E$1369,$B$5:$B$1369,B784,$C$5:$C$1369,C784)</f>
        <v>0.000812900577454584</v>
      </c>
      <c r="I784" s="43" t="n">
        <f aca="false">IF(G784="",H784,p_beta_alloc*G784+(1-p_beta_alloc)*H784)*F784^p_phi</f>
        <v>0.00120815281456632</v>
      </c>
      <c r="J784" s="16" t="n">
        <f aca="false">INDEX(Sector_Params!$C$18:$E$18,MATCH(B784,Sector_Params!$C$15:$E$15,0))*I784/SUMIFS($I$5:$I$1369,$B$5:$B$1369,B784,$C$5:$C$1369,C784)</f>
        <v>0.494709991202228</v>
      </c>
      <c r="K784" s="28" t="n">
        <f aca="false">INDEX(Sector_Params!$F$7:$H$7,MATCH(B784,Sector_Params!$C$15:$E$15,0))</f>
        <v>0.24</v>
      </c>
      <c r="L784" s="16" t="n">
        <f aca="false">J784*K784</f>
        <v>0.118730397888535</v>
      </c>
      <c r="M784" s="44" t="n">
        <f aca="false">Country_Data!$DW$116+Sector_Params!$E$7</f>
        <v>0.2342</v>
      </c>
      <c r="N784" s="44" t="n">
        <f aca="false">Country_Data!$DX$116+Sector_Params!$E$7</f>
        <v>0.2792</v>
      </c>
      <c r="O784" s="11" t="n">
        <f aca="false">IF(p_use_ibrd=1,p_r_ibrd,p_r_wb)</f>
        <v>0.06</v>
      </c>
      <c r="P784" s="45" t="n">
        <f aca="false">Sector_Params!$D$7</f>
        <v>12</v>
      </c>
      <c r="Q784" s="46" t="n">
        <f aca="false">M784/(1-(1+M784)^-P784)</f>
        <v>0.254579673411857</v>
      </c>
      <c r="R784" s="46" t="n">
        <f aca="false">N784/(1-(1+N784)^-P784)</f>
        <v>0.29454214326317</v>
      </c>
      <c r="S784" s="46" t="n">
        <f aca="false">O784/(1-(1+O784)^-P784)</f>
        <v>0.119277029380664</v>
      </c>
      <c r="T784" s="37" t="n">
        <f aca="false">IF(AND(p_eng=1,ISNUMBER(Country_Data!$DE$116)),Country_Data!$DE$116,Country_Data!$CM$116)*Sector_Params!$I$7</f>
        <v>0.0840438</v>
      </c>
      <c r="U784" s="37" t="n">
        <f aca="false">IF(AND(p_eng=1,ISNUMBER(Country_Data!$DF$116)),Country_Data!$DF$116,Country_Data!$CN$116)*Sector_Params!$J$7</f>
        <v>0</v>
      </c>
      <c r="V784" s="37" t="n">
        <f aca="false">IF(AND(p_eng=1,ISNUMBER(Country_Data!$DG$116)),Country_Data!$DG$116,p_a)</f>
        <v>0.286714061797753</v>
      </c>
      <c r="W784" s="16" t="n">
        <f aca="false">T784*L784</f>
        <v>0.00997855381406443</v>
      </c>
      <c r="X784" s="16" t="n">
        <f aca="false">U784*L784</f>
        <v>0</v>
      </c>
      <c r="Y784" s="16" t="n">
        <f aca="false">V784*L784</f>
        <v>0.0340416746374851</v>
      </c>
      <c r="Z784" s="16" t="n">
        <f aca="false">Q784*L784</f>
        <v>0.030226345918523</v>
      </c>
      <c r="AA784" s="16" t="n">
        <f aca="false">R784*L784</f>
        <v>0.034971105864578</v>
      </c>
      <c r="AB784" s="16" t="n">
        <f aca="false">S784*L784</f>
        <v>0.0141618091573286</v>
      </c>
      <c r="AC784" s="16" t="n">
        <f aca="false">Z784-W784</f>
        <v>0.0202477921044586</v>
      </c>
      <c r="AD784" s="16" t="n">
        <f aca="false">AA784-W784</f>
        <v>0.0249925520505136</v>
      </c>
      <c r="AE784" s="16" t="n">
        <f aca="false">AB784-W784</f>
        <v>0.00418325534326419</v>
      </c>
      <c r="AF784" s="16" t="n">
        <f aca="false">AE784-X784</f>
        <v>0.00418325534326419</v>
      </c>
      <c r="AG784" s="16" t="n">
        <f aca="false">AF784-p_spc_lo*Y784/1000</f>
        <v>0.00248117161138994</v>
      </c>
      <c r="AH784" s="16" t="n">
        <f aca="false">AF784-p_spc_hi*Y784/1000</f>
        <v>0.000779087879515682</v>
      </c>
      <c r="AI784" s="16" t="n">
        <f aca="false">Q784*J784</f>
        <v>0.125943107993846</v>
      </c>
      <c r="AJ784" s="16" t="n">
        <f aca="false">S784*J784</f>
        <v>0.0590075381555359</v>
      </c>
      <c r="AK784" s="16" t="n">
        <f aca="false">T784*J784</f>
        <v>0.0415773075586018</v>
      </c>
      <c r="AL784" s="16" t="n">
        <f aca="false">U784*J784</f>
        <v>0</v>
      </c>
      <c r="AM784" s="16" t="n">
        <f aca="false">AI784-AJ784</f>
        <v>0.0669355698383099</v>
      </c>
      <c r="AN784" s="16" t="n">
        <f aca="false">J784*Country_Data!$EB$116</f>
        <v>0.567899962503379</v>
      </c>
      <c r="AO784" s="16" t="n">
        <f aca="false">L784*Country_Data!$EB$116</f>
        <v>0.136295991000811</v>
      </c>
    </row>
    <row r="785" customFormat="false" ht="15" hidden="false" customHeight="false" outlineLevel="0" collapsed="false">
      <c r="A785" s="14" t="str">
        <f aca="false">Country_Data!$A$116</f>
        <v>LBN</v>
      </c>
      <c r="B785" s="14" t="str">
        <f aca="false">Country_Data!$E$116</f>
        <v>EMDC</v>
      </c>
      <c r="C785" s="35" t="s">
        <v>477</v>
      </c>
      <c r="D785" s="37" t="n">
        <f aca="false">IF(Country_Data!$CB$116="","",Country_Data!$CB$116)</f>
        <v>0.0420842754768787</v>
      </c>
      <c r="E785" s="40" t="n">
        <f aca="false">Country_Data!$BW$116</f>
        <v>65.627</v>
      </c>
      <c r="F785" s="41" t="n">
        <f aca="false">Country_Data!$BX$116</f>
        <v>0.447056851600713</v>
      </c>
      <c r="G785" s="42" t="n">
        <f aca="false">IF(D785="","",D785/SUMIFS($D$5:$D$1369,$B$5:$B$1369,B785,$C$5:$C$1369,C785))</f>
        <v>0.00132704535241813</v>
      </c>
      <c r="H785" s="42" t="n">
        <f aca="false">E785/SUMIFS($E$5:$E$1369,$B$5:$B$1369,B785,$C$5:$C$1369,C785)</f>
        <v>0.000812900577454584</v>
      </c>
      <c r="I785" s="43" t="n">
        <f aca="false">IF(G785="",H785,p_beta_alloc*G785+(1-p_beta_alloc)*H785)*F785^p_phi</f>
        <v>0.000715408642129851</v>
      </c>
      <c r="J785" s="16" t="n">
        <f aca="false">INDEX(Sector_Params!$C$19:$E$19,MATCH(B785,Sector_Params!$C$15:$E$15,0))*I785/SUMIFS($I$5:$I$1369,$B$5:$B$1369,B785,$C$5:$C$1369,C785)</f>
        <v>0.230263283132686</v>
      </c>
      <c r="K785" s="28" t="n">
        <f aca="false">INDEX(Sector_Params!$F$8:$H$8,MATCH(B785,Sector_Params!$C$15:$E$15,0))</f>
        <v>0.24</v>
      </c>
      <c r="L785" s="16" t="n">
        <f aca="false">J785*K785</f>
        <v>0.0552631879518446</v>
      </c>
      <c r="M785" s="44" t="n">
        <f aca="false">Country_Data!$DW$116+Sector_Params!$E$8</f>
        <v>0.2342</v>
      </c>
      <c r="N785" s="44" t="n">
        <f aca="false">Country_Data!$DX$116+Sector_Params!$E$8</f>
        <v>0.2792</v>
      </c>
      <c r="O785" s="11" t="n">
        <f aca="false">IF(p_use_ibrd=1,p_r_ibrd,p_r_wb)</f>
        <v>0.06</v>
      </c>
      <c r="P785" s="45" t="n">
        <f aca="false">Sector_Params!$D$8</f>
        <v>25</v>
      </c>
      <c r="Q785" s="46" t="n">
        <f aca="false">M785/(1-(1+M785)^-P785)</f>
        <v>0.235422388370175</v>
      </c>
      <c r="R785" s="46" t="n">
        <f aca="false">N785/(1-(1+N785)^-P785)</f>
        <v>0.279793439237854</v>
      </c>
      <c r="S785" s="46" t="n">
        <f aca="false">O785/(1-(1+O785)^-P785)</f>
        <v>0.078226718212274</v>
      </c>
      <c r="T785" s="37" t="n">
        <f aca="false">Country_Data!$CM$116*Sector_Params!$I$8</f>
        <v>0.131495677528732</v>
      </c>
      <c r="U785" s="37" t="n">
        <f aca="false">Country_Data!$CN$116*Sector_Params!$J$8</f>
        <v>0.03225</v>
      </c>
      <c r="V785" s="37" t="n">
        <f aca="false">p_a</f>
        <v>0.35</v>
      </c>
      <c r="W785" s="16" t="n">
        <f aca="false">T785*L785</f>
        <v>0.00726687034212547</v>
      </c>
      <c r="X785" s="16" t="n">
        <f aca="false">U785*L785</f>
        <v>0.00178223781144699</v>
      </c>
      <c r="Y785" s="16" t="n">
        <f aca="false">V785*L785</f>
        <v>0.0193421157831456</v>
      </c>
      <c r="Z785" s="16" t="n">
        <f aca="false">Q785*L785</f>
        <v>0.0130101916965732</v>
      </c>
      <c r="AA785" s="16" t="n">
        <f aca="false">R785*L785</f>
        <v>0.0154622774202946</v>
      </c>
      <c r="AB785" s="16" t="n">
        <f aca="false">S785*L785</f>
        <v>0.00432305783142088</v>
      </c>
      <c r="AC785" s="16" t="n">
        <f aca="false">Z785-W785</f>
        <v>0.00574332135444769</v>
      </c>
      <c r="AD785" s="16" t="n">
        <f aca="false">AA785-W785</f>
        <v>0.00819540707816909</v>
      </c>
      <c r="AE785" s="16" t="n">
        <f aca="false">AB785-W785</f>
        <v>-0.00294381251070459</v>
      </c>
      <c r="AF785" s="16" t="n">
        <f aca="false">AE785-X785</f>
        <v>-0.00472605032215158</v>
      </c>
      <c r="AG785" s="16" t="n">
        <f aca="false">AF785-p_spc_lo*Y785/1000</f>
        <v>-0.00569315611130886</v>
      </c>
      <c r="AH785" s="16" t="n">
        <f aca="false">AF785-p_spc_hi*Y785/1000</f>
        <v>-0.00666026190046614</v>
      </c>
      <c r="AI785" s="16" t="n">
        <f aca="false">Q785*J785</f>
        <v>0.0542091320690548</v>
      </c>
      <c r="AJ785" s="16" t="n">
        <f aca="false">S785*J785</f>
        <v>0.0180127409642537</v>
      </c>
      <c r="AK785" s="16" t="n">
        <f aca="false">T785*J785</f>
        <v>0.0302786264255228</v>
      </c>
      <c r="AL785" s="16" t="n">
        <f aca="false">U785*J785</f>
        <v>0.00742599088102912</v>
      </c>
      <c r="AM785" s="16" t="n">
        <f aca="false">AI785-AJ785</f>
        <v>0.0361963911048012</v>
      </c>
      <c r="AN785" s="16" t="n">
        <f aca="false">J785*Country_Data!$EB$116</f>
        <v>0.264329631870124</v>
      </c>
      <c r="AO785" s="16" t="n">
        <f aca="false">L785*Country_Data!$EB$116</f>
        <v>0.0634391116488298</v>
      </c>
    </row>
    <row r="786" customFormat="false" ht="15" hidden="false" customHeight="false" outlineLevel="0" collapsed="false">
      <c r="A786" s="14" t="str">
        <f aca="false">Country_Data!$A$116</f>
        <v>LBN</v>
      </c>
      <c r="B786" s="14" t="str">
        <f aca="false">Country_Data!$E$116</f>
        <v>EMDC</v>
      </c>
      <c r="C786" s="35" t="s">
        <v>481</v>
      </c>
      <c r="D786" s="37" t="n">
        <f aca="false">IF(Country_Data!$CC$116="","",Country_Data!$CC$116)</f>
        <v>0.247607740637827</v>
      </c>
      <c r="E786" s="40" t="n">
        <f aca="false">Country_Data!$BW$116</f>
        <v>65.627</v>
      </c>
      <c r="F786" s="41" t="n">
        <f aca="false">Country_Data!$BX$116</f>
        <v>0.447056851600713</v>
      </c>
      <c r="G786" s="42" t="n">
        <f aca="false">IF(D786="","",D786/SUMIFS($D$5:$D$1369,$B$5:$B$1369,B786,$C$5:$C$1369,C786))</f>
        <v>0.00353688673696772</v>
      </c>
      <c r="H786" s="42" t="n">
        <f aca="false">E786/SUMIFS($E$5:$E$1369,$B$5:$B$1369,B786,$C$5:$C$1369,C786)</f>
        <v>0.000812900577454584</v>
      </c>
      <c r="I786" s="43" t="n">
        <f aca="false">IF(G786="",H786,p_beta_alloc*G786+(1-p_beta_alloc)*H786)*F786^p_phi</f>
        <v>0.00145418414209634</v>
      </c>
      <c r="J786" s="16" t="n">
        <f aca="false">INDEX(Sector_Params!$C$20:$E$20,MATCH(B786,Sector_Params!$C$15:$E$15,0))*I786/SUMIFS($I$5:$I$1369,$B$5:$B$1369,B786,$C$5:$C$1369,C786)</f>
        <v>0.265417889837676</v>
      </c>
      <c r="K786" s="28" t="n">
        <f aca="false">INDEX(Sector_Params!$F$9:$H$9,MATCH(B786,Sector_Params!$C$15:$E$15,0))</f>
        <v>0.24</v>
      </c>
      <c r="L786" s="16" t="n">
        <f aca="false">J786*K786</f>
        <v>0.0637002935610423</v>
      </c>
      <c r="M786" s="44" t="n">
        <f aca="false">Country_Data!$DW$116+Sector_Params!$E$9</f>
        <v>0.2342</v>
      </c>
      <c r="N786" s="44" t="n">
        <f aca="false">Country_Data!$DX$116+Sector_Params!$E$9</f>
        <v>0.2792</v>
      </c>
      <c r="O786" s="11" t="n">
        <f aca="false">IF(p_use_ibrd=1,p_r_ibrd,p_r_wb)</f>
        <v>0.06</v>
      </c>
      <c r="P786" s="45" t="n">
        <f aca="false">Sector_Params!$D$9</f>
        <v>25</v>
      </c>
      <c r="Q786" s="46" t="n">
        <f aca="false">M786/(1-(1+M786)^-P786)</f>
        <v>0.235422388370175</v>
      </c>
      <c r="R786" s="46" t="n">
        <f aca="false">N786/(1-(1+N786)^-P786)</f>
        <v>0.279793439237854</v>
      </c>
      <c r="S786" s="46" t="n">
        <f aca="false">O786/(1-(1+O786)^-P786)</f>
        <v>0.078226718212274</v>
      </c>
      <c r="T786" s="37" t="n">
        <f aca="false">Country_Data!$CM$116*Sector_Params!$I$9</f>
        <v>0.131495677528732</v>
      </c>
      <c r="U786" s="37" t="n">
        <f aca="false">Country_Data!$CN$116*Sector_Params!$J$9</f>
        <v>0.03225</v>
      </c>
      <c r="V786" s="37" t="n">
        <f aca="false">p_a</f>
        <v>0.35</v>
      </c>
      <c r="W786" s="16" t="n">
        <f aca="false">T786*L786</f>
        <v>0.00837631326058839</v>
      </c>
      <c r="X786" s="16" t="n">
        <f aca="false">U786*L786</f>
        <v>0.00205433446734362</v>
      </c>
      <c r="Y786" s="16" t="n">
        <f aca="false">V786*L786</f>
        <v>0.0222951027463648</v>
      </c>
      <c r="Z786" s="16" t="n">
        <f aca="false">Q786*L786</f>
        <v>0.0149964752500219</v>
      </c>
      <c r="AA786" s="16" t="n">
        <f aca="false">R786*L786</f>
        <v>0.017822924215905</v>
      </c>
      <c r="AB786" s="16" t="n">
        <f aca="false">S786*L786</f>
        <v>0.00498306491443879</v>
      </c>
      <c r="AC786" s="16" t="n">
        <f aca="false">Z786-W786</f>
        <v>0.0066201619894335</v>
      </c>
      <c r="AD786" s="16" t="n">
        <f aca="false">AA786-W786</f>
        <v>0.0094466109553166</v>
      </c>
      <c r="AE786" s="16" t="n">
        <f aca="false">AB786-W786</f>
        <v>-0.00339324834614961</v>
      </c>
      <c r="AF786" s="16" t="n">
        <f aca="false">AE786-X786</f>
        <v>-0.00544758281349322</v>
      </c>
      <c r="AG786" s="16" t="n">
        <f aca="false">AF786-p_spc_lo*Y786/1000</f>
        <v>-0.00656233795081146</v>
      </c>
      <c r="AH786" s="16" t="n">
        <f aca="false">AF786-p_spc_hi*Y786/1000</f>
        <v>-0.0076770930881297</v>
      </c>
      <c r="AI786" s="16" t="n">
        <f aca="false">Q786*J786</f>
        <v>0.0624853135417579</v>
      </c>
      <c r="AJ786" s="16" t="n">
        <f aca="false">S786*J786</f>
        <v>0.0207627704768283</v>
      </c>
      <c r="AK786" s="16" t="n">
        <f aca="false">T786*J786</f>
        <v>0.0349013052524517</v>
      </c>
      <c r="AL786" s="16" t="n">
        <f aca="false">U786*J786</f>
        <v>0.00855972694726507</v>
      </c>
      <c r="AM786" s="16" t="n">
        <f aca="false">AI786-AJ786</f>
        <v>0.0417225430649296</v>
      </c>
      <c r="AN786" s="16" t="n">
        <f aca="false">J786*Country_Data!$EB$116</f>
        <v>0.304685194087634</v>
      </c>
      <c r="AO786" s="16" t="n">
        <f aca="false">L786*Country_Data!$EB$116</f>
        <v>0.0731244465810322</v>
      </c>
    </row>
    <row r="787" customFormat="false" ht="15" hidden="false" customHeight="false" outlineLevel="0" collapsed="false">
      <c r="A787" s="14" t="str">
        <f aca="false">Country_Data!$A$116</f>
        <v>LBN</v>
      </c>
      <c r="B787" s="14" t="str">
        <f aca="false">Country_Data!$E$116</f>
        <v>EMDC</v>
      </c>
      <c r="C787" s="35" t="s">
        <v>484</v>
      </c>
      <c r="D787" s="37" t="n">
        <f aca="false">IF(Country_Data!$CD$116="","",Country_Data!$CD$116)</f>
        <v>0.346221528955637</v>
      </c>
      <c r="E787" s="40" t="n">
        <f aca="false">Country_Data!$BW$116</f>
        <v>65.627</v>
      </c>
      <c r="F787" s="41" t="n">
        <f aca="false">Country_Data!$BX$116</f>
        <v>0.447056851600713</v>
      </c>
      <c r="G787" s="42" t="n">
        <f aca="false">IF(D787="","",D787/SUMIFS($D$5:$D$1369,$B$5:$B$1369,B787,$C$5:$C$1369,C787))</f>
        <v>0.00193342749910489</v>
      </c>
      <c r="H787" s="42" t="n">
        <f aca="false">E787/SUMIFS($E$5:$E$1369,$B$5:$B$1369,B787,$C$5:$C$1369,C787)</f>
        <v>0.000812900577454584</v>
      </c>
      <c r="I787" s="43" t="n">
        <f aca="false">IF(G787="",H787,p_beta_alloc*G787+(1-p_beta_alloc)*H787)*F787^p_phi</f>
        <v>0.000918129197877145</v>
      </c>
      <c r="J787" s="16" t="n">
        <f aca="false">INDEX(Sector_Params!$C$21:$E$21,MATCH(B787,Sector_Params!$C$15:$E$15,0))*I787/SUMIFS($I$5:$I$1369,$B$5:$B$1369,B787,$C$5:$C$1369,C787)</f>
        <v>0.203631715279059</v>
      </c>
      <c r="K787" s="28" t="n">
        <f aca="false">INDEX(Sector_Params!$F$10:$H$10,MATCH(B787,Sector_Params!$C$15:$E$15,0))</f>
        <v>0.24</v>
      </c>
      <c r="L787" s="16" t="n">
        <f aca="false">J787*K787</f>
        <v>0.0488716116669741</v>
      </c>
      <c r="M787" s="44" t="n">
        <f aca="false">Country_Data!$DW$116+Sector_Params!$E$10</f>
        <v>0.2342</v>
      </c>
      <c r="N787" s="44" t="n">
        <f aca="false">Country_Data!$DX$116+Sector_Params!$E$10</f>
        <v>0.2792</v>
      </c>
      <c r="O787" s="11" t="n">
        <f aca="false">IF(p_use_ibrd=1,p_r_ibrd,p_r_wb)</f>
        <v>0.06</v>
      </c>
      <c r="P787" s="45" t="n">
        <f aca="false">Sector_Params!$D$10</f>
        <v>20</v>
      </c>
      <c r="Q787" s="46" t="n">
        <f aca="false">M787/(1-(1+M787)^-P787)</f>
        <v>0.237734941045613</v>
      </c>
      <c r="R787" s="46" t="n">
        <f aca="false">N787/(1-(1+N787)^-P787)</f>
        <v>0.281243210122842</v>
      </c>
      <c r="S787" s="46" t="n">
        <f aca="false">O787/(1-(1+O787)^-P787)</f>
        <v>0.0871845569768514</v>
      </c>
      <c r="T787" s="37" t="n">
        <f aca="false">0*Sector_Params!$I$10</f>
        <v>0</v>
      </c>
      <c r="U787" s="37" t="n">
        <f aca="false">0*Sector_Params!$J$10</f>
        <v>0</v>
      </c>
      <c r="V787" s="37" t="n">
        <f aca="false">1000*p_r_wb/(1-(1+p_r_wb)^-Sector_Params!$D$10)/p_cpt_fuel</f>
        <v>0.871845569768514</v>
      </c>
      <c r="W787" s="16" t="n">
        <f aca="false">T787*L787</f>
        <v>0</v>
      </c>
      <c r="X787" s="16" t="n">
        <f aca="false">U787*L787</f>
        <v>0</v>
      </c>
      <c r="Y787" s="16" t="n">
        <f aca="false">V787*L787</f>
        <v>0.0426084981192986</v>
      </c>
      <c r="Z787" s="16" t="n">
        <f aca="false">Q787*L787</f>
        <v>0.0116184897184522</v>
      </c>
      <c r="AA787" s="16" t="n">
        <f aca="false">R787*L787</f>
        <v>0.0137448089490967</v>
      </c>
      <c r="AB787" s="16" t="n">
        <f aca="false">S787*L787</f>
        <v>0.00426084981192986</v>
      </c>
      <c r="AC787" s="16" t="n">
        <f aca="false">Z787-W787</f>
        <v>0.0116184897184522</v>
      </c>
      <c r="AD787" s="16" t="n">
        <f aca="false">AA787-W787</f>
        <v>0.0137448089490967</v>
      </c>
      <c r="AE787" s="16" t="n">
        <f aca="false">AB787-W787</f>
        <v>0.00426084981192986</v>
      </c>
      <c r="AF787" s="16" t="n">
        <f aca="false">AE787-X787</f>
        <v>0.00426084981192986</v>
      </c>
      <c r="AG787" s="16" t="n">
        <f aca="false">AF787-p_spc_lo*Y787/1000</f>
        <v>0.00213042490596493</v>
      </c>
      <c r="AH787" s="16" t="n">
        <f aca="false">AF787-p_spc_hi*Y787/1000</f>
        <v>0</v>
      </c>
      <c r="AI787" s="16" t="n">
        <f aca="false">Q787*J787</f>
        <v>0.048410373826884</v>
      </c>
      <c r="AJ787" s="16" t="n">
        <f aca="false">S787*J787</f>
        <v>0.0177535408830411</v>
      </c>
      <c r="AK787" s="16" t="n">
        <f aca="false">T787*J787</f>
        <v>0</v>
      </c>
      <c r="AL787" s="16" t="n">
        <f aca="false">U787*J787</f>
        <v>0</v>
      </c>
      <c r="AM787" s="16" t="n">
        <f aca="false">AI787-AJ787</f>
        <v>0.030656832943843</v>
      </c>
      <c r="AN787" s="16" t="n">
        <f aca="false">J787*Country_Data!$EB$116</f>
        <v>0.233758051238152</v>
      </c>
      <c r="AO787" s="16" t="n">
        <f aca="false">L787*Country_Data!$EB$116</f>
        <v>0.0561019322971565</v>
      </c>
    </row>
    <row r="788" customFormat="false" ht="15" hidden="false" customHeight="false" outlineLevel="0" collapsed="false">
      <c r="A788" s="14" t="str">
        <f aca="false">Country_Data!$A$116</f>
        <v>LBN</v>
      </c>
      <c r="B788" s="14" t="str">
        <f aca="false">Country_Data!$E$116</f>
        <v>EMDC</v>
      </c>
      <c r="C788" s="35" t="s">
        <v>488</v>
      </c>
      <c r="D788" s="37" t="n">
        <f aca="false">IF(Country_Data!$CE$116="","",Country_Data!$CE$116)</f>
        <v>8.566</v>
      </c>
      <c r="E788" s="40" t="n">
        <f aca="false">Country_Data!$BW$116</f>
        <v>65.627</v>
      </c>
      <c r="F788" s="41" t="n">
        <f aca="false">Country_Data!$BX$116</f>
        <v>0.447056851600713</v>
      </c>
      <c r="G788" s="42" t="n">
        <f aca="false">IF(D788="","",D788/SUMIFS($D$5:$D$1369,$B$5:$B$1369,B788,$C$5:$C$1369,C788))</f>
        <v>0.000701894689575889</v>
      </c>
      <c r="H788" s="42" t="n">
        <f aca="false">E788/SUMIFS($E$5:$E$1369,$B$5:$B$1369,B788,$C$5:$C$1369,C788)</f>
        <v>0.000812900577454584</v>
      </c>
      <c r="I788" s="43" t="n">
        <f aca="false">IF(G788="",H788,p_beta_alloc*G788+(1-p_beta_alloc)*H788)*F788^p_phi</f>
        <v>0.000506413554643156</v>
      </c>
      <c r="J788" s="16" t="n">
        <f aca="false">INDEX(Sector_Params!$C$22:$E$22,MATCH(B788,Sector_Params!$C$15:$E$15,0))*I788/SUMIFS($I$5:$I$1369,$B$5:$B$1369,B788,$C$5:$C$1369,C788)</f>
        <v>0.305270338646644</v>
      </c>
      <c r="K788" s="28" t="n">
        <f aca="false">INDEX(Sector_Params!$F$11:$H$11,MATCH(B788,Sector_Params!$C$15:$E$15,0))</f>
        <v>0.24</v>
      </c>
      <c r="L788" s="16" t="n">
        <f aca="false">J788*K788</f>
        <v>0.0732648812751945</v>
      </c>
      <c r="M788" s="44" t="n">
        <f aca="false">Country_Data!$DW$116+Sector_Params!$E$11</f>
        <v>0.2342</v>
      </c>
      <c r="N788" s="44" t="n">
        <f aca="false">Country_Data!$DX$116+Sector_Params!$E$11</f>
        <v>0.2792</v>
      </c>
      <c r="O788" s="11" t="n">
        <f aca="false">IF(p_use_ibrd=1,p_r_ibrd,p_r_wb)</f>
        <v>0.06</v>
      </c>
      <c r="P788" s="45" t="n">
        <f aca="false">Sector_Params!$D$11</f>
        <v>30</v>
      </c>
      <c r="Q788" s="46" t="n">
        <f aca="false">M788/(1-(1+M788)^-P788)</f>
        <v>0.234625411067348</v>
      </c>
      <c r="R788" s="46" t="n">
        <f aca="false">N788/(1-(1+N788)^-P788)</f>
        <v>0.279372993943927</v>
      </c>
      <c r="S788" s="46" t="n">
        <f aca="false">O788/(1-(1+O788)^-P788)</f>
        <v>0.0726489114900472</v>
      </c>
      <c r="T788" s="37" t="n">
        <f aca="false">0*Sector_Params!$I$11</f>
        <v>0</v>
      </c>
      <c r="U788" s="37" t="n">
        <f aca="false">p_c*Sector_Params!$J$11</f>
        <v>0.129</v>
      </c>
      <c r="V788" s="37" t="n">
        <f aca="false">1000*p_r_wb/(1-(1+p_r_wb)^-Sector_Params!$D$11)/p_cpt_afolu</f>
        <v>1.45297822980094</v>
      </c>
      <c r="W788" s="16" t="n">
        <f aca="false">T788*L788</f>
        <v>0</v>
      </c>
      <c r="X788" s="16" t="n">
        <f aca="false">U788*L788</f>
        <v>0.00945116968450009</v>
      </c>
      <c r="Y788" s="16" t="n">
        <f aca="false">V788*L788</f>
        <v>0.106452277501808</v>
      </c>
      <c r="Z788" s="16" t="n">
        <f aca="false">Q788*L788</f>
        <v>0.017189802885993</v>
      </c>
      <c r="AA788" s="16" t="n">
        <f aca="false">R788*L788</f>
        <v>0.0204682292327974</v>
      </c>
      <c r="AB788" s="16" t="n">
        <f aca="false">S788*L788</f>
        <v>0.00532261387509042</v>
      </c>
      <c r="AC788" s="16" t="n">
        <f aca="false">Z788-W788</f>
        <v>0.017189802885993</v>
      </c>
      <c r="AD788" s="16" t="n">
        <f aca="false">AA788-W788</f>
        <v>0.0204682292327974</v>
      </c>
      <c r="AE788" s="16" t="n">
        <f aca="false">AB788-W788</f>
        <v>0.00532261387509042</v>
      </c>
      <c r="AF788" s="16" t="n">
        <f aca="false">AE788-X788</f>
        <v>-0.00412855580940967</v>
      </c>
      <c r="AG788" s="16" t="n">
        <f aca="false">AF788-p_spc_lo*Y788/1000</f>
        <v>-0.00945116968450009</v>
      </c>
      <c r="AH788" s="16" t="n">
        <f aca="false">AF788-p_spc_hi*Y788/1000</f>
        <v>-0.0147737835595905</v>
      </c>
      <c r="AI788" s="16" t="n">
        <f aca="false">Q788*J788</f>
        <v>0.0716241786916374</v>
      </c>
      <c r="AJ788" s="16" t="n">
        <f aca="false">S788*J788</f>
        <v>0.0221775578128768</v>
      </c>
      <c r="AK788" s="16" t="n">
        <f aca="false">T788*J788</f>
        <v>0</v>
      </c>
      <c r="AL788" s="16" t="n">
        <f aca="false">U788*J788</f>
        <v>0.0393798736854171</v>
      </c>
      <c r="AM788" s="16" t="n">
        <f aca="false">AI788-AJ788</f>
        <v>0.0494466208787606</v>
      </c>
      <c r="AN788" s="16" t="n">
        <f aca="false">J788*Country_Data!$EB$116</f>
        <v>0.350433621624504</v>
      </c>
      <c r="AO788" s="16" t="n">
        <f aca="false">L788*Country_Data!$EB$116</f>
        <v>0.0841040691898808</v>
      </c>
    </row>
    <row r="789" customFormat="false" ht="15" hidden="false" customHeight="false" outlineLevel="0" collapsed="false">
      <c r="A789" s="14" t="str">
        <f aca="false">Country_Data!$A$117</f>
        <v>SDN</v>
      </c>
      <c r="B789" s="14" t="str">
        <f aca="false">Country_Data!$E$117</f>
        <v>EMDC</v>
      </c>
      <c r="C789" s="35" t="s">
        <v>466</v>
      </c>
      <c r="D789" s="37" t="n">
        <f aca="false">IF(Country_Data!$BZ$117="","",Country_Data!$BZ$117)</f>
        <v>10.9718481269932</v>
      </c>
      <c r="E789" s="40" t="n">
        <f aca="false">Country_Data!$BW$117</f>
        <v>115.292</v>
      </c>
      <c r="F789" s="41" t="n">
        <f aca="false">Country_Data!$BX$117</f>
        <v>0.252888318356868</v>
      </c>
      <c r="G789" s="42" t="n">
        <f aca="false">IF(D789="","",D789/SUMIFS($D$5:$D$1369,$B$5:$B$1369,B789,$C$5:$C$1369,C789))</f>
        <v>0.00125256961178176</v>
      </c>
      <c r="H789" s="42" t="n">
        <f aca="false">E789/SUMIFS($E$5:$E$1369,$B$5:$B$1369,B789,$C$5:$C$1369,C789)</f>
        <v>0.001428084985995</v>
      </c>
      <c r="I789" s="43" t="n">
        <f aca="false">IF(G789="",H789,p_beta_alloc*G789+(1-p_beta_alloc)*H789)*F789^p_phi</f>
        <v>0.000674023823991139</v>
      </c>
      <c r="J789" s="16" t="n">
        <f aca="false">INDEX(Sector_Params!$C$16:$E$16,MATCH(B789,Sector_Params!$C$15:$E$15,0))*I789/SUMIFS($I$5:$I$1369,$B$5:$B$1369,B789,$C$5:$C$1369,C789)</f>
        <v>0.65193293054144</v>
      </c>
      <c r="K789" s="28" t="n">
        <f aca="false">INDEX(Sector_Params!$F$5:$H$5,MATCH(B789,Sector_Params!$C$15:$E$15,0))</f>
        <v>0.24</v>
      </c>
      <c r="L789" s="16" t="n">
        <f aca="false">J789*K789</f>
        <v>0.156463903329946</v>
      </c>
      <c r="M789" s="44" t="n">
        <f aca="false">Country_Data!$DW$117+Sector_Params!$E$5</f>
        <v>0.105</v>
      </c>
      <c r="N789" s="44" t="n">
        <f aca="false">Country_Data!$DX$117+Sector_Params!$E$5</f>
        <v>0.15</v>
      </c>
      <c r="O789" s="11" t="n">
        <f aca="false">IF(p_use_ibrd=1,p_r_ibrd,p_r_wb)</f>
        <v>0.06</v>
      </c>
      <c r="P789" s="45" t="n">
        <f aca="false">Sector_Params!$D$5</f>
        <v>25</v>
      </c>
      <c r="Q789" s="46" t="n">
        <f aca="false">M789/(1-(1+M789)^-P789)</f>
        <v>0.114429319813103</v>
      </c>
      <c r="R789" s="46" t="n">
        <f aca="false">N789/(1-(1+N789)^-P789)</f>
        <v>0.154699402320206</v>
      </c>
      <c r="S789" s="46" t="n">
        <f aca="false">O789/(1-(1+O789)^-P789)</f>
        <v>0.078226718212274</v>
      </c>
      <c r="T789" s="37" t="n">
        <f aca="false">IF(AND(p_eng=1,ISNUMBER(Country_Data!$CZ$117)),Country_Data!$CZ$117,Country_Data!$CM$117)*Sector_Params!$I$5</f>
        <v>0.0510493217814797</v>
      </c>
      <c r="U789" s="37" t="n">
        <f aca="false">IF(AND(p_eng=1,ISNUMBER(Country_Data!$DA$117)),Country_Data!$DA$117,Country_Data!$CN$117)*Sector_Params!$J$5</f>
        <v>0.00941565582770051</v>
      </c>
      <c r="V789" s="37" t="n">
        <f aca="false">IF(AND(p_eng=1,ISNUMBER(Country_Data!$DB$117)),Country_Data!$DB$117,p_a)</f>
        <v>0.379876212143367</v>
      </c>
      <c r="W789" s="16" t="n">
        <f aca="false">T789*L789</f>
        <v>0.00798737614827672</v>
      </c>
      <c r="X789" s="16" t="n">
        <f aca="false">U789*L789</f>
        <v>0.00147321026321337</v>
      </c>
      <c r="Y789" s="16" t="n">
        <f aca="false">V789*L789</f>
        <v>0.0594369149341457</v>
      </c>
      <c r="Z789" s="16" t="n">
        <f aca="false">Q789*L789</f>
        <v>0.0179040580333488</v>
      </c>
      <c r="AA789" s="16" t="n">
        <f aca="false">R789*L789</f>
        <v>0.0242048723298291</v>
      </c>
      <c r="AB789" s="16" t="n">
        <f aca="false">S789*L789</f>
        <v>0.0122396576761841</v>
      </c>
      <c r="AC789" s="16" t="n">
        <f aca="false">Z789-W789</f>
        <v>0.0099166818850721</v>
      </c>
      <c r="AD789" s="16" t="n">
        <f aca="false">AA789-W789</f>
        <v>0.0162174961815524</v>
      </c>
      <c r="AE789" s="16" t="n">
        <f aca="false">AB789-W789</f>
        <v>0.0042522815279074</v>
      </c>
      <c r="AF789" s="16" t="n">
        <f aca="false">AE789-X789</f>
        <v>0.00277907126469403</v>
      </c>
      <c r="AG789" s="16" t="n">
        <f aca="false">AF789-p_spc_lo*Y789/1000</f>
        <v>-0.000192774482013252</v>
      </c>
      <c r="AH789" s="16" t="n">
        <f aca="false">AF789-p_spc_hi*Y789/1000</f>
        <v>-0.00316462022872054</v>
      </c>
      <c r="AI789" s="16" t="n">
        <f aca="false">Q789*J789</f>
        <v>0.0746002418056201</v>
      </c>
      <c r="AJ789" s="16" t="n">
        <f aca="false">S789*J789</f>
        <v>0.0509985736507672</v>
      </c>
      <c r="AK789" s="16" t="n">
        <f aca="false">T789*J789</f>
        <v>0.033280733951153</v>
      </c>
      <c r="AL789" s="16" t="n">
        <f aca="false">U789*J789</f>
        <v>0.00613837609672238</v>
      </c>
      <c r="AM789" s="16" t="n">
        <f aca="false">AI789-AJ789</f>
        <v>0.0236016681548529</v>
      </c>
      <c r="AN789" s="16" t="n">
        <f aca="false">J789*Country_Data!$EB$117</f>
        <v>0.825781712019157</v>
      </c>
      <c r="AO789" s="16" t="n">
        <f aca="false">L789*Country_Data!$EB$117</f>
        <v>0.198187610884598</v>
      </c>
    </row>
    <row r="790" customFormat="false" ht="15" hidden="false" customHeight="false" outlineLevel="0" collapsed="false">
      <c r="A790" s="14" t="str">
        <f aca="false">Country_Data!$A$117</f>
        <v>SDN</v>
      </c>
      <c r="B790" s="14" t="str">
        <f aca="false">Country_Data!$E$117</f>
        <v>EMDC</v>
      </c>
      <c r="C790" s="35" t="s">
        <v>470</v>
      </c>
      <c r="D790" s="37" t="n">
        <f aca="false">IF(Country_Data!$BZ$117="","",Country_Data!$BZ$117)</f>
        <v>10.9718481269932</v>
      </c>
      <c r="E790" s="40" t="n">
        <f aca="false">Country_Data!$BW$117</f>
        <v>115.292</v>
      </c>
      <c r="F790" s="41" t="n">
        <f aca="false">Country_Data!$BX$117</f>
        <v>0.252888318356868</v>
      </c>
      <c r="G790" s="42" t="n">
        <f aca="false">IF(D790="","",D790/SUMIFS($D$5:$D$1369,$B$5:$B$1369,B790,$C$5:$C$1369,C790))</f>
        <v>0.00125256961178176</v>
      </c>
      <c r="H790" s="42" t="n">
        <f aca="false">E790/SUMIFS($E$5:$E$1369,$B$5:$B$1369,B790,$C$5:$C$1369,C790)</f>
        <v>0.001428084985995</v>
      </c>
      <c r="I790" s="43" t="n">
        <f aca="false">IF(G790="",H790,p_beta_alloc*G790+(1-p_beta_alloc)*H790)*F790^p_phi</f>
        <v>0.000674023823991139</v>
      </c>
      <c r="J790" s="16" t="n">
        <f aca="false">INDEX(Sector_Params!$C$17:$E$17,MATCH(B790,Sector_Params!$C$15:$E$15,0))*I790/SUMIFS($I$5:$I$1369,$B$5:$B$1369,B790,$C$5:$C$1369,C790)</f>
        <v>0.447039723799845</v>
      </c>
      <c r="K790" s="28" t="n">
        <f aca="false">INDEX(Sector_Params!$F$6:$H$6,MATCH(B790,Sector_Params!$C$15:$E$15,0))</f>
        <v>0.24</v>
      </c>
      <c r="L790" s="16" t="n">
        <f aca="false">J790*K790</f>
        <v>0.107289533711963</v>
      </c>
      <c r="M790" s="44" t="n">
        <f aca="false">Country_Data!$DW$117+Sector_Params!$E$6</f>
        <v>0.105</v>
      </c>
      <c r="N790" s="44" t="n">
        <f aca="false">Country_Data!$DX$117+Sector_Params!$E$6</f>
        <v>0.15</v>
      </c>
      <c r="O790" s="11" t="n">
        <f aca="false">IF(p_use_ibrd=1,p_r_ibrd,p_r_wb)</f>
        <v>0.06</v>
      </c>
      <c r="P790" s="45" t="n">
        <f aca="false">Sector_Params!$D$6</f>
        <v>40</v>
      </c>
      <c r="Q790" s="46" t="n">
        <f aca="false">M790/(1-(1+M790)^-P790)</f>
        <v>0.10697140835497</v>
      </c>
      <c r="R790" s="46" t="n">
        <f aca="false">N790/(1-(1+N790)^-P790)</f>
        <v>0.150562085013545</v>
      </c>
      <c r="S790" s="46" t="n">
        <f aca="false">O790/(1-(1+O790)^-P790)</f>
        <v>0.0664615359206755</v>
      </c>
      <c r="T790" s="37" t="n">
        <f aca="false">p_grid_credit*IF(AND(p_eng=1,ISNUMBER(Country_Data!$CZ$117)),Country_Data!$CZ$117,Country_Data!$CM$117)*Sector_Params!$I$6</f>
        <v>0</v>
      </c>
      <c r="U790" s="37" t="n">
        <f aca="false">p_grid_credit*IF(AND(p_eng=1,ISNUMBER(Country_Data!$DA$117)),Country_Data!$DA$117,Country_Data!$CN$117)*Sector_Params!$J$6</f>
        <v>0</v>
      </c>
      <c r="V790" s="37" t="n">
        <f aca="false">p_grid_credit*IF(AND(p_eng=1,ISNUMBER(Country_Data!$DB$117)),Country_Data!$DB$117,p_a)</f>
        <v>0</v>
      </c>
      <c r="W790" s="16" t="n">
        <f aca="false">T790*L790</f>
        <v>0</v>
      </c>
      <c r="X790" s="16" t="n">
        <f aca="false">U790*L790</f>
        <v>0</v>
      </c>
      <c r="Y790" s="16" t="n">
        <f aca="false">V790*L790</f>
        <v>0</v>
      </c>
      <c r="Z790" s="16" t="n">
        <f aca="false">Q790*L790</f>
        <v>0.0114769125229167</v>
      </c>
      <c r="AA790" s="16" t="n">
        <f aca="false">R790*L790</f>
        <v>0.0161537358958041</v>
      </c>
      <c r="AB790" s="16" t="n">
        <f aca="false">S790*L790</f>
        <v>0.00713062719871013</v>
      </c>
      <c r="AC790" s="16" t="n">
        <f aca="false">Z790-W790</f>
        <v>0.0114769125229167</v>
      </c>
      <c r="AD790" s="16" t="n">
        <f aca="false">AA790-W790</f>
        <v>0.0161537358958041</v>
      </c>
      <c r="AE790" s="16" t="n">
        <f aca="false">AB790-W790</f>
        <v>0.00713062719871013</v>
      </c>
      <c r="AF790" s="16" t="n">
        <f aca="false">AE790-X790</f>
        <v>0.00713062719871013</v>
      </c>
      <c r="AG790" s="16" t="n">
        <f aca="false">AF790-p_spc_lo*Y790/1000</f>
        <v>0.00713062719871013</v>
      </c>
      <c r="AH790" s="16" t="n">
        <f aca="false">AF790-p_spc_hi*Y790/1000</f>
        <v>0.00713062719871013</v>
      </c>
      <c r="AI790" s="16" t="n">
        <f aca="false">Q790*J790</f>
        <v>0.0478204688454863</v>
      </c>
      <c r="AJ790" s="16" t="n">
        <f aca="false">S790*J790</f>
        <v>0.0297109466612922</v>
      </c>
      <c r="AK790" s="16" t="n">
        <f aca="false">T790*J790</f>
        <v>0</v>
      </c>
      <c r="AL790" s="16" t="n">
        <f aca="false">U790*J790</f>
        <v>0</v>
      </c>
      <c r="AM790" s="16" t="n">
        <f aca="false">AI790-AJ790</f>
        <v>0.0181095221841941</v>
      </c>
      <c r="AN790" s="16" t="n">
        <f aca="false">J790*Country_Data!$EB$117</f>
        <v>0.566250316813136</v>
      </c>
      <c r="AO790" s="16" t="n">
        <f aca="false">L790*Country_Data!$EB$117</f>
        <v>0.135900076035153</v>
      </c>
    </row>
    <row r="791" customFormat="false" ht="15" hidden="false" customHeight="false" outlineLevel="0" collapsed="false">
      <c r="A791" s="14" t="str">
        <f aca="false">Country_Data!$A$117</f>
        <v>SDN</v>
      </c>
      <c r="B791" s="14" t="str">
        <f aca="false">Country_Data!$E$117</f>
        <v>EMDC</v>
      </c>
      <c r="C791" s="35" t="s">
        <v>473</v>
      </c>
      <c r="D791" s="37" t="n">
        <f aca="false">IF(Country_Data!$CA$117="","",Country_Data!$CA$117)</f>
        <v>0.18674985781372</v>
      </c>
      <c r="E791" s="40" t="n">
        <f aca="false">Country_Data!$BW$117</f>
        <v>115.292</v>
      </c>
      <c r="F791" s="41" t="n">
        <f aca="false">Country_Data!$BX$117</f>
        <v>0.252888318356868</v>
      </c>
      <c r="G791" s="42" t="n">
        <f aca="false">IF(D791="","",D791/SUMIFS($D$5:$D$1369,$B$5:$B$1369,B791,$C$5:$C$1369,C791))</f>
        <v>0.00431435622908223</v>
      </c>
      <c r="H791" s="42" t="n">
        <f aca="false">E791/SUMIFS($E$5:$E$1369,$B$5:$B$1369,B791,$C$5:$C$1369,C791)</f>
        <v>0.001428084985995</v>
      </c>
      <c r="I791" s="43" t="n">
        <f aca="false">IF(G791="",H791,p_beta_alloc*G791+(1-p_beta_alloc)*H791)*F791^p_phi</f>
        <v>0.00144387948751054</v>
      </c>
      <c r="J791" s="16" t="n">
        <f aca="false">INDEX(Sector_Params!$C$18:$E$18,MATCH(B791,Sector_Params!$C$15:$E$15,0))*I791/SUMIFS($I$5:$I$1369,$B$5:$B$1369,B791,$C$5:$C$1369,C791)</f>
        <v>0.591234486193552</v>
      </c>
      <c r="K791" s="28" t="n">
        <f aca="false">INDEX(Sector_Params!$F$7:$H$7,MATCH(B791,Sector_Params!$C$15:$E$15,0))</f>
        <v>0.24</v>
      </c>
      <c r="L791" s="16" t="n">
        <f aca="false">J791*K791</f>
        <v>0.141896276686452</v>
      </c>
      <c r="M791" s="44" t="n">
        <f aca="false">Country_Data!$DW$117+Sector_Params!$E$7</f>
        <v>0.105</v>
      </c>
      <c r="N791" s="44" t="n">
        <f aca="false">Country_Data!$DX$117+Sector_Params!$E$7</f>
        <v>0.15</v>
      </c>
      <c r="O791" s="11" t="n">
        <f aca="false">IF(p_use_ibrd=1,p_r_ibrd,p_r_wb)</f>
        <v>0.06</v>
      </c>
      <c r="P791" s="45" t="n">
        <f aca="false">Sector_Params!$D$7</f>
        <v>12</v>
      </c>
      <c r="Q791" s="46" t="n">
        <f aca="false">M791/(1-(1+M791)^-P791)</f>
        <v>0.150376745634766</v>
      </c>
      <c r="R791" s="46" t="n">
        <f aca="false">N791/(1-(1+N791)^-P791)</f>
        <v>0.18448077613084</v>
      </c>
      <c r="S791" s="46" t="n">
        <f aca="false">O791/(1-(1+O791)^-P791)</f>
        <v>0.119277029380664</v>
      </c>
      <c r="T791" s="37" t="n">
        <f aca="false">IF(AND(p_eng=1,ISNUMBER(Country_Data!$DE$117)),Country_Data!$DE$117,Country_Data!$CM$117)*Sector_Params!$I$7</f>
        <v>0.14060448</v>
      </c>
      <c r="U791" s="37" t="n">
        <f aca="false">IF(AND(p_eng=1,ISNUMBER(Country_Data!$DF$117)),Country_Data!$DF$117,Country_Data!$CN$117)*Sector_Params!$J$7</f>
        <v>0.002117925</v>
      </c>
      <c r="V791" s="37" t="n">
        <f aca="false">IF(AND(p_eng=1,ISNUMBER(Country_Data!$DG$117)),Country_Data!$DG$117,p_a)</f>
        <v>0.444125111374408</v>
      </c>
      <c r="W791" s="16" t="n">
        <f aca="false">T791*L791</f>
        <v>0.0199512521974348</v>
      </c>
      <c r="X791" s="16" t="n">
        <f aca="false">U791*L791</f>
        <v>0.000300525671801155</v>
      </c>
      <c r="Y791" s="16" t="n">
        <f aca="false">V791*L791</f>
        <v>0.0630196996869844</v>
      </c>
      <c r="Z791" s="16" t="n">
        <f aca="false">Q791*L791</f>
        <v>0.021337900305799</v>
      </c>
      <c r="AA791" s="16" t="n">
        <f aca="false">R791*L791</f>
        <v>0.0261771352531931</v>
      </c>
      <c r="AB791" s="16" t="n">
        <f aca="false">S791*L791</f>
        <v>0.0169249663633368</v>
      </c>
      <c r="AC791" s="16" t="n">
        <f aca="false">Z791-W791</f>
        <v>0.00138664810836422</v>
      </c>
      <c r="AD791" s="16" t="n">
        <f aca="false">AA791-W791</f>
        <v>0.00622588305575833</v>
      </c>
      <c r="AE791" s="16" t="n">
        <f aca="false">AB791-W791</f>
        <v>-0.00302628583409802</v>
      </c>
      <c r="AF791" s="16" t="n">
        <f aca="false">AE791-X791</f>
        <v>-0.00332681150589917</v>
      </c>
      <c r="AG791" s="16" t="n">
        <f aca="false">AF791-p_spc_lo*Y791/1000</f>
        <v>-0.00647779649024839</v>
      </c>
      <c r="AH791" s="16" t="n">
        <f aca="false">AF791-p_spc_hi*Y791/1000</f>
        <v>-0.00962878147459761</v>
      </c>
      <c r="AI791" s="16" t="n">
        <f aca="false">Q791*J791</f>
        <v>0.0889079179408291</v>
      </c>
      <c r="AJ791" s="16" t="n">
        <f aca="false">S791*J791</f>
        <v>0.0705206931805698</v>
      </c>
      <c r="AK791" s="16" t="n">
        <f aca="false">T791*J791</f>
        <v>0.0831302174893115</v>
      </c>
      <c r="AL791" s="16" t="n">
        <f aca="false">U791*J791</f>
        <v>0.00125219029917148</v>
      </c>
      <c r="AM791" s="16" t="n">
        <f aca="false">AI791-AJ791</f>
        <v>0.0183872247602594</v>
      </c>
      <c r="AN791" s="16" t="n">
        <f aca="false">J791*Country_Data!$EB$117</f>
        <v>0.748897015845165</v>
      </c>
      <c r="AO791" s="16" t="n">
        <f aca="false">L791*Country_Data!$EB$117</f>
        <v>0.17973528380284</v>
      </c>
    </row>
    <row r="792" customFormat="false" ht="15" hidden="false" customHeight="false" outlineLevel="0" collapsed="false">
      <c r="A792" s="14" t="str">
        <f aca="false">Country_Data!$A$117</f>
        <v>SDN</v>
      </c>
      <c r="B792" s="14" t="str">
        <f aca="false">Country_Data!$E$117</f>
        <v>EMDC</v>
      </c>
      <c r="C792" s="35" t="s">
        <v>477</v>
      </c>
      <c r="D792" s="37" t="n">
        <f aca="false">IF(Country_Data!$CB$117="","",Country_Data!$CB$117)</f>
        <v>0.0415277048291235</v>
      </c>
      <c r="E792" s="40" t="n">
        <f aca="false">Country_Data!$BW$117</f>
        <v>115.292</v>
      </c>
      <c r="F792" s="41" t="n">
        <f aca="false">Country_Data!$BX$117</f>
        <v>0.252888318356868</v>
      </c>
      <c r="G792" s="42" t="n">
        <f aca="false">IF(D792="","",D792/SUMIFS($D$5:$D$1369,$B$5:$B$1369,B792,$C$5:$C$1369,C792))</f>
        <v>0.00130949498513661</v>
      </c>
      <c r="H792" s="42" t="n">
        <f aca="false">E792/SUMIFS($E$5:$E$1369,$B$5:$B$1369,B792,$C$5:$C$1369,C792)</f>
        <v>0.001428084985995</v>
      </c>
      <c r="I792" s="43" t="n">
        <f aca="false">IF(G792="",H792,p_beta_alloc*G792+(1-p_beta_alloc)*H792)*F792^p_phi</f>
        <v>0.000688337140545453</v>
      </c>
      <c r="J792" s="16" t="n">
        <f aca="false">INDEX(Sector_Params!$C$19:$E$19,MATCH(B792,Sector_Params!$C$15:$E$15,0))*I792/SUMIFS($I$5:$I$1369,$B$5:$B$1369,B792,$C$5:$C$1369,C792)</f>
        <v>0.221549979340888</v>
      </c>
      <c r="K792" s="28" t="n">
        <f aca="false">INDEX(Sector_Params!$F$8:$H$8,MATCH(B792,Sector_Params!$C$15:$E$15,0))</f>
        <v>0.24</v>
      </c>
      <c r="L792" s="16" t="n">
        <f aca="false">J792*K792</f>
        <v>0.053171995041813</v>
      </c>
      <c r="M792" s="44" t="n">
        <f aca="false">Country_Data!$DW$117+Sector_Params!$E$8</f>
        <v>0.105</v>
      </c>
      <c r="N792" s="44" t="n">
        <f aca="false">Country_Data!$DX$117+Sector_Params!$E$8</f>
        <v>0.15</v>
      </c>
      <c r="O792" s="11" t="n">
        <f aca="false">IF(p_use_ibrd=1,p_r_ibrd,p_r_wb)</f>
        <v>0.06</v>
      </c>
      <c r="P792" s="45" t="n">
        <f aca="false">Sector_Params!$D$8</f>
        <v>25</v>
      </c>
      <c r="Q792" s="46" t="n">
        <f aca="false">M792/(1-(1+M792)^-P792)</f>
        <v>0.114429319813103</v>
      </c>
      <c r="R792" s="46" t="n">
        <f aca="false">N792/(1-(1+N792)^-P792)</f>
        <v>0.154699402320206</v>
      </c>
      <c r="S792" s="46" t="n">
        <f aca="false">O792/(1-(1+O792)^-P792)</f>
        <v>0.078226718212274</v>
      </c>
      <c r="T792" s="37" t="n">
        <f aca="false">Country_Data!$CM$117*Sector_Params!$I$8</f>
        <v>0.199312374793615</v>
      </c>
      <c r="U792" s="37" t="n">
        <f aca="false">Country_Data!$CN$117*Sector_Params!$J$8</f>
        <v>0.03225</v>
      </c>
      <c r="V792" s="37" t="n">
        <f aca="false">p_a</f>
        <v>0.35</v>
      </c>
      <c r="W792" s="16" t="n">
        <f aca="false">T792*L792</f>
        <v>0.0105978366042981</v>
      </c>
      <c r="X792" s="16" t="n">
        <f aca="false">U792*L792</f>
        <v>0.00171479684009847</v>
      </c>
      <c r="Y792" s="16" t="n">
        <f aca="false">V792*L792</f>
        <v>0.0186101982646346</v>
      </c>
      <c r="Z792" s="16" t="n">
        <f aca="false">Q792*L792</f>
        <v>0.00608443522574037</v>
      </c>
      <c r="AA792" s="16" t="n">
        <f aca="false">R792*L792</f>
        <v>0.00822567585314146</v>
      </c>
      <c r="AB792" s="16" t="n">
        <f aca="false">S792*L792</f>
        <v>0.00415947067292034</v>
      </c>
      <c r="AC792" s="16" t="n">
        <f aca="false">Z792-W792</f>
        <v>-0.00451340137855773</v>
      </c>
      <c r="AD792" s="16" t="n">
        <f aca="false">AA792-W792</f>
        <v>-0.00237216075115664</v>
      </c>
      <c r="AE792" s="16" t="n">
        <f aca="false">AB792-W792</f>
        <v>-0.00643836593137776</v>
      </c>
      <c r="AF792" s="16" t="n">
        <f aca="false">AE792-X792</f>
        <v>-0.00815316277147623</v>
      </c>
      <c r="AG792" s="16" t="n">
        <f aca="false">AF792-p_spc_lo*Y792/1000</f>
        <v>-0.00908367268470796</v>
      </c>
      <c r="AH792" s="16" t="n">
        <f aca="false">AF792-p_spc_hi*Y792/1000</f>
        <v>-0.0100141825979397</v>
      </c>
      <c r="AI792" s="16" t="n">
        <f aca="false">Q792*J792</f>
        <v>0.0253518134405849</v>
      </c>
      <c r="AJ792" s="16" t="n">
        <f aca="false">S792*J792</f>
        <v>0.0173311278038347</v>
      </c>
      <c r="AK792" s="16" t="n">
        <f aca="false">T792*J792</f>
        <v>0.0441576525179087</v>
      </c>
      <c r="AL792" s="16" t="n">
        <f aca="false">U792*J792</f>
        <v>0.00714498683374363</v>
      </c>
      <c r="AM792" s="16" t="n">
        <f aca="false">AI792-AJ792</f>
        <v>0.00802068563675013</v>
      </c>
      <c r="AN792" s="16" t="n">
        <f aca="false">J792*Country_Data!$EB$117</f>
        <v>0.280629973831791</v>
      </c>
      <c r="AO792" s="16" t="n">
        <f aca="false">L792*Country_Data!$EB$117</f>
        <v>0.0673511937196298</v>
      </c>
    </row>
    <row r="793" customFormat="false" ht="15" hidden="false" customHeight="false" outlineLevel="0" collapsed="false">
      <c r="A793" s="14" t="str">
        <f aca="false">Country_Data!$A$117</f>
        <v>SDN</v>
      </c>
      <c r="B793" s="14" t="str">
        <f aca="false">Country_Data!$E$117</f>
        <v>EMDC</v>
      </c>
      <c r="C793" s="35" t="s">
        <v>481</v>
      </c>
      <c r="D793" s="37" t="n">
        <f aca="false">IF(Country_Data!$CC$117="","",Country_Data!$CC$117)</f>
        <v>0.0562598776060781</v>
      </c>
      <c r="E793" s="40" t="n">
        <f aca="false">Country_Data!$BW$117</f>
        <v>115.292</v>
      </c>
      <c r="F793" s="41" t="n">
        <f aca="false">Country_Data!$BX$117</f>
        <v>0.252888318356868</v>
      </c>
      <c r="G793" s="42" t="n">
        <f aca="false">IF(D793="","",D793/SUMIFS($D$5:$D$1369,$B$5:$B$1369,B793,$C$5:$C$1369,C793))</f>
        <v>0.000803629217793389</v>
      </c>
      <c r="H793" s="42" t="n">
        <f aca="false">E793/SUMIFS($E$5:$E$1369,$B$5:$B$1369,B793,$C$5:$C$1369,C793)</f>
        <v>0.001428084985995</v>
      </c>
      <c r="I793" s="43" t="n">
        <f aca="false">IF(G793="",H793,p_beta_alloc*G793+(1-p_beta_alloc)*H793)*F793^p_phi</f>
        <v>0.000561142245979896</v>
      </c>
      <c r="J793" s="16" t="n">
        <f aca="false">INDEX(Sector_Params!$C$20:$E$20,MATCH(B793,Sector_Params!$C$15:$E$15,0))*I793/SUMIFS($I$5:$I$1369,$B$5:$B$1369,B793,$C$5:$C$1369,C793)</f>
        <v>0.102419759998243</v>
      </c>
      <c r="K793" s="28" t="n">
        <f aca="false">INDEX(Sector_Params!$F$9:$H$9,MATCH(B793,Sector_Params!$C$15:$E$15,0))</f>
        <v>0.24</v>
      </c>
      <c r="L793" s="16" t="n">
        <f aca="false">J793*K793</f>
        <v>0.0245807423995783</v>
      </c>
      <c r="M793" s="44" t="n">
        <f aca="false">Country_Data!$DW$117+Sector_Params!$E$9</f>
        <v>0.105</v>
      </c>
      <c r="N793" s="44" t="n">
        <f aca="false">Country_Data!$DX$117+Sector_Params!$E$9</f>
        <v>0.15</v>
      </c>
      <c r="O793" s="11" t="n">
        <f aca="false">IF(p_use_ibrd=1,p_r_ibrd,p_r_wb)</f>
        <v>0.06</v>
      </c>
      <c r="P793" s="45" t="n">
        <f aca="false">Sector_Params!$D$9</f>
        <v>25</v>
      </c>
      <c r="Q793" s="46" t="n">
        <f aca="false">M793/(1-(1+M793)^-P793)</f>
        <v>0.114429319813103</v>
      </c>
      <c r="R793" s="46" t="n">
        <f aca="false">N793/(1-(1+N793)^-P793)</f>
        <v>0.154699402320206</v>
      </c>
      <c r="S793" s="46" t="n">
        <f aca="false">O793/(1-(1+O793)^-P793)</f>
        <v>0.078226718212274</v>
      </c>
      <c r="T793" s="37" t="n">
        <f aca="false">Country_Data!$CM$117*Sector_Params!$I$9</f>
        <v>0.199312374793615</v>
      </c>
      <c r="U793" s="37" t="n">
        <f aca="false">Country_Data!$CN$117*Sector_Params!$J$9</f>
        <v>0.03225</v>
      </c>
      <c r="V793" s="37" t="n">
        <f aca="false">p_a</f>
        <v>0.35</v>
      </c>
      <c r="W793" s="16" t="n">
        <f aca="false">T793*L793</f>
        <v>0.00489924614185007</v>
      </c>
      <c r="X793" s="16" t="n">
        <f aca="false">U793*L793</f>
        <v>0.000792728942386401</v>
      </c>
      <c r="Y793" s="16" t="n">
        <f aca="false">V793*L793</f>
        <v>0.00860325983985242</v>
      </c>
      <c r="Z793" s="16" t="n">
        <f aca="false">Q793*L793</f>
        <v>0.00281275763328486</v>
      </c>
      <c r="AA793" s="16" t="n">
        <f aca="false">R793*L793</f>
        <v>0.00380262615780173</v>
      </c>
      <c r="AB793" s="16" t="n">
        <f aca="false">S793*L793</f>
        <v>0.00192287080914031</v>
      </c>
      <c r="AC793" s="16" t="n">
        <f aca="false">Z793-W793</f>
        <v>-0.00208648850856521</v>
      </c>
      <c r="AD793" s="16" t="n">
        <f aca="false">AA793-W793</f>
        <v>-0.00109661998404834</v>
      </c>
      <c r="AE793" s="16" t="n">
        <f aca="false">AB793-W793</f>
        <v>-0.00297637533270976</v>
      </c>
      <c r="AF793" s="16" t="n">
        <f aca="false">AE793-X793</f>
        <v>-0.00376910427509616</v>
      </c>
      <c r="AG793" s="16" t="n">
        <f aca="false">AF793-p_spc_lo*Y793/1000</f>
        <v>-0.00419926726708878</v>
      </c>
      <c r="AH793" s="16" t="n">
        <f aca="false">AF793-p_spc_hi*Y793/1000</f>
        <v>-0.0046294302590814</v>
      </c>
      <c r="AI793" s="16" t="n">
        <f aca="false">Q793*J793</f>
        <v>0.0117198234720202</v>
      </c>
      <c r="AJ793" s="16" t="n">
        <f aca="false">S793*J793</f>
        <v>0.00801196170475129</v>
      </c>
      <c r="AK793" s="16" t="n">
        <f aca="false">T793*J793</f>
        <v>0.020413525591042</v>
      </c>
      <c r="AL793" s="16" t="n">
        <f aca="false">U793*J793</f>
        <v>0.00330303725994334</v>
      </c>
      <c r="AM793" s="16" t="n">
        <f aca="false">AI793-AJ793</f>
        <v>0.00370786176726895</v>
      </c>
      <c r="AN793" s="16" t="n">
        <f aca="false">J793*Country_Data!$EB$117</f>
        <v>0.129731695997775</v>
      </c>
      <c r="AO793" s="16" t="n">
        <f aca="false">L793*Country_Data!$EB$117</f>
        <v>0.0311356070394659</v>
      </c>
    </row>
    <row r="794" customFormat="false" ht="15" hidden="false" customHeight="false" outlineLevel="0" collapsed="false">
      <c r="A794" s="14" t="str">
        <f aca="false">Country_Data!$A$117</f>
        <v>SDN</v>
      </c>
      <c r="B794" s="14" t="str">
        <f aca="false">Country_Data!$E$117</f>
        <v>EMDC</v>
      </c>
      <c r="C794" s="35" t="s">
        <v>484</v>
      </c>
      <c r="D794" s="37" t="n">
        <f aca="false">IF(Country_Data!$CD$117="","",Country_Data!$CD$117)</f>
        <v>0.247116245456195</v>
      </c>
      <c r="E794" s="40" t="n">
        <f aca="false">Country_Data!$BW$117</f>
        <v>115.292</v>
      </c>
      <c r="F794" s="41" t="n">
        <f aca="false">Country_Data!$BX$117</f>
        <v>0.252888318356868</v>
      </c>
      <c r="G794" s="42" t="n">
        <f aca="false">IF(D794="","",D794/SUMIFS($D$5:$D$1369,$B$5:$B$1369,B794,$C$5:$C$1369,C794))</f>
        <v>0.00137998739096834</v>
      </c>
      <c r="H794" s="42" t="n">
        <f aca="false">E794/SUMIFS($E$5:$E$1369,$B$5:$B$1369,B794,$C$5:$C$1369,C794)</f>
        <v>0.001428084985995</v>
      </c>
      <c r="I794" s="43" t="n">
        <f aca="false">IF(G794="",H794,p_beta_alloc*G794+(1-p_beta_alloc)*H794)*F794^p_phi</f>
        <v>0.000706061751907337</v>
      </c>
      <c r="J794" s="16" t="n">
        <f aca="false">INDEX(Sector_Params!$C$21:$E$21,MATCH(B794,Sector_Params!$C$15:$E$15,0))*I794/SUMIFS($I$5:$I$1369,$B$5:$B$1369,B794,$C$5:$C$1369,C794)</f>
        <v>0.156597313282555</v>
      </c>
      <c r="K794" s="28" t="n">
        <f aca="false">INDEX(Sector_Params!$F$10:$H$10,MATCH(B794,Sector_Params!$C$15:$E$15,0))</f>
        <v>0.24</v>
      </c>
      <c r="L794" s="16" t="n">
        <f aca="false">J794*K794</f>
        <v>0.0375833551878132</v>
      </c>
      <c r="M794" s="44" t="n">
        <f aca="false">Country_Data!$DW$117+Sector_Params!$E$10</f>
        <v>0.105</v>
      </c>
      <c r="N794" s="44" t="n">
        <f aca="false">Country_Data!$DX$117+Sector_Params!$E$10</f>
        <v>0.15</v>
      </c>
      <c r="O794" s="11" t="n">
        <f aca="false">IF(p_use_ibrd=1,p_r_ibrd,p_r_wb)</f>
        <v>0.06</v>
      </c>
      <c r="P794" s="45" t="n">
        <f aca="false">Sector_Params!$D$10</f>
        <v>20</v>
      </c>
      <c r="Q794" s="46" t="n">
        <f aca="false">M794/(1-(1+M794)^-P794)</f>
        <v>0.121493265267016</v>
      </c>
      <c r="R794" s="46" t="n">
        <f aca="false">N794/(1-(1+N794)^-P794)</f>
        <v>0.159761470405744</v>
      </c>
      <c r="S794" s="46" t="n">
        <f aca="false">O794/(1-(1+O794)^-P794)</f>
        <v>0.0871845569768514</v>
      </c>
      <c r="T794" s="37" t="n">
        <f aca="false">0*Sector_Params!$I$10</f>
        <v>0</v>
      </c>
      <c r="U794" s="37" t="n">
        <f aca="false">0*Sector_Params!$J$10</f>
        <v>0</v>
      </c>
      <c r="V794" s="37" t="n">
        <f aca="false">1000*p_r_wb/(1-(1+p_r_wb)^-Sector_Params!$D$10)/p_cpt_fuel</f>
        <v>0.871845569768514</v>
      </c>
      <c r="W794" s="16" t="n">
        <f aca="false">T794*L794</f>
        <v>0</v>
      </c>
      <c r="X794" s="16" t="n">
        <f aca="false">U794*L794</f>
        <v>0</v>
      </c>
      <c r="Y794" s="16" t="n">
        <f aca="false">V794*L794</f>
        <v>0.0327668817175314</v>
      </c>
      <c r="Z794" s="16" t="n">
        <f aca="false">Q794*L794</f>
        <v>0.00456612454145748</v>
      </c>
      <c r="AA794" s="16" t="n">
        <f aca="false">R794*L794</f>
        <v>0.00600437208758638</v>
      </c>
      <c r="AB794" s="16" t="n">
        <f aca="false">S794*L794</f>
        <v>0.00327668817175314</v>
      </c>
      <c r="AC794" s="16" t="n">
        <f aca="false">Z794-W794</f>
        <v>0.00456612454145748</v>
      </c>
      <c r="AD794" s="16" t="n">
        <f aca="false">AA794-W794</f>
        <v>0.00600437208758638</v>
      </c>
      <c r="AE794" s="16" t="n">
        <f aca="false">AB794-W794</f>
        <v>0.00327668817175314</v>
      </c>
      <c r="AF794" s="16" t="n">
        <f aca="false">AE794-X794</f>
        <v>0.00327668817175314</v>
      </c>
      <c r="AG794" s="16" t="n">
        <f aca="false">AF794-p_spc_lo*Y794/1000</f>
        <v>0.00163834408587657</v>
      </c>
      <c r="AH794" s="16" t="n">
        <f aca="false">AF794-p_spc_hi*Y794/1000</f>
        <v>0</v>
      </c>
      <c r="AI794" s="16" t="n">
        <f aca="false">Q794*J794</f>
        <v>0.0190255189227395</v>
      </c>
      <c r="AJ794" s="16" t="n">
        <f aca="false">S794*J794</f>
        <v>0.0136528673823048</v>
      </c>
      <c r="AK794" s="16" t="n">
        <f aca="false">T794*J794</f>
        <v>0</v>
      </c>
      <c r="AL794" s="16" t="n">
        <f aca="false">U794*J794</f>
        <v>0</v>
      </c>
      <c r="AM794" s="16" t="n">
        <f aca="false">AI794-AJ794</f>
        <v>0.00537265154043472</v>
      </c>
      <c r="AN794" s="16" t="n">
        <f aca="false">J794*Country_Data!$EB$117</f>
        <v>0.19835659682457</v>
      </c>
      <c r="AO794" s="16" t="n">
        <f aca="false">L794*Country_Data!$EB$117</f>
        <v>0.0476055832378967</v>
      </c>
    </row>
    <row r="795" customFormat="false" ht="15" hidden="false" customHeight="false" outlineLevel="0" collapsed="false">
      <c r="A795" s="14" t="str">
        <f aca="false">Country_Data!$A$117</f>
        <v>SDN</v>
      </c>
      <c r="B795" s="14" t="str">
        <f aca="false">Country_Data!$E$117</f>
        <v>EMDC</v>
      </c>
      <c r="C795" s="35" t="s">
        <v>488</v>
      </c>
      <c r="D795" s="37" t="n">
        <f aca="false">IF(Country_Data!$CE$117="","",Country_Data!$CE$117)</f>
        <v>142.399</v>
      </c>
      <c r="E795" s="40" t="n">
        <f aca="false">Country_Data!$BW$117</f>
        <v>115.292</v>
      </c>
      <c r="F795" s="41" t="n">
        <f aca="false">Country_Data!$BX$117</f>
        <v>0.252888318356868</v>
      </c>
      <c r="G795" s="42" t="n">
        <f aca="false">IF(D795="","",D795/SUMIFS($D$5:$D$1369,$B$5:$B$1369,B795,$C$5:$C$1369,C795))</f>
        <v>0.0116681183634038</v>
      </c>
      <c r="H795" s="42" t="n">
        <f aca="false">E795/SUMIFS($E$5:$E$1369,$B$5:$B$1369,B795,$C$5:$C$1369,C795)</f>
        <v>0.001428084985995</v>
      </c>
      <c r="I795" s="43" t="n">
        <f aca="false">IF(G795="",H795,p_beta_alloc*G795+(1-p_beta_alloc)*H795)*F795^p_phi</f>
        <v>0.00329290952614643</v>
      </c>
      <c r="J795" s="16" t="n">
        <f aca="false">INDEX(Sector_Params!$C$22:$E$22,MATCH(B795,Sector_Params!$C$15:$E$15,0))*I795/SUMIFS($I$5:$I$1369,$B$5:$B$1369,B795,$C$5:$C$1369,C795)</f>
        <v>1.98499348400698</v>
      </c>
      <c r="K795" s="28" t="n">
        <f aca="false">INDEX(Sector_Params!$F$11:$H$11,MATCH(B795,Sector_Params!$C$15:$E$15,0))</f>
        <v>0.24</v>
      </c>
      <c r="L795" s="16" t="n">
        <f aca="false">J795*K795</f>
        <v>0.476398436161676</v>
      </c>
      <c r="M795" s="44" t="n">
        <f aca="false">Country_Data!$DW$117+Sector_Params!$E$11</f>
        <v>0.105</v>
      </c>
      <c r="N795" s="44" t="n">
        <f aca="false">Country_Data!$DX$117+Sector_Params!$E$11</f>
        <v>0.15</v>
      </c>
      <c r="O795" s="11" t="n">
        <f aca="false">IF(p_use_ibrd=1,p_r_ibrd,p_r_wb)</f>
        <v>0.06</v>
      </c>
      <c r="P795" s="45" t="n">
        <f aca="false">Sector_Params!$D$11</f>
        <v>30</v>
      </c>
      <c r="Q795" s="46" t="n">
        <f aca="false">M795/(1-(1+M795)^-P795)</f>
        <v>0.110528481529605</v>
      </c>
      <c r="R795" s="46" t="n">
        <f aca="false">N795/(1-(1+N795)^-P795)</f>
        <v>0.152300198192734</v>
      </c>
      <c r="S795" s="46" t="n">
        <f aca="false">O795/(1-(1+O795)^-P795)</f>
        <v>0.0726489114900472</v>
      </c>
      <c r="T795" s="37" t="n">
        <f aca="false">0*Sector_Params!$I$11</f>
        <v>0</v>
      </c>
      <c r="U795" s="37" t="n">
        <f aca="false">p_c*Sector_Params!$J$11</f>
        <v>0.129</v>
      </c>
      <c r="V795" s="37" t="n">
        <f aca="false">1000*p_r_wb/(1-(1+p_r_wb)^-Sector_Params!$D$11)/p_cpt_afolu</f>
        <v>1.45297822980094</v>
      </c>
      <c r="W795" s="16" t="n">
        <f aca="false">T795*L795</f>
        <v>0</v>
      </c>
      <c r="X795" s="16" t="n">
        <f aca="false">U795*L795</f>
        <v>0.0614553982648562</v>
      </c>
      <c r="Y795" s="16" t="n">
        <f aca="false">V795*L795</f>
        <v>0.69219655645413</v>
      </c>
      <c r="Z795" s="16" t="n">
        <f aca="false">Q795*L795</f>
        <v>0.0526555957520286</v>
      </c>
      <c r="AA795" s="16" t="n">
        <f aca="false">R795*L795</f>
        <v>0.0725555762461319</v>
      </c>
      <c r="AB795" s="16" t="n">
        <f aca="false">S795*L795</f>
        <v>0.0346098278227065</v>
      </c>
      <c r="AC795" s="16" t="n">
        <f aca="false">Z795-W795</f>
        <v>0.0526555957520286</v>
      </c>
      <c r="AD795" s="16" t="n">
        <f aca="false">AA795-W795</f>
        <v>0.0725555762461319</v>
      </c>
      <c r="AE795" s="16" t="n">
        <f aca="false">AB795-W795</f>
        <v>0.0346098278227065</v>
      </c>
      <c r="AF795" s="16" t="n">
        <f aca="false">AE795-X795</f>
        <v>-0.0268455704421497</v>
      </c>
      <c r="AG795" s="16" t="n">
        <f aca="false">AF795-p_spc_lo*Y795/1000</f>
        <v>-0.0614553982648562</v>
      </c>
      <c r="AH795" s="16" t="n">
        <f aca="false">AF795-p_spc_hi*Y795/1000</f>
        <v>-0.0960652260875627</v>
      </c>
      <c r="AI795" s="16" t="n">
        <f aca="false">Q795*J795</f>
        <v>0.219398315633453</v>
      </c>
      <c r="AJ795" s="16" t="n">
        <f aca="false">S795*J795</f>
        <v>0.144207615927944</v>
      </c>
      <c r="AK795" s="16" t="n">
        <f aca="false">T795*J795</f>
        <v>0</v>
      </c>
      <c r="AL795" s="16" t="n">
        <f aca="false">U795*J795</f>
        <v>0.256064159436901</v>
      </c>
      <c r="AM795" s="16" t="n">
        <f aca="false">AI795-AJ795</f>
        <v>0.0751906997055087</v>
      </c>
      <c r="AN795" s="16" t="n">
        <f aca="false">J795*Country_Data!$EB$117</f>
        <v>2.51432507974218</v>
      </c>
      <c r="AO795" s="16" t="n">
        <f aca="false">L795*Country_Data!$EB$117</f>
        <v>0.603438019138123</v>
      </c>
    </row>
    <row r="796" customFormat="false" ht="15" hidden="false" customHeight="false" outlineLevel="0" collapsed="false">
      <c r="A796" s="14" t="str">
        <f aca="false">Country_Data!$A$118</f>
        <v>ALB</v>
      </c>
      <c r="B796" s="14" t="str">
        <f aca="false">Country_Data!$E$118</f>
        <v>EMDC</v>
      </c>
      <c r="C796" s="35" t="s">
        <v>466</v>
      </c>
      <c r="D796" s="37" t="n">
        <f aca="false">IF(Country_Data!$BZ$118="","",Country_Data!$BZ$118)</f>
        <v>7.43786319883408</v>
      </c>
      <c r="E796" s="40" t="n">
        <f aca="false">Country_Data!$BW$118</f>
        <v>59.384</v>
      </c>
      <c r="F796" s="41" t="n">
        <f aca="false">Country_Data!$BX$118</f>
        <v>0.456082446450222</v>
      </c>
      <c r="G796" s="42" t="n">
        <f aca="false">IF(D796="","",D796/SUMIFS($D$5:$D$1369,$B$5:$B$1369,B796,$C$5:$C$1369,C796))</f>
        <v>0.000849122345808717</v>
      </c>
      <c r="H796" s="42" t="n">
        <f aca="false">E796/SUMIFS($E$5:$E$1369,$B$5:$B$1369,B796,$C$5:$C$1369,C796)</f>
        <v>0.000735570540959712</v>
      </c>
      <c r="I796" s="43" t="n">
        <f aca="false">IF(G796="",H796,p_beta_alloc*G796+(1-p_beta_alloc)*H796)*F796^p_phi</f>
        <v>0.00053510226790453</v>
      </c>
      <c r="J796" s="16" t="n">
        <f aca="false">INDEX(Sector_Params!$C$16:$E$16,MATCH(B796,Sector_Params!$C$15:$E$15,0))*I796/SUMIFS($I$5:$I$1369,$B$5:$B$1369,B796,$C$5:$C$1369,C796)</f>
        <v>0.517564479529372</v>
      </c>
      <c r="K796" s="28" t="n">
        <f aca="false">INDEX(Sector_Params!$F$5:$H$5,MATCH(B796,Sector_Params!$C$15:$E$15,0))</f>
        <v>0.24</v>
      </c>
      <c r="L796" s="16" t="n">
        <f aca="false">J796*K796</f>
        <v>0.124215475087049</v>
      </c>
      <c r="M796" s="44" t="n">
        <f aca="false">Country_Data!$DW$118+Sector_Params!$E$5</f>
        <v>0.105</v>
      </c>
      <c r="N796" s="44" t="n">
        <f aca="false">Country_Data!$DX$118+Sector_Params!$E$5</f>
        <v>0.15</v>
      </c>
      <c r="O796" s="11" t="n">
        <f aca="false">IF(p_use_ibrd=1,p_r_ibrd,p_r_wb)</f>
        <v>0.06</v>
      </c>
      <c r="P796" s="45" t="n">
        <f aca="false">Sector_Params!$D$5</f>
        <v>25</v>
      </c>
      <c r="Q796" s="46" t="n">
        <f aca="false">M796/(1-(1+M796)^-P796)</f>
        <v>0.114429319813103</v>
      </c>
      <c r="R796" s="46" t="n">
        <f aca="false">N796/(1-(1+N796)^-P796)</f>
        <v>0.154699402320206</v>
      </c>
      <c r="S796" s="46" t="n">
        <f aca="false">O796/(1-(1+O796)^-P796)</f>
        <v>0.078226718212274</v>
      </c>
      <c r="T796" s="37" t="n">
        <f aca="false">IF(AND(p_eng=1,ISNUMBER(Country_Data!$CZ$118)),Country_Data!$CZ$118,Country_Data!$CM$118)*Sector_Params!$I$5</f>
        <v>0.174747835022343</v>
      </c>
      <c r="U796" s="37" t="n">
        <f aca="false">IF(AND(p_eng=1,ISNUMBER(Country_Data!$DA$118)),Country_Data!$DA$118,Country_Data!$CN$118)*Sector_Params!$J$5</f>
        <v>0.0947709095265389</v>
      </c>
      <c r="V796" s="37" t="n">
        <f aca="false">IF(AND(p_eng=1,ISNUMBER(Country_Data!$DB$118)),Country_Data!$DB$118,p_a)</f>
        <v>0.35</v>
      </c>
      <c r="W796" s="16" t="n">
        <f aca="false">T796*L796</f>
        <v>0.0217063853477337</v>
      </c>
      <c r="X796" s="16" t="n">
        <f aca="false">U796*L796</f>
        <v>0.0117720135512708</v>
      </c>
      <c r="Y796" s="16" t="n">
        <f aca="false">V796*L796</f>
        <v>0.0434754162804673</v>
      </c>
      <c r="Z796" s="16" t="n">
        <f aca="false">Q796*L796</f>
        <v>0.0142138923244725</v>
      </c>
      <c r="AA796" s="16" t="n">
        <f aca="false">R796*L796</f>
        <v>0.019216059754887</v>
      </c>
      <c r="AB796" s="16" t="n">
        <f aca="false">S796*L796</f>
        <v>0.00971696896723834</v>
      </c>
      <c r="AC796" s="16" t="n">
        <f aca="false">Z796-W796</f>
        <v>-0.00749249302326112</v>
      </c>
      <c r="AD796" s="16" t="n">
        <f aca="false">AA796-W796</f>
        <v>-0.00249032559284663</v>
      </c>
      <c r="AE796" s="16" t="n">
        <f aca="false">AB796-W796</f>
        <v>-0.0119894163804953</v>
      </c>
      <c r="AF796" s="16" t="n">
        <f aca="false">AE796-X796</f>
        <v>-0.0237614299317661</v>
      </c>
      <c r="AG796" s="16" t="n">
        <f aca="false">AF796-p_spc_lo*Y796/1000</f>
        <v>-0.0259352007457895</v>
      </c>
      <c r="AH796" s="16" t="n">
        <f aca="false">AF796-p_spc_hi*Y796/1000</f>
        <v>-0.0281089715598128</v>
      </c>
      <c r="AI796" s="16" t="n">
        <f aca="false">Q796*J796</f>
        <v>0.0592245513519689</v>
      </c>
      <c r="AJ796" s="16" t="n">
        <f aca="false">S796*J796</f>
        <v>0.0404873706968264</v>
      </c>
      <c r="AK796" s="16" t="n">
        <f aca="false">T796*J796</f>
        <v>0.0904432722822235</v>
      </c>
      <c r="AL796" s="16" t="n">
        <f aca="false">U796*J796</f>
        <v>0.0490500564636283</v>
      </c>
      <c r="AM796" s="16" t="n">
        <f aca="false">AI796-AJ796</f>
        <v>0.0187371806551425</v>
      </c>
      <c r="AN796" s="16" t="n">
        <f aca="false">J796*Country_Data!$EB$118</f>
        <v>0.575956369527558</v>
      </c>
      <c r="AO796" s="16" t="n">
        <f aca="false">L796*Country_Data!$EB$118</f>
        <v>0.138229528686614</v>
      </c>
    </row>
    <row r="797" customFormat="false" ht="15" hidden="false" customHeight="false" outlineLevel="0" collapsed="false">
      <c r="A797" s="14" t="str">
        <f aca="false">Country_Data!$A$118</f>
        <v>ALB</v>
      </c>
      <c r="B797" s="14" t="str">
        <f aca="false">Country_Data!$E$118</f>
        <v>EMDC</v>
      </c>
      <c r="C797" s="35" t="s">
        <v>470</v>
      </c>
      <c r="D797" s="37" t="n">
        <f aca="false">IF(Country_Data!$BZ$118="","",Country_Data!$BZ$118)</f>
        <v>7.43786319883408</v>
      </c>
      <c r="E797" s="40" t="n">
        <f aca="false">Country_Data!$BW$118</f>
        <v>59.384</v>
      </c>
      <c r="F797" s="41" t="n">
        <f aca="false">Country_Data!$BX$118</f>
        <v>0.456082446450222</v>
      </c>
      <c r="G797" s="42" t="n">
        <f aca="false">IF(D797="","",D797/SUMIFS($D$5:$D$1369,$B$5:$B$1369,B797,$C$5:$C$1369,C797))</f>
        <v>0.000849122345808717</v>
      </c>
      <c r="H797" s="42" t="n">
        <f aca="false">E797/SUMIFS($E$5:$E$1369,$B$5:$B$1369,B797,$C$5:$C$1369,C797)</f>
        <v>0.000735570540959712</v>
      </c>
      <c r="I797" s="43" t="n">
        <f aca="false">IF(G797="",H797,p_beta_alloc*G797+(1-p_beta_alloc)*H797)*F797^p_phi</f>
        <v>0.00053510226790453</v>
      </c>
      <c r="J797" s="16" t="n">
        <f aca="false">INDEX(Sector_Params!$C$17:$E$17,MATCH(B797,Sector_Params!$C$15:$E$15,0))*I797/SUMIFS($I$5:$I$1369,$B$5:$B$1369,B797,$C$5:$C$1369,C797)</f>
        <v>0.354901357391569</v>
      </c>
      <c r="K797" s="28" t="n">
        <f aca="false">INDEX(Sector_Params!$F$6:$H$6,MATCH(B797,Sector_Params!$C$15:$E$15,0))</f>
        <v>0.24</v>
      </c>
      <c r="L797" s="16" t="n">
        <f aca="false">J797*K797</f>
        <v>0.0851763257739767</v>
      </c>
      <c r="M797" s="44" t="n">
        <f aca="false">Country_Data!$DW$118+Sector_Params!$E$6</f>
        <v>0.105</v>
      </c>
      <c r="N797" s="44" t="n">
        <f aca="false">Country_Data!$DX$118+Sector_Params!$E$6</f>
        <v>0.15</v>
      </c>
      <c r="O797" s="11" t="n">
        <f aca="false">IF(p_use_ibrd=1,p_r_ibrd,p_r_wb)</f>
        <v>0.06</v>
      </c>
      <c r="P797" s="45" t="n">
        <f aca="false">Sector_Params!$D$6</f>
        <v>40</v>
      </c>
      <c r="Q797" s="46" t="n">
        <f aca="false">M797/(1-(1+M797)^-P797)</f>
        <v>0.10697140835497</v>
      </c>
      <c r="R797" s="46" t="n">
        <f aca="false">N797/(1-(1+N797)^-P797)</f>
        <v>0.150562085013545</v>
      </c>
      <c r="S797" s="46" t="n">
        <f aca="false">O797/(1-(1+O797)^-P797)</f>
        <v>0.0664615359206755</v>
      </c>
      <c r="T797" s="37" t="n">
        <f aca="false">p_grid_credit*IF(AND(p_eng=1,ISNUMBER(Country_Data!$CZ$118)),Country_Data!$CZ$118,Country_Data!$CM$118)*Sector_Params!$I$6</f>
        <v>0</v>
      </c>
      <c r="U797" s="37" t="n">
        <f aca="false">p_grid_credit*IF(AND(p_eng=1,ISNUMBER(Country_Data!$DA$118)),Country_Data!$DA$118,Country_Data!$CN$118)*Sector_Params!$J$6</f>
        <v>0</v>
      </c>
      <c r="V797" s="37" t="n">
        <f aca="false">p_grid_credit*IF(AND(p_eng=1,ISNUMBER(Country_Data!$DB$118)),Country_Data!$DB$118,p_a)</f>
        <v>0</v>
      </c>
      <c r="W797" s="16" t="n">
        <f aca="false">T797*L797</f>
        <v>0</v>
      </c>
      <c r="X797" s="16" t="n">
        <f aca="false">U797*L797</f>
        <v>0</v>
      </c>
      <c r="Y797" s="16" t="n">
        <f aca="false">V797*L797</f>
        <v>0</v>
      </c>
      <c r="Z797" s="16" t="n">
        <f aca="false">Q797*L797</f>
        <v>0.00911143152654404</v>
      </c>
      <c r="AA797" s="16" t="n">
        <f aca="false">R797*L797</f>
        <v>0.0128243252023229</v>
      </c>
      <c r="AB797" s="16" t="n">
        <f aca="false">S797*L797</f>
        <v>0.00566094943501831</v>
      </c>
      <c r="AC797" s="16" t="n">
        <f aca="false">Z797-W797</f>
        <v>0.00911143152654404</v>
      </c>
      <c r="AD797" s="16" t="n">
        <f aca="false">AA797-W797</f>
        <v>0.0128243252023229</v>
      </c>
      <c r="AE797" s="16" t="n">
        <f aca="false">AB797-W797</f>
        <v>0.00566094943501831</v>
      </c>
      <c r="AF797" s="16" t="n">
        <f aca="false">AE797-X797</f>
        <v>0.00566094943501831</v>
      </c>
      <c r="AG797" s="16" t="n">
        <f aca="false">AF797-p_spc_lo*Y797/1000</f>
        <v>0.00566094943501831</v>
      </c>
      <c r="AH797" s="16" t="n">
        <f aca="false">AF797-p_spc_hi*Y797/1000</f>
        <v>0.00566094943501831</v>
      </c>
      <c r="AI797" s="16" t="n">
        <f aca="false">Q797*J797</f>
        <v>0.0379642980272669</v>
      </c>
      <c r="AJ797" s="16" t="n">
        <f aca="false">S797*J797</f>
        <v>0.0235872893125763</v>
      </c>
      <c r="AK797" s="16" t="n">
        <f aca="false">T797*J797</f>
        <v>0</v>
      </c>
      <c r="AL797" s="16" t="n">
        <f aca="false">U797*J797</f>
        <v>0</v>
      </c>
      <c r="AM797" s="16" t="n">
        <f aca="false">AI797-AJ797</f>
        <v>0.0143770087146906</v>
      </c>
      <c r="AN797" s="16" t="n">
        <f aca="false">J797*Country_Data!$EB$118</f>
        <v>0.394941510533182</v>
      </c>
      <c r="AO797" s="16" t="n">
        <f aca="false">L797*Country_Data!$EB$118</f>
        <v>0.0947859625279638</v>
      </c>
    </row>
    <row r="798" customFormat="false" ht="15" hidden="false" customHeight="false" outlineLevel="0" collapsed="false">
      <c r="A798" s="14" t="str">
        <f aca="false">Country_Data!$A$118</f>
        <v>ALB</v>
      </c>
      <c r="B798" s="14" t="str">
        <f aca="false">Country_Data!$E$118</f>
        <v>EMDC</v>
      </c>
      <c r="C798" s="35" t="s">
        <v>473</v>
      </c>
      <c r="D798" s="37" t="n">
        <f aca="false">IF(Country_Data!$CA$118="","",Country_Data!$CA$118)</f>
        <v>0.028533380635142</v>
      </c>
      <c r="E798" s="40" t="n">
        <f aca="false">Country_Data!$BW$118</f>
        <v>59.384</v>
      </c>
      <c r="F798" s="41" t="n">
        <f aca="false">Country_Data!$BX$118</f>
        <v>0.456082446450222</v>
      </c>
      <c r="G798" s="42" t="n">
        <f aca="false">IF(D798="","",D798/SUMIFS($D$5:$D$1369,$B$5:$B$1369,B798,$C$5:$C$1369,C798))</f>
        <v>0.000659187481699681</v>
      </c>
      <c r="H798" s="42" t="n">
        <f aca="false">E798/SUMIFS($E$5:$E$1369,$B$5:$B$1369,B798,$C$5:$C$1369,C798)</f>
        <v>0.000735570540959712</v>
      </c>
      <c r="I798" s="43" t="n">
        <f aca="false">IF(G798="",H798,p_beta_alloc*G798+(1-p_beta_alloc)*H798)*F798^p_phi</f>
        <v>0.000470967079700245</v>
      </c>
      <c r="J798" s="16" t="n">
        <f aca="false">INDEX(Sector_Params!$C$18:$E$18,MATCH(B798,Sector_Params!$C$15:$E$15,0))*I798/SUMIFS($I$5:$I$1369,$B$5:$B$1369,B798,$C$5:$C$1369,C798)</f>
        <v>0.192849875484238</v>
      </c>
      <c r="K798" s="28" t="n">
        <f aca="false">INDEX(Sector_Params!$F$7:$H$7,MATCH(B798,Sector_Params!$C$15:$E$15,0))</f>
        <v>0.24</v>
      </c>
      <c r="L798" s="16" t="n">
        <f aca="false">J798*K798</f>
        <v>0.0462839701162171</v>
      </c>
      <c r="M798" s="44" t="n">
        <f aca="false">Country_Data!$DW$118+Sector_Params!$E$7</f>
        <v>0.105</v>
      </c>
      <c r="N798" s="44" t="n">
        <f aca="false">Country_Data!$DX$118+Sector_Params!$E$7</f>
        <v>0.15</v>
      </c>
      <c r="O798" s="11" t="n">
        <f aca="false">IF(p_use_ibrd=1,p_r_ibrd,p_r_wb)</f>
        <v>0.06</v>
      </c>
      <c r="P798" s="45" t="n">
        <f aca="false">Sector_Params!$D$7</f>
        <v>12</v>
      </c>
      <c r="Q798" s="46" t="n">
        <f aca="false">M798/(1-(1+M798)^-P798)</f>
        <v>0.150376745634766</v>
      </c>
      <c r="R798" s="46" t="n">
        <f aca="false">N798/(1-(1+N798)^-P798)</f>
        <v>0.18448077613084</v>
      </c>
      <c r="S798" s="46" t="n">
        <f aca="false">O798/(1-(1+O798)^-P798)</f>
        <v>0.119277029380664</v>
      </c>
      <c r="T798" s="37" t="n">
        <f aca="false">IF(AND(p_eng=1,ISNUMBER(Country_Data!$DE$118)),Country_Data!$DE$118,Country_Data!$CM$118)*Sector_Params!$I$7</f>
        <v>0.174747835022343</v>
      </c>
      <c r="U798" s="37" t="n">
        <f aca="false">IF(AND(p_eng=1,ISNUMBER(Country_Data!$DF$118)),Country_Data!$DF$118,Country_Data!$CN$118)*Sector_Params!$J$7</f>
        <v>0.0947709095265389</v>
      </c>
      <c r="V798" s="37" t="n">
        <f aca="false">IF(AND(p_eng=1,ISNUMBER(Country_Data!$DG$118)),Country_Data!$DG$118,p_a)</f>
        <v>0.35</v>
      </c>
      <c r="W798" s="16" t="n">
        <f aca="false">T798*L798</f>
        <v>0.00808802357404776</v>
      </c>
      <c r="X798" s="16" t="n">
        <f aca="false">U798*L798</f>
        <v>0.00438637394441304</v>
      </c>
      <c r="Y798" s="16" t="n">
        <f aca="false">V798*L798</f>
        <v>0.016199389540676</v>
      </c>
      <c r="Z798" s="16" t="n">
        <f aca="false">Q798*L798</f>
        <v>0.00696003280113348</v>
      </c>
      <c r="AA798" s="16" t="n">
        <f aca="false">R798*L798</f>
        <v>0.00853850272945632</v>
      </c>
      <c r="AB798" s="16" t="n">
        <f aca="false">S798*L798</f>
        <v>0.00552061446340578</v>
      </c>
      <c r="AC798" s="16" t="n">
        <f aca="false">Z798-W798</f>
        <v>-0.00112799077291428</v>
      </c>
      <c r="AD798" s="16" t="n">
        <f aca="false">AA798-W798</f>
        <v>0.000450479155408556</v>
      </c>
      <c r="AE798" s="16" t="n">
        <f aca="false">AB798-W798</f>
        <v>-0.00256740911064198</v>
      </c>
      <c r="AF798" s="16" t="n">
        <f aca="false">AE798-X798</f>
        <v>-0.00695378305505502</v>
      </c>
      <c r="AG798" s="16" t="n">
        <f aca="false">AF798-p_spc_lo*Y798/1000</f>
        <v>-0.00776375253208882</v>
      </c>
      <c r="AH798" s="16" t="n">
        <f aca="false">AF798-p_spc_hi*Y798/1000</f>
        <v>-0.00857372200912262</v>
      </c>
      <c r="AI798" s="16" t="n">
        <f aca="false">Q798*J798</f>
        <v>0.0290001366713895</v>
      </c>
      <c r="AJ798" s="16" t="n">
        <f aca="false">S798*J798</f>
        <v>0.0230025602641908</v>
      </c>
      <c r="AK798" s="16" t="n">
        <f aca="false">T798*J798</f>
        <v>0.033700098225199</v>
      </c>
      <c r="AL798" s="16" t="n">
        <f aca="false">U798*J798</f>
        <v>0.018276558101721</v>
      </c>
      <c r="AM798" s="16" t="n">
        <f aca="false">AI798-AJ798</f>
        <v>0.00599757640719873</v>
      </c>
      <c r="AN798" s="16" t="n">
        <f aca="false">J798*Country_Data!$EB$118</f>
        <v>0.214607297333742</v>
      </c>
      <c r="AO798" s="16" t="n">
        <f aca="false">L798*Country_Data!$EB$118</f>
        <v>0.051505751360098</v>
      </c>
    </row>
    <row r="799" customFormat="false" ht="15" hidden="false" customHeight="false" outlineLevel="0" collapsed="false">
      <c r="A799" s="14" t="str">
        <f aca="false">Country_Data!$A$118</f>
        <v>ALB</v>
      </c>
      <c r="B799" s="14" t="str">
        <f aca="false">Country_Data!$E$118</f>
        <v>EMDC</v>
      </c>
      <c r="C799" s="35" t="s">
        <v>477</v>
      </c>
      <c r="D799" s="37" t="n">
        <f aca="false">IF(Country_Data!$CB$118="","",Country_Data!$CB$118)</f>
        <v>0.0234140972735527</v>
      </c>
      <c r="E799" s="40" t="n">
        <f aca="false">Country_Data!$BW$118</f>
        <v>59.384</v>
      </c>
      <c r="F799" s="41" t="n">
        <f aca="false">Country_Data!$BX$118</f>
        <v>0.456082446450222</v>
      </c>
      <c r="G799" s="42" t="n">
        <f aca="false">IF(D799="","",D799/SUMIFS($D$5:$D$1369,$B$5:$B$1369,B799,$C$5:$C$1369,C799))</f>
        <v>0.000738317782968723</v>
      </c>
      <c r="H799" s="42" t="n">
        <f aca="false">E799/SUMIFS($E$5:$E$1369,$B$5:$B$1369,B799,$C$5:$C$1369,C799)</f>
        <v>0.000735570540959712</v>
      </c>
      <c r="I799" s="43" t="n">
        <f aca="false">IF(G799="",H799,p_beta_alloc*G799+(1-p_beta_alloc)*H799)*F799^p_phi</f>
        <v>0.000497686959635708</v>
      </c>
      <c r="J799" s="16" t="n">
        <f aca="false">INDEX(Sector_Params!$C$19:$E$19,MATCH(B799,Sector_Params!$C$15:$E$15,0))*I799/SUMIFS($I$5:$I$1369,$B$5:$B$1369,B799,$C$5:$C$1369,C799)</f>
        <v>0.160186817085223</v>
      </c>
      <c r="K799" s="28" t="n">
        <f aca="false">INDEX(Sector_Params!$F$8:$H$8,MATCH(B799,Sector_Params!$C$15:$E$15,0))</f>
        <v>0.24</v>
      </c>
      <c r="L799" s="16" t="n">
        <f aca="false">J799*K799</f>
        <v>0.0384448361004536</v>
      </c>
      <c r="M799" s="44" t="n">
        <f aca="false">Country_Data!$DW$118+Sector_Params!$E$8</f>
        <v>0.105</v>
      </c>
      <c r="N799" s="44" t="n">
        <f aca="false">Country_Data!$DX$118+Sector_Params!$E$8</f>
        <v>0.15</v>
      </c>
      <c r="O799" s="11" t="n">
        <f aca="false">IF(p_use_ibrd=1,p_r_ibrd,p_r_wb)</f>
        <v>0.06</v>
      </c>
      <c r="P799" s="45" t="n">
        <f aca="false">Sector_Params!$D$8</f>
        <v>25</v>
      </c>
      <c r="Q799" s="46" t="n">
        <f aca="false">M799/(1-(1+M799)^-P799)</f>
        <v>0.114429319813103</v>
      </c>
      <c r="R799" s="46" t="n">
        <f aca="false">N799/(1-(1+N799)^-P799)</f>
        <v>0.154699402320206</v>
      </c>
      <c r="S799" s="46" t="n">
        <f aca="false">O799/(1-(1+O799)^-P799)</f>
        <v>0.078226718212274</v>
      </c>
      <c r="T799" s="37" t="n">
        <f aca="false">Country_Data!$CM$118*Sector_Params!$I$8</f>
        <v>0.174747835022343</v>
      </c>
      <c r="U799" s="37" t="n">
        <f aca="false">Country_Data!$CN$118*Sector_Params!$J$8</f>
        <v>0.0947709095265389</v>
      </c>
      <c r="V799" s="37" t="n">
        <f aca="false">p_a</f>
        <v>0.35</v>
      </c>
      <c r="W799" s="16" t="n">
        <f aca="false">T799*L799</f>
        <v>0.00671815187634308</v>
      </c>
      <c r="X799" s="16" t="n">
        <f aca="false">U799*L799</f>
        <v>0.00364345208383871</v>
      </c>
      <c r="Y799" s="16" t="n">
        <f aca="false">V799*L799</f>
        <v>0.0134556926351588</v>
      </c>
      <c r="Z799" s="16" t="n">
        <f aca="false">Q799*L799</f>
        <v>0.00439921644530115</v>
      </c>
      <c r="AA799" s="16" t="n">
        <f aca="false">R799*L799</f>
        <v>0.00594739316703847</v>
      </c>
      <c r="AB799" s="16" t="n">
        <f aca="false">S799*L799</f>
        <v>0.00300741336034724</v>
      </c>
      <c r="AC799" s="16" t="n">
        <f aca="false">Z799-W799</f>
        <v>-0.00231893543104194</v>
      </c>
      <c r="AD799" s="16" t="n">
        <f aca="false">AA799-W799</f>
        <v>-0.000770758709304613</v>
      </c>
      <c r="AE799" s="16" t="n">
        <f aca="false">AB799-W799</f>
        <v>-0.00371073851599584</v>
      </c>
      <c r="AF799" s="16" t="n">
        <f aca="false">AE799-X799</f>
        <v>-0.00735419059983455</v>
      </c>
      <c r="AG799" s="16" t="n">
        <f aca="false">AF799-p_spc_lo*Y799/1000</f>
        <v>-0.00802697523159249</v>
      </c>
      <c r="AH799" s="16" t="n">
        <f aca="false">AF799-p_spc_hi*Y799/1000</f>
        <v>-0.00869975986335043</v>
      </c>
      <c r="AI799" s="16" t="n">
        <f aca="false">Q799*J799</f>
        <v>0.0183300685220881</v>
      </c>
      <c r="AJ799" s="16" t="n">
        <f aca="false">S799*J799</f>
        <v>0.0125308890014468</v>
      </c>
      <c r="AK799" s="16" t="n">
        <f aca="false">T799*J799</f>
        <v>0.0279922994847629</v>
      </c>
      <c r="AL799" s="16" t="n">
        <f aca="false">U799*J799</f>
        <v>0.0151810503493279</v>
      </c>
      <c r="AM799" s="16" t="n">
        <f aca="false">AI799-AJ799</f>
        <v>0.00579917952064127</v>
      </c>
      <c r="AN799" s="16" t="n">
        <f aca="false">J799*Country_Data!$EB$118</f>
        <v>0.178259175935864</v>
      </c>
      <c r="AO799" s="16" t="n">
        <f aca="false">L799*Country_Data!$EB$118</f>
        <v>0.0427822022246074</v>
      </c>
    </row>
    <row r="800" customFormat="false" ht="15" hidden="false" customHeight="false" outlineLevel="0" collapsed="false">
      <c r="A800" s="14" t="str">
        <f aca="false">Country_Data!$A$118</f>
        <v>ALB</v>
      </c>
      <c r="B800" s="14" t="str">
        <f aca="false">Country_Data!$E$118</f>
        <v>EMDC</v>
      </c>
      <c r="C800" s="35" t="s">
        <v>481</v>
      </c>
      <c r="D800" s="37" t="n">
        <f aca="false">IF(Country_Data!$CC$118="","",Country_Data!$CC$118)</f>
        <v>0.0291951166315753</v>
      </c>
      <c r="E800" s="40" t="n">
        <f aca="false">Country_Data!$BW$118</f>
        <v>59.384</v>
      </c>
      <c r="F800" s="41" t="n">
        <f aca="false">Country_Data!$BX$118</f>
        <v>0.456082446450222</v>
      </c>
      <c r="G800" s="42" t="n">
        <f aca="false">IF(D800="","",D800/SUMIFS($D$5:$D$1369,$B$5:$B$1369,B800,$C$5:$C$1369,C800))</f>
        <v>0.000417029857517586</v>
      </c>
      <c r="H800" s="42" t="n">
        <f aca="false">E800/SUMIFS($E$5:$E$1369,$B$5:$B$1369,B800,$C$5:$C$1369,C800)</f>
        <v>0.000735570540959712</v>
      </c>
      <c r="I800" s="43" t="n">
        <f aca="false">IF(G800="",H800,p_beta_alloc*G800+(1-p_beta_alloc)*H800)*F800^p_phi</f>
        <v>0.000389197864370167</v>
      </c>
      <c r="J800" s="16" t="n">
        <f aca="false">INDEX(Sector_Params!$C$20:$E$20,MATCH(B800,Sector_Params!$C$15:$E$15,0))*I800/SUMIFS($I$5:$I$1369,$B$5:$B$1369,B800,$C$5:$C$1369,C800)</f>
        <v>0.0710364477923292</v>
      </c>
      <c r="K800" s="28" t="n">
        <f aca="false">INDEX(Sector_Params!$F$9:$H$9,MATCH(B800,Sector_Params!$C$15:$E$15,0))</f>
        <v>0.24</v>
      </c>
      <c r="L800" s="16" t="n">
        <f aca="false">J800*K800</f>
        <v>0.017048747470159</v>
      </c>
      <c r="M800" s="44" t="n">
        <f aca="false">Country_Data!$DW$118+Sector_Params!$E$9</f>
        <v>0.105</v>
      </c>
      <c r="N800" s="44" t="n">
        <f aca="false">Country_Data!$DX$118+Sector_Params!$E$9</f>
        <v>0.15</v>
      </c>
      <c r="O800" s="11" t="n">
        <f aca="false">IF(p_use_ibrd=1,p_r_ibrd,p_r_wb)</f>
        <v>0.06</v>
      </c>
      <c r="P800" s="45" t="n">
        <f aca="false">Sector_Params!$D$9</f>
        <v>25</v>
      </c>
      <c r="Q800" s="46" t="n">
        <f aca="false">M800/(1-(1+M800)^-P800)</f>
        <v>0.114429319813103</v>
      </c>
      <c r="R800" s="46" t="n">
        <f aca="false">N800/(1-(1+N800)^-P800)</f>
        <v>0.154699402320206</v>
      </c>
      <c r="S800" s="46" t="n">
        <f aca="false">O800/(1-(1+O800)^-P800)</f>
        <v>0.078226718212274</v>
      </c>
      <c r="T800" s="37" t="n">
        <f aca="false">Country_Data!$CM$118*Sector_Params!$I$9</f>
        <v>0.174747835022343</v>
      </c>
      <c r="U800" s="37" t="n">
        <f aca="false">Country_Data!$CN$118*Sector_Params!$J$9</f>
        <v>0.0947709095265389</v>
      </c>
      <c r="V800" s="37" t="n">
        <f aca="false">p_a</f>
        <v>0.35</v>
      </c>
      <c r="W800" s="16" t="n">
        <f aca="false">T800*L800</f>
        <v>0.00297923171025293</v>
      </c>
      <c r="X800" s="16" t="n">
        <f aca="false">U800*L800</f>
        <v>0.00161572530403525</v>
      </c>
      <c r="Y800" s="16" t="n">
        <f aca="false">V800*L800</f>
        <v>0.00596706161455565</v>
      </c>
      <c r="Z800" s="16" t="n">
        <f aca="false">Q800*L800</f>
        <v>0.00195087657667566</v>
      </c>
      <c r="AA800" s="16" t="n">
        <f aca="false">R800*L800</f>
        <v>0.00263743104394173</v>
      </c>
      <c r="AB800" s="16" t="n">
        <f aca="false">S800*L800</f>
        <v>0.00133366756422035</v>
      </c>
      <c r="AC800" s="16" t="n">
        <f aca="false">Z800-W800</f>
        <v>-0.00102835513357727</v>
      </c>
      <c r="AD800" s="16" t="n">
        <f aca="false">AA800-W800</f>
        <v>-0.000341800666311203</v>
      </c>
      <c r="AE800" s="16" t="n">
        <f aca="false">AB800-W800</f>
        <v>-0.00164556414603259</v>
      </c>
      <c r="AF800" s="16" t="n">
        <f aca="false">AE800-X800</f>
        <v>-0.00326128945006783</v>
      </c>
      <c r="AG800" s="16" t="n">
        <f aca="false">AF800-p_spc_lo*Y800/1000</f>
        <v>-0.00355964253079562</v>
      </c>
      <c r="AH800" s="16" t="n">
        <f aca="false">AF800-p_spc_hi*Y800/1000</f>
        <v>-0.0038579956115234</v>
      </c>
      <c r="AI800" s="16" t="n">
        <f aca="false">Q800*J800</f>
        <v>0.00812865240281525</v>
      </c>
      <c r="AJ800" s="16" t="n">
        <f aca="false">S800*J800</f>
        <v>0.00555694818425144</v>
      </c>
      <c r="AK800" s="16" t="n">
        <f aca="false">T800*J800</f>
        <v>0.0124134654593872</v>
      </c>
      <c r="AL800" s="16" t="n">
        <f aca="false">U800*J800</f>
        <v>0.00673218876681353</v>
      </c>
      <c r="AM800" s="16" t="n">
        <f aca="false">AI800-AJ800</f>
        <v>0.00257170421856381</v>
      </c>
      <c r="AN800" s="16" t="n">
        <f aca="false">J800*Country_Data!$EB$118</f>
        <v>0.0790508162612073</v>
      </c>
      <c r="AO800" s="16" t="n">
        <f aca="false">L800*Country_Data!$EB$118</f>
        <v>0.0189721959026898</v>
      </c>
    </row>
    <row r="801" customFormat="false" ht="15" hidden="false" customHeight="false" outlineLevel="0" collapsed="false">
      <c r="A801" s="14" t="str">
        <f aca="false">Country_Data!$A$118</f>
        <v>ALB</v>
      </c>
      <c r="B801" s="14" t="str">
        <f aca="false">Country_Data!$E$118</f>
        <v>EMDC</v>
      </c>
      <c r="C801" s="35" t="s">
        <v>484</v>
      </c>
      <c r="D801" s="37" t="n">
        <f aca="false">IF(Country_Data!$CD$118="","",Country_Data!$CD$118)</f>
        <v>0.0543886494888364</v>
      </c>
      <c r="E801" s="40" t="n">
        <f aca="false">Country_Data!$BW$118</f>
        <v>59.384</v>
      </c>
      <c r="F801" s="41" t="n">
        <f aca="false">Country_Data!$BX$118</f>
        <v>0.456082446450222</v>
      </c>
      <c r="G801" s="42" t="n">
        <f aca="false">IF(D801="","",D801/SUMIFS($D$5:$D$1369,$B$5:$B$1369,B801,$C$5:$C$1369,C801))</f>
        <v>0.000303726087970594</v>
      </c>
      <c r="H801" s="42" t="n">
        <f aca="false">E801/SUMIFS($E$5:$E$1369,$B$5:$B$1369,B801,$C$5:$C$1369,C801)</f>
        <v>0.000735570540959712</v>
      </c>
      <c r="I801" s="43" t="n">
        <f aca="false">IF(G801="",H801,p_beta_alloc*G801+(1-p_beta_alloc)*H801)*F801^p_phi</f>
        <v>0.000350938650516834</v>
      </c>
      <c r="J801" s="16" t="n">
        <f aca="false">INDEX(Sector_Params!$C$21:$E$21,MATCH(B801,Sector_Params!$C$15:$E$15,0))*I801/SUMIFS($I$5:$I$1369,$B$5:$B$1369,B801,$C$5:$C$1369,C801)</f>
        <v>0.0778346223251507</v>
      </c>
      <c r="K801" s="28" t="n">
        <f aca="false">INDEX(Sector_Params!$F$10:$H$10,MATCH(B801,Sector_Params!$C$15:$E$15,0))</f>
        <v>0.24</v>
      </c>
      <c r="L801" s="16" t="n">
        <f aca="false">J801*K801</f>
        <v>0.0186803093580362</v>
      </c>
      <c r="M801" s="44" t="n">
        <f aca="false">Country_Data!$DW$118+Sector_Params!$E$10</f>
        <v>0.105</v>
      </c>
      <c r="N801" s="44" t="n">
        <f aca="false">Country_Data!$DX$118+Sector_Params!$E$10</f>
        <v>0.15</v>
      </c>
      <c r="O801" s="11" t="n">
        <f aca="false">IF(p_use_ibrd=1,p_r_ibrd,p_r_wb)</f>
        <v>0.06</v>
      </c>
      <c r="P801" s="45" t="n">
        <f aca="false">Sector_Params!$D$10</f>
        <v>20</v>
      </c>
      <c r="Q801" s="46" t="n">
        <f aca="false">M801/(1-(1+M801)^-P801)</f>
        <v>0.121493265267016</v>
      </c>
      <c r="R801" s="46" t="n">
        <f aca="false">N801/(1-(1+N801)^-P801)</f>
        <v>0.159761470405744</v>
      </c>
      <c r="S801" s="46" t="n">
        <f aca="false">O801/(1-(1+O801)^-P801)</f>
        <v>0.0871845569768514</v>
      </c>
      <c r="T801" s="37" t="n">
        <f aca="false">0*Sector_Params!$I$10</f>
        <v>0</v>
      </c>
      <c r="U801" s="37" t="n">
        <f aca="false">0*Sector_Params!$J$10</f>
        <v>0</v>
      </c>
      <c r="V801" s="37" t="n">
        <f aca="false">1000*p_r_wb/(1-(1+p_r_wb)^-Sector_Params!$D$10)/p_cpt_fuel</f>
        <v>0.871845569768514</v>
      </c>
      <c r="W801" s="16" t="n">
        <f aca="false">T801*L801</f>
        <v>0</v>
      </c>
      <c r="X801" s="16" t="n">
        <f aca="false">U801*L801</f>
        <v>0</v>
      </c>
      <c r="Y801" s="16" t="n">
        <f aca="false">V801*L801</f>
        <v>0.0162863449557091</v>
      </c>
      <c r="Z801" s="16" t="n">
        <f aca="false">Q801*L801</f>
        <v>0.00226953178010581</v>
      </c>
      <c r="AA801" s="16" t="n">
        <f aca="false">R801*L801</f>
        <v>0.00298439369067403</v>
      </c>
      <c r="AB801" s="16" t="n">
        <f aca="false">S801*L801</f>
        <v>0.00162863449557091</v>
      </c>
      <c r="AC801" s="16" t="n">
        <f aca="false">Z801-W801</f>
        <v>0.00226953178010581</v>
      </c>
      <c r="AD801" s="16" t="n">
        <f aca="false">AA801-W801</f>
        <v>0.00298439369067403</v>
      </c>
      <c r="AE801" s="16" t="n">
        <f aca="false">AB801-W801</f>
        <v>0.00162863449557091</v>
      </c>
      <c r="AF801" s="16" t="n">
        <f aca="false">AE801-X801</f>
        <v>0.00162863449557091</v>
      </c>
      <c r="AG801" s="16" t="n">
        <f aca="false">AF801-p_spc_lo*Y801/1000</f>
        <v>0.000814317247785457</v>
      </c>
      <c r="AH801" s="16" t="n">
        <f aca="false">AF801-p_spc_hi*Y801/1000</f>
        <v>0</v>
      </c>
      <c r="AI801" s="16" t="n">
        <f aca="false">Q801*J801</f>
        <v>0.00945638241710755</v>
      </c>
      <c r="AJ801" s="16" t="n">
        <f aca="false">S801*J801</f>
        <v>0.00678597706487881</v>
      </c>
      <c r="AK801" s="16" t="n">
        <f aca="false">T801*J801</f>
        <v>0</v>
      </c>
      <c r="AL801" s="16" t="n">
        <f aca="false">U801*J801</f>
        <v>0</v>
      </c>
      <c r="AM801" s="16" t="n">
        <f aca="false">AI801-AJ801</f>
        <v>0.00267040535222874</v>
      </c>
      <c r="AN801" s="16" t="n">
        <f aca="false">J801*Country_Data!$EB$118</f>
        <v>0.0866159643310651</v>
      </c>
      <c r="AO801" s="16" t="n">
        <f aca="false">L801*Country_Data!$EB$118</f>
        <v>0.0207878314394556</v>
      </c>
    </row>
    <row r="802" customFormat="false" ht="15" hidden="false" customHeight="false" outlineLevel="0" collapsed="false">
      <c r="A802" s="14" t="str">
        <f aca="false">Country_Data!$A$118</f>
        <v>ALB</v>
      </c>
      <c r="B802" s="14" t="str">
        <f aca="false">Country_Data!$E$118</f>
        <v>EMDC</v>
      </c>
      <c r="C802" s="35" t="s">
        <v>488</v>
      </c>
      <c r="D802" s="37" t="n">
        <f aca="false">IF(Country_Data!$CE$118="","",Country_Data!$CE$118)</f>
        <v>3.595</v>
      </c>
      <c r="E802" s="40" t="n">
        <f aca="false">Country_Data!$BW$118</f>
        <v>59.384</v>
      </c>
      <c r="F802" s="41" t="n">
        <f aca="false">Country_Data!$BX$118</f>
        <v>0.456082446450222</v>
      </c>
      <c r="G802" s="42" t="n">
        <f aca="false">IF(D802="","",D802/SUMIFS($D$5:$D$1369,$B$5:$B$1369,B802,$C$5:$C$1369,C802))</f>
        <v>0.000294572893885748</v>
      </c>
      <c r="H802" s="42" t="n">
        <f aca="false">E802/SUMIFS($E$5:$E$1369,$B$5:$B$1369,B802,$C$5:$C$1369,C802)</f>
        <v>0.000735570540959712</v>
      </c>
      <c r="I802" s="43" t="n">
        <f aca="false">IF(G802="",H802,p_beta_alloc*G802+(1-p_beta_alloc)*H802)*F802^p_phi</f>
        <v>0.000347847897125899</v>
      </c>
      <c r="J802" s="16" t="n">
        <f aca="false">INDEX(Sector_Params!$C$22:$E$22,MATCH(B802,Sector_Params!$C$15:$E$15,0))*I802/SUMIFS($I$5:$I$1369,$B$5:$B$1369,B802,$C$5:$C$1369,C802)</f>
        <v>0.209685630211796</v>
      </c>
      <c r="K802" s="28" t="n">
        <f aca="false">INDEX(Sector_Params!$F$11:$H$11,MATCH(B802,Sector_Params!$C$15:$E$15,0))</f>
        <v>0.24</v>
      </c>
      <c r="L802" s="16" t="n">
        <f aca="false">J802*K802</f>
        <v>0.050324551250831</v>
      </c>
      <c r="M802" s="44" t="n">
        <f aca="false">Country_Data!$DW$118+Sector_Params!$E$11</f>
        <v>0.105</v>
      </c>
      <c r="N802" s="44" t="n">
        <f aca="false">Country_Data!$DX$118+Sector_Params!$E$11</f>
        <v>0.15</v>
      </c>
      <c r="O802" s="11" t="n">
        <f aca="false">IF(p_use_ibrd=1,p_r_ibrd,p_r_wb)</f>
        <v>0.06</v>
      </c>
      <c r="P802" s="45" t="n">
        <f aca="false">Sector_Params!$D$11</f>
        <v>30</v>
      </c>
      <c r="Q802" s="46" t="n">
        <f aca="false">M802/(1-(1+M802)^-P802)</f>
        <v>0.110528481529605</v>
      </c>
      <c r="R802" s="46" t="n">
        <f aca="false">N802/(1-(1+N802)^-P802)</f>
        <v>0.152300198192734</v>
      </c>
      <c r="S802" s="46" t="n">
        <f aca="false">O802/(1-(1+O802)^-P802)</f>
        <v>0.0726489114900472</v>
      </c>
      <c r="T802" s="37" t="n">
        <f aca="false">0*Sector_Params!$I$11</f>
        <v>0</v>
      </c>
      <c r="U802" s="37" t="n">
        <f aca="false">p_c*Sector_Params!$J$11</f>
        <v>0.129</v>
      </c>
      <c r="V802" s="37" t="n">
        <f aca="false">1000*p_r_wb/(1-(1+p_r_wb)^-Sector_Params!$D$11)/p_cpt_afolu</f>
        <v>1.45297822980094</v>
      </c>
      <c r="W802" s="16" t="n">
        <f aca="false">T802*L802</f>
        <v>0</v>
      </c>
      <c r="X802" s="16" t="n">
        <f aca="false">U802*L802</f>
        <v>0.0064918671113572</v>
      </c>
      <c r="Y802" s="16" t="n">
        <f aca="false">V802*L802</f>
        <v>0.0731204773919594</v>
      </c>
      <c r="Z802" s="16" t="n">
        <f aca="false">Q802*L802</f>
        <v>0.00556229623341315</v>
      </c>
      <c r="AA802" s="16" t="n">
        <f aca="false">R802*L802</f>
        <v>0.00766443912946198</v>
      </c>
      <c r="AB802" s="16" t="n">
        <f aca="false">S802*L802</f>
        <v>0.00365602386959797</v>
      </c>
      <c r="AC802" s="16" t="n">
        <f aca="false">Z802-W802</f>
        <v>0.00556229623341315</v>
      </c>
      <c r="AD802" s="16" t="n">
        <f aca="false">AA802-W802</f>
        <v>0.00766443912946198</v>
      </c>
      <c r="AE802" s="16" t="n">
        <f aca="false">AB802-W802</f>
        <v>0.00365602386959797</v>
      </c>
      <c r="AF802" s="16" t="n">
        <f aca="false">AE802-X802</f>
        <v>-0.00283584324175924</v>
      </c>
      <c r="AG802" s="16" t="n">
        <f aca="false">AF802-p_spc_lo*Y802/1000</f>
        <v>-0.0064918671113572</v>
      </c>
      <c r="AH802" s="16" t="n">
        <f aca="false">AF802-p_spc_hi*Y802/1000</f>
        <v>-0.0101478909809552</v>
      </c>
      <c r="AI802" s="16" t="n">
        <f aca="false">Q802*J802</f>
        <v>0.0231762343058881</v>
      </c>
      <c r="AJ802" s="16" t="n">
        <f aca="false">S802*J802</f>
        <v>0.0152334327899915</v>
      </c>
      <c r="AK802" s="16" t="n">
        <f aca="false">T802*J802</f>
        <v>0</v>
      </c>
      <c r="AL802" s="16" t="n">
        <f aca="false">U802*J802</f>
        <v>0.0270494462973217</v>
      </c>
      <c r="AM802" s="16" t="n">
        <f aca="false">AI802-AJ802</f>
        <v>0.00794280151589657</v>
      </c>
      <c r="AN802" s="16" t="n">
        <f aca="false">J802*Country_Data!$EB$118</f>
        <v>0.233342470543383</v>
      </c>
      <c r="AO802" s="16" t="n">
        <f aca="false">L802*Country_Data!$EB$118</f>
        <v>0.056002192930412</v>
      </c>
    </row>
    <row r="803" customFormat="false" ht="15" hidden="false" customHeight="false" outlineLevel="0" collapsed="false">
      <c r="A803" s="14" t="str">
        <f aca="false">Country_Data!$A$119</f>
        <v>MLI</v>
      </c>
      <c r="B803" s="14" t="str">
        <f aca="false">Country_Data!$E$119</f>
        <v>EMDC</v>
      </c>
      <c r="C803" s="35" t="s">
        <v>466</v>
      </c>
      <c r="D803" s="37" t="n">
        <f aca="false">IF(Country_Data!$BZ$119="","",Country_Data!$BZ$119)</f>
        <v>3.97964828029911</v>
      </c>
      <c r="E803" s="40" t="n">
        <f aca="false">Country_Data!$BW$119</f>
        <v>81.454</v>
      </c>
      <c r="F803" s="41" t="n">
        <f aca="false">Country_Data!$BX$119</f>
        <v>0.328737692439905</v>
      </c>
      <c r="G803" s="42" t="n">
        <f aca="false">IF(D803="","",D803/SUMIFS($D$5:$D$1369,$B$5:$B$1369,B803,$C$5:$C$1369,C803))</f>
        <v>0.000454325145935853</v>
      </c>
      <c r="H803" s="42" t="n">
        <f aca="false">E803/SUMIFS($E$5:$E$1369,$B$5:$B$1369,B803,$C$5:$C$1369,C803)</f>
        <v>0.00100894454471461</v>
      </c>
      <c r="I803" s="43" t="n">
        <f aca="false">IF(G803="",H803,p_beta_alloc*G803+(1-p_beta_alloc)*H803)*F803^p_phi</f>
        <v>0.000419487604623975</v>
      </c>
      <c r="J803" s="16" t="n">
        <f aca="false">INDEX(Sector_Params!$C$16:$E$16,MATCH(B803,Sector_Params!$C$15:$E$15,0))*I803/SUMIFS($I$5:$I$1369,$B$5:$B$1369,B803,$C$5:$C$1369,C803)</f>
        <v>0.405739046119997</v>
      </c>
      <c r="K803" s="28" t="n">
        <f aca="false">INDEX(Sector_Params!$F$5:$H$5,MATCH(B803,Sector_Params!$C$15:$E$15,0))</f>
        <v>0.24</v>
      </c>
      <c r="L803" s="16" t="n">
        <f aca="false">J803*K803</f>
        <v>0.0973773710687992</v>
      </c>
      <c r="M803" s="44" t="n">
        <f aca="false">Country_Data!$DW$119+Sector_Params!$E$5</f>
        <v>0.105</v>
      </c>
      <c r="N803" s="44" t="n">
        <f aca="false">Country_Data!$DX$119+Sector_Params!$E$5</f>
        <v>0.15</v>
      </c>
      <c r="O803" s="11" t="n">
        <f aca="false">IF(p_use_ibrd=1,p_r_ibrd,p_r_wb)</f>
        <v>0.06</v>
      </c>
      <c r="P803" s="45" t="n">
        <f aca="false">Sector_Params!$D$5</f>
        <v>25</v>
      </c>
      <c r="Q803" s="46" t="n">
        <f aca="false">M803/(1-(1+M803)^-P803)</f>
        <v>0.114429319813103</v>
      </c>
      <c r="R803" s="46" t="n">
        <f aca="false">N803/(1-(1+N803)^-P803)</f>
        <v>0.154699402320206</v>
      </c>
      <c r="S803" s="46" t="n">
        <f aca="false">O803/(1-(1+O803)^-P803)</f>
        <v>0.078226718212274</v>
      </c>
      <c r="T803" s="37" t="n">
        <f aca="false">IF(AND(p_eng=1,ISNUMBER(Country_Data!$CZ$119)),Country_Data!$CZ$119,Country_Data!$CM$119)*Sector_Params!$I$5</f>
        <v>0.227777008852434</v>
      </c>
      <c r="U803" s="37" t="n">
        <f aca="false">IF(AND(p_eng=1,ISNUMBER(Country_Data!$DA$119)),Country_Data!$DA$119,Country_Data!$CN$119)*Sector_Params!$J$5</f>
        <v>0.00307925207797096</v>
      </c>
      <c r="V803" s="37" t="n">
        <f aca="false">IF(AND(p_eng=1,ISNUMBER(Country_Data!$DB$119)),Country_Data!$DB$119,p_a)</f>
        <v>1.50624742372014</v>
      </c>
      <c r="W803" s="16" t="n">
        <f aca="false">T803*L803</f>
        <v>0.0221803263119647</v>
      </c>
      <c r="X803" s="16" t="n">
        <f aca="false">U803*L803</f>
        <v>0.000299849472210949</v>
      </c>
      <c r="Y803" s="16" t="n">
        <f aca="false">V803*L803</f>
        <v>0.146674414301019</v>
      </c>
      <c r="Z803" s="16" t="n">
        <f aca="false">Q803*L803</f>
        <v>0.0111428263365909</v>
      </c>
      <c r="AA803" s="16" t="n">
        <f aca="false">R803*L803</f>
        <v>0.0150642211038562</v>
      </c>
      <c r="AB803" s="16" t="n">
        <f aca="false">S803*L803</f>
        <v>0.007617512166851</v>
      </c>
      <c r="AC803" s="16" t="n">
        <f aca="false">Z803-W803</f>
        <v>-0.0110374999753738</v>
      </c>
      <c r="AD803" s="16" t="n">
        <f aca="false">AA803-W803</f>
        <v>-0.00711610520810846</v>
      </c>
      <c r="AE803" s="16" t="n">
        <f aca="false">AB803-W803</f>
        <v>-0.0145628141451137</v>
      </c>
      <c r="AF803" s="16" t="n">
        <f aca="false">AE803-X803</f>
        <v>-0.0148626636173246</v>
      </c>
      <c r="AG803" s="16" t="n">
        <f aca="false">AF803-p_spc_lo*Y803/1000</f>
        <v>-0.0221963843323756</v>
      </c>
      <c r="AH803" s="16" t="n">
        <f aca="false">AF803-p_spc_hi*Y803/1000</f>
        <v>-0.0295301050474265</v>
      </c>
      <c r="AI803" s="16" t="n">
        <f aca="false">Q803*J803</f>
        <v>0.0464284430691286</v>
      </c>
      <c r="AJ803" s="16" t="n">
        <f aca="false">S803*J803</f>
        <v>0.0317396340285458</v>
      </c>
      <c r="AK803" s="16" t="n">
        <f aca="false">T803*J803</f>
        <v>0.0924180262998528</v>
      </c>
      <c r="AL803" s="16" t="n">
        <f aca="false">U803*J803</f>
        <v>0.00124937280087895</v>
      </c>
      <c r="AM803" s="16" t="n">
        <f aca="false">AI803-AJ803</f>
        <v>0.0146888090405828</v>
      </c>
      <c r="AN803" s="16" t="n">
        <f aca="false">J803*Country_Data!$EB$119</f>
        <v>0.46425379290737</v>
      </c>
      <c r="AO803" s="16" t="n">
        <f aca="false">L803*Country_Data!$EB$119</f>
        <v>0.111420910297769</v>
      </c>
    </row>
    <row r="804" customFormat="false" ht="15" hidden="false" customHeight="false" outlineLevel="0" collapsed="false">
      <c r="A804" s="14" t="str">
        <f aca="false">Country_Data!$A$119</f>
        <v>MLI</v>
      </c>
      <c r="B804" s="14" t="str">
        <f aca="false">Country_Data!$E$119</f>
        <v>EMDC</v>
      </c>
      <c r="C804" s="35" t="s">
        <v>470</v>
      </c>
      <c r="D804" s="37" t="n">
        <f aca="false">IF(Country_Data!$BZ$119="","",Country_Data!$BZ$119)</f>
        <v>3.97964828029911</v>
      </c>
      <c r="E804" s="40" t="n">
        <f aca="false">Country_Data!$BW$119</f>
        <v>81.454</v>
      </c>
      <c r="F804" s="41" t="n">
        <f aca="false">Country_Data!$BX$119</f>
        <v>0.328737692439905</v>
      </c>
      <c r="G804" s="42" t="n">
        <f aca="false">IF(D804="","",D804/SUMIFS($D$5:$D$1369,$B$5:$B$1369,B804,$C$5:$C$1369,C804))</f>
        <v>0.000454325145935853</v>
      </c>
      <c r="H804" s="42" t="n">
        <f aca="false">E804/SUMIFS($E$5:$E$1369,$B$5:$B$1369,B804,$C$5:$C$1369,C804)</f>
        <v>0.00100894454471461</v>
      </c>
      <c r="I804" s="43" t="n">
        <f aca="false">IF(G804="",H804,p_beta_alloc*G804+(1-p_beta_alloc)*H804)*F804^p_phi</f>
        <v>0.000419487604623975</v>
      </c>
      <c r="J804" s="16" t="n">
        <f aca="false">INDEX(Sector_Params!$C$17:$E$17,MATCH(B804,Sector_Params!$C$15:$E$15,0))*I804/SUMIFS($I$5:$I$1369,$B$5:$B$1369,B804,$C$5:$C$1369,C804)</f>
        <v>0.278221060196569</v>
      </c>
      <c r="K804" s="28" t="n">
        <f aca="false">INDEX(Sector_Params!$F$6:$H$6,MATCH(B804,Sector_Params!$C$15:$E$15,0))</f>
        <v>0.24</v>
      </c>
      <c r="L804" s="16" t="n">
        <f aca="false">J804*K804</f>
        <v>0.0667730544471766</v>
      </c>
      <c r="M804" s="44" t="n">
        <f aca="false">Country_Data!$DW$119+Sector_Params!$E$6</f>
        <v>0.105</v>
      </c>
      <c r="N804" s="44" t="n">
        <f aca="false">Country_Data!$DX$119+Sector_Params!$E$6</f>
        <v>0.15</v>
      </c>
      <c r="O804" s="11" t="n">
        <f aca="false">IF(p_use_ibrd=1,p_r_ibrd,p_r_wb)</f>
        <v>0.06</v>
      </c>
      <c r="P804" s="45" t="n">
        <f aca="false">Sector_Params!$D$6</f>
        <v>40</v>
      </c>
      <c r="Q804" s="46" t="n">
        <f aca="false">M804/(1-(1+M804)^-P804)</f>
        <v>0.10697140835497</v>
      </c>
      <c r="R804" s="46" t="n">
        <f aca="false">N804/(1-(1+N804)^-P804)</f>
        <v>0.150562085013545</v>
      </c>
      <c r="S804" s="46" t="n">
        <f aca="false">O804/(1-(1+O804)^-P804)</f>
        <v>0.0664615359206755</v>
      </c>
      <c r="T804" s="37" t="n">
        <f aca="false">p_grid_credit*IF(AND(p_eng=1,ISNUMBER(Country_Data!$CZ$119)),Country_Data!$CZ$119,Country_Data!$CM$119)*Sector_Params!$I$6</f>
        <v>0</v>
      </c>
      <c r="U804" s="37" t="n">
        <f aca="false">p_grid_credit*IF(AND(p_eng=1,ISNUMBER(Country_Data!$DA$119)),Country_Data!$DA$119,Country_Data!$CN$119)*Sector_Params!$J$6</f>
        <v>0</v>
      </c>
      <c r="V804" s="37" t="n">
        <f aca="false">p_grid_credit*IF(AND(p_eng=1,ISNUMBER(Country_Data!$DB$119)),Country_Data!$DB$119,p_a)</f>
        <v>0</v>
      </c>
      <c r="W804" s="16" t="n">
        <f aca="false">T804*L804</f>
        <v>0</v>
      </c>
      <c r="X804" s="16" t="n">
        <f aca="false">U804*L804</f>
        <v>0</v>
      </c>
      <c r="Y804" s="16" t="n">
        <f aca="false">V804*L804</f>
        <v>0</v>
      </c>
      <c r="Z804" s="16" t="n">
        <f aca="false">Q804*L804</f>
        <v>0.0071428076743776</v>
      </c>
      <c r="AA804" s="16" t="n">
        <f aca="false">R804*L804</f>
        <v>0.0100534903002899</v>
      </c>
      <c r="AB804" s="16" t="n">
        <f aca="false">S804*L804</f>
        <v>0.00443783975667425</v>
      </c>
      <c r="AC804" s="16" t="n">
        <f aca="false">Z804-W804</f>
        <v>0.0071428076743776</v>
      </c>
      <c r="AD804" s="16" t="n">
        <f aca="false">AA804-W804</f>
        <v>0.0100534903002899</v>
      </c>
      <c r="AE804" s="16" t="n">
        <f aca="false">AB804-W804</f>
        <v>0.00443783975667425</v>
      </c>
      <c r="AF804" s="16" t="n">
        <f aca="false">AE804-X804</f>
        <v>0.00443783975667425</v>
      </c>
      <c r="AG804" s="16" t="n">
        <f aca="false">AF804-p_spc_lo*Y804/1000</f>
        <v>0.00443783975667425</v>
      </c>
      <c r="AH804" s="16" t="n">
        <f aca="false">AF804-p_spc_hi*Y804/1000</f>
        <v>0.00443783975667425</v>
      </c>
      <c r="AI804" s="16" t="n">
        <f aca="false">Q804*J804</f>
        <v>0.02976169864324</v>
      </c>
      <c r="AJ804" s="16" t="n">
        <f aca="false">S804*J804</f>
        <v>0.0184909989861427</v>
      </c>
      <c r="AK804" s="16" t="n">
        <f aca="false">T804*J804</f>
        <v>0</v>
      </c>
      <c r="AL804" s="16" t="n">
        <f aca="false">U804*J804</f>
        <v>0</v>
      </c>
      <c r="AM804" s="16" t="n">
        <f aca="false">AI804-AJ804</f>
        <v>0.0112706996570973</v>
      </c>
      <c r="AN804" s="16" t="n">
        <f aca="false">J804*Country_Data!$EB$119</f>
        <v>0.318345457993625</v>
      </c>
      <c r="AO804" s="16" t="n">
        <f aca="false">L804*Country_Data!$EB$119</f>
        <v>0.0764029099184701</v>
      </c>
    </row>
    <row r="805" customFormat="false" ht="15" hidden="false" customHeight="false" outlineLevel="0" collapsed="false">
      <c r="A805" s="14" t="str">
        <f aca="false">Country_Data!$A$119</f>
        <v>MLI</v>
      </c>
      <c r="B805" s="14" t="str">
        <f aca="false">Country_Data!$E$119</f>
        <v>EMDC</v>
      </c>
      <c r="C805" s="35" t="s">
        <v>473</v>
      </c>
      <c r="D805" s="37" t="n">
        <f aca="false">IF(Country_Data!$CA$119="","",Country_Data!$CA$119)</f>
        <v>0.0710267466162685</v>
      </c>
      <c r="E805" s="40" t="n">
        <f aca="false">Country_Data!$BW$119</f>
        <v>81.454</v>
      </c>
      <c r="F805" s="41" t="n">
        <f aca="false">Country_Data!$BX$119</f>
        <v>0.328737692439905</v>
      </c>
      <c r="G805" s="42" t="n">
        <f aca="false">IF(D805="","",D805/SUMIFS($D$5:$D$1369,$B$5:$B$1369,B805,$C$5:$C$1369,C805))</f>
        <v>0.00164088310579068</v>
      </c>
      <c r="H805" s="42" t="n">
        <f aca="false">E805/SUMIFS($E$5:$E$1369,$B$5:$B$1369,B805,$C$5:$C$1369,C805)</f>
        <v>0.00100894454471461</v>
      </c>
      <c r="I805" s="43" t="n">
        <f aca="false">IF(G805="",H805,p_beta_alloc*G805+(1-p_beta_alloc)*H805)*F805^p_phi</f>
        <v>0.00075964797253657</v>
      </c>
      <c r="J805" s="16" t="n">
        <f aca="false">INDEX(Sector_Params!$C$18:$E$18,MATCH(B805,Sector_Params!$C$15:$E$15,0))*I805/SUMIFS($I$5:$I$1369,$B$5:$B$1369,B805,$C$5:$C$1369,C805)</f>
        <v>0.311057870560236</v>
      </c>
      <c r="K805" s="28" t="n">
        <f aca="false">INDEX(Sector_Params!$F$7:$H$7,MATCH(B805,Sector_Params!$C$15:$E$15,0))</f>
        <v>0.24</v>
      </c>
      <c r="L805" s="16" t="n">
        <f aca="false">J805*K805</f>
        <v>0.0746538889344567</v>
      </c>
      <c r="M805" s="44" t="n">
        <f aca="false">Country_Data!$DW$119+Sector_Params!$E$7</f>
        <v>0.105</v>
      </c>
      <c r="N805" s="44" t="n">
        <f aca="false">Country_Data!$DX$119+Sector_Params!$E$7</f>
        <v>0.15</v>
      </c>
      <c r="O805" s="11" t="n">
        <f aca="false">IF(p_use_ibrd=1,p_r_ibrd,p_r_wb)</f>
        <v>0.06</v>
      </c>
      <c r="P805" s="45" t="n">
        <f aca="false">Sector_Params!$D$7</f>
        <v>12</v>
      </c>
      <c r="Q805" s="46" t="n">
        <f aca="false">M805/(1-(1+M805)^-P805)</f>
        <v>0.150376745634766</v>
      </c>
      <c r="R805" s="46" t="n">
        <f aca="false">N805/(1-(1+N805)^-P805)</f>
        <v>0.18448077613084</v>
      </c>
      <c r="S805" s="46" t="n">
        <f aca="false">O805/(1-(1+O805)^-P805)</f>
        <v>0.119277029380664</v>
      </c>
      <c r="T805" s="37" t="n">
        <f aca="false">IF(AND(p_eng=1,ISNUMBER(Country_Data!$DE$119)),Country_Data!$DE$119,Country_Data!$CM$119)*Sector_Params!$I$7</f>
        <v>0.013351635</v>
      </c>
      <c r="U805" s="37" t="n">
        <f aca="false">IF(AND(p_eng=1,ISNUMBER(Country_Data!$DF$119)),Country_Data!$DF$119,Country_Data!$CN$119)*Sector_Params!$J$7</f>
        <v>0.000101475</v>
      </c>
      <c r="V805" s="37" t="n">
        <f aca="false">IF(AND(p_eng=1,ISNUMBER(Country_Data!$DG$119)),Country_Data!$DG$119,p_a)</f>
        <v>0.179820815436242</v>
      </c>
      <c r="W805" s="16" t="n">
        <f aca="false">T805*L805</f>
        <v>0.000996751476383405</v>
      </c>
      <c r="X805" s="16" t="n">
        <f aca="false">U805*L805</f>
        <v>7.57550337962399E-006</v>
      </c>
      <c r="Y805" s="16" t="n">
        <f aca="false">V805*L805</f>
        <v>0.0134243231836806</v>
      </c>
      <c r="Z805" s="16" t="n">
        <f aca="false">Q805*L805</f>
        <v>0.0112262088669428</v>
      </c>
      <c r="AA805" s="16" t="n">
        <f aca="false">R805*L805</f>
        <v>0.0137722073718141</v>
      </c>
      <c r="AB805" s="16" t="n">
        <f aca="false">S805*L805</f>
        <v>0.00890449410381598</v>
      </c>
      <c r="AC805" s="16" t="n">
        <f aca="false">Z805-W805</f>
        <v>0.0102294573905594</v>
      </c>
      <c r="AD805" s="16" t="n">
        <f aca="false">AA805-W805</f>
        <v>0.0127754558954307</v>
      </c>
      <c r="AE805" s="16" t="n">
        <f aca="false">AB805-W805</f>
        <v>0.00790774262743258</v>
      </c>
      <c r="AF805" s="16" t="n">
        <f aca="false">AE805-X805</f>
        <v>0.00790016712405295</v>
      </c>
      <c r="AG805" s="16" t="n">
        <f aca="false">AF805-p_spc_lo*Y805/1000</f>
        <v>0.00722895096486892</v>
      </c>
      <c r="AH805" s="16" t="n">
        <f aca="false">AF805-p_spc_hi*Y805/1000</f>
        <v>0.00655773480568489</v>
      </c>
      <c r="AI805" s="16" t="n">
        <f aca="false">Q805*J805</f>
        <v>0.0467758702789285</v>
      </c>
      <c r="AJ805" s="16" t="n">
        <f aca="false">S805*J805</f>
        <v>0.0371020587658999</v>
      </c>
      <c r="AK805" s="16" t="n">
        <f aca="false">T805*J805</f>
        <v>0.00415313115159752</v>
      </c>
      <c r="AL805" s="16" t="n">
        <f aca="false">U805*J805</f>
        <v>3.15645974151E-005</v>
      </c>
      <c r="AM805" s="16" t="n">
        <f aca="false">AI805-AJ805</f>
        <v>0.00967381151302858</v>
      </c>
      <c r="AN805" s="16" t="n">
        <f aca="false">J805*Country_Data!$EB$119</f>
        <v>0.355917917198855</v>
      </c>
      <c r="AO805" s="16" t="n">
        <f aca="false">L805*Country_Data!$EB$119</f>
        <v>0.0854203001277253</v>
      </c>
    </row>
    <row r="806" customFormat="false" ht="15" hidden="false" customHeight="false" outlineLevel="0" collapsed="false">
      <c r="A806" s="14" t="str">
        <f aca="false">Country_Data!$A$119</f>
        <v>MLI</v>
      </c>
      <c r="B806" s="14" t="str">
        <f aca="false">Country_Data!$E$119</f>
        <v>EMDC</v>
      </c>
      <c r="C806" s="35" t="s">
        <v>477</v>
      </c>
      <c r="D806" s="37" t="n">
        <f aca="false">IF(Country_Data!$CB$119="","",Country_Data!$CB$119)</f>
        <v>0.00670558334003931</v>
      </c>
      <c r="E806" s="40" t="n">
        <f aca="false">Country_Data!$BW$119</f>
        <v>81.454</v>
      </c>
      <c r="F806" s="41" t="n">
        <f aca="false">Country_Data!$BX$119</f>
        <v>0.328737692439905</v>
      </c>
      <c r="G806" s="42" t="n">
        <f aca="false">IF(D806="","",D806/SUMIFS($D$5:$D$1369,$B$5:$B$1369,B806,$C$5:$C$1369,C806))</f>
        <v>0.000211447461214832</v>
      </c>
      <c r="H806" s="42" t="n">
        <f aca="false">E806/SUMIFS($E$5:$E$1369,$B$5:$B$1369,B806,$C$5:$C$1369,C806)</f>
        <v>0.00100894454471461</v>
      </c>
      <c r="I806" s="43" t="n">
        <f aca="false">IF(G806="",H806,p_beta_alloc*G806+(1-p_beta_alloc)*H806)*F806^p_phi</f>
        <v>0.000349859853272857</v>
      </c>
      <c r="J806" s="16" t="n">
        <f aca="false">INDEX(Sector_Params!$C$19:$E$19,MATCH(B806,Sector_Params!$C$15:$E$15,0))*I806/SUMIFS($I$5:$I$1369,$B$5:$B$1369,B806,$C$5:$C$1369,C806)</f>
        <v>0.112606800794427</v>
      </c>
      <c r="K806" s="28" t="n">
        <f aca="false">INDEX(Sector_Params!$F$8:$H$8,MATCH(B806,Sector_Params!$C$15:$E$15,0))</f>
        <v>0.24</v>
      </c>
      <c r="L806" s="16" t="n">
        <f aca="false">J806*K806</f>
        <v>0.0270256321906625</v>
      </c>
      <c r="M806" s="44" t="n">
        <f aca="false">Country_Data!$DW$119+Sector_Params!$E$8</f>
        <v>0.105</v>
      </c>
      <c r="N806" s="44" t="n">
        <f aca="false">Country_Data!$DX$119+Sector_Params!$E$8</f>
        <v>0.15</v>
      </c>
      <c r="O806" s="11" t="n">
        <f aca="false">IF(p_use_ibrd=1,p_r_ibrd,p_r_wb)</f>
        <v>0.06</v>
      </c>
      <c r="P806" s="45" t="n">
        <f aca="false">Sector_Params!$D$8</f>
        <v>25</v>
      </c>
      <c r="Q806" s="46" t="n">
        <f aca="false">M806/(1-(1+M806)^-P806)</f>
        <v>0.114429319813103</v>
      </c>
      <c r="R806" s="46" t="n">
        <f aca="false">N806/(1-(1+N806)^-P806)</f>
        <v>0.154699402320206</v>
      </c>
      <c r="S806" s="46" t="n">
        <f aca="false">O806/(1-(1+O806)^-P806)</f>
        <v>0.078226718212274</v>
      </c>
      <c r="T806" s="37" t="n">
        <f aca="false">Country_Data!$CM$119*Sector_Params!$I$8</f>
        <v>0.215801619211922</v>
      </c>
      <c r="U806" s="37" t="n">
        <f aca="false">Country_Data!$CN$119*Sector_Params!$J$8</f>
        <v>0.03225</v>
      </c>
      <c r="V806" s="37" t="n">
        <f aca="false">p_a</f>
        <v>0.35</v>
      </c>
      <c r="W806" s="16" t="n">
        <f aca="false">T806*L806</f>
        <v>0.00583217518697083</v>
      </c>
      <c r="X806" s="16" t="n">
        <f aca="false">U806*L806</f>
        <v>0.000871576638148866</v>
      </c>
      <c r="Y806" s="16" t="n">
        <f aca="false">V806*L806</f>
        <v>0.00945897126673188</v>
      </c>
      <c r="Z806" s="16" t="n">
        <f aca="false">Q806*L806</f>
        <v>0.00309252470909662</v>
      </c>
      <c r="AA806" s="16" t="n">
        <f aca="false">R806*L806</f>
        <v>0.00418084914722122</v>
      </c>
      <c r="AB806" s="16" t="n">
        <f aca="false">S806*L806</f>
        <v>0.00211412651388752</v>
      </c>
      <c r="AC806" s="16" t="n">
        <f aca="false">Z806-W806</f>
        <v>-0.00273965047787421</v>
      </c>
      <c r="AD806" s="16" t="n">
        <f aca="false">AA806-W806</f>
        <v>-0.0016513260397496</v>
      </c>
      <c r="AE806" s="16" t="n">
        <f aca="false">AB806-W806</f>
        <v>-0.00371804867308331</v>
      </c>
      <c r="AF806" s="16" t="n">
        <f aca="false">AE806-X806</f>
        <v>-0.00458962531123218</v>
      </c>
      <c r="AG806" s="16" t="n">
        <f aca="false">AF806-p_spc_lo*Y806/1000</f>
        <v>-0.00506257387456877</v>
      </c>
      <c r="AH806" s="16" t="n">
        <f aca="false">AF806-p_spc_hi*Y806/1000</f>
        <v>-0.00553552243790537</v>
      </c>
      <c r="AI806" s="16" t="n">
        <f aca="false">Q806*J806</f>
        <v>0.0128855196212359</v>
      </c>
      <c r="AJ806" s="16" t="n">
        <f aca="false">S806*J806</f>
        <v>0.00880886047453132</v>
      </c>
      <c r="AK806" s="16" t="n">
        <f aca="false">T806*J806</f>
        <v>0.0243007299457118</v>
      </c>
      <c r="AL806" s="16" t="n">
        <f aca="false">U806*J806</f>
        <v>0.00363156932562028</v>
      </c>
      <c r="AM806" s="16" t="n">
        <f aca="false">AI806-AJ806</f>
        <v>0.00407665914670461</v>
      </c>
      <c r="AN806" s="16" t="n">
        <f aca="false">J806*Country_Data!$EB$119</f>
        <v>0.128846693153896</v>
      </c>
      <c r="AO806" s="16" t="n">
        <f aca="false">L806*Country_Data!$EB$119</f>
        <v>0.0309232063569349</v>
      </c>
    </row>
    <row r="807" customFormat="false" ht="15" hidden="false" customHeight="false" outlineLevel="0" collapsed="false">
      <c r="A807" s="14" t="str">
        <f aca="false">Country_Data!$A$119</f>
        <v>MLI</v>
      </c>
      <c r="B807" s="14" t="str">
        <f aca="false">Country_Data!$E$119</f>
        <v>EMDC</v>
      </c>
      <c r="C807" s="35" t="s">
        <v>481</v>
      </c>
      <c r="D807" s="37" t="n">
        <f aca="false">IF(Country_Data!$CC$119="","",Country_Data!$CC$119)</f>
        <v>0.0375848814844916</v>
      </c>
      <c r="E807" s="40" t="n">
        <f aca="false">Country_Data!$BW$119</f>
        <v>81.454</v>
      </c>
      <c r="F807" s="41" t="n">
        <f aca="false">Country_Data!$BX$119</f>
        <v>0.328737692439905</v>
      </c>
      <c r="G807" s="42" t="n">
        <f aca="false">IF(D807="","",D807/SUMIFS($D$5:$D$1369,$B$5:$B$1369,B807,$C$5:$C$1369,C807))</f>
        <v>0.000536871216104033</v>
      </c>
      <c r="H807" s="42" t="n">
        <f aca="false">E807/SUMIFS($E$5:$E$1369,$B$5:$B$1369,B807,$C$5:$C$1369,C807)</f>
        <v>0.00100894454471461</v>
      </c>
      <c r="I807" s="43" t="n">
        <f aca="false">IF(G807="",H807,p_beta_alloc*G807+(1-p_beta_alloc)*H807)*F807^p_phi</f>
        <v>0.000443151768152559</v>
      </c>
      <c r="J807" s="16" t="n">
        <f aca="false">INDEX(Sector_Params!$C$20:$E$20,MATCH(B807,Sector_Params!$C$15:$E$15,0))*I807/SUMIFS($I$5:$I$1369,$B$5:$B$1369,B807,$C$5:$C$1369,C807)</f>
        <v>0.0808841217394425</v>
      </c>
      <c r="K807" s="28" t="n">
        <f aca="false">INDEX(Sector_Params!$F$9:$H$9,MATCH(B807,Sector_Params!$C$15:$E$15,0))</f>
        <v>0.24</v>
      </c>
      <c r="L807" s="16" t="n">
        <f aca="false">J807*K807</f>
        <v>0.0194121892174662</v>
      </c>
      <c r="M807" s="44" t="n">
        <f aca="false">Country_Data!$DW$119+Sector_Params!$E$9</f>
        <v>0.105</v>
      </c>
      <c r="N807" s="44" t="n">
        <f aca="false">Country_Data!$DX$119+Sector_Params!$E$9</f>
        <v>0.15</v>
      </c>
      <c r="O807" s="11" t="n">
        <f aca="false">IF(p_use_ibrd=1,p_r_ibrd,p_r_wb)</f>
        <v>0.06</v>
      </c>
      <c r="P807" s="45" t="n">
        <f aca="false">Sector_Params!$D$9</f>
        <v>25</v>
      </c>
      <c r="Q807" s="46" t="n">
        <f aca="false">M807/(1-(1+M807)^-P807)</f>
        <v>0.114429319813103</v>
      </c>
      <c r="R807" s="46" t="n">
        <f aca="false">N807/(1-(1+N807)^-P807)</f>
        <v>0.154699402320206</v>
      </c>
      <c r="S807" s="46" t="n">
        <f aca="false">O807/(1-(1+O807)^-P807)</f>
        <v>0.078226718212274</v>
      </c>
      <c r="T807" s="37" t="n">
        <f aca="false">Country_Data!$CM$119*Sector_Params!$I$9</f>
        <v>0.215801619211922</v>
      </c>
      <c r="U807" s="37" t="n">
        <f aca="false">Country_Data!$CN$119*Sector_Params!$J$9</f>
        <v>0.03225</v>
      </c>
      <c r="V807" s="37" t="n">
        <f aca="false">p_a</f>
        <v>0.35</v>
      </c>
      <c r="W807" s="16" t="n">
        <f aca="false">T807*L807</f>
        <v>0.00418918186557743</v>
      </c>
      <c r="X807" s="16" t="n">
        <f aca="false">U807*L807</f>
        <v>0.000626043102263285</v>
      </c>
      <c r="Y807" s="16" t="n">
        <f aca="false">V807*L807</f>
        <v>0.00679426622611317</v>
      </c>
      <c r="Z807" s="16" t="n">
        <f aca="false">Q807*L807</f>
        <v>0.00222132360823792</v>
      </c>
      <c r="AA807" s="16" t="n">
        <f aca="false">R807*L807</f>
        <v>0.00300305406966878</v>
      </c>
      <c r="AB807" s="16" t="n">
        <f aca="false">S807*L807</f>
        <v>0.00151855185579807</v>
      </c>
      <c r="AC807" s="16" t="n">
        <f aca="false">Z807-W807</f>
        <v>-0.00196785825733951</v>
      </c>
      <c r="AD807" s="16" t="n">
        <f aca="false">AA807-W807</f>
        <v>-0.00118612779590865</v>
      </c>
      <c r="AE807" s="16" t="n">
        <f aca="false">AB807-W807</f>
        <v>-0.00267063000977936</v>
      </c>
      <c r="AF807" s="16" t="n">
        <f aca="false">AE807-X807</f>
        <v>-0.00329667311204264</v>
      </c>
      <c r="AG807" s="16" t="n">
        <f aca="false">AF807-p_spc_lo*Y807/1000</f>
        <v>-0.0036363864233483</v>
      </c>
      <c r="AH807" s="16" t="n">
        <f aca="false">AF807-p_spc_hi*Y807/1000</f>
        <v>-0.00397609973465396</v>
      </c>
      <c r="AI807" s="16" t="n">
        <f aca="false">Q807*J807</f>
        <v>0.00925551503432465</v>
      </c>
      <c r="AJ807" s="16" t="n">
        <f aca="false">S807*J807</f>
        <v>0.00632729939915863</v>
      </c>
      <c r="AK807" s="16" t="n">
        <f aca="false">T807*J807</f>
        <v>0.017454924439906</v>
      </c>
      <c r="AL807" s="16" t="n">
        <f aca="false">U807*J807</f>
        <v>0.00260851292609702</v>
      </c>
      <c r="AM807" s="16" t="n">
        <f aca="false">AI807-AJ807</f>
        <v>0.00292821563516602</v>
      </c>
      <c r="AN807" s="16" t="n">
        <f aca="false">J807*Country_Data!$EB$119</f>
        <v>0.0925490426977839</v>
      </c>
      <c r="AO807" s="16" t="n">
        <f aca="false">L807*Country_Data!$EB$119</f>
        <v>0.0222117702474681</v>
      </c>
    </row>
    <row r="808" customFormat="false" ht="15" hidden="false" customHeight="false" outlineLevel="0" collapsed="false">
      <c r="A808" s="14" t="str">
        <f aca="false">Country_Data!$A$119</f>
        <v>MLI</v>
      </c>
      <c r="B808" s="14" t="str">
        <f aca="false">Country_Data!$E$119</f>
        <v>EMDC</v>
      </c>
      <c r="C808" s="35" t="s">
        <v>484</v>
      </c>
      <c r="D808" s="37" t="n">
        <f aca="false">IF(Country_Data!$CD$119="","",Country_Data!$CD$119)</f>
        <v>0.101198955793148</v>
      </c>
      <c r="E808" s="40" t="n">
        <f aca="false">Country_Data!$BW$119</f>
        <v>81.454</v>
      </c>
      <c r="F808" s="41" t="n">
        <f aca="false">Country_Data!$BX$119</f>
        <v>0.328737692439905</v>
      </c>
      <c r="G808" s="42" t="n">
        <f aca="false">IF(D808="","",D808/SUMIFS($D$5:$D$1369,$B$5:$B$1369,B808,$C$5:$C$1369,C808))</f>
        <v>0.000565131939083554</v>
      </c>
      <c r="H808" s="42" t="n">
        <f aca="false">E808/SUMIFS($E$5:$E$1369,$B$5:$B$1369,B808,$C$5:$C$1369,C808)</f>
        <v>0.00100894454471461</v>
      </c>
      <c r="I808" s="43" t="n">
        <f aca="false">IF(G808="",H808,p_beta_alloc*G808+(1-p_beta_alloc)*H808)*F808^p_phi</f>
        <v>0.000451253502961506</v>
      </c>
      <c r="J808" s="16" t="n">
        <f aca="false">INDEX(Sector_Params!$C$21:$E$21,MATCH(B808,Sector_Params!$C$15:$E$15,0))*I808/SUMIFS($I$5:$I$1369,$B$5:$B$1369,B808,$C$5:$C$1369,C808)</f>
        <v>0.100083436019896</v>
      </c>
      <c r="K808" s="28" t="n">
        <f aca="false">INDEX(Sector_Params!$F$10:$H$10,MATCH(B808,Sector_Params!$C$15:$E$15,0))</f>
        <v>0.24</v>
      </c>
      <c r="L808" s="16" t="n">
        <f aca="false">J808*K808</f>
        <v>0.024020024644775</v>
      </c>
      <c r="M808" s="44" t="n">
        <f aca="false">Country_Data!$DW$119+Sector_Params!$E$10</f>
        <v>0.105</v>
      </c>
      <c r="N808" s="44" t="n">
        <f aca="false">Country_Data!$DX$119+Sector_Params!$E$10</f>
        <v>0.15</v>
      </c>
      <c r="O808" s="11" t="n">
        <f aca="false">IF(p_use_ibrd=1,p_r_ibrd,p_r_wb)</f>
        <v>0.06</v>
      </c>
      <c r="P808" s="45" t="n">
        <f aca="false">Sector_Params!$D$10</f>
        <v>20</v>
      </c>
      <c r="Q808" s="46" t="n">
        <f aca="false">M808/(1-(1+M808)^-P808)</f>
        <v>0.121493265267016</v>
      </c>
      <c r="R808" s="46" t="n">
        <f aca="false">N808/(1-(1+N808)^-P808)</f>
        <v>0.159761470405744</v>
      </c>
      <c r="S808" s="46" t="n">
        <f aca="false">O808/(1-(1+O808)^-P808)</f>
        <v>0.0871845569768514</v>
      </c>
      <c r="T808" s="37" t="n">
        <f aca="false">0*Sector_Params!$I$10</f>
        <v>0</v>
      </c>
      <c r="U808" s="37" t="n">
        <f aca="false">0*Sector_Params!$J$10</f>
        <v>0</v>
      </c>
      <c r="V808" s="37" t="n">
        <f aca="false">1000*p_r_wb/(1-(1+p_r_wb)^-Sector_Params!$D$10)/p_cpt_fuel</f>
        <v>0.871845569768514</v>
      </c>
      <c r="W808" s="16" t="n">
        <f aca="false">T808*L808</f>
        <v>0</v>
      </c>
      <c r="X808" s="16" t="n">
        <f aca="false">U808*L808</f>
        <v>0</v>
      </c>
      <c r="Y808" s="16" t="n">
        <f aca="false">V808*L808</f>
        <v>0.0209417520722776</v>
      </c>
      <c r="Z808" s="16" t="n">
        <f aca="false">Q808*L808</f>
        <v>0.00291827122588791</v>
      </c>
      <c r="AA808" s="16" t="n">
        <f aca="false">R808*L808</f>
        <v>0.00383747445643145</v>
      </c>
      <c r="AB808" s="16" t="n">
        <f aca="false">S808*L808</f>
        <v>0.00209417520722776</v>
      </c>
      <c r="AC808" s="16" t="n">
        <f aca="false">Z808-W808</f>
        <v>0.00291827122588791</v>
      </c>
      <c r="AD808" s="16" t="n">
        <f aca="false">AA808-W808</f>
        <v>0.00383747445643145</v>
      </c>
      <c r="AE808" s="16" t="n">
        <f aca="false">AB808-W808</f>
        <v>0.00209417520722776</v>
      </c>
      <c r="AF808" s="16" t="n">
        <f aca="false">AE808-X808</f>
        <v>0.00209417520722776</v>
      </c>
      <c r="AG808" s="16" t="n">
        <f aca="false">AF808-p_spc_lo*Y808/1000</f>
        <v>0.00104708760361388</v>
      </c>
      <c r="AH808" s="16" t="n">
        <f aca="false">AF808-p_spc_hi*Y808/1000</f>
        <v>0</v>
      </c>
      <c r="AI808" s="16" t="n">
        <f aca="false">Q808*J808</f>
        <v>0.0121594634411996</v>
      </c>
      <c r="AJ808" s="16" t="n">
        <f aca="false">S808*J808</f>
        <v>0.00872573003011565</v>
      </c>
      <c r="AK808" s="16" t="n">
        <f aca="false">T808*J808</f>
        <v>0</v>
      </c>
      <c r="AL808" s="16" t="n">
        <f aca="false">U808*J808</f>
        <v>0</v>
      </c>
      <c r="AM808" s="16" t="n">
        <f aca="false">AI808-AJ808</f>
        <v>0.00343373341108397</v>
      </c>
      <c r="AN808" s="16" t="n">
        <f aca="false">J808*Country_Data!$EB$119</f>
        <v>0.114517237677187</v>
      </c>
      <c r="AO808" s="16" t="n">
        <f aca="false">L808*Country_Data!$EB$119</f>
        <v>0.0274841370425248</v>
      </c>
    </row>
    <row r="809" customFormat="false" ht="15" hidden="false" customHeight="false" outlineLevel="0" collapsed="false">
      <c r="A809" s="14" t="str">
        <f aca="false">Country_Data!$A$119</f>
        <v>MLI</v>
      </c>
      <c r="B809" s="14" t="str">
        <f aca="false">Country_Data!$E$119</f>
        <v>EMDC</v>
      </c>
      <c r="C809" s="35" t="s">
        <v>488</v>
      </c>
      <c r="D809" s="37" t="n">
        <f aca="false">IF(Country_Data!$CE$119="","",Country_Data!$CE$119)</f>
        <v>43.876</v>
      </c>
      <c r="E809" s="40" t="n">
        <f aca="false">Country_Data!$BW$119</f>
        <v>81.454</v>
      </c>
      <c r="F809" s="41" t="n">
        <f aca="false">Country_Data!$BX$119</f>
        <v>0.328737692439905</v>
      </c>
      <c r="G809" s="42" t="n">
        <f aca="false">IF(D809="","",D809/SUMIFS($D$5:$D$1369,$B$5:$B$1369,B809,$C$5:$C$1369,C809))</f>
        <v>0.00359518227875691</v>
      </c>
      <c r="H809" s="42" t="n">
        <f aca="false">E809/SUMIFS($E$5:$E$1369,$B$5:$B$1369,B809,$C$5:$C$1369,C809)</f>
        <v>0.00100894454471461</v>
      </c>
      <c r="I809" s="43" t="n">
        <f aca="false">IF(G809="",H809,p_beta_alloc*G809+(1-p_beta_alloc)*H809)*F809^p_phi</f>
        <v>0.00131990305334932</v>
      </c>
      <c r="J809" s="16" t="n">
        <f aca="false">INDEX(Sector_Params!$C$22:$E$22,MATCH(B809,Sector_Params!$C$15:$E$15,0))*I809/SUMIFS($I$5:$I$1369,$B$5:$B$1369,B809,$C$5:$C$1369,C809)</f>
        <v>0.795648632194705</v>
      </c>
      <c r="K809" s="28" t="n">
        <f aca="false">INDEX(Sector_Params!$F$11:$H$11,MATCH(B809,Sector_Params!$C$15:$E$15,0))</f>
        <v>0.24</v>
      </c>
      <c r="L809" s="16" t="n">
        <f aca="false">J809*K809</f>
        <v>0.190955671726729</v>
      </c>
      <c r="M809" s="44" t="n">
        <f aca="false">Country_Data!$DW$119+Sector_Params!$E$11</f>
        <v>0.105</v>
      </c>
      <c r="N809" s="44" t="n">
        <f aca="false">Country_Data!$DX$119+Sector_Params!$E$11</f>
        <v>0.15</v>
      </c>
      <c r="O809" s="11" t="n">
        <f aca="false">IF(p_use_ibrd=1,p_r_ibrd,p_r_wb)</f>
        <v>0.06</v>
      </c>
      <c r="P809" s="45" t="n">
        <f aca="false">Sector_Params!$D$11</f>
        <v>30</v>
      </c>
      <c r="Q809" s="46" t="n">
        <f aca="false">M809/(1-(1+M809)^-P809)</f>
        <v>0.110528481529605</v>
      </c>
      <c r="R809" s="46" t="n">
        <f aca="false">N809/(1-(1+N809)^-P809)</f>
        <v>0.152300198192734</v>
      </c>
      <c r="S809" s="46" t="n">
        <f aca="false">O809/(1-(1+O809)^-P809)</f>
        <v>0.0726489114900472</v>
      </c>
      <c r="T809" s="37" t="n">
        <f aca="false">0*Sector_Params!$I$11</f>
        <v>0</v>
      </c>
      <c r="U809" s="37" t="n">
        <f aca="false">p_c*Sector_Params!$J$11</f>
        <v>0.129</v>
      </c>
      <c r="V809" s="37" t="n">
        <f aca="false">1000*p_r_wb/(1-(1+p_r_wb)^-Sector_Params!$D$11)/p_cpt_afolu</f>
        <v>1.45297822980094</v>
      </c>
      <c r="W809" s="16" t="n">
        <f aca="false">T809*L809</f>
        <v>0</v>
      </c>
      <c r="X809" s="16" t="n">
        <f aca="false">U809*L809</f>
        <v>0.0246332816527481</v>
      </c>
      <c r="Y809" s="16" t="n">
        <f aca="false">V809*L809</f>
        <v>0.277454433875953</v>
      </c>
      <c r="Z809" s="16" t="n">
        <f aca="false">Q809*L809</f>
        <v>0.0211060404354211</v>
      </c>
      <c r="AA809" s="16" t="n">
        <f aca="false">R809*L809</f>
        <v>0.0290825866500076</v>
      </c>
      <c r="AB809" s="16" t="n">
        <f aca="false">S809*L809</f>
        <v>0.0138727216937977</v>
      </c>
      <c r="AC809" s="16" t="n">
        <f aca="false">Z809-W809</f>
        <v>0.0211060404354211</v>
      </c>
      <c r="AD809" s="16" t="n">
        <f aca="false">AA809-W809</f>
        <v>0.0290825866500076</v>
      </c>
      <c r="AE809" s="16" t="n">
        <f aca="false">AB809-W809</f>
        <v>0.0138727216937977</v>
      </c>
      <c r="AF809" s="16" t="n">
        <f aca="false">AE809-X809</f>
        <v>-0.0107605599589504</v>
      </c>
      <c r="AG809" s="16" t="n">
        <f aca="false">AF809-p_spc_lo*Y809/1000</f>
        <v>-0.0246332816527481</v>
      </c>
      <c r="AH809" s="16" t="n">
        <f aca="false">AF809-p_spc_hi*Y809/1000</f>
        <v>-0.0385060033465457</v>
      </c>
      <c r="AI809" s="16" t="n">
        <f aca="false">Q809*J809</f>
        <v>0.0879418351475881</v>
      </c>
      <c r="AJ809" s="16" t="n">
        <f aca="false">S809*J809</f>
        <v>0.0578030070574902</v>
      </c>
      <c r="AK809" s="16" t="n">
        <f aca="false">T809*J809</f>
        <v>0</v>
      </c>
      <c r="AL809" s="16" t="n">
        <f aca="false">U809*J809</f>
        <v>0.102638673553117</v>
      </c>
      <c r="AM809" s="16" t="n">
        <f aca="false">AI809-AJ809</f>
        <v>0.0301388280900978</v>
      </c>
      <c r="AN809" s="16" t="n">
        <f aca="false">J809*Country_Data!$EB$119</f>
        <v>0.910395237654077</v>
      </c>
      <c r="AO809" s="16" t="n">
        <f aca="false">L809*Country_Data!$EB$119</f>
        <v>0.218494857036979</v>
      </c>
    </row>
    <row r="810" customFormat="false" ht="15" hidden="false" customHeight="false" outlineLevel="0" collapsed="false">
      <c r="A810" s="14" t="str">
        <f aca="false">Country_Data!$A$120</f>
        <v>ARM</v>
      </c>
      <c r="B810" s="14" t="str">
        <f aca="false">Country_Data!$E$120</f>
        <v>EMDC</v>
      </c>
      <c r="C810" s="35" t="s">
        <v>466</v>
      </c>
      <c r="D810" s="37" t="n">
        <f aca="false">IF(Country_Data!$BZ$120="","",Country_Data!$BZ$120)</f>
        <v>6.09821964004399</v>
      </c>
      <c r="E810" s="40" t="n">
        <f aca="false">Country_Data!$BW$120</f>
        <v>69.317</v>
      </c>
      <c r="F810" s="41" t="n">
        <f aca="false">Country_Data!$BX$120</f>
        <v>0.37443917076619</v>
      </c>
      <c r="G810" s="42" t="n">
        <f aca="false">IF(D810="","",D810/SUMIFS($D$5:$D$1369,$B$5:$B$1369,B810,$C$5:$C$1369,C810))</f>
        <v>0.000696185776423346</v>
      </c>
      <c r="H810" s="42" t="n">
        <f aca="false">E810/SUMIFS($E$5:$E$1369,$B$5:$B$1369,B810,$C$5:$C$1369,C810)</f>
        <v>0.000858607422667796</v>
      </c>
      <c r="I810" s="43" t="n">
        <f aca="false">IF(G810="",H810,p_beta_alloc*G810+(1-p_beta_alloc)*H810)*F810^p_phi</f>
        <v>0.000475700134287148</v>
      </c>
      <c r="J810" s="16" t="n">
        <f aca="false">INDEX(Sector_Params!$C$16:$E$16,MATCH(B810,Sector_Params!$C$15:$E$15,0))*I810/SUMIFS($I$5:$I$1369,$B$5:$B$1369,B810,$C$5:$C$1369,C810)</f>
        <v>0.460109229920713</v>
      </c>
      <c r="K810" s="28" t="n">
        <f aca="false">INDEX(Sector_Params!$F$5:$H$5,MATCH(B810,Sector_Params!$C$15:$E$15,0))</f>
        <v>0.24</v>
      </c>
      <c r="L810" s="16" t="n">
        <f aca="false">J810*K810</f>
        <v>0.110426215180971</v>
      </c>
      <c r="M810" s="44" t="n">
        <f aca="false">Country_Data!$DW$120+Sector_Params!$E$5</f>
        <v>0.105</v>
      </c>
      <c r="N810" s="44" t="n">
        <f aca="false">Country_Data!$DX$120+Sector_Params!$E$5</f>
        <v>0.15</v>
      </c>
      <c r="O810" s="11" t="n">
        <f aca="false">IF(p_use_ibrd=1,p_r_ibrd,p_r_wb)</f>
        <v>0.06</v>
      </c>
      <c r="P810" s="45" t="n">
        <f aca="false">Sector_Params!$D$5</f>
        <v>25</v>
      </c>
      <c r="Q810" s="46" t="n">
        <f aca="false">M810/(1-(1+M810)^-P810)</f>
        <v>0.114429319813103</v>
      </c>
      <c r="R810" s="46" t="n">
        <f aca="false">N810/(1-(1+N810)^-P810)</f>
        <v>0.154699402320206</v>
      </c>
      <c r="S810" s="46" t="n">
        <f aca="false">O810/(1-(1+O810)^-P810)</f>
        <v>0.078226718212274</v>
      </c>
      <c r="T810" s="37" t="n">
        <f aca="false">IF(AND(p_eng=1,ISNUMBER(Country_Data!$CZ$120)),Country_Data!$CZ$120,Country_Data!$CM$120)*Sector_Params!$I$5</f>
        <v>0.00222500475864385</v>
      </c>
      <c r="U810" s="37" t="n">
        <f aca="false">IF(AND(p_eng=1,ISNUMBER(Country_Data!$DA$120)),Country_Data!$DA$120,Country_Data!$CN$120)*Sector_Params!$J$5</f>
        <v>0</v>
      </c>
      <c r="V810" s="37" t="n">
        <f aca="false">IF(AND(p_eng=1,ISNUMBER(Country_Data!$DB$120)),Country_Data!$DB$120,p_a)</f>
        <v>0.371805604832597</v>
      </c>
      <c r="W810" s="16" t="n">
        <f aca="false">T810*L810</f>
        <v>0.00024569885425669</v>
      </c>
      <c r="X810" s="16" t="n">
        <f aca="false">U810*L810</f>
        <v>0</v>
      </c>
      <c r="Y810" s="16" t="n">
        <f aca="false">V810*L810</f>
        <v>0.0410570857247355</v>
      </c>
      <c r="Z810" s="16" t="n">
        <f aca="false">Q810*L810</f>
        <v>0.0126359966926939</v>
      </c>
      <c r="AA810" s="16" t="n">
        <f aca="false">R810*L810</f>
        <v>0.0170828694889787</v>
      </c>
      <c r="AB810" s="16" t="n">
        <f aca="false">S810*L810</f>
        <v>0.00863828041820976</v>
      </c>
      <c r="AC810" s="16" t="n">
        <f aca="false">Z810-W810</f>
        <v>0.0123902978384372</v>
      </c>
      <c r="AD810" s="16" t="n">
        <f aca="false">AA810-W810</f>
        <v>0.0168371706347221</v>
      </c>
      <c r="AE810" s="16" t="n">
        <f aca="false">AB810-W810</f>
        <v>0.00839258156395307</v>
      </c>
      <c r="AF810" s="16" t="n">
        <f aca="false">AE810-X810</f>
        <v>0.00839258156395307</v>
      </c>
      <c r="AG810" s="16" t="n">
        <f aca="false">AF810-p_spc_lo*Y810/1000</f>
        <v>0.00633972727771629</v>
      </c>
      <c r="AH810" s="16" t="n">
        <f aca="false">AF810-p_spc_hi*Y810/1000</f>
        <v>0.00428687299147952</v>
      </c>
      <c r="AI810" s="16" t="n">
        <f aca="false">Q810*J810</f>
        <v>0.052649986219558</v>
      </c>
      <c r="AJ810" s="16" t="n">
        <f aca="false">S810*J810</f>
        <v>0.035992835075874</v>
      </c>
      <c r="AK810" s="16" t="n">
        <f aca="false">T810*J810</f>
        <v>0.00102374522606954</v>
      </c>
      <c r="AL810" s="16" t="n">
        <f aca="false">U810*J810</f>
        <v>0</v>
      </c>
      <c r="AM810" s="16" t="n">
        <f aca="false">AI810-AJ810</f>
        <v>0.016657151143684</v>
      </c>
      <c r="AN810" s="16" t="n">
        <f aca="false">J810*Country_Data!$EB$120</f>
        <v>0.582805024566237</v>
      </c>
      <c r="AO810" s="16" t="n">
        <f aca="false">L810*Country_Data!$EB$120</f>
        <v>0.139873205895897</v>
      </c>
    </row>
    <row r="811" customFormat="false" ht="15" hidden="false" customHeight="false" outlineLevel="0" collapsed="false">
      <c r="A811" s="14" t="str">
        <f aca="false">Country_Data!$A$120</f>
        <v>ARM</v>
      </c>
      <c r="B811" s="14" t="str">
        <f aca="false">Country_Data!$E$120</f>
        <v>EMDC</v>
      </c>
      <c r="C811" s="35" t="s">
        <v>470</v>
      </c>
      <c r="D811" s="37" t="n">
        <f aca="false">IF(Country_Data!$BZ$120="","",Country_Data!$BZ$120)</f>
        <v>6.09821964004399</v>
      </c>
      <c r="E811" s="40" t="n">
        <f aca="false">Country_Data!$BW$120</f>
        <v>69.317</v>
      </c>
      <c r="F811" s="41" t="n">
        <f aca="false">Country_Data!$BX$120</f>
        <v>0.37443917076619</v>
      </c>
      <c r="G811" s="42" t="n">
        <f aca="false">IF(D811="","",D811/SUMIFS($D$5:$D$1369,$B$5:$B$1369,B811,$C$5:$C$1369,C811))</f>
        <v>0.000696185776423346</v>
      </c>
      <c r="H811" s="42" t="n">
        <f aca="false">E811/SUMIFS($E$5:$E$1369,$B$5:$B$1369,B811,$C$5:$C$1369,C811)</f>
        <v>0.000858607422667796</v>
      </c>
      <c r="I811" s="43" t="n">
        <f aca="false">IF(G811="",H811,p_beta_alloc*G811+(1-p_beta_alloc)*H811)*F811^p_phi</f>
        <v>0.000475700134287148</v>
      </c>
      <c r="J811" s="16" t="n">
        <f aca="false">INDEX(Sector_Params!$C$17:$E$17,MATCH(B811,Sector_Params!$C$15:$E$15,0))*I811/SUMIFS($I$5:$I$1369,$B$5:$B$1369,B811,$C$5:$C$1369,C811)</f>
        <v>0.315503471945632</v>
      </c>
      <c r="K811" s="28" t="n">
        <f aca="false">INDEX(Sector_Params!$F$6:$H$6,MATCH(B811,Sector_Params!$C$15:$E$15,0))</f>
        <v>0.24</v>
      </c>
      <c r="L811" s="16" t="n">
        <f aca="false">J811*K811</f>
        <v>0.0757208332669516</v>
      </c>
      <c r="M811" s="44" t="n">
        <f aca="false">Country_Data!$DW$120+Sector_Params!$E$6</f>
        <v>0.105</v>
      </c>
      <c r="N811" s="44" t="n">
        <f aca="false">Country_Data!$DX$120+Sector_Params!$E$6</f>
        <v>0.15</v>
      </c>
      <c r="O811" s="11" t="n">
        <f aca="false">IF(p_use_ibrd=1,p_r_ibrd,p_r_wb)</f>
        <v>0.06</v>
      </c>
      <c r="P811" s="45" t="n">
        <f aca="false">Sector_Params!$D$6</f>
        <v>40</v>
      </c>
      <c r="Q811" s="46" t="n">
        <f aca="false">M811/(1-(1+M811)^-P811)</f>
        <v>0.10697140835497</v>
      </c>
      <c r="R811" s="46" t="n">
        <f aca="false">N811/(1-(1+N811)^-P811)</f>
        <v>0.150562085013545</v>
      </c>
      <c r="S811" s="46" t="n">
        <f aca="false">O811/(1-(1+O811)^-P811)</f>
        <v>0.0664615359206755</v>
      </c>
      <c r="T811" s="37" t="n">
        <f aca="false">p_grid_credit*IF(AND(p_eng=1,ISNUMBER(Country_Data!$CZ$120)),Country_Data!$CZ$120,Country_Data!$CM$120)*Sector_Params!$I$6</f>
        <v>0</v>
      </c>
      <c r="U811" s="37" t="n">
        <f aca="false">p_grid_credit*IF(AND(p_eng=1,ISNUMBER(Country_Data!$DA$120)),Country_Data!$DA$120,Country_Data!$CN$120)*Sector_Params!$J$6</f>
        <v>0</v>
      </c>
      <c r="V811" s="37" t="n">
        <f aca="false">p_grid_credit*IF(AND(p_eng=1,ISNUMBER(Country_Data!$DB$120)),Country_Data!$DB$120,p_a)</f>
        <v>0</v>
      </c>
      <c r="W811" s="16" t="n">
        <f aca="false">T811*L811</f>
        <v>0</v>
      </c>
      <c r="X811" s="16" t="n">
        <f aca="false">U811*L811</f>
        <v>0</v>
      </c>
      <c r="Y811" s="16" t="n">
        <f aca="false">V811*L811</f>
        <v>0</v>
      </c>
      <c r="Z811" s="16" t="n">
        <f aca="false">Q811*L811</f>
        <v>0.00809996417637771</v>
      </c>
      <c r="AA811" s="16" t="n">
        <f aca="false">R811*L811</f>
        <v>0.0114006865356352</v>
      </c>
      <c r="AB811" s="16" t="n">
        <f aca="false">S811*L811</f>
        <v>0.00503252288011499</v>
      </c>
      <c r="AC811" s="16" t="n">
        <f aca="false">Z811-W811</f>
        <v>0.00809996417637771</v>
      </c>
      <c r="AD811" s="16" t="n">
        <f aca="false">AA811-W811</f>
        <v>0.0114006865356352</v>
      </c>
      <c r="AE811" s="16" t="n">
        <f aca="false">AB811-W811</f>
        <v>0.00503252288011499</v>
      </c>
      <c r="AF811" s="16" t="n">
        <f aca="false">AE811-X811</f>
        <v>0.00503252288011499</v>
      </c>
      <c r="AG811" s="16" t="n">
        <f aca="false">AF811-p_spc_lo*Y811/1000</f>
        <v>0.00503252288011499</v>
      </c>
      <c r="AH811" s="16" t="n">
        <f aca="false">AF811-p_spc_hi*Y811/1000</f>
        <v>0.00503252288011499</v>
      </c>
      <c r="AI811" s="16" t="n">
        <f aca="false">Q811*J811</f>
        <v>0.0337498507349071</v>
      </c>
      <c r="AJ811" s="16" t="n">
        <f aca="false">S811*J811</f>
        <v>0.0209688453338124</v>
      </c>
      <c r="AK811" s="16" t="n">
        <f aca="false">T811*J811</f>
        <v>0</v>
      </c>
      <c r="AL811" s="16" t="n">
        <f aca="false">U811*J811</f>
        <v>0</v>
      </c>
      <c r="AM811" s="16" t="n">
        <f aca="false">AI811-AJ811</f>
        <v>0.0127810054010947</v>
      </c>
      <c r="AN811" s="16" t="n">
        <f aca="false">J811*Country_Data!$EB$120</f>
        <v>0.399637731131134</v>
      </c>
      <c r="AO811" s="16" t="n">
        <f aca="false">L811*Country_Data!$EB$120</f>
        <v>0.0959130554714721</v>
      </c>
    </row>
    <row r="812" customFormat="false" ht="15" hidden="false" customHeight="false" outlineLevel="0" collapsed="false">
      <c r="A812" s="14" t="str">
        <f aca="false">Country_Data!$A$120</f>
        <v>ARM</v>
      </c>
      <c r="B812" s="14" t="str">
        <f aca="false">Country_Data!$E$120</f>
        <v>EMDC</v>
      </c>
      <c r="C812" s="35" t="s">
        <v>473</v>
      </c>
      <c r="D812" s="37" t="n">
        <f aca="false">IF(Country_Data!$CA$120="","",Country_Data!$CA$120)</f>
        <v>0.0160145174860401</v>
      </c>
      <c r="E812" s="40" t="n">
        <f aca="false">Country_Data!$BW$120</f>
        <v>69.317</v>
      </c>
      <c r="F812" s="41" t="n">
        <f aca="false">Country_Data!$BX$120</f>
        <v>0.37443917076619</v>
      </c>
      <c r="G812" s="42" t="n">
        <f aca="false">IF(D812="","",D812/SUMIFS($D$5:$D$1369,$B$5:$B$1369,B812,$C$5:$C$1369,C812))</f>
        <v>0.000369972615136136</v>
      </c>
      <c r="H812" s="42" t="n">
        <f aca="false">E812/SUMIFS($E$5:$E$1369,$B$5:$B$1369,B812,$C$5:$C$1369,C812)</f>
        <v>0.000858607422667796</v>
      </c>
      <c r="I812" s="43" t="n">
        <f aca="false">IF(G812="",H812,p_beta_alloc*G812+(1-p_beta_alloc)*H812)*F812^p_phi</f>
        <v>0.000375892877141136</v>
      </c>
      <c r="J812" s="16" t="n">
        <f aca="false">INDEX(Sector_Params!$C$18:$E$18,MATCH(B812,Sector_Params!$C$15:$E$15,0))*I812/SUMIFS($I$5:$I$1369,$B$5:$B$1369,B812,$C$5:$C$1369,C812)</f>
        <v>0.153919239107366</v>
      </c>
      <c r="K812" s="28" t="n">
        <f aca="false">INDEX(Sector_Params!$F$7:$H$7,MATCH(B812,Sector_Params!$C$15:$E$15,0))</f>
        <v>0.24</v>
      </c>
      <c r="L812" s="16" t="n">
        <f aca="false">J812*K812</f>
        <v>0.0369406173857679</v>
      </c>
      <c r="M812" s="44" t="n">
        <f aca="false">Country_Data!$DW$120+Sector_Params!$E$7</f>
        <v>0.105</v>
      </c>
      <c r="N812" s="44" t="n">
        <f aca="false">Country_Data!$DX$120+Sector_Params!$E$7</f>
        <v>0.15</v>
      </c>
      <c r="O812" s="11" t="n">
        <f aca="false">IF(p_use_ibrd=1,p_r_ibrd,p_r_wb)</f>
        <v>0.06</v>
      </c>
      <c r="P812" s="45" t="n">
        <f aca="false">Sector_Params!$D$7</f>
        <v>12</v>
      </c>
      <c r="Q812" s="46" t="n">
        <f aca="false">M812/(1-(1+M812)^-P812)</f>
        <v>0.150376745634766</v>
      </c>
      <c r="R812" s="46" t="n">
        <f aca="false">N812/(1-(1+N812)^-P812)</f>
        <v>0.18448077613084</v>
      </c>
      <c r="S812" s="46" t="n">
        <f aca="false">O812/(1-(1+O812)^-P812)</f>
        <v>0.119277029380664</v>
      </c>
      <c r="T812" s="37" t="n">
        <f aca="false">IF(AND(p_eng=1,ISNUMBER(Country_Data!$DE$120)),Country_Data!$DE$120,Country_Data!$CM$120)*Sector_Params!$I$7</f>
        <v>0.17373375</v>
      </c>
      <c r="U812" s="37" t="n">
        <f aca="false">IF(AND(p_eng=1,ISNUMBER(Country_Data!$DF$120)),Country_Data!$DF$120,Country_Data!$CN$120)*Sector_Params!$J$7</f>
        <v>0.085522725</v>
      </c>
      <c r="V812" s="37" t="n">
        <f aca="false">IF(AND(p_eng=1,ISNUMBER(Country_Data!$DG$120)),Country_Data!$DG$120,p_a)</f>
        <v>0.44601888863109</v>
      </c>
      <c r="W812" s="16" t="n">
        <f aca="false">T812*L812</f>
        <v>0.00641783198574465</v>
      </c>
      <c r="X812" s="16" t="n">
        <f aca="false">U812*L812</f>
        <v>0.00315926226201324</v>
      </c>
      <c r="Y812" s="16" t="n">
        <f aca="false">V812*L812</f>
        <v>0.0164762131117465</v>
      </c>
      <c r="Z812" s="16" t="n">
        <f aca="false">Q812*L812</f>
        <v>0.00555500982421082</v>
      </c>
      <c r="AA812" s="16" t="n">
        <f aca="false">R812*L812</f>
        <v>0.00681483376607884</v>
      </c>
      <c r="AB812" s="16" t="n">
        <f aca="false">S812*L812</f>
        <v>0.00440616710526208</v>
      </c>
      <c r="AC812" s="16" t="n">
        <f aca="false">Z812-W812</f>
        <v>-0.00086282216153383</v>
      </c>
      <c r="AD812" s="16" t="n">
        <f aca="false">AA812-W812</f>
        <v>0.000397001780334192</v>
      </c>
      <c r="AE812" s="16" t="n">
        <f aca="false">AB812-W812</f>
        <v>-0.00201166488048256</v>
      </c>
      <c r="AF812" s="16" t="n">
        <f aca="false">AE812-X812</f>
        <v>-0.00517092714249581</v>
      </c>
      <c r="AG812" s="16" t="n">
        <f aca="false">AF812-p_spc_lo*Y812/1000</f>
        <v>-0.00599473779808313</v>
      </c>
      <c r="AH812" s="16" t="n">
        <f aca="false">AF812-p_spc_hi*Y812/1000</f>
        <v>-0.00681854845367046</v>
      </c>
      <c r="AI812" s="16" t="n">
        <f aca="false">Q812*J812</f>
        <v>0.0231458742675451</v>
      </c>
      <c r="AJ812" s="16" t="n">
        <f aca="false">S812*J812</f>
        <v>0.0183590296052587</v>
      </c>
      <c r="AK812" s="16" t="n">
        <f aca="false">T812*J812</f>
        <v>0.0267409666072694</v>
      </c>
      <c r="AL812" s="16" t="n">
        <f aca="false">U812*J812</f>
        <v>0.0131635927583885</v>
      </c>
      <c r="AM812" s="16" t="n">
        <f aca="false">AI812-AJ812</f>
        <v>0.00478684466228639</v>
      </c>
      <c r="AN812" s="16" t="n">
        <f aca="false">J812*Country_Data!$EB$120</f>
        <v>0.194964369535997</v>
      </c>
      <c r="AO812" s="16" t="n">
        <f aca="false">L812*Country_Data!$EB$120</f>
        <v>0.0467914486886393</v>
      </c>
    </row>
    <row r="813" customFormat="false" ht="15" hidden="false" customHeight="false" outlineLevel="0" collapsed="false">
      <c r="A813" s="14" t="str">
        <f aca="false">Country_Data!$A$120</f>
        <v>ARM</v>
      </c>
      <c r="B813" s="14" t="str">
        <f aca="false">Country_Data!$E$120</f>
        <v>EMDC</v>
      </c>
      <c r="C813" s="35" t="s">
        <v>477</v>
      </c>
      <c r="D813" s="37" t="n">
        <f aca="false">IF(Country_Data!$CB$120="","",Country_Data!$CB$120)</f>
        <v>0.0416784352427206</v>
      </c>
      <c r="E813" s="40" t="n">
        <f aca="false">Country_Data!$BW$120</f>
        <v>69.317</v>
      </c>
      <c r="F813" s="41" t="n">
        <f aca="false">Country_Data!$BX$120</f>
        <v>0.37443917076619</v>
      </c>
      <c r="G813" s="42" t="n">
        <f aca="false">IF(D813="","",D813/SUMIFS($D$5:$D$1369,$B$5:$B$1369,B813,$C$5:$C$1369,C813))</f>
        <v>0.00131424797405149</v>
      </c>
      <c r="H813" s="42" t="n">
        <f aca="false">E813/SUMIFS($E$5:$E$1369,$B$5:$B$1369,B813,$C$5:$C$1369,C813)</f>
        <v>0.000858607422667796</v>
      </c>
      <c r="I813" s="43" t="n">
        <f aca="false">IF(G813="",H813,p_beta_alloc*G813+(1-p_beta_alloc)*H813)*F813^p_phi</f>
        <v>0.000664800698002876</v>
      </c>
      <c r="J813" s="16" t="n">
        <f aca="false">INDEX(Sector_Params!$C$19:$E$19,MATCH(B813,Sector_Params!$C$15:$E$15,0))*I813/SUMIFS($I$5:$I$1369,$B$5:$B$1369,B813,$C$5:$C$1369,C813)</f>
        <v>0.213974478831161</v>
      </c>
      <c r="K813" s="28" t="n">
        <f aca="false">INDEX(Sector_Params!$F$8:$H$8,MATCH(B813,Sector_Params!$C$15:$E$15,0))</f>
        <v>0.24</v>
      </c>
      <c r="L813" s="16" t="n">
        <f aca="false">J813*K813</f>
        <v>0.0513538749194787</v>
      </c>
      <c r="M813" s="44" t="n">
        <f aca="false">Country_Data!$DW$120+Sector_Params!$E$8</f>
        <v>0.105</v>
      </c>
      <c r="N813" s="44" t="n">
        <f aca="false">Country_Data!$DX$120+Sector_Params!$E$8</f>
        <v>0.15</v>
      </c>
      <c r="O813" s="11" t="n">
        <f aca="false">IF(p_use_ibrd=1,p_r_ibrd,p_r_wb)</f>
        <v>0.06</v>
      </c>
      <c r="P813" s="45" t="n">
        <f aca="false">Sector_Params!$D$8</f>
        <v>25</v>
      </c>
      <c r="Q813" s="46" t="n">
        <f aca="false">M813/(1-(1+M813)^-P813)</f>
        <v>0.114429319813103</v>
      </c>
      <c r="R813" s="46" t="n">
        <f aca="false">N813/(1-(1+N813)^-P813)</f>
        <v>0.154699402320206</v>
      </c>
      <c r="S813" s="46" t="n">
        <f aca="false">O813/(1-(1+O813)^-P813)</f>
        <v>0.078226718212274</v>
      </c>
      <c r="T813" s="37" t="n">
        <f aca="false">Country_Data!$CM$120*Sector_Params!$I$8</f>
        <v>0.152340609529446</v>
      </c>
      <c r="U813" s="37" t="n">
        <f aca="false">Country_Data!$CN$120*Sector_Params!$J$8</f>
        <v>0.130903775799451</v>
      </c>
      <c r="V813" s="37" t="n">
        <f aca="false">p_a</f>
        <v>0.35</v>
      </c>
      <c r="W813" s="16" t="n">
        <f aca="false">T813*L813</f>
        <v>0.0078232806069323</v>
      </c>
      <c r="X813" s="16" t="n">
        <f aca="false">U813*L813</f>
        <v>0.0067224161288925</v>
      </c>
      <c r="Y813" s="16" t="n">
        <f aca="false">V813*L813</f>
        <v>0.0179738562218175</v>
      </c>
      <c r="Z813" s="16" t="n">
        <f aca="false">Q813*L813</f>
        <v>0.00587638897680313</v>
      </c>
      <c r="AA813" s="16" t="n">
        <f aca="false">R813*L813</f>
        <v>0.00794441375686999</v>
      </c>
      <c r="AB813" s="16" t="n">
        <f aca="false">S813*L813</f>
        <v>0.00401724510243442</v>
      </c>
      <c r="AC813" s="16" t="n">
        <f aca="false">Z813-W813</f>
        <v>-0.00194689163012917</v>
      </c>
      <c r="AD813" s="16" t="n">
        <f aca="false">AA813-W813</f>
        <v>0.000121133149937686</v>
      </c>
      <c r="AE813" s="16" t="n">
        <f aca="false">AB813-W813</f>
        <v>-0.00380603550449788</v>
      </c>
      <c r="AF813" s="16" t="n">
        <f aca="false">AE813-X813</f>
        <v>-0.0105284516333904</v>
      </c>
      <c r="AG813" s="16" t="n">
        <f aca="false">AF813-p_spc_lo*Y813/1000</f>
        <v>-0.0114271444444813</v>
      </c>
      <c r="AH813" s="16" t="n">
        <f aca="false">AF813-p_spc_hi*Y813/1000</f>
        <v>-0.0123258372555721</v>
      </c>
      <c r="AI813" s="16" t="n">
        <f aca="false">Q813*J813</f>
        <v>0.024484954070013</v>
      </c>
      <c r="AJ813" s="16" t="n">
        <f aca="false">S813*J813</f>
        <v>0.0167385212601434</v>
      </c>
      <c r="AK813" s="16" t="n">
        <f aca="false">T813*J813</f>
        <v>0.0325970025288846</v>
      </c>
      <c r="AL813" s="16" t="n">
        <f aca="false">U813*J813</f>
        <v>0.0280100672037187</v>
      </c>
      <c r="AM813" s="16" t="n">
        <f aca="false">AI813-AJ813</f>
        <v>0.00774643280986962</v>
      </c>
      <c r="AN813" s="16" t="n">
        <f aca="false">J813*Country_Data!$EB$120</f>
        <v>0.271034339852804</v>
      </c>
      <c r="AO813" s="16" t="n">
        <f aca="false">L813*Country_Data!$EB$120</f>
        <v>0.065048241564673</v>
      </c>
    </row>
    <row r="814" customFormat="false" ht="15" hidden="false" customHeight="false" outlineLevel="0" collapsed="false">
      <c r="A814" s="14" t="str">
        <f aca="false">Country_Data!$A$120</f>
        <v>ARM</v>
      </c>
      <c r="B814" s="14" t="str">
        <f aca="false">Country_Data!$E$120</f>
        <v>EMDC</v>
      </c>
      <c r="C814" s="35" t="s">
        <v>481</v>
      </c>
      <c r="D814" s="37" t="n">
        <f aca="false">IF(Country_Data!$CC$120="","",Country_Data!$CC$120)</f>
        <v>0.0353619698996855</v>
      </c>
      <c r="E814" s="40" t="n">
        <f aca="false">Country_Data!$BW$120</f>
        <v>69.317</v>
      </c>
      <c r="F814" s="41" t="n">
        <f aca="false">Country_Data!$BX$120</f>
        <v>0.37443917076619</v>
      </c>
      <c r="G814" s="42" t="n">
        <f aca="false">IF(D814="","",D814/SUMIFS($D$5:$D$1369,$B$5:$B$1369,B814,$C$5:$C$1369,C814))</f>
        <v>0.000505118628396153</v>
      </c>
      <c r="H814" s="42" t="n">
        <f aca="false">E814/SUMIFS($E$5:$E$1369,$B$5:$B$1369,B814,$C$5:$C$1369,C814)</f>
        <v>0.000858607422667796</v>
      </c>
      <c r="I814" s="43" t="n">
        <f aca="false">IF(G814="",H814,p_beta_alloc*G814+(1-p_beta_alloc)*H814)*F814^p_phi</f>
        <v>0.00041724176951714</v>
      </c>
      <c r="J814" s="16" t="n">
        <f aca="false">INDEX(Sector_Params!$C$20:$E$20,MATCH(B814,Sector_Params!$C$15:$E$15,0))*I814/SUMIFS($I$5:$I$1369,$B$5:$B$1369,B814,$C$5:$C$1369,C814)</f>
        <v>0.0761550252210358</v>
      </c>
      <c r="K814" s="28" t="n">
        <f aca="false">INDEX(Sector_Params!$F$9:$H$9,MATCH(B814,Sector_Params!$C$15:$E$15,0))</f>
        <v>0.24</v>
      </c>
      <c r="L814" s="16" t="n">
        <f aca="false">J814*K814</f>
        <v>0.0182772060530486</v>
      </c>
      <c r="M814" s="44" t="n">
        <f aca="false">Country_Data!$DW$120+Sector_Params!$E$9</f>
        <v>0.105</v>
      </c>
      <c r="N814" s="44" t="n">
        <f aca="false">Country_Data!$DX$120+Sector_Params!$E$9</f>
        <v>0.15</v>
      </c>
      <c r="O814" s="11" t="n">
        <f aca="false">IF(p_use_ibrd=1,p_r_ibrd,p_r_wb)</f>
        <v>0.06</v>
      </c>
      <c r="P814" s="45" t="n">
        <f aca="false">Sector_Params!$D$9</f>
        <v>25</v>
      </c>
      <c r="Q814" s="46" t="n">
        <f aca="false">M814/(1-(1+M814)^-P814)</f>
        <v>0.114429319813103</v>
      </c>
      <c r="R814" s="46" t="n">
        <f aca="false">N814/(1-(1+N814)^-P814)</f>
        <v>0.154699402320206</v>
      </c>
      <c r="S814" s="46" t="n">
        <f aca="false">O814/(1-(1+O814)^-P814)</f>
        <v>0.078226718212274</v>
      </c>
      <c r="T814" s="37" t="n">
        <f aca="false">Country_Data!$CM$120*Sector_Params!$I$9</f>
        <v>0.152340609529446</v>
      </c>
      <c r="U814" s="37" t="n">
        <f aca="false">Country_Data!$CN$120*Sector_Params!$J$9</f>
        <v>0.130903775799451</v>
      </c>
      <c r="V814" s="37" t="n">
        <f aca="false">p_a</f>
        <v>0.35</v>
      </c>
      <c r="W814" s="16" t="n">
        <f aca="false">T814*L814</f>
        <v>0.0027843607106167</v>
      </c>
      <c r="X814" s="16" t="n">
        <f aca="false">U814*L814</f>
        <v>0.00239255528340865</v>
      </c>
      <c r="Y814" s="16" t="n">
        <f aca="false">V814*L814</f>
        <v>0.00639702211856701</v>
      </c>
      <c r="Z814" s="16" t="n">
        <f aca="false">Q814*L814</f>
        <v>0.00209144825673429</v>
      </c>
      <c r="AA814" s="16" t="n">
        <f aca="false">R814*L814</f>
        <v>0.00282747285248988</v>
      </c>
      <c r="AB814" s="16" t="n">
        <f aca="false">S814*L814</f>
        <v>0.0014297658476195</v>
      </c>
      <c r="AC814" s="16" t="n">
        <f aca="false">Z814-W814</f>
        <v>-0.000692912453882415</v>
      </c>
      <c r="AD814" s="16" t="n">
        <f aca="false">AA814-W814</f>
        <v>4.31121418731769E-005</v>
      </c>
      <c r="AE814" s="16" t="n">
        <f aca="false">AB814-W814</f>
        <v>-0.0013545948629972</v>
      </c>
      <c r="AF814" s="16" t="n">
        <f aca="false">AE814-X814</f>
        <v>-0.00374715014640585</v>
      </c>
      <c r="AG814" s="16" t="n">
        <f aca="false">AF814-p_spc_lo*Y814/1000</f>
        <v>-0.0040670012523342</v>
      </c>
      <c r="AH814" s="16" t="n">
        <f aca="false">AF814-p_spc_hi*Y814/1000</f>
        <v>-0.00438685235826255</v>
      </c>
      <c r="AI814" s="16" t="n">
        <f aca="false">Q814*J814</f>
        <v>0.00871436773639286</v>
      </c>
      <c r="AJ814" s="16" t="n">
        <f aca="false">S814*J814</f>
        <v>0.00595735769841458</v>
      </c>
      <c r="AK814" s="16" t="n">
        <f aca="false">T814*J814</f>
        <v>0.0116015029609029</v>
      </c>
      <c r="AL814" s="16" t="n">
        <f aca="false">U814*J814</f>
        <v>0.00996898034753603</v>
      </c>
      <c r="AM814" s="16" t="n">
        <f aca="false">AI814-AJ814</f>
        <v>0.00275701003797827</v>
      </c>
      <c r="AN814" s="16" t="n">
        <f aca="false">J814*Country_Data!$EB$120</f>
        <v>0.0964630319466454</v>
      </c>
      <c r="AO814" s="16" t="n">
        <f aca="false">L814*Country_Data!$EB$120</f>
        <v>0.0231511276671949</v>
      </c>
    </row>
    <row r="815" customFormat="false" ht="15" hidden="false" customHeight="false" outlineLevel="0" collapsed="false">
      <c r="A815" s="14" t="str">
        <f aca="false">Country_Data!$A$120</f>
        <v>ARM</v>
      </c>
      <c r="B815" s="14" t="str">
        <f aca="false">Country_Data!$E$120</f>
        <v>EMDC</v>
      </c>
      <c r="C815" s="35" t="s">
        <v>484</v>
      </c>
      <c r="D815" s="37" t="n">
        <f aca="false">IF(Country_Data!$CD$120="","",Country_Data!$CD$120)</f>
        <v>0.105600875201718</v>
      </c>
      <c r="E815" s="40" t="n">
        <f aca="false">Country_Data!$BW$120</f>
        <v>69.317</v>
      </c>
      <c r="F815" s="41" t="n">
        <f aca="false">Country_Data!$BX$120</f>
        <v>0.37443917076619</v>
      </c>
      <c r="G815" s="42" t="n">
        <f aca="false">IF(D815="","",D815/SUMIFS($D$5:$D$1369,$B$5:$B$1369,B815,$C$5:$C$1369,C815))</f>
        <v>0.000589713865167253</v>
      </c>
      <c r="H815" s="42" t="n">
        <f aca="false">E815/SUMIFS($E$5:$E$1369,$B$5:$B$1369,B815,$C$5:$C$1369,C815)</f>
        <v>0.000858607422667796</v>
      </c>
      <c r="I815" s="43" t="n">
        <f aca="false">IF(G815="",H815,p_beta_alloc*G815+(1-p_beta_alloc)*H815)*F815^p_phi</f>
        <v>0.000443124289144566</v>
      </c>
      <c r="J815" s="16" t="n">
        <f aca="false">INDEX(Sector_Params!$C$21:$E$21,MATCH(B815,Sector_Params!$C$15:$E$15,0))*I815/SUMIFS($I$5:$I$1369,$B$5:$B$1369,B815,$C$5:$C$1369,C815)</f>
        <v>0.0982804590998268</v>
      </c>
      <c r="K815" s="28" t="n">
        <f aca="false">INDEX(Sector_Params!$F$10:$H$10,MATCH(B815,Sector_Params!$C$15:$E$15,0))</f>
        <v>0.24</v>
      </c>
      <c r="L815" s="16" t="n">
        <f aca="false">J815*K815</f>
        <v>0.0235873101839584</v>
      </c>
      <c r="M815" s="44" t="n">
        <f aca="false">Country_Data!$DW$120+Sector_Params!$E$10</f>
        <v>0.105</v>
      </c>
      <c r="N815" s="44" t="n">
        <f aca="false">Country_Data!$DX$120+Sector_Params!$E$10</f>
        <v>0.15</v>
      </c>
      <c r="O815" s="11" t="n">
        <f aca="false">IF(p_use_ibrd=1,p_r_ibrd,p_r_wb)</f>
        <v>0.06</v>
      </c>
      <c r="P815" s="45" t="n">
        <f aca="false">Sector_Params!$D$10</f>
        <v>20</v>
      </c>
      <c r="Q815" s="46" t="n">
        <f aca="false">M815/(1-(1+M815)^-P815)</f>
        <v>0.121493265267016</v>
      </c>
      <c r="R815" s="46" t="n">
        <f aca="false">N815/(1-(1+N815)^-P815)</f>
        <v>0.159761470405744</v>
      </c>
      <c r="S815" s="46" t="n">
        <f aca="false">O815/(1-(1+O815)^-P815)</f>
        <v>0.0871845569768514</v>
      </c>
      <c r="T815" s="37" t="n">
        <f aca="false">0*Sector_Params!$I$10</f>
        <v>0</v>
      </c>
      <c r="U815" s="37" t="n">
        <f aca="false">0*Sector_Params!$J$10</f>
        <v>0</v>
      </c>
      <c r="V815" s="37" t="n">
        <f aca="false">1000*p_r_wb/(1-(1+p_r_wb)^-Sector_Params!$D$10)/p_cpt_fuel</f>
        <v>0.871845569768514</v>
      </c>
      <c r="W815" s="16" t="n">
        <f aca="false">T815*L815</f>
        <v>0</v>
      </c>
      <c r="X815" s="16" t="n">
        <f aca="false">U815*L815</f>
        <v>0</v>
      </c>
      <c r="Y815" s="16" t="n">
        <f aca="false">V815*L815</f>
        <v>0.0205644918866399</v>
      </c>
      <c r="Z815" s="16" t="n">
        <f aca="false">Q815*L815</f>
        <v>0.00286569933311505</v>
      </c>
      <c r="AA815" s="16" t="n">
        <f aca="false">R815*L815</f>
        <v>0.00376834335790558</v>
      </c>
      <c r="AB815" s="16" t="n">
        <f aca="false">S815*L815</f>
        <v>0.00205644918866399</v>
      </c>
      <c r="AC815" s="16" t="n">
        <f aca="false">Z815-W815</f>
        <v>0.00286569933311505</v>
      </c>
      <c r="AD815" s="16" t="n">
        <f aca="false">AA815-W815</f>
        <v>0.00376834335790558</v>
      </c>
      <c r="AE815" s="16" t="n">
        <f aca="false">AB815-W815</f>
        <v>0.00205644918866399</v>
      </c>
      <c r="AF815" s="16" t="n">
        <f aca="false">AE815-X815</f>
        <v>0.00205644918866399</v>
      </c>
      <c r="AG815" s="16" t="n">
        <f aca="false">AF815-p_spc_lo*Y815/1000</f>
        <v>0.001028224594332</v>
      </c>
      <c r="AH815" s="16" t="n">
        <f aca="false">AF815-p_spc_hi*Y815/1000</f>
        <v>0</v>
      </c>
      <c r="AI815" s="16" t="n">
        <f aca="false">Q815*J815</f>
        <v>0.0119404138879794</v>
      </c>
      <c r="AJ815" s="16" t="n">
        <f aca="false">S815*J815</f>
        <v>0.00856853828609996</v>
      </c>
      <c r="AK815" s="16" t="n">
        <f aca="false">T815*J815</f>
        <v>0</v>
      </c>
      <c r="AL815" s="16" t="n">
        <f aca="false">U815*J815</f>
        <v>0</v>
      </c>
      <c r="AM815" s="16" t="n">
        <f aca="false">AI815-AJ815</f>
        <v>0.00337187560187943</v>
      </c>
      <c r="AN815" s="16" t="n">
        <f aca="false">J815*Country_Data!$EB$120</f>
        <v>0.124488581526447</v>
      </c>
      <c r="AO815" s="16" t="n">
        <f aca="false">L815*Country_Data!$EB$120</f>
        <v>0.0298772595663473</v>
      </c>
    </row>
    <row r="816" customFormat="false" ht="15" hidden="false" customHeight="false" outlineLevel="0" collapsed="false">
      <c r="A816" s="14" t="str">
        <f aca="false">Country_Data!$A$120</f>
        <v>ARM</v>
      </c>
      <c r="B816" s="14" t="str">
        <f aca="false">Country_Data!$E$120</f>
        <v>EMDC</v>
      </c>
      <c r="C816" s="35" t="s">
        <v>488</v>
      </c>
      <c r="D816" s="37" t="n">
        <f aca="false">IF(Country_Data!$CE$120="","",Country_Data!$CE$120)</f>
        <v>3.288</v>
      </c>
      <c r="E816" s="40" t="n">
        <f aca="false">Country_Data!$BW$120</f>
        <v>69.317</v>
      </c>
      <c r="F816" s="41" t="n">
        <f aca="false">Country_Data!$BX$120</f>
        <v>0.37443917076619</v>
      </c>
      <c r="G816" s="42" t="n">
        <f aca="false">IF(D816="","",D816/SUMIFS($D$5:$D$1369,$B$5:$B$1369,B816,$C$5:$C$1369,C816))</f>
        <v>0.000269417433962821</v>
      </c>
      <c r="H816" s="42" t="n">
        <f aca="false">E816/SUMIFS($E$5:$E$1369,$B$5:$B$1369,B816,$C$5:$C$1369,C816)</f>
        <v>0.000858607422667796</v>
      </c>
      <c r="I816" s="43" t="n">
        <f aca="false">IF(G816="",H816,p_beta_alloc*G816+(1-p_beta_alloc)*H816)*F816^p_phi</f>
        <v>0.000345127298017574</v>
      </c>
      <c r="J816" s="16" t="n">
        <f aca="false">INDEX(Sector_Params!$C$22:$E$22,MATCH(B816,Sector_Params!$C$15:$E$15,0))*I816/SUMIFS($I$5:$I$1369,$B$5:$B$1369,B816,$C$5:$C$1369,C816)</f>
        <v>0.208045630248317</v>
      </c>
      <c r="K816" s="28" t="n">
        <f aca="false">INDEX(Sector_Params!$F$11:$H$11,MATCH(B816,Sector_Params!$C$15:$E$15,0))</f>
        <v>0.24</v>
      </c>
      <c r="L816" s="16" t="n">
        <f aca="false">J816*K816</f>
        <v>0.049930951259596</v>
      </c>
      <c r="M816" s="44" t="n">
        <f aca="false">Country_Data!$DW$120+Sector_Params!$E$11</f>
        <v>0.105</v>
      </c>
      <c r="N816" s="44" t="n">
        <f aca="false">Country_Data!$DX$120+Sector_Params!$E$11</f>
        <v>0.15</v>
      </c>
      <c r="O816" s="11" t="n">
        <f aca="false">IF(p_use_ibrd=1,p_r_ibrd,p_r_wb)</f>
        <v>0.06</v>
      </c>
      <c r="P816" s="45" t="n">
        <f aca="false">Sector_Params!$D$11</f>
        <v>30</v>
      </c>
      <c r="Q816" s="46" t="n">
        <f aca="false">M816/(1-(1+M816)^-P816)</f>
        <v>0.110528481529605</v>
      </c>
      <c r="R816" s="46" t="n">
        <f aca="false">N816/(1-(1+N816)^-P816)</f>
        <v>0.152300198192734</v>
      </c>
      <c r="S816" s="46" t="n">
        <f aca="false">O816/(1-(1+O816)^-P816)</f>
        <v>0.0726489114900472</v>
      </c>
      <c r="T816" s="37" t="n">
        <f aca="false">0*Sector_Params!$I$11</f>
        <v>0</v>
      </c>
      <c r="U816" s="37" t="n">
        <f aca="false">p_c*Sector_Params!$J$11</f>
        <v>0.129</v>
      </c>
      <c r="V816" s="37" t="n">
        <f aca="false">1000*p_r_wb/(1-(1+p_r_wb)^-Sector_Params!$D$11)/p_cpt_afolu</f>
        <v>1.45297822980094</v>
      </c>
      <c r="W816" s="16" t="n">
        <f aca="false">T816*L816</f>
        <v>0</v>
      </c>
      <c r="X816" s="16" t="n">
        <f aca="false">U816*L816</f>
        <v>0.00644109271248789</v>
      </c>
      <c r="Y816" s="16" t="n">
        <f aca="false">V816*L816</f>
        <v>0.072548585173445</v>
      </c>
      <c r="Z816" s="16" t="n">
        <f aca="false">Q816*L816</f>
        <v>0.00551879222405187</v>
      </c>
      <c r="AA816" s="16" t="n">
        <f aca="false">R816*L816</f>
        <v>0.00760449377278823</v>
      </c>
      <c r="AB816" s="16" t="n">
        <f aca="false">S816*L816</f>
        <v>0.00362742925867225</v>
      </c>
      <c r="AC816" s="16" t="n">
        <f aca="false">Z816-W816</f>
        <v>0.00551879222405187</v>
      </c>
      <c r="AD816" s="16" t="n">
        <f aca="false">AA816-W816</f>
        <v>0.00760449377278823</v>
      </c>
      <c r="AE816" s="16" t="n">
        <f aca="false">AB816-W816</f>
        <v>0.00362742925867225</v>
      </c>
      <c r="AF816" s="16" t="n">
        <f aca="false">AE816-X816</f>
        <v>-0.00281366345381563</v>
      </c>
      <c r="AG816" s="16" t="n">
        <f aca="false">AF816-p_spc_lo*Y816/1000</f>
        <v>-0.00644109271248789</v>
      </c>
      <c r="AH816" s="16" t="n">
        <f aca="false">AF816-p_spc_hi*Y816/1000</f>
        <v>-0.0100685219711601</v>
      </c>
      <c r="AI816" s="16" t="n">
        <f aca="false">Q816*J816</f>
        <v>0.0229949676002161</v>
      </c>
      <c r="AJ816" s="16" t="n">
        <f aca="false">S816*J816</f>
        <v>0.0151142885778011</v>
      </c>
      <c r="AK816" s="16" t="n">
        <f aca="false">T816*J816</f>
        <v>0</v>
      </c>
      <c r="AL816" s="16" t="n">
        <f aca="false">U816*J816</f>
        <v>0.0268378863020329</v>
      </c>
      <c r="AM816" s="16" t="n">
        <f aca="false">AI816-AJ816</f>
        <v>0.00788067902241509</v>
      </c>
      <c r="AN816" s="16" t="n">
        <f aca="false">J816*Country_Data!$EB$120</f>
        <v>0.263524464981201</v>
      </c>
      <c r="AO816" s="16" t="n">
        <f aca="false">L816*Country_Data!$EB$120</f>
        <v>0.0632458715954883</v>
      </c>
    </row>
    <row r="817" customFormat="false" ht="15" hidden="false" customHeight="false" outlineLevel="0" collapsed="false">
      <c r="A817" s="14" t="str">
        <f aca="false">Country_Data!$A$121</f>
        <v>TTO</v>
      </c>
      <c r="B817" s="14" t="str">
        <f aca="false">Country_Data!$E$121</f>
        <v>EMDC</v>
      </c>
      <c r="C817" s="35" t="s">
        <v>466</v>
      </c>
      <c r="D817" s="37" t="n">
        <f aca="false">IF(Country_Data!$BZ$121="","",Country_Data!$BZ$121)</f>
        <v>8.74028006326185</v>
      </c>
      <c r="E817" s="40" t="n">
        <f aca="false">Country_Data!$BW$121</f>
        <v>49.782</v>
      </c>
      <c r="F817" s="41" t="n">
        <f aca="false">Country_Data!$BX$121</f>
        <v>0.514925073319674</v>
      </c>
      <c r="G817" s="42" t="n">
        <f aca="false">IF(D817="","",D817/SUMIFS($D$5:$D$1369,$B$5:$B$1369,B817,$C$5:$C$1369,C817))</f>
        <v>0.000997809036270716</v>
      </c>
      <c r="H817" s="42" t="n">
        <f aca="false">E817/SUMIFS($E$5:$E$1369,$B$5:$B$1369,B817,$C$5:$C$1369,C817)</f>
        <v>0.000616633649974007</v>
      </c>
      <c r="I817" s="43" t="n">
        <f aca="false">IF(G817="",H817,p_beta_alloc*G817+(1-p_beta_alloc)*H817)*F817^p_phi</f>
        <v>0.000579248150753475</v>
      </c>
      <c r="J817" s="16" t="n">
        <f aca="false">INDEX(Sector_Params!$C$16:$E$16,MATCH(B817,Sector_Params!$C$15:$E$15,0))*I817/SUMIFS($I$5:$I$1369,$B$5:$B$1369,B817,$C$5:$C$1369,C817)</f>
        <v>0.560263496615496</v>
      </c>
      <c r="K817" s="28" t="n">
        <f aca="false">INDEX(Sector_Params!$F$5:$H$5,MATCH(B817,Sector_Params!$C$15:$E$15,0))</f>
        <v>0.24</v>
      </c>
      <c r="L817" s="16" t="n">
        <f aca="false">J817*K817</f>
        <v>0.134463239187719</v>
      </c>
      <c r="M817" s="44" t="n">
        <f aca="false">Country_Data!$DW$121+Sector_Params!$E$5</f>
        <v>0.105</v>
      </c>
      <c r="N817" s="44" t="n">
        <f aca="false">Country_Data!$DX$121+Sector_Params!$E$5</f>
        <v>0.15</v>
      </c>
      <c r="O817" s="11" t="n">
        <f aca="false">IF(p_use_ibrd=1,p_r_ibrd,p_r_wb)</f>
        <v>0.06</v>
      </c>
      <c r="P817" s="45" t="n">
        <f aca="false">Sector_Params!$D$5</f>
        <v>25</v>
      </c>
      <c r="Q817" s="46" t="n">
        <f aca="false">M817/(1-(1+M817)^-P817)</f>
        <v>0.114429319813103</v>
      </c>
      <c r="R817" s="46" t="n">
        <f aca="false">N817/(1-(1+N817)^-P817)</f>
        <v>0.154699402320206</v>
      </c>
      <c r="S817" s="46" t="n">
        <f aca="false">O817/(1-(1+O817)^-P817)</f>
        <v>0.078226718212274</v>
      </c>
      <c r="T817" s="37" t="n">
        <f aca="false">IF(AND(p_eng=1,ISNUMBER(Country_Data!$CZ$121)),Country_Data!$CZ$121,Country_Data!$CM$121)*Sector_Params!$I$5</f>
        <v>0.128180436288074</v>
      </c>
      <c r="U817" s="37" t="n">
        <f aca="false">IF(AND(p_eng=1,ISNUMBER(Country_Data!$DA$121)),Country_Data!$DA$121,Country_Data!$CN$121)*Sector_Params!$J$5</f>
        <v>0.00111994439874536</v>
      </c>
      <c r="V817" s="37" t="n">
        <f aca="false">IF(AND(p_eng=1,ISNUMBER(Country_Data!$DB$121)),Country_Data!$DB$121,p_a)</f>
        <v>0.971031240738875</v>
      </c>
      <c r="W817" s="16" t="n">
        <f aca="false">T817*L817</f>
        <v>0.0172355566637895</v>
      </c>
      <c r="X817" s="16" t="n">
        <f aca="false">U817*L817</f>
        <v>0.000150591351565444</v>
      </c>
      <c r="Y817" s="16" t="n">
        <f aca="false">V817*L817</f>
        <v>0.130568005982219</v>
      </c>
      <c r="Z817" s="16" t="n">
        <f aca="false">Q817*L817</f>
        <v>0.0153865370001173</v>
      </c>
      <c r="AA817" s="16" t="n">
        <f aca="false">R817*L817</f>
        <v>0.0208013827363791</v>
      </c>
      <c r="AB817" s="16" t="n">
        <f aca="false">S817*L817</f>
        <v>0.0105186179218473</v>
      </c>
      <c r="AC817" s="16" t="n">
        <f aca="false">Z817-W817</f>
        <v>-0.00184901966367218</v>
      </c>
      <c r="AD817" s="16" t="n">
        <f aca="false">AA817-W817</f>
        <v>0.0035658260725896</v>
      </c>
      <c r="AE817" s="16" t="n">
        <f aca="false">AB817-W817</f>
        <v>-0.0067169387419422</v>
      </c>
      <c r="AF817" s="16" t="n">
        <f aca="false">AE817-X817</f>
        <v>-0.00686753009350764</v>
      </c>
      <c r="AG817" s="16" t="n">
        <f aca="false">AF817-p_spc_lo*Y817/1000</f>
        <v>-0.0133959303926186</v>
      </c>
      <c r="AH817" s="16" t="n">
        <f aca="false">AF817-p_spc_hi*Y817/1000</f>
        <v>-0.0199243306917295</v>
      </c>
      <c r="AI817" s="16" t="n">
        <f aca="false">Q817*J817</f>
        <v>0.0641105708338221</v>
      </c>
      <c r="AJ817" s="16" t="n">
        <f aca="false">S817*J817</f>
        <v>0.0438275746743637</v>
      </c>
      <c r="AK817" s="16" t="n">
        <f aca="false">T817*J817</f>
        <v>0.0718148194324562</v>
      </c>
      <c r="AL817" s="16" t="n">
        <f aca="false">U817*J817</f>
        <v>0.000627463964856016</v>
      </c>
      <c r="AM817" s="16" t="n">
        <f aca="false">AI817-AJ817</f>
        <v>0.0202829961594584</v>
      </c>
      <c r="AN817" s="16" t="n">
        <f aca="false">J817*Country_Data!$EB$121</f>
        <v>0.643151794744911</v>
      </c>
      <c r="AO817" s="16" t="n">
        <f aca="false">L817*Country_Data!$EB$121</f>
        <v>0.154356430738779</v>
      </c>
    </row>
    <row r="818" customFormat="false" ht="15" hidden="false" customHeight="false" outlineLevel="0" collapsed="false">
      <c r="A818" s="14" t="str">
        <f aca="false">Country_Data!$A$121</f>
        <v>TTO</v>
      </c>
      <c r="B818" s="14" t="str">
        <f aca="false">Country_Data!$E$121</f>
        <v>EMDC</v>
      </c>
      <c r="C818" s="35" t="s">
        <v>470</v>
      </c>
      <c r="D818" s="37" t="n">
        <f aca="false">IF(Country_Data!$BZ$121="","",Country_Data!$BZ$121)</f>
        <v>8.74028006326185</v>
      </c>
      <c r="E818" s="40" t="n">
        <f aca="false">Country_Data!$BW$121</f>
        <v>49.782</v>
      </c>
      <c r="F818" s="41" t="n">
        <f aca="false">Country_Data!$BX$121</f>
        <v>0.514925073319674</v>
      </c>
      <c r="G818" s="42" t="n">
        <f aca="false">IF(D818="","",D818/SUMIFS($D$5:$D$1369,$B$5:$B$1369,B818,$C$5:$C$1369,C818))</f>
        <v>0.000997809036270716</v>
      </c>
      <c r="H818" s="42" t="n">
        <f aca="false">E818/SUMIFS($E$5:$E$1369,$B$5:$B$1369,B818,$C$5:$C$1369,C818)</f>
        <v>0.000616633649974007</v>
      </c>
      <c r="I818" s="43" t="n">
        <f aca="false">IF(G818="",H818,p_beta_alloc*G818+(1-p_beta_alloc)*H818)*F818^p_phi</f>
        <v>0.000579248150753475</v>
      </c>
      <c r="J818" s="16" t="n">
        <f aca="false">INDEX(Sector_Params!$C$17:$E$17,MATCH(B818,Sector_Params!$C$15:$E$15,0))*I818/SUMIFS($I$5:$I$1369,$B$5:$B$1369,B818,$C$5:$C$1369,C818)</f>
        <v>0.384180683393483</v>
      </c>
      <c r="K818" s="28" t="n">
        <f aca="false">INDEX(Sector_Params!$F$6:$H$6,MATCH(B818,Sector_Params!$C$15:$E$15,0))</f>
        <v>0.24</v>
      </c>
      <c r="L818" s="16" t="n">
        <f aca="false">J818*K818</f>
        <v>0.0922033640144358</v>
      </c>
      <c r="M818" s="44" t="n">
        <f aca="false">Country_Data!$DW$121+Sector_Params!$E$6</f>
        <v>0.105</v>
      </c>
      <c r="N818" s="44" t="n">
        <f aca="false">Country_Data!$DX$121+Sector_Params!$E$6</f>
        <v>0.15</v>
      </c>
      <c r="O818" s="11" t="n">
        <f aca="false">IF(p_use_ibrd=1,p_r_ibrd,p_r_wb)</f>
        <v>0.06</v>
      </c>
      <c r="P818" s="45" t="n">
        <f aca="false">Sector_Params!$D$6</f>
        <v>40</v>
      </c>
      <c r="Q818" s="46" t="n">
        <f aca="false">M818/(1-(1+M818)^-P818)</f>
        <v>0.10697140835497</v>
      </c>
      <c r="R818" s="46" t="n">
        <f aca="false">N818/(1-(1+N818)^-P818)</f>
        <v>0.150562085013545</v>
      </c>
      <c r="S818" s="46" t="n">
        <f aca="false">O818/(1-(1+O818)^-P818)</f>
        <v>0.0664615359206755</v>
      </c>
      <c r="T818" s="37" t="n">
        <f aca="false">p_grid_credit*IF(AND(p_eng=1,ISNUMBER(Country_Data!$CZ$121)),Country_Data!$CZ$121,Country_Data!$CM$121)*Sector_Params!$I$6</f>
        <v>0</v>
      </c>
      <c r="U818" s="37" t="n">
        <f aca="false">p_grid_credit*IF(AND(p_eng=1,ISNUMBER(Country_Data!$DA$121)),Country_Data!$DA$121,Country_Data!$CN$121)*Sector_Params!$J$6</f>
        <v>0</v>
      </c>
      <c r="V818" s="37" t="n">
        <f aca="false">p_grid_credit*IF(AND(p_eng=1,ISNUMBER(Country_Data!$DB$121)),Country_Data!$DB$121,p_a)</f>
        <v>0</v>
      </c>
      <c r="W818" s="16" t="n">
        <f aca="false">T818*L818</f>
        <v>0</v>
      </c>
      <c r="X818" s="16" t="n">
        <f aca="false">U818*L818</f>
        <v>0</v>
      </c>
      <c r="Y818" s="16" t="n">
        <f aca="false">V818*L818</f>
        <v>0</v>
      </c>
      <c r="Z818" s="16" t="n">
        <f aca="false">Q818*L818</f>
        <v>0.00986312370369019</v>
      </c>
      <c r="AA818" s="16" t="n">
        <f aca="false">R818*L818</f>
        <v>0.0138823307312763</v>
      </c>
      <c r="AB818" s="16" t="n">
        <f aca="false">S818*L818</f>
        <v>0.00612797718945255</v>
      </c>
      <c r="AC818" s="16" t="n">
        <f aca="false">Z818-W818</f>
        <v>0.00986312370369019</v>
      </c>
      <c r="AD818" s="16" t="n">
        <f aca="false">AA818-W818</f>
        <v>0.0138823307312763</v>
      </c>
      <c r="AE818" s="16" t="n">
        <f aca="false">AB818-W818</f>
        <v>0.00612797718945255</v>
      </c>
      <c r="AF818" s="16" t="n">
        <f aca="false">AE818-X818</f>
        <v>0.00612797718945255</v>
      </c>
      <c r="AG818" s="16" t="n">
        <f aca="false">AF818-p_spc_lo*Y818/1000</f>
        <v>0.00612797718945255</v>
      </c>
      <c r="AH818" s="16" t="n">
        <f aca="false">AF818-p_spc_hi*Y818/1000</f>
        <v>0.00612797718945255</v>
      </c>
      <c r="AI818" s="16" t="n">
        <f aca="false">Q818*J818</f>
        <v>0.0410963487653758</v>
      </c>
      <c r="AJ818" s="16" t="n">
        <f aca="false">S818*J818</f>
        <v>0.0255332382893856</v>
      </c>
      <c r="AK818" s="16" t="n">
        <f aca="false">T818*J818</f>
        <v>0</v>
      </c>
      <c r="AL818" s="16" t="n">
        <f aca="false">U818*J818</f>
        <v>0</v>
      </c>
      <c r="AM818" s="16" t="n">
        <f aca="false">AI818-AJ818</f>
        <v>0.0155631104759902</v>
      </c>
      <c r="AN818" s="16" t="n">
        <f aca="false">J818*Country_Data!$EB$121</f>
        <v>0.441018373539368</v>
      </c>
      <c r="AO818" s="16" t="n">
        <f aca="false">L818*Country_Data!$EB$121</f>
        <v>0.105844409649448</v>
      </c>
    </row>
    <row r="819" customFormat="false" ht="15" hidden="false" customHeight="false" outlineLevel="0" collapsed="false">
      <c r="A819" s="14" t="str">
        <f aca="false">Country_Data!$A$121</f>
        <v>TTO</v>
      </c>
      <c r="B819" s="14" t="str">
        <f aca="false">Country_Data!$E$121</f>
        <v>EMDC</v>
      </c>
      <c r="C819" s="35" t="s">
        <v>473</v>
      </c>
      <c r="D819" s="37" t="n">
        <f aca="false">IF(Country_Data!$CA$121="","",Country_Data!$CA$121)</f>
        <v>0.0331886019933041</v>
      </c>
      <c r="E819" s="40" t="n">
        <f aca="false">Country_Data!$BW$121</f>
        <v>49.782</v>
      </c>
      <c r="F819" s="41" t="n">
        <f aca="false">Country_Data!$BX$121</f>
        <v>0.514925073319674</v>
      </c>
      <c r="G819" s="42" t="n">
        <f aca="false">IF(D819="","",D819/SUMIFS($D$5:$D$1369,$B$5:$B$1369,B819,$C$5:$C$1369,C819))</f>
        <v>0.000766733926443843</v>
      </c>
      <c r="H819" s="42" t="n">
        <f aca="false">E819/SUMIFS($E$5:$E$1369,$B$5:$B$1369,B819,$C$5:$C$1369,C819)</f>
        <v>0.000616633649974007</v>
      </c>
      <c r="I819" s="43" t="n">
        <f aca="false">IF(G819="",H819,p_beta_alloc*G819+(1-p_beta_alloc)*H819)*F819^p_phi</f>
        <v>0.000496340388717206</v>
      </c>
      <c r="J819" s="16" t="n">
        <f aca="false">INDEX(Sector_Params!$C$18:$E$18,MATCH(B819,Sector_Params!$C$15:$E$15,0))*I819/SUMIFS($I$5:$I$1369,$B$5:$B$1369,B819,$C$5:$C$1369,C819)</f>
        <v>0.20323964516338</v>
      </c>
      <c r="K819" s="28" t="n">
        <f aca="false">INDEX(Sector_Params!$F$7:$H$7,MATCH(B819,Sector_Params!$C$15:$E$15,0))</f>
        <v>0.24</v>
      </c>
      <c r="L819" s="16" t="n">
        <f aca="false">J819*K819</f>
        <v>0.0487775148392113</v>
      </c>
      <c r="M819" s="44" t="n">
        <f aca="false">Country_Data!$DW$121+Sector_Params!$E$7</f>
        <v>0.105</v>
      </c>
      <c r="N819" s="44" t="n">
        <f aca="false">Country_Data!$DX$121+Sector_Params!$E$7</f>
        <v>0.15</v>
      </c>
      <c r="O819" s="11" t="n">
        <f aca="false">IF(p_use_ibrd=1,p_r_ibrd,p_r_wb)</f>
        <v>0.06</v>
      </c>
      <c r="P819" s="45" t="n">
        <f aca="false">Sector_Params!$D$7</f>
        <v>12</v>
      </c>
      <c r="Q819" s="46" t="n">
        <f aca="false">M819/(1-(1+M819)^-P819)</f>
        <v>0.150376745634766</v>
      </c>
      <c r="R819" s="46" t="n">
        <f aca="false">N819/(1-(1+N819)^-P819)</f>
        <v>0.18448077613084</v>
      </c>
      <c r="S819" s="46" t="n">
        <f aca="false">O819/(1-(1+O819)^-P819)</f>
        <v>0.119277029380664</v>
      </c>
      <c r="T819" s="37" t="n">
        <f aca="false">IF(AND(p_eng=1,ISNUMBER(Country_Data!$DE$121)),Country_Data!$DE$121,Country_Data!$CM$121)*Sector_Params!$I$7</f>
        <v>0.1732869</v>
      </c>
      <c r="U819" s="37" t="n">
        <f aca="false">IF(AND(p_eng=1,ISNUMBER(Country_Data!$DF$121)),Country_Data!$DF$121,Country_Data!$CN$121)*Sector_Params!$J$7</f>
        <v>0.002865375</v>
      </c>
      <c r="V819" s="37" t="n">
        <f aca="false">IF(AND(p_eng=1,ISNUMBER(Country_Data!$DG$121)),Country_Data!$DG$121,p_a)</f>
        <v>0.305409906282723</v>
      </c>
      <c r="W819" s="16" t="n">
        <f aca="false">T819*L819</f>
        <v>0.00845250433619092</v>
      </c>
      <c r="X819" s="16" t="n">
        <f aca="false">U819*L819</f>
        <v>0.000139765871582405</v>
      </c>
      <c r="Y819" s="16" t="n">
        <f aca="false">V819*L819</f>
        <v>0.0148971362357476</v>
      </c>
      <c r="Z819" s="16" t="n">
        <f aca="false">Q819*L819</f>
        <v>0.00733500394167209</v>
      </c>
      <c r="AA819" s="16" t="n">
        <f aca="false">R819*L819</f>
        <v>0.00899851379527124</v>
      </c>
      <c r="AB819" s="16" t="n">
        <f aca="false">S819*L819</f>
        <v>0.00581803707059236</v>
      </c>
      <c r="AC819" s="16" t="n">
        <f aca="false">Z819-W819</f>
        <v>-0.00111750039451883</v>
      </c>
      <c r="AD819" s="16" t="n">
        <f aca="false">AA819-W819</f>
        <v>0.000546009459080321</v>
      </c>
      <c r="AE819" s="16" t="n">
        <f aca="false">AB819-W819</f>
        <v>-0.00263446726559856</v>
      </c>
      <c r="AF819" s="16" t="n">
        <f aca="false">AE819-X819</f>
        <v>-0.00277423313718097</v>
      </c>
      <c r="AG819" s="16" t="n">
        <f aca="false">AF819-p_spc_lo*Y819/1000</f>
        <v>-0.00351908994896835</v>
      </c>
      <c r="AH819" s="16" t="n">
        <f aca="false">AF819-p_spc_hi*Y819/1000</f>
        <v>-0.00426394676075573</v>
      </c>
      <c r="AI819" s="16" t="n">
        <f aca="false">Q819*J819</f>
        <v>0.0305625164236337</v>
      </c>
      <c r="AJ819" s="16" t="n">
        <f aca="false">S819*J819</f>
        <v>0.0242418211274682</v>
      </c>
      <c r="AK819" s="16" t="n">
        <f aca="false">T819*J819</f>
        <v>0.0352187680674622</v>
      </c>
      <c r="AL819" s="16" t="n">
        <f aca="false">U819*J819</f>
        <v>0.000582357798260021</v>
      </c>
      <c r="AM819" s="16" t="n">
        <f aca="false">AI819-AJ819</f>
        <v>0.00632069529616554</v>
      </c>
      <c r="AN819" s="16" t="n">
        <f aca="false">J819*Country_Data!$EB$121</f>
        <v>0.233307976228648</v>
      </c>
      <c r="AO819" s="16" t="n">
        <f aca="false">L819*Country_Data!$EB$121</f>
        <v>0.0559939142948755</v>
      </c>
    </row>
    <row r="820" customFormat="false" ht="15" hidden="false" customHeight="false" outlineLevel="0" collapsed="false">
      <c r="A820" s="14" t="str">
        <f aca="false">Country_Data!$A$121</f>
        <v>TTO</v>
      </c>
      <c r="B820" s="14" t="str">
        <f aca="false">Country_Data!$E$121</f>
        <v>EMDC</v>
      </c>
      <c r="C820" s="35" t="s">
        <v>477</v>
      </c>
      <c r="D820" s="37" t="n">
        <f aca="false">IF(Country_Data!$CB$121="","",Country_Data!$CB$121)</f>
        <v>0.0176753651690822</v>
      </c>
      <c r="E820" s="40" t="n">
        <f aca="false">Country_Data!$BW$121</f>
        <v>49.782</v>
      </c>
      <c r="F820" s="41" t="n">
        <f aca="false">Country_Data!$BX$121</f>
        <v>0.514925073319674</v>
      </c>
      <c r="G820" s="42" t="n">
        <f aca="false">IF(D820="","",D820/SUMIFS($D$5:$D$1369,$B$5:$B$1369,B820,$C$5:$C$1369,C820))</f>
        <v>0.000557358085273696</v>
      </c>
      <c r="H820" s="42" t="n">
        <f aca="false">E820/SUMIFS($E$5:$E$1369,$B$5:$B$1369,B820,$C$5:$C$1369,C820)</f>
        <v>0.000616633649974007</v>
      </c>
      <c r="I820" s="43" t="n">
        <f aca="false">IF(G820="",H820,p_beta_alloc*G820+(1-p_beta_alloc)*H820)*F820^p_phi</f>
        <v>0.000421218137649647</v>
      </c>
      <c r="J820" s="16" t="n">
        <f aca="false">INDEX(Sector_Params!$C$19:$E$19,MATCH(B820,Sector_Params!$C$15:$E$15,0))*I820/SUMIFS($I$5:$I$1369,$B$5:$B$1369,B820,$C$5:$C$1369,C820)</f>
        <v>0.135574363487545</v>
      </c>
      <c r="K820" s="28" t="n">
        <f aca="false">INDEX(Sector_Params!$F$8:$H$8,MATCH(B820,Sector_Params!$C$15:$E$15,0))</f>
        <v>0.24</v>
      </c>
      <c r="L820" s="16" t="n">
        <f aca="false">J820*K820</f>
        <v>0.0325378472370107</v>
      </c>
      <c r="M820" s="44" t="n">
        <f aca="false">Country_Data!$DW$121+Sector_Params!$E$8</f>
        <v>0.105</v>
      </c>
      <c r="N820" s="44" t="n">
        <f aca="false">Country_Data!$DX$121+Sector_Params!$E$8</f>
        <v>0.15</v>
      </c>
      <c r="O820" s="11" t="n">
        <f aca="false">IF(p_use_ibrd=1,p_r_ibrd,p_r_wb)</f>
        <v>0.06</v>
      </c>
      <c r="P820" s="45" t="n">
        <f aca="false">Sector_Params!$D$8</f>
        <v>25</v>
      </c>
      <c r="Q820" s="46" t="n">
        <f aca="false">M820/(1-(1+M820)^-P820)</f>
        <v>0.114429319813103</v>
      </c>
      <c r="R820" s="46" t="n">
        <f aca="false">N820/(1-(1+N820)^-P820)</f>
        <v>0.154699402320206</v>
      </c>
      <c r="S820" s="46" t="n">
        <f aca="false">O820/(1-(1+O820)^-P820)</f>
        <v>0.078226718212274</v>
      </c>
      <c r="T820" s="37" t="n">
        <f aca="false">Country_Data!$CM$121*Sector_Params!$I$8</f>
        <v>0.0671129457846166</v>
      </c>
      <c r="U820" s="37" t="n">
        <f aca="false">Country_Data!$CN$121*Sector_Params!$J$8</f>
        <v>0.03225</v>
      </c>
      <c r="V820" s="37" t="n">
        <f aca="false">p_a</f>
        <v>0.35</v>
      </c>
      <c r="W820" s="16" t="n">
        <f aca="false">T820*L820</f>
        <v>0.00218371077756564</v>
      </c>
      <c r="X820" s="16" t="n">
        <f aca="false">U820*L820</f>
        <v>0.0010493455733936</v>
      </c>
      <c r="Y820" s="16" t="n">
        <f aca="false">V820*L820</f>
        <v>0.0113882465329538</v>
      </c>
      <c r="Z820" s="16" t="n">
        <f aca="false">Q820*L820</f>
        <v>0.0037232837275138</v>
      </c>
      <c r="AA820" s="16" t="n">
        <f aca="false">R820*L820</f>
        <v>0.00503358552035174</v>
      </c>
      <c r="AB820" s="16" t="n">
        <f aca="false">S820*L820</f>
        <v>0.00254532900704365</v>
      </c>
      <c r="AC820" s="16" t="n">
        <f aca="false">Z820-W820</f>
        <v>0.00153957294994816</v>
      </c>
      <c r="AD820" s="16" t="n">
        <f aca="false">AA820-W820</f>
        <v>0.0028498747427861</v>
      </c>
      <c r="AE820" s="16" t="n">
        <f aca="false">AB820-W820</f>
        <v>0.000361618229478015</v>
      </c>
      <c r="AF820" s="16" t="n">
        <f aca="false">AE820-X820</f>
        <v>-0.00068772734391558</v>
      </c>
      <c r="AG820" s="16" t="n">
        <f aca="false">AF820-p_spc_lo*Y820/1000</f>
        <v>-0.00125713967056327</v>
      </c>
      <c r="AH820" s="16" t="n">
        <f aca="false">AF820-p_spc_hi*Y820/1000</f>
        <v>-0.00182655199721096</v>
      </c>
      <c r="AI820" s="16" t="n">
        <f aca="false">Q820*J820</f>
        <v>0.0155136821979742</v>
      </c>
      <c r="AJ820" s="16" t="n">
        <f aca="false">S820*J820</f>
        <v>0.0106055375293486</v>
      </c>
      <c r="AK820" s="16" t="n">
        <f aca="false">T820*J820</f>
        <v>0.0090987949065235</v>
      </c>
      <c r="AL820" s="16" t="n">
        <f aca="false">U820*J820</f>
        <v>0.00437227322247332</v>
      </c>
      <c r="AM820" s="16" t="n">
        <f aca="false">AI820-AJ820</f>
        <v>0.00490814466862561</v>
      </c>
      <c r="AN820" s="16" t="n">
        <f aca="false">J820*Country_Data!$EB$121</f>
        <v>0.155631940551455</v>
      </c>
      <c r="AO820" s="16" t="n">
        <f aca="false">L820*Country_Data!$EB$121</f>
        <v>0.0373516657323493</v>
      </c>
    </row>
    <row r="821" customFormat="false" ht="15" hidden="false" customHeight="false" outlineLevel="0" collapsed="false">
      <c r="A821" s="14" t="str">
        <f aca="false">Country_Data!$A$121</f>
        <v>TTO</v>
      </c>
      <c r="B821" s="14" t="str">
        <f aca="false">Country_Data!$E$121</f>
        <v>EMDC</v>
      </c>
      <c r="C821" s="35" t="s">
        <v>481</v>
      </c>
      <c r="D821" s="37" t="n">
        <f aca="false">IF(Country_Data!$CC$121="","",Country_Data!$CC$121)</f>
        <v>0.112045445767947</v>
      </c>
      <c r="E821" s="40" t="n">
        <f aca="false">Country_Data!$BW$121</f>
        <v>49.782</v>
      </c>
      <c r="F821" s="41" t="n">
        <f aca="false">Country_Data!$BX$121</f>
        <v>0.514925073319674</v>
      </c>
      <c r="G821" s="42" t="n">
        <f aca="false">IF(D821="","",D821/SUMIFS($D$5:$D$1369,$B$5:$B$1369,B821,$C$5:$C$1369,C821))</f>
        <v>0.00160048328882392</v>
      </c>
      <c r="H821" s="42" t="n">
        <f aca="false">E821/SUMIFS($E$5:$E$1369,$B$5:$B$1369,B821,$C$5:$C$1369,C821)</f>
        <v>0.000616633649974007</v>
      </c>
      <c r="I821" s="43" t="n">
        <f aca="false">IF(G821="",H821,p_beta_alloc*G821+(1-p_beta_alloc)*H821)*F821^p_phi</f>
        <v>0.000795482489248449</v>
      </c>
      <c r="J821" s="16" t="n">
        <f aca="false">INDEX(Sector_Params!$C$20:$E$20,MATCH(B821,Sector_Params!$C$15:$E$15,0))*I821/SUMIFS($I$5:$I$1369,$B$5:$B$1369,B821,$C$5:$C$1369,C821)</f>
        <v>0.145191573465224</v>
      </c>
      <c r="K821" s="28" t="n">
        <f aca="false">INDEX(Sector_Params!$F$9:$H$9,MATCH(B821,Sector_Params!$C$15:$E$15,0))</f>
        <v>0.24</v>
      </c>
      <c r="L821" s="16" t="n">
        <f aca="false">J821*K821</f>
        <v>0.0348459776316539</v>
      </c>
      <c r="M821" s="44" t="n">
        <f aca="false">Country_Data!$DW$121+Sector_Params!$E$9</f>
        <v>0.105</v>
      </c>
      <c r="N821" s="44" t="n">
        <f aca="false">Country_Data!$DX$121+Sector_Params!$E$9</f>
        <v>0.15</v>
      </c>
      <c r="O821" s="11" t="n">
        <f aca="false">IF(p_use_ibrd=1,p_r_ibrd,p_r_wb)</f>
        <v>0.06</v>
      </c>
      <c r="P821" s="45" t="n">
        <f aca="false">Sector_Params!$D$9</f>
        <v>25</v>
      </c>
      <c r="Q821" s="46" t="n">
        <f aca="false">M821/(1-(1+M821)^-P821)</f>
        <v>0.114429319813103</v>
      </c>
      <c r="R821" s="46" t="n">
        <f aca="false">N821/(1-(1+N821)^-P821)</f>
        <v>0.154699402320206</v>
      </c>
      <c r="S821" s="46" t="n">
        <f aca="false">O821/(1-(1+O821)^-P821)</f>
        <v>0.078226718212274</v>
      </c>
      <c r="T821" s="37" t="n">
        <f aca="false">Country_Data!$CM$121*Sector_Params!$I$9</f>
        <v>0.0671129457846166</v>
      </c>
      <c r="U821" s="37" t="n">
        <f aca="false">Country_Data!$CN$121*Sector_Params!$J$9</f>
        <v>0.03225</v>
      </c>
      <c r="V821" s="37" t="n">
        <f aca="false">p_a</f>
        <v>0.35</v>
      </c>
      <c r="W821" s="16" t="n">
        <f aca="false">T821*L821</f>
        <v>0.00233861620760515</v>
      </c>
      <c r="X821" s="16" t="n">
        <f aca="false">U821*L821</f>
        <v>0.00112378277862084</v>
      </c>
      <c r="Y821" s="16" t="n">
        <f aca="false">V821*L821</f>
        <v>0.0121960921710788</v>
      </c>
      <c r="Z821" s="16" t="n">
        <f aca="false">Q821*L821</f>
        <v>0.00398740151861276</v>
      </c>
      <c r="AA821" s="16" t="n">
        <f aca="false">R821*L821</f>
        <v>0.00539065191288014</v>
      </c>
      <c r="AB821" s="16" t="n">
        <f aca="false">S821*L821</f>
        <v>0.00272588647302259</v>
      </c>
      <c r="AC821" s="16" t="n">
        <f aca="false">Z821-W821</f>
        <v>0.00164878531100761</v>
      </c>
      <c r="AD821" s="16" t="n">
        <f aca="false">AA821-W821</f>
        <v>0.00305203570527499</v>
      </c>
      <c r="AE821" s="16" t="n">
        <f aca="false">AB821-W821</f>
        <v>0.000387270265417438</v>
      </c>
      <c r="AF821" s="16" t="n">
        <f aca="false">AE821-X821</f>
        <v>-0.000736512513203399</v>
      </c>
      <c r="AG821" s="16" t="n">
        <f aca="false">AF821-p_spc_lo*Y821/1000</f>
        <v>-0.00134631712175734</v>
      </c>
      <c r="AH821" s="16" t="n">
        <f aca="false">AF821-p_spc_hi*Y821/1000</f>
        <v>-0.00195612173031128</v>
      </c>
      <c r="AI821" s="16" t="n">
        <f aca="false">Q821*J821</f>
        <v>0.0166141729942199</v>
      </c>
      <c r="AJ821" s="16" t="n">
        <f aca="false">S821*J821</f>
        <v>0.0113578603042608</v>
      </c>
      <c r="AK821" s="16" t="n">
        <f aca="false">T821*J821</f>
        <v>0.00974423419835479</v>
      </c>
      <c r="AL821" s="16" t="n">
        <f aca="false">U821*J821</f>
        <v>0.00468242824425349</v>
      </c>
      <c r="AM821" s="16" t="n">
        <f aca="false">AI821-AJ821</f>
        <v>0.00525631268995907</v>
      </c>
      <c r="AN821" s="16" t="n">
        <f aca="false">J821*Country_Data!$EB$121</f>
        <v>0.166671970635422</v>
      </c>
      <c r="AO821" s="16" t="n">
        <f aca="false">L821*Country_Data!$EB$121</f>
        <v>0.0400012729525013</v>
      </c>
    </row>
    <row r="822" customFormat="false" ht="15" hidden="false" customHeight="false" outlineLevel="0" collapsed="false">
      <c r="A822" s="14" t="str">
        <f aca="false">Country_Data!$A$121</f>
        <v>TTO</v>
      </c>
      <c r="B822" s="14" t="str">
        <f aca="false">Country_Data!$E$121</f>
        <v>EMDC</v>
      </c>
      <c r="C822" s="35" t="s">
        <v>484</v>
      </c>
      <c r="D822" s="37" t="n">
        <f aca="false">IF(Country_Data!$CD$121="","",Country_Data!$CD$121)</f>
        <v>0.215251554928571</v>
      </c>
      <c r="E822" s="40" t="n">
        <f aca="false">Country_Data!$BW$121</f>
        <v>49.782</v>
      </c>
      <c r="F822" s="41" t="n">
        <f aca="false">Country_Data!$BX$121</f>
        <v>0.514925073319674</v>
      </c>
      <c r="G822" s="42" t="n">
        <f aca="false">IF(D822="","",D822/SUMIFS($D$5:$D$1369,$B$5:$B$1369,B822,$C$5:$C$1369,C822))</f>
        <v>0.00120204331827473</v>
      </c>
      <c r="H822" s="42" t="n">
        <f aca="false">E822/SUMIFS($E$5:$E$1369,$B$5:$B$1369,B822,$C$5:$C$1369,C822)</f>
        <v>0.000616633649974007</v>
      </c>
      <c r="I822" s="43" t="n">
        <f aca="false">IF(G822="",H822,p_beta_alloc*G822+(1-p_beta_alloc)*H822)*F822^p_phi</f>
        <v>0.000652525654612388</v>
      </c>
      <c r="J822" s="16" t="n">
        <f aca="false">INDEX(Sector_Params!$C$21:$E$21,MATCH(B822,Sector_Params!$C$15:$E$15,0))*I822/SUMIFS($I$5:$I$1369,$B$5:$B$1369,B822,$C$5:$C$1369,C822)</f>
        <v>0.144723551565007</v>
      </c>
      <c r="K822" s="28" t="n">
        <f aca="false">INDEX(Sector_Params!$F$10:$H$10,MATCH(B822,Sector_Params!$C$15:$E$15,0))</f>
        <v>0.24</v>
      </c>
      <c r="L822" s="16" t="n">
        <f aca="false">J822*K822</f>
        <v>0.0347336523756016</v>
      </c>
      <c r="M822" s="44" t="n">
        <f aca="false">Country_Data!$DW$121+Sector_Params!$E$10</f>
        <v>0.105</v>
      </c>
      <c r="N822" s="44" t="n">
        <f aca="false">Country_Data!$DX$121+Sector_Params!$E$10</f>
        <v>0.15</v>
      </c>
      <c r="O822" s="11" t="n">
        <f aca="false">IF(p_use_ibrd=1,p_r_ibrd,p_r_wb)</f>
        <v>0.06</v>
      </c>
      <c r="P822" s="45" t="n">
        <f aca="false">Sector_Params!$D$10</f>
        <v>20</v>
      </c>
      <c r="Q822" s="46" t="n">
        <f aca="false">M822/(1-(1+M822)^-P822)</f>
        <v>0.121493265267016</v>
      </c>
      <c r="R822" s="46" t="n">
        <f aca="false">N822/(1-(1+N822)^-P822)</f>
        <v>0.159761470405744</v>
      </c>
      <c r="S822" s="46" t="n">
        <f aca="false">O822/(1-(1+O822)^-P822)</f>
        <v>0.0871845569768514</v>
      </c>
      <c r="T822" s="37" t="n">
        <f aca="false">0*Sector_Params!$I$10</f>
        <v>0</v>
      </c>
      <c r="U822" s="37" t="n">
        <f aca="false">0*Sector_Params!$J$10</f>
        <v>0</v>
      </c>
      <c r="V822" s="37" t="n">
        <f aca="false">1000*p_r_wb/(1-(1+p_r_wb)^-Sector_Params!$D$10)/p_cpt_fuel</f>
        <v>0.871845569768514</v>
      </c>
      <c r="W822" s="16" t="n">
        <f aca="false">T822*L822</f>
        <v>0</v>
      </c>
      <c r="X822" s="16" t="n">
        <f aca="false">U822*L822</f>
        <v>0</v>
      </c>
      <c r="Y822" s="16" t="n">
        <f aca="false">V822*L822</f>
        <v>0.0302823809455479</v>
      </c>
      <c r="Z822" s="16" t="n">
        <f aca="false">Q822*L822</f>
        <v>0.00421990484176129</v>
      </c>
      <c r="AA822" s="16" t="n">
        <f aca="false">R822*L822</f>
        <v>0.00554909937608807</v>
      </c>
      <c r="AB822" s="16" t="n">
        <f aca="false">S822*L822</f>
        <v>0.00302823809455479</v>
      </c>
      <c r="AC822" s="16" t="n">
        <f aca="false">Z822-W822</f>
        <v>0.00421990484176129</v>
      </c>
      <c r="AD822" s="16" t="n">
        <f aca="false">AA822-W822</f>
        <v>0.00554909937608807</v>
      </c>
      <c r="AE822" s="16" t="n">
        <f aca="false">AB822-W822</f>
        <v>0.00302823809455479</v>
      </c>
      <c r="AF822" s="16" t="n">
        <f aca="false">AE822-X822</f>
        <v>0.00302823809455479</v>
      </c>
      <c r="AG822" s="16" t="n">
        <f aca="false">AF822-p_spc_lo*Y822/1000</f>
        <v>0.00151411904727739</v>
      </c>
      <c r="AH822" s="16" t="n">
        <f aca="false">AF822-p_spc_hi*Y822/1000</f>
        <v>0</v>
      </c>
      <c r="AI822" s="16" t="n">
        <f aca="false">Q822*J822</f>
        <v>0.017582936840672</v>
      </c>
      <c r="AJ822" s="16" t="n">
        <f aca="false">S822*J822</f>
        <v>0.0126176587273116</v>
      </c>
      <c r="AK822" s="16" t="n">
        <f aca="false">T822*J822</f>
        <v>0</v>
      </c>
      <c r="AL822" s="16" t="n">
        <f aca="false">U822*J822</f>
        <v>0</v>
      </c>
      <c r="AM822" s="16" t="n">
        <f aca="false">AI822-AJ822</f>
        <v>0.00496527811336043</v>
      </c>
      <c r="AN822" s="16" t="n">
        <f aca="false">J822*Country_Data!$EB$121</f>
        <v>0.166134707139008</v>
      </c>
      <c r="AO822" s="16" t="n">
        <f aca="false">L822*Country_Data!$EB$121</f>
        <v>0.0398723297133618</v>
      </c>
    </row>
    <row r="823" customFormat="false" ht="15" hidden="false" customHeight="false" outlineLevel="0" collapsed="false">
      <c r="A823" s="14" t="str">
        <f aca="false">Country_Data!$A$121</f>
        <v>TTO</v>
      </c>
      <c r="B823" s="14" t="str">
        <f aca="false">Country_Data!$E$121</f>
        <v>EMDC</v>
      </c>
      <c r="C823" s="35" t="s">
        <v>488</v>
      </c>
      <c r="D823" s="37" t="n">
        <f aca="false">IF(Country_Data!$CE$121="","",Country_Data!$CE$121)</f>
        <v>16.683</v>
      </c>
      <c r="E823" s="40" t="n">
        <f aca="false">Country_Data!$BW$121</f>
        <v>49.782</v>
      </c>
      <c r="F823" s="41" t="n">
        <f aca="false">Country_Data!$BX$121</f>
        <v>0.514925073319674</v>
      </c>
      <c r="G823" s="42" t="n">
        <f aca="false">IF(D823="","",D823/SUMIFS($D$5:$D$1369,$B$5:$B$1369,B823,$C$5:$C$1369,C823))</f>
        <v>0.00136699849476939</v>
      </c>
      <c r="H823" s="42" t="n">
        <f aca="false">E823/SUMIFS($E$5:$E$1369,$B$5:$B$1369,B823,$C$5:$C$1369,C823)</f>
        <v>0.000616633649974007</v>
      </c>
      <c r="I823" s="43" t="n">
        <f aca="false">IF(G823="",H823,p_beta_alloc*G823+(1-p_beta_alloc)*H823)*F823^p_phi</f>
        <v>0.000711710153235869</v>
      </c>
      <c r="J823" s="16" t="n">
        <f aca="false">INDEX(Sector_Params!$C$22:$E$22,MATCH(B823,Sector_Params!$C$15:$E$15,0))*I823/SUMIFS($I$5:$I$1369,$B$5:$B$1369,B823,$C$5:$C$1369,C823)</f>
        <v>0.429024850351139</v>
      </c>
      <c r="K823" s="28" t="n">
        <f aca="false">INDEX(Sector_Params!$F$11:$H$11,MATCH(B823,Sector_Params!$C$15:$E$15,0))</f>
        <v>0.24</v>
      </c>
      <c r="L823" s="16" t="n">
        <f aca="false">J823*K823</f>
        <v>0.102965964084273</v>
      </c>
      <c r="M823" s="44" t="n">
        <f aca="false">Country_Data!$DW$121+Sector_Params!$E$11</f>
        <v>0.105</v>
      </c>
      <c r="N823" s="44" t="n">
        <f aca="false">Country_Data!$DX$121+Sector_Params!$E$11</f>
        <v>0.15</v>
      </c>
      <c r="O823" s="11" t="n">
        <f aca="false">IF(p_use_ibrd=1,p_r_ibrd,p_r_wb)</f>
        <v>0.06</v>
      </c>
      <c r="P823" s="45" t="n">
        <f aca="false">Sector_Params!$D$11</f>
        <v>30</v>
      </c>
      <c r="Q823" s="46" t="n">
        <f aca="false">M823/(1-(1+M823)^-P823)</f>
        <v>0.110528481529605</v>
      </c>
      <c r="R823" s="46" t="n">
        <f aca="false">N823/(1-(1+N823)^-P823)</f>
        <v>0.152300198192734</v>
      </c>
      <c r="S823" s="46" t="n">
        <f aca="false">O823/(1-(1+O823)^-P823)</f>
        <v>0.0726489114900472</v>
      </c>
      <c r="T823" s="37" t="n">
        <f aca="false">0*Sector_Params!$I$11</f>
        <v>0</v>
      </c>
      <c r="U823" s="37" t="n">
        <f aca="false">p_c*Sector_Params!$J$11</f>
        <v>0.129</v>
      </c>
      <c r="V823" s="37" t="n">
        <f aca="false">1000*p_r_wb/(1-(1+p_r_wb)^-Sector_Params!$D$11)/p_cpt_afolu</f>
        <v>1.45297822980094</v>
      </c>
      <c r="W823" s="16" t="n">
        <f aca="false">T823*L823</f>
        <v>0</v>
      </c>
      <c r="X823" s="16" t="n">
        <f aca="false">U823*L823</f>
        <v>0.0132826093668713</v>
      </c>
      <c r="Y823" s="16" t="n">
        <f aca="false">V823*L823</f>
        <v>0.149607304224915</v>
      </c>
      <c r="Z823" s="16" t="n">
        <f aca="false">Q823*L823</f>
        <v>0.0113806716594666</v>
      </c>
      <c r="AA823" s="16" t="n">
        <f aca="false">R823*L823</f>
        <v>0.0156817367371408</v>
      </c>
      <c r="AB823" s="16" t="n">
        <f aca="false">S823*L823</f>
        <v>0.00748036521124575</v>
      </c>
      <c r="AC823" s="16" t="n">
        <f aca="false">Z823-W823</f>
        <v>0.0113806716594666</v>
      </c>
      <c r="AD823" s="16" t="n">
        <f aca="false">AA823-W823</f>
        <v>0.0156817367371408</v>
      </c>
      <c r="AE823" s="16" t="n">
        <f aca="false">AB823-W823</f>
        <v>0.00748036521124575</v>
      </c>
      <c r="AF823" s="16" t="n">
        <f aca="false">AE823-X823</f>
        <v>-0.0058022441556255</v>
      </c>
      <c r="AG823" s="16" t="n">
        <f aca="false">AF823-p_spc_lo*Y823/1000</f>
        <v>-0.0132826093668713</v>
      </c>
      <c r="AH823" s="16" t="n">
        <f aca="false">AF823-p_spc_hi*Y823/1000</f>
        <v>-0.020762974578117</v>
      </c>
      <c r="AI823" s="16" t="n">
        <f aca="false">Q823*J823</f>
        <v>0.0474194652477774</v>
      </c>
      <c r="AJ823" s="16" t="n">
        <f aca="false">S823*J823</f>
        <v>0.0311681883801906</v>
      </c>
      <c r="AK823" s="16" t="n">
        <f aca="false">T823*J823</f>
        <v>0</v>
      </c>
      <c r="AL823" s="16" t="n">
        <f aca="false">U823*J823</f>
        <v>0.0553442056952969</v>
      </c>
      <c r="AM823" s="16" t="n">
        <f aca="false">AI823-AJ823</f>
        <v>0.0162512768675868</v>
      </c>
      <c r="AN823" s="16" t="n">
        <f aca="false">J823*Country_Data!$EB$121</f>
        <v>0.492497019992129</v>
      </c>
      <c r="AO823" s="16" t="n">
        <f aca="false">L823*Country_Data!$EB$121</f>
        <v>0.118199284798111</v>
      </c>
    </row>
    <row r="824" customFormat="false" ht="15" hidden="false" customHeight="false" outlineLevel="0" collapsed="false">
      <c r="A824" s="14" t="str">
        <f aca="false">Country_Data!$A$122</f>
        <v>ZMB</v>
      </c>
      <c r="B824" s="14" t="str">
        <f aca="false">Country_Data!$E$122</f>
        <v>EMDC</v>
      </c>
      <c r="C824" s="35" t="s">
        <v>466</v>
      </c>
      <c r="D824" s="37" t="n">
        <f aca="false">IF(Country_Data!$BZ$122="","",Country_Data!$BZ$122)</f>
        <v>16.6020430004829</v>
      </c>
      <c r="E824" s="40" t="n">
        <f aca="false">Country_Data!$BW$122</f>
        <v>89.971</v>
      </c>
      <c r="F824" s="41" t="n">
        <f aca="false">Country_Data!$BX$122</f>
        <v>0.281235064631937</v>
      </c>
      <c r="G824" s="42" t="n">
        <f aca="false">IF(D824="","",D824/SUMIFS($D$5:$D$1369,$B$5:$B$1369,B824,$C$5:$C$1369,C824))</f>
        <v>0.00189532468142155</v>
      </c>
      <c r="H824" s="42" t="n">
        <f aca="false">E824/SUMIFS($E$5:$E$1369,$B$5:$B$1369,B824,$C$5:$C$1369,C824)</f>
        <v>0.00111444188907258</v>
      </c>
      <c r="I824" s="43" t="n">
        <f aca="false">IF(G824="",H824,p_beta_alloc*G824+(1-p_beta_alloc)*H824)*F824^p_phi</f>
        <v>0.000798063691075446</v>
      </c>
      <c r="J824" s="16" t="n">
        <f aca="false">INDEX(Sector_Params!$C$16:$E$16,MATCH(B824,Sector_Params!$C$15:$E$15,0))*I824/SUMIFS($I$5:$I$1369,$B$5:$B$1369,B824,$C$5:$C$1369,C824)</f>
        <v>0.771907434667138</v>
      </c>
      <c r="K824" s="28" t="n">
        <f aca="false">INDEX(Sector_Params!$F$5:$H$5,MATCH(B824,Sector_Params!$C$15:$E$15,0))</f>
        <v>0.24</v>
      </c>
      <c r="L824" s="16" t="n">
        <f aca="false">J824*K824</f>
        <v>0.185257784320113</v>
      </c>
      <c r="M824" s="44" t="n">
        <f aca="false">Country_Data!$DW$122+Sector_Params!$E$5</f>
        <v>0.038</v>
      </c>
      <c r="N824" s="44" t="n">
        <f aca="false">Country_Data!$DX$122+Sector_Params!$E$5</f>
        <v>0.083</v>
      </c>
      <c r="O824" s="11" t="n">
        <f aca="false">IF(p_use_ibrd=1,p_r_ibrd,p_r_wb)</f>
        <v>0.06</v>
      </c>
      <c r="P824" s="45" t="n">
        <f aca="false">Sector_Params!$D$5</f>
        <v>25</v>
      </c>
      <c r="Q824" s="46" t="n">
        <f aca="false">M824/(1-(1+M824)^-P824)</f>
        <v>0.0626659446824917</v>
      </c>
      <c r="R824" s="46" t="n">
        <f aca="false">N824/(1-(1+N824)^-P824)</f>
        <v>0.0960909467651847</v>
      </c>
      <c r="S824" s="46" t="n">
        <f aca="false">O824/(1-(1+O824)^-P824)</f>
        <v>0.078226718212274</v>
      </c>
      <c r="T824" s="37" t="n">
        <f aca="false">IF(AND(p_eng=1,ISNUMBER(Country_Data!$CZ$122)),Country_Data!$CZ$122,Country_Data!$CM$122)*Sector_Params!$I$5</f>
        <v>-0.00337807394474392</v>
      </c>
      <c r="U824" s="37" t="n">
        <f aca="false">IF(AND(p_eng=1,ISNUMBER(Country_Data!$DA$122)),Country_Data!$DA$122,Country_Data!$CN$122)*Sector_Params!$J$5</f>
        <v>7.03353664922465E-005</v>
      </c>
      <c r="V824" s="37" t="n">
        <f aca="false">IF(AND(p_eng=1,ISNUMBER(Country_Data!$DB$122)),Country_Data!$DB$122,p_a)</f>
        <v>0.267390359495735</v>
      </c>
      <c r="W824" s="16" t="n">
        <f aca="false">T824*L824</f>
        <v>-0.000625814494272763</v>
      </c>
      <c r="X824" s="16" t="n">
        <f aca="false">U824*L824</f>
        <v>1.30301741556967E-005</v>
      </c>
      <c r="Y824" s="16" t="n">
        <f aca="false">V824*L824</f>
        <v>0.0495361455487384</v>
      </c>
      <c r="Z824" s="16" t="n">
        <f aca="false">Q824*L824</f>
        <v>0.0116093540642052</v>
      </c>
      <c r="AA824" s="16" t="n">
        <f aca="false">R824*L824</f>
        <v>0.0178015958909401</v>
      </c>
      <c r="AB824" s="16" t="n">
        <f aca="false">S824*L824</f>
        <v>0.0144921084906397</v>
      </c>
      <c r="AC824" s="16" t="n">
        <f aca="false">Z824-W824</f>
        <v>0.0122351685584779</v>
      </c>
      <c r="AD824" s="16" t="n">
        <f aca="false">AA824-W824</f>
        <v>0.0184274103852128</v>
      </c>
      <c r="AE824" s="16" t="n">
        <f aca="false">AB824-W824</f>
        <v>0.0151179229849125</v>
      </c>
      <c r="AF824" s="16" t="n">
        <f aca="false">AE824-X824</f>
        <v>0.0151048928107568</v>
      </c>
      <c r="AG824" s="16" t="n">
        <f aca="false">AF824-p_spc_lo*Y824/1000</f>
        <v>0.0126280855333199</v>
      </c>
      <c r="AH824" s="16" t="n">
        <f aca="false">AF824-p_spc_hi*Y824/1000</f>
        <v>0.0101512782558829</v>
      </c>
      <c r="AI824" s="16" t="n">
        <f aca="false">Q824*J824</f>
        <v>0.0483723086008549</v>
      </c>
      <c r="AJ824" s="16" t="n">
        <f aca="false">S824*J824</f>
        <v>0.0603837853776654</v>
      </c>
      <c r="AK824" s="16" t="n">
        <f aca="false">T824*J824</f>
        <v>-0.00260756039280318</v>
      </c>
      <c r="AL824" s="16" t="n">
        <f aca="false">U824*J824</f>
        <v>5.4292392315403E-005</v>
      </c>
      <c r="AM824" s="16" t="n">
        <f aca="false">AI824-AJ824</f>
        <v>-0.0120114767768105</v>
      </c>
      <c r="AN824" s="16" t="n">
        <f aca="false">J824*Country_Data!$EB$122</f>
        <v>0.883230139530698</v>
      </c>
      <c r="AO824" s="16" t="n">
        <f aca="false">L824*Country_Data!$EB$122</f>
        <v>0.211975233487367</v>
      </c>
    </row>
    <row r="825" customFormat="false" ht="15" hidden="false" customHeight="false" outlineLevel="0" collapsed="false">
      <c r="A825" s="14" t="str">
        <f aca="false">Country_Data!$A$122</f>
        <v>ZMB</v>
      </c>
      <c r="B825" s="14" t="str">
        <f aca="false">Country_Data!$E$122</f>
        <v>EMDC</v>
      </c>
      <c r="C825" s="35" t="s">
        <v>470</v>
      </c>
      <c r="D825" s="37" t="n">
        <f aca="false">IF(Country_Data!$BZ$122="","",Country_Data!$BZ$122)</f>
        <v>16.6020430004829</v>
      </c>
      <c r="E825" s="40" t="n">
        <f aca="false">Country_Data!$BW$122</f>
        <v>89.971</v>
      </c>
      <c r="F825" s="41" t="n">
        <f aca="false">Country_Data!$BX$122</f>
        <v>0.281235064631937</v>
      </c>
      <c r="G825" s="42" t="n">
        <f aca="false">IF(D825="","",D825/SUMIFS($D$5:$D$1369,$B$5:$B$1369,B825,$C$5:$C$1369,C825))</f>
        <v>0.00189532468142155</v>
      </c>
      <c r="H825" s="42" t="n">
        <f aca="false">E825/SUMIFS($E$5:$E$1369,$B$5:$B$1369,B825,$C$5:$C$1369,C825)</f>
        <v>0.00111444188907258</v>
      </c>
      <c r="I825" s="43" t="n">
        <f aca="false">IF(G825="",H825,p_beta_alloc*G825+(1-p_beta_alloc)*H825)*F825^p_phi</f>
        <v>0.000798063691075446</v>
      </c>
      <c r="J825" s="16" t="n">
        <f aca="false">INDEX(Sector_Params!$C$17:$E$17,MATCH(B825,Sector_Params!$C$15:$E$15,0))*I825/SUMIFS($I$5:$I$1369,$B$5:$B$1369,B825,$C$5:$C$1369,C825)</f>
        <v>0.529307955200323</v>
      </c>
      <c r="K825" s="28" t="n">
        <f aca="false">INDEX(Sector_Params!$F$6:$H$6,MATCH(B825,Sector_Params!$C$15:$E$15,0))</f>
        <v>0.24</v>
      </c>
      <c r="L825" s="16" t="n">
        <f aca="false">J825*K825</f>
        <v>0.127033909248078</v>
      </c>
      <c r="M825" s="44" t="n">
        <f aca="false">Country_Data!$DW$122+Sector_Params!$E$6</f>
        <v>0.038</v>
      </c>
      <c r="N825" s="44" t="n">
        <f aca="false">Country_Data!$DX$122+Sector_Params!$E$6</f>
        <v>0.083</v>
      </c>
      <c r="O825" s="11" t="n">
        <f aca="false">IF(p_use_ibrd=1,p_r_ibrd,p_r_wb)</f>
        <v>0.06</v>
      </c>
      <c r="P825" s="45" t="n">
        <f aca="false">Sector_Params!$D$6</f>
        <v>40</v>
      </c>
      <c r="Q825" s="46" t="n">
        <f aca="false">M825/(1-(1+M825)^-P825)</f>
        <v>0.049029745722563</v>
      </c>
      <c r="R825" s="46" t="n">
        <f aca="false">N825/(1-(1+N825)^-P825)</f>
        <v>0.0865662376232396</v>
      </c>
      <c r="S825" s="46" t="n">
        <f aca="false">O825/(1-(1+O825)^-P825)</f>
        <v>0.0664615359206755</v>
      </c>
      <c r="T825" s="37" t="n">
        <f aca="false">p_grid_credit*IF(AND(p_eng=1,ISNUMBER(Country_Data!$CZ$122)),Country_Data!$CZ$122,Country_Data!$CM$122)*Sector_Params!$I$6</f>
        <v>-0</v>
      </c>
      <c r="U825" s="37" t="n">
        <f aca="false">p_grid_credit*IF(AND(p_eng=1,ISNUMBER(Country_Data!$DA$122)),Country_Data!$DA$122,Country_Data!$CN$122)*Sector_Params!$J$6</f>
        <v>0</v>
      </c>
      <c r="V825" s="37" t="n">
        <f aca="false">p_grid_credit*IF(AND(p_eng=1,ISNUMBER(Country_Data!$DB$122)),Country_Data!$DB$122,p_a)</f>
        <v>0</v>
      </c>
      <c r="W825" s="16" t="n">
        <f aca="false">T825*L825</f>
        <v>-0</v>
      </c>
      <c r="X825" s="16" t="n">
        <f aca="false">U825*L825</f>
        <v>0</v>
      </c>
      <c r="Y825" s="16" t="n">
        <f aca="false">V825*L825</f>
        <v>0</v>
      </c>
      <c r="Z825" s="16" t="n">
        <f aca="false">Q825*L825</f>
        <v>0.00622844026857639</v>
      </c>
      <c r="AA825" s="16" t="n">
        <f aca="false">R825*L825</f>
        <v>0.0109968475741781</v>
      </c>
      <c r="AB825" s="16" t="n">
        <f aca="false">S825*L825</f>
        <v>0.00844286872263493</v>
      </c>
      <c r="AC825" s="16" t="n">
        <f aca="false">Z825-W825</f>
        <v>0.00622844026857639</v>
      </c>
      <c r="AD825" s="16" t="n">
        <f aca="false">AA825-W825</f>
        <v>0.0109968475741781</v>
      </c>
      <c r="AE825" s="16" t="n">
        <f aca="false">AB825-W825</f>
        <v>0.00844286872263493</v>
      </c>
      <c r="AF825" s="16" t="n">
        <f aca="false">AE825-X825</f>
        <v>0.00844286872263493</v>
      </c>
      <c r="AG825" s="16" t="n">
        <f aca="false">AF825-p_spc_lo*Y825/1000</f>
        <v>0.00844286872263493</v>
      </c>
      <c r="AH825" s="16" t="n">
        <f aca="false">AF825-p_spc_hi*Y825/1000</f>
        <v>0.00844286872263493</v>
      </c>
      <c r="AI825" s="16" t="n">
        <f aca="false">Q825*J825</f>
        <v>0.0259518344524016</v>
      </c>
      <c r="AJ825" s="16" t="n">
        <f aca="false">S825*J825</f>
        <v>0.0351786196776456</v>
      </c>
      <c r="AK825" s="16" t="n">
        <f aca="false">T825*J825</f>
        <v>-0</v>
      </c>
      <c r="AL825" s="16" t="n">
        <f aca="false">U825*J825</f>
        <v>0</v>
      </c>
      <c r="AM825" s="16" t="n">
        <f aca="false">AI825-AJ825</f>
        <v>-0.00922678522524395</v>
      </c>
      <c r="AN825" s="16" t="n">
        <f aca="false">J825*Country_Data!$EB$122</f>
        <v>0.605643524249621</v>
      </c>
      <c r="AO825" s="16" t="n">
        <f aca="false">L825*Country_Data!$EB$122</f>
        <v>0.145354445819909</v>
      </c>
    </row>
    <row r="826" customFormat="false" ht="15" hidden="false" customHeight="false" outlineLevel="0" collapsed="false">
      <c r="A826" s="14" t="str">
        <f aca="false">Country_Data!$A$122</f>
        <v>ZMB</v>
      </c>
      <c r="B826" s="14" t="str">
        <f aca="false">Country_Data!$E$122</f>
        <v>EMDC</v>
      </c>
      <c r="C826" s="35" t="s">
        <v>473</v>
      </c>
      <c r="D826" s="37" t="n">
        <f aca="false">IF(Country_Data!$CA$122="","",Country_Data!$CA$122)</f>
        <v>0.0734797201163292</v>
      </c>
      <c r="E826" s="40" t="n">
        <f aca="false">Country_Data!$BW$122</f>
        <v>89.971</v>
      </c>
      <c r="F826" s="41" t="n">
        <f aca="false">Country_Data!$BX$122</f>
        <v>0.281235064631937</v>
      </c>
      <c r="G826" s="42" t="n">
        <f aca="false">IF(D826="","",D826/SUMIFS($D$5:$D$1369,$B$5:$B$1369,B826,$C$5:$C$1369,C826))</f>
        <v>0.00169755250101087</v>
      </c>
      <c r="H826" s="42" t="n">
        <f aca="false">E826/SUMIFS($E$5:$E$1369,$B$5:$B$1369,B826,$C$5:$C$1369,C826)</f>
        <v>0.00111444188907258</v>
      </c>
      <c r="I826" s="43" t="n">
        <f aca="false">IF(G826="",H826,p_beta_alloc*G826+(1-p_beta_alloc)*H826)*F826^p_phi</f>
        <v>0.000745622814816835</v>
      </c>
      <c r="J826" s="16" t="n">
        <f aca="false">INDEX(Sector_Params!$C$18:$E$18,MATCH(B826,Sector_Params!$C$15:$E$15,0))*I826/SUMIFS($I$5:$I$1369,$B$5:$B$1369,B826,$C$5:$C$1369,C826)</f>
        <v>0.305314900326267</v>
      </c>
      <c r="K826" s="28" t="n">
        <f aca="false">INDEX(Sector_Params!$F$7:$H$7,MATCH(B826,Sector_Params!$C$15:$E$15,0))</f>
        <v>0.24</v>
      </c>
      <c r="L826" s="16" t="n">
        <f aca="false">J826*K826</f>
        <v>0.0732755760783042</v>
      </c>
      <c r="M826" s="44" t="n">
        <f aca="false">Country_Data!$DW$122+Sector_Params!$E$7</f>
        <v>0.038</v>
      </c>
      <c r="N826" s="44" t="n">
        <f aca="false">Country_Data!$DX$122+Sector_Params!$E$7</f>
        <v>0.083</v>
      </c>
      <c r="O826" s="11" t="n">
        <f aca="false">IF(p_use_ibrd=1,p_r_ibrd,p_r_wb)</f>
        <v>0.06</v>
      </c>
      <c r="P826" s="45" t="n">
        <f aca="false">Sector_Params!$D$7</f>
        <v>12</v>
      </c>
      <c r="Q826" s="46" t="n">
        <f aca="false">M826/(1-(1+M826)^-P826)</f>
        <v>0.105319355992701</v>
      </c>
      <c r="R826" s="46" t="n">
        <f aca="false">N826/(1-(1+N826)^-P826)</f>
        <v>0.134764887323689</v>
      </c>
      <c r="S826" s="46" t="n">
        <f aca="false">O826/(1-(1+O826)^-P826)</f>
        <v>0.119277029380664</v>
      </c>
      <c r="T826" s="37" t="n">
        <f aca="false">IF(AND(p_eng=1,ISNUMBER(Country_Data!$DE$122)),Country_Data!$DE$122,Country_Data!$CM$122)*Sector_Params!$I$7</f>
        <v>0.1520172</v>
      </c>
      <c r="U826" s="37" t="n">
        <f aca="false">IF(AND(p_eng=1,ISNUMBER(Country_Data!$DF$122)),Country_Data!$DF$122,Country_Data!$CN$122)*Sector_Params!$J$7</f>
        <v>0.000244575</v>
      </c>
      <c r="V826" s="37" t="n">
        <f aca="false">IF(AND(p_eng=1,ISNUMBER(Country_Data!$DG$122)),Country_Data!$DG$122,p_a)</f>
        <v>0.470520045638945</v>
      </c>
      <c r="W826" s="16" t="n">
        <f aca="false">T826*L826</f>
        <v>0.0111391479038108</v>
      </c>
      <c r="X826" s="16" t="n">
        <f aca="false">U826*L826</f>
        <v>1.79213740193513E-005</v>
      </c>
      <c r="Y826" s="16" t="n">
        <f aca="false">V826*L826</f>
        <v>0.0344776274005837</v>
      </c>
      <c r="Z826" s="16" t="n">
        <f aca="false">Q826*L826</f>
        <v>0.00771733648256119</v>
      </c>
      <c r="AA826" s="16" t="n">
        <f aca="false">R826*L826</f>
        <v>0.0098749747537711</v>
      </c>
      <c r="AB826" s="16" t="n">
        <f aca="false">S826*L826</f>
        <v>0.00874009304077694</v>
      </c>
      <c r="AC826" s="16" t="n">
        <f aca="false">Z826-W826</f>
        <v>-0.00342181142124959</v>
      </c>
      <c r="AD826" s="16" t="n">
        <f aca="false">AA826-W826</f>
        <v>-0.00126417315003969</v>
      </c>
      <c r="AE826" s="16" t="n">
        <f aca="false">AB826-W826</f>
        <v>-0.00239905486303385</v>
      </c>
      <c r="AF826" s="16" t="n">
        <f aca="false">AE826-X826</f>
        <v>-0.0024169762370532</v>
      </c>
      <c r="AG826" s="16" t="n">
        <f aca="false">AF826-p_spc_lo*Y826/1000</f>
        <v>-0.00414085760708238</v>
      </c>
      <c r="AH826" s="16" t="n">
        <f aca="false">AF826-p_spc_hi*Y826/1000</f>
        <v>-0.00586473897711157</v>
      </c>
      <c r="AI826" s="16" t="n">
        <f aca="false">Q826*J826</f>
        <v>0.0321555686773383</v>
      </c>
      <c r="AJ826" s="16" t="n">
        <f aca="false">S826*J826</f>
        <v>0.0364170543365706</v>
      </c>
      <c r="AK826" s="16" t="n">
        <f aca="false">T826*J826</f>
        <v>0.0464131162658783</v>
      </c>
      <c r="AL826" s="16" t="n">
        <f aca="false">U826*J826</f>
        <v>7.46723917472969E-005</v>
      </c>
      <c r="AM826" s="16" t="n">
        <f aca="false">AI826-AJ826</f>
        <v>-0.00426148565923227</v>
      </c>
      <c r="AN826" s="16" t="n">
        <f aca="false">J826*Country_Data!$EB$122</f>
        <v>0.349346709080804</v>
      </c>
      <c r="AO826" s="16" t="n">
        <f aca="false">L826*Country_Data!$EB$122</f>
        <v>0.083843210179393</v>
      </c>
    </row>
    <row r="827" customFormat="false" ht="15" hidden="false" customHeight="false" outlineLevel="0" collapsed="false">
      <c r="A827" s="14" t="str">
        <f aca="false">Country_Data!$A$122</f>
        <v>ZMB</v>
      </c>
      <c r="B827" s="14" t="str">
        <f aca="false">Country_Data!$E$122</f>
        <v>EMDC</v>
      </c>
      <c r="C827" s="35" t="s">
        <v>477</v>
      </c>
      <c r="D827" s="37" t="n">
        <f aca="false">IF(Country_Data!$CB$122="","",Country_Data!$CB$122)</f>
        <v>0.0212816619063278</v>
      </c>
      <c r="E827" s="40" t="n">
        <f aca="false">Country_Data!$BW$122</f>
        <v>89.971</v>
      </c>
      <c r="F827" s="41" t="n">
        <f aca="false">Country_Data!$BX$122</f>
        <v>0.281235064631937</v>
      </c>
      <c r="G827" s="42" t="n">
        <f aca="false">IF(D827="","",D827/SUMIFS($D$5:$D$1369,$B$5:$B$1369,B827,$C$5:$C$1369,C827))</f>
        <v>0.000671075602573754</v>
      </c>
      <c r="H827" s="42" t="n">
        <f aca="false">E827/SUMIFS($E$5:$E$1369,$B$5:$B$1369,B827,$C$5:$C$1369,C827)</f>
        <v>0.00111444188907258</v>
      </c>
      <c r="I827" s="43" t="n">
        <f aca="false">IF(G827="",H827,p_beta_alloc*G827+(1-p_beta_alloc)*H827)*F827^p_phi</f>
        <v>0.000473444251069977</v>
      </c>
      <c r="J827" s="16" t="n">
        <f aca="false">INDEX(Sector_Params!$C$19:$E$19,MATCH(B827,Sector_Params!$C$15:$E$15,0))*I827/SUMIFS($I$5:$I$1369,$B$5:$B$1369,B827,$C$5:$C$1369,C827)</f>
        <v>0.152383995959447</v>
      </c>
      <c r="K827" s="28" t="n">
        <f aca="false">INDEX(Sector_Params!$F$8:$H$8,MATCH(B827,Sector_Params!$C$15:$E$15,0))</f>
        <v>0.24</v>
      </c>
      <c r="L827" s="16" t="n">
        <f aca="false">J827*K827</f>
        <v>0.0365721590302673</v>
      </c>
      <c r="M827" s="44" t="n">
        <f aca="false">Country_Data!$DW$122+Sector_Params!$E$8</f>
        <v>0.038</v>
      </c>
      <c r="N827" s="44" t="n">
        <f aca="false">Country_Data!$DX$122+Sector_Params!$E$8</f>
        <v>0.083</v>
      </c>
      <c r="O827" s="11" t="n">
        <f aca="false">IF(p_use_ibrd=1,p_r_ibrd,p_r_wb)</f>
        <v>0.06</v>
      </c>
      <c r="P827" s="45" t="n">
        <f aca="false">Sector_Params!$D$8</f>
        <v>25</v>
      </c>
      <c r="Q827" s="46" t="n">
        <f aca="false">M827/(1-(1+M827)^-P827)</f>
        <v>0.0626659446824917</v>
      </c>
      <c r="R827" s="46" t="n">
        <f aca="false">N827/(1-(1+N827)^-P827)</f>
        <v>0.0960909467651847</v>
      </c>
      <c r="S827" s="46" t="n">
        <f aca="false">O827/(1-(1+O827)^-P827)</f>
        <v>0.078226718212274</v>
      </c>
      <c r="T827" s="37" t="n">
        <f aca="false">Country_Data!$CM$122*Sector_Params!$I$8</f>
        <v>0.121774984210057</v>
      </c>
      <c r="U827" s="37" t="n">
        <f aca="false">Country_Data!$CN$122*Sector_Params!$J$8</f>
        <v>0.03225</v>
      </c>
      <c r="V827" s="37" t="n">
        <f aca="false">p_a</f>
        <v>0.35</v>
      </c>
      <c r="W827" s="16" t="n">
        <f aca="false">T827*L827</f>
        <v>0.00445357408843849</v>
      </c>
      <c r="X827" s="16" t="n">
        <f aca="false">U827*L827</f>
        <v>0.00117945212872612</v>
      </c>
      <c r="Y827" s="16" t="n">
        <f aca="false">V827*L827</f>
        <v>0.0128002556605935</v>
      </c>
      <c r="Z827" s="16" t="n">
        <f aca="false">Q827*L827</f>
        <v>0.00229182889471002</v>
      </c>
      <c r="AA827" s="16" t="n">
        <f aca="false">R827*L827</f>
        <v>0.00351425338646528</v>
      </c>
      <c r="AB827" s="16" t="n">
        <f aca="false">S827*L827</f>
        <v>0.00286091997887519</v>
      </c>
      <c r="AC827" s="16" t="n">
        <f aca="false">Z827-W827</f>
        <v>-0.00216174519372847</v>
      </c>
      <c r="AD827" s="16" t="n">
        <f aca="false">AA827-W827</f>
        <v>-0.000939320701973209</v>
      </c>
      <c r="AE827" s="16" t="n">
        <f aca="false">AB827-W827</f>
        <v>-0.0015926541095633</v>
      </c>
      <c r="AF827" s="16" t="n">
        <f aca="false">AE827-X827</f>
        <v>-0.00277210623828942</v>
      </c>
      <c r="AG827" s="16" t="n">
        <f aca="false">AF827-p_spc_lo*Y827/1000</f>
        <v>-0.0034121190213191</v>
      </c>
      <c r="AH827" s="16" t="n">
        <f aca="false">AF827-p_spc_hi*Y827/1000</f>
        <v>-0.00405213180434878</v>
      </c>
      <c r="AI827" s="16" t="n">
        <f aca="false">Q827*J827</f>
        <v>0.00954928706129173</v>
      </c>
      <c r="AJ827" s="16" t="n">
        <f aca="false">S827*J827</f>
        <v>0.0119204999119799</v>
      </c>
      <c r="AK827" s="16" t="n">
        <f aca="false">T827*J827</f>
        <v>0.018556558701827</v>
      </c>
      <c r="AL827" s="16" t="n">
        <f aca="false">U827*J827</f>
        <v>0.00491438386969216</v>
      </c>
      <c r="AM827" s="16" t="n">
        <f aca="false">AI827-AJ827</f>
        <v>-0.00237121285068821</v>
      </c>
      <c r="AN827" s="16" t="n">
        <f aca="false">J827*Country_Data!$EB$122</f>
        <v>0.174360463403939</v>
      </c>
      <c r="AO827" s="16" t="n">
        <f aca="false">L827*Country_Data!$EB$122</f>
        <v>0.0418465112169452</v>
      </c>
    </row>
    <row r="828" customFormat="false" ht="15" hidden="false" customHeight="false" outlineLevel="0" collapsed="false">
      <c r="A828" s="14" t="str">
        <f aca="false">Country_Data!$A$122</f>
        <v>ZMB</v>
      </c>
      <c r="B828" s="14" t="str">
        <f aca="false">Country_Data!$E$122</f>
        <v>EMDC</v>
      </c>
      <c r="C828" s="35" t="s">
        <v>481</v>
      </c>
      <c r="D828" s="37" t="n">
        <f aca="false">IF(Country_Data!$CC$122="","",Country_Data!$CC$122)</f>
        <v>0.0556770640910137</v>
      </c>
      <c r="E828" s="40" t="n">
        <f aca="false">Country_Data!$BW$122</f>
        <v>89.971</v>
      </c>
      <c r="F828" s="41" t="n">
        <f aca="false">Country_Data!$BX$122</f>
        <v>0.281235064631937</v>
      </c>
      <c r="G828" s="42" t="n">
        <f aca="false">IF(D828="","",D828/SUMIFS($D$5:$D$1369,$B$5:$B$1369,B828,$C$5:$C$1369,C828))</f>
        <v>0.000795304173567199</v>
      </c>
      <c r="H828" s="42" t="n">
        <f aca="false">E828/SUMIFS($E$5:$E$1369,$B$5:$B$1369,B828,$C$5:$C$1369,C828)</f>
        <v>0.00111444188907258</v>
      </c>
      <c r="I828" s="43" t="n">
        <f aca="false">IF(G828="",H828,p_beta_alloc*G828+(1-p_beta_alloc)*H828)*F828^p_phi</f>
        <v>0.000506384450777153</v>
      </c>
      <c r="J828" s="16" t="n">
        <f aca="false">INDEX(Sector_Params!$C$20:$E$20,MATCH(B828,Sector_Params!$C$15:$E$15,0))*I828/SUMIFS($I$5:$I$1369,$B$5:$B$1369,B828,$C$5:$C$1369,C828)</f>
        <v>0.0924253596784017</v>
      </c>
      <c r="K828" s="28" t="n">
        <f aca="false">INDEX(Sector_Params!$F$9:$H$9,MATCH(B828,Sector_Params!$C$15:$E$15,0))</f>
        <v>0.24</v>
      </c>
      <c r="L828" s="16" t="n">
        <f aca="false">J828*K828</f>
        <v>0.0221820863228164</v>
      </c>
      <c r="M828" s="44" t="n">
        <f aca="false">Country_Data!$DW$122+Sector_Params!$E$9</f>
        <v>0.038</v>
      </c>
      <c r="N828" s="44" t="n">
        <f aca="false">Country_Data!$DX$122+Sector_Params!$E$9</f>
        <v>0.083</v>
      </c>
      <c r="O828" s="11" t="n">
        <f aca="false">IF(p_use_ibrd=1,p_r_ibrd,p_r_wb)</f>
        <v>0.06</v>
      </c>
      <c r="P828" s="45" t="n">
        <f aca="false">Sector_Params!$D$9</f>
        <v>25</v>
      </c>
      <c r="Q828" s="46" t="n">
        <f aca="false">M828/(1-(1+M828)^-P828)</f>
        <v>0.0626659446824917</v>
      </c>
      <c r="R828" s="46" t="n">
        <f aca="false">N828/(1-(1+N828)^-P828)</f>
        <v>0.0960909467651847</v>
      </c>
      <c r="S828" s="46" t="n">
        <f aca="false">O828/(1-(1+O828)^-P828)</f>
        <v>0.078226718212274</v>
      </c>
      <c r="T828" s="37" t="n">
        <f aca="false">Country_Data!$CM$122*Sector_Params!$I$9</f>
        <v>0.121774984210057</v>
      </c>
      <c r="U828" s="37" t="n">
        <f aca="false">Country_Data!$CN$122*Sector_Params!$J$9</f>
        <v>0.03225</v>
      </c>
      <c r="V828" s="37" t="n">
        <f aca="false">p_a</f>
        <v>0.35</v>
      </c>
      <c r="W828" s="16" t="n">
        <f aca="false">T828*L828</f>
        <v>0.00270122321170709</v>
      </c>
      <c r="X828" s="16" t="n">
        <f aca="false">U828*L828</f>
        <v>0.000715372283910829</v>
      </c>
      <c r="Y828" s="16" t="n">
        <f aca="false">V828*L828</f>
        <v>0.00776373021298574</v>
      </c>
      <c r="Z828" s="16" t="n">
        <f aca="false">Q828*L828</f>
        <v>0.00139006139444787</v>
      </c>
      <c r="AA828" s="16" t="n">
        <f aca="false">R828*L828</f>
        <v>0.00213149767598648</v>
      </c>
      <c r="AB828" s="16" t="n">
        <f aca="false">S828*L828</f>
        <v>0.0017352318161353</v>
      </c>
      <c r="AC828" s="16" t="n">
        <f aca="false">Z828-W828</f>
        <v>-0.00131116181725922</v>
      </c>
      <c r="AD828" s="16" t="n">
        <f aca="false">AA828-W828</f>
        <v>-0.000569725535720607</v>
      </c>
      <c r="AE828" s="16" t="n">
        <f aca="false">AB828-W828</f>
        <v>-0.000965991395571796</v>
      </c>
      <c r="AF828" s="16" t="n">
        <f aca="false">AE828-X828</f>
        <v>-0.00168136367948263</v>
      </c>
      <c r="AG828" s="16" t="n">
        <f aca="false">AF828-p_spc_lo*Y828/1000</f>
        <v>-0.00206955019013191</v>
      </c>
      <c r="AH828" s="16" t="n">
        <f aca="false">AF828-p_spc_hi*Y828/1000</f>
        <v>-0.0024577367007812</v>
      </c>
      <c r="AI828" s="16" t="n">
        <f aca="false">Q828*J828</f>
        <v>0.00579192247686612</v>
      </c>
      <c r="AJ828" s="16" t="n">
        <f aca="false">S828*J828</f>
        <v>0.0072301325672304</v>
      </c>
      <c r="AK828" s="16" t="n">
        <f aca="false">T828*J828</f>
        <v>0.0112550967154462</v>
      </c>
      <c r="AL828" s="16" t="n">
        <f aca="false">U828*J828</f>
        <v>0.00298071784962846</v>
      </c>
      <c r="AM828" s="16" t="n">
        <f aca="false">AI828-AJ828</f>
        <v>-0.00143821009036428</v>
      </c>
      <c r="AN828" s="16" t="n">
        <f aca="false">J828*Country_Data!$EB$122</f>
        <v>0.10575473127828</v>
      </c>
      <c r="AO828" s="16" t="n">
        <f aca="false">L828*Country_Data!$EB$122</f>
        <v>0.0253811355067872</v>
      </c>
    </row>
    <row r="829" customFormat="false" ht="15" hidden="false" customHeight="false" outlineLevel="0" collapsed="false">
      <c r="A829" s="14" t="str">
        <f aca="false">Country_Data!$A$122</f>
        <v>ZMB</v>
      </c>
      <c r="B829" s="14" t="str">
        <f aca="false">Country_Data!$E$122</f>
        <v>EMDC</v>
      </c>
      <c r="C829" s="35" t="s">
        <v>484</v>
      </c>
      <c r="D829" s="37" t="n">
        <f aca="false">IF(Country_Data!$CD$122="","",Country_Data!$CD$122)</f>
        <v>0.134042450069212</v>
      </c>
      <c r="E829" s="40" t="n">
        <f aca="false">Country_Data!$BW$122</f>
        <v>89.971</v>
      </c>
      <c r="F829" s="41" t="n">
        <f aca="false">Country_Data!$BX$122</f>
        <v>0.281235064631937</v>
      </c>
      <c r="G829" s="42" t="n">
        <f aca="false">IF(D829="","",D829/SUMIFS($D$5:$D$1369,$B$5:$B$1369,B829,$C$5:$C$1369,C829))</f>
        <v>0.000748542009484382</v>
      </c>
      <c r="H829" s="42" t="n">
        <f aca="false">E829/SUMIFS($E$5:$E$1369,$B$5:$B$1369,B829,$C$5:$C$1369,C829)</f>
        <v>0.00111444188907258</v>
      </c>
      <c r="I829" s="43" t="n">
        <f aca="false">IF(G829="",H829,p_beta_alloc*G829+(1-p_beta_alloc)*H829)*F829^p_phi</f>
        <v>0.000493985088767998</v>
      </c>
      <c r="J829" s="16" t="n">
        <f aca="false">INDEX(Sector_Params!$C$21:$E$21,MATCH(B829,Sector_Params!$C$15:$E$15,0))*I829/SUMIFS($I$5:$I$1369,$B$5:$B$1369,B829,$C$5:$C$1369,C829)</f>
        <v>0.109560867011622</v>
      </c>
      <c r="K829" s="28" t="n">
        <f aca="false">INDEX(Sector_Params!$F$10:$H$10,MATCH(B829,Sector_Params!$C$15:$E$15,0))</f>
        <v>0.24</v>
      </c>
      <c r="L829" s="16" t="n">
        <f aca="false">J829*K829</f>
        <v>0.0262946080827894</v>
      </c>
      <c r="M829" s="44" t="n">
        <f aca="false">Country_Data!$DW$122+Sector_Params!$E$10</f>
        <v>0.038</v>
      </c>
      <c r="N829" s="44" t="n">
        <f aca="false">Country_Data!$DX$122+Sector_Params!$E$10</f>
        <v>0.083</v>
      </c>
      <c r="O829" s="11" t="n">
        <f aca="false">IF(p_use_ibrd=1,p_r_ibrd,p_r_wb)</f>
        <v>0.06</v>
      </c>
      <c r="P829" s="45" t="n">
        <f aca="false">Sector_Params!$D$10</f>
        <v>20</v>
      </c>
      <c r="Q829" s="46" t="n">
        <f aca="false">M829/(1-(1+M829)^-P829)</f>
        <v>0.0722845436825925</v>
      </c>
      <c r="R829" s="46" t="n">
        <f aca="false">N829/(1-(1+N829)^-P829)</f>
        <v>0.104136547054615</v>
      </c>
      <c r="S829" s="46" t="n">
        <f aca="false">O829/(1-(1+O829)^-P829)</f>
        <v>0.0871845569768514</v>
      </c>
      <c r="T829" s="37" t="n">
        <f aca="false">0*Sector_Params!$I$10</f>
        <v>0</v>
      </c>
      <c r="U829" s="37" t="n">
        <f aca="false">0*Sector_Params!$J$10</f>
        <v>0</v>
      </c>
      <c r="V829" s="37" t="n">
        <f aca="false">1000*p_r_wb/(1-(1+p_r_wb)^-Sector_Params!$D$10)/p_cpt_fuel</f>
        <v>0.871845569768514</v>
      </c>
      <c r="W829" s="16" t="n">
        <f aca="false">T829*L829</f>
        <v>0</v>
      </c>
      <c r="X829" s="16" t="n">
        <f aca="false">U829*L829</f>
        <v>0</v>
      </c>
      <c r="Y829" s="16" t="n">
        <f aca="false">V829*L829</f>
        <v>0.0229248375657793</v>
      </c>
      <c r="Z829" s="16" t="n">
        <f aca="false">Q829*L829</f>
        <v>0.00190069374657704</v>
      </c>
      <c r="AA829" s="16" t="n">
        <f aca="false">R829*L829</f>
        <v>0.00273822969189607</v>
      </c>
      <c r="AB829" s="16" t="n">
        <f aca="false">S829*L829</f>
        <v>0.00229248375657793</v>
      </c>
      <c r="AC829" s="16" t="n">
        <f aca="false">Z829-W829</f>
        <v>0.00190069374657704</v>
      </c>
      <c r="AD829" s="16" t="n">
        <f aca="false">AA829-W829</f>
        <v>0.00273822969189607</v>
      </c>
      <c r="AE829" s="16" t="n">
        <f aca="false">AB829-W829</f>
        <v>0.00229248375657793</v>
      </c>
      <c r="AF829" s="16" t="n">
        <f aca="false">AE829-X829</f>
        <v>0.00229248375657793</v>
      </c>
      <c r="AG829" s="16" t="n">
        <f aca="false">AF829-p_spc_lo*Y829/1000</f>
        <v>0.00114624187828896</v>
      </c>
      <c r="AH829" s="16" t="n">
        <f aca="false">AF829-p_spc_hi*Y829/1000</f>
        <v>0</v>
      </c>
      <c r="AI829" s="16" t="n">
        <f aca="false">Q829*J829</f>
        <v>0.00791955727740433</v>
      </c>
      <c r="AJ829" s="16" t="n">
        <f aca="false">S829*J829</f>
        <v>0.00955201565240804</v>
      </c>
      <c r="AK829" s="16" t="n">
        <f aca="false">T829*J829</f>
        <v>0</v>
      </c>
      <c r="AL829" s="16" t="n">
        <f aca="false">U829*J829</f>
        <v>0</v>
      </c>
      <c r="AM829" s="16" t="n">
        <f aca="false">AI829-AJ829</f>
        <v>-0.00163245837500371</v>
      </c>
      <c r="AN829" s="16" t="n">
        <f aca="false">J829*Country_Data!$EB$122</f>
        <v>0.125361481845952</v>
      </c>
      <c r="AO829" s="16" t="n">
        <f aca="false">L829*Country_Data!$EB$122</f>
        <v>0.0300867556430284</v>
      </c>
    </row>
    <row r="830" customFormat="false" ht="15" hidden="false" customHeight="false" outlineLevel="0" collapsed="false">
      <c r="A830" s="14" t="str">
        <f aca="false">Country_Data!$A$122</f>
        <v>ZMB</v>
      </c>
      <c r="B830" s="14" t="str">
        <f aca="false">Country_Data!$E$122</f>
        <v>EMDC</v>
      </c>
      <c r="C830" s="35" t="s">
        <v>488</v>
      </c>
      <c r="D830" s="37" t="n">
        <f aca="false">IF(Country_Data!$CE$122="","",Country_Data!$CE$122)</f>
        <v>71.156</v>
      </c>
      <c r="E830" s="40" t="n">
        <f aca="false">Country_Data!$BW$122</f>
        <v>89.971</v>
      </c>
      <c r="F830" s="41" t="n">
        <f aca="false">Country_Data!$BX$122</f>
        <v>0.281235064631937</v>
      </c>
      <c r="G830" s="42" t="n">
        <f aca="false">IF(D830="","",D830/SUMIFS($D$5:$D$1369,$B$5:$B$1369,B830,$C$5:$C$1369,C830))</f>
        <v>0.00583049480871608</v>
      </c>
      <c r="H830" s="42" t="n">
        <f aca="false">E830/SUMIFS($E$5:$E$1369,$B$5:$B$1369,B830,$C$5:$C$1369,C830)</f>
        <v>0.00111444188907258</v>
      </c>
      <c r="I830" s="43" t="n">
        <f aca="false">IF(G830="",H830,p_beta_alloc*G830+(1-p_beta_alloc)*H830)*F830^p_phi</f>
        <v>0.00184150554054848</v>
      </c>
      <c r="J830" s="16" t="n">
        <f aca="false">INDEX(Sector_Params!$C$22:$E$22,MATCH(B830,Sector_Params!$C$15:$E$15,0))*I830/SUMIFS($I$5:$I$1369,$B$5:$B$1369,B830,$C$5:$C$1369,C830)</f>
        <v>1.1100749867942</v>
      </c>
      <c r="K830" s="28" t="n">
        <f aca="false">INDEX(Sector_Params!$F$11:$H$11,MATCH(B830,Sector_Params!$C$15:$E$15,0))</f>
        <v>0.24</v>
      </c>
      <c r="L830" s="16" t="n">
        <f aca="false">J830*K830</f>
        <v>0.266417996830608</v>
      </c>
      <c r="M830" s="44" t="n">
        <f aca="false">Country_Data!$DW$122+Sector_Params!$E$11</f>
        <v>0.038</v>
      </c>
      <c r="N830" s="44" t="n">
        <f aca="false">Country_Data!$DX$122+Sector_Params!$E$11</f>
        <v>0.083</v>
      </c>
      <c r="O830" s="11" t="n">
        <f aca="false">IF(p_use_ibrd=1,p_r_ibrd,p_r_wb)</f>
        <v>0.06</v>
      </c>
      <c r="P830" s="45" t="n">
        <f aca="false">Sector_Params!$D$11</f>
        <v>30</v>
      </c>
      <c r="Q830" s="46" t="n">
        <f aca="false">M830/(1-(1+M830)^-P830)</f>
        <v>0.0564340406778189</v>
      </c>
      <c r="R830" s="46" t="n">
        <f aca="false">N830/(1-(1+N830)^-P830)</f>
        <v>0.0913535638356982</v>
      </c>
      <c r="S830" s="46" t="n">
        <f aca="false">O830/(1-(1+O830)^-P830)</f>
        <v>0.0726489114900472</v>
      </c>
      <c r="T830" s="37" t="n">
        <f aca="false">0*Sector_Params!$I$11</f>
        <v>0</v>
      </c>
      <c r="U830" s="37" t="n">
        <f aca="false">p_c*Sector_Params!$J$11</f>
        <v>0.129</v>
      </c>
      <c r="V830" s="37" t="n">
        <f aca="false">1000*p_r_wb/(1-(1+p_r_wb)^-Sector_Params!$D$11)/p_cpt_afolu</f>
        <v>1.45297822980094</v>
      </c>
      <c r="W830" s="16" t="n">
        <f aca="false">T830*L830</f>
        <v>0</v>
      </c>
      <c r="X830" s="16" t="n">
        <f aca="false">U830*L830</f>
        <v>0.0343679215911484</v>
      </c>
      <c r="Y830" s="16" t="n">
        <f aca="false">V830*L830</f>
        <v>0.38709954942205</v>
      </c>
      <c r="Z830" s="16" t="n">
        <f aca="false">Q830*L830</f>
        <v>0.0150350440704416</v>
      </c>
      <c r="AA830" s="16" t="n">
        <f aca="false">R830*L830</f>
        <v>0.0243382334804438</v>
      </c>
      <c r="AB830" s="16" t="n">
        <f aca="false">S830*L830</f>
        <v>0.0193549774711025</v>
      </c>
      <c r="AC830" s="16" t="n">
        <f aca="false">Z830-W830</f>
        <v>0.0150350440704416</v>
      </c>
      <c r="AD830" s="16" t="n">
        <f aca="false">AA830-W830</f>
        <v>0.0243382334804438</v>
      </c>
      <c r="AE830" s="16" t="n">
        <f aca="false">AB830-W830</f>
        <v>0.0193549774711025</v>
      </c>
      <c r="AF830" s="16" t="n">
        <f aca="false">AE830-X830</f>
        <v>-0.0150129441200459</v>
      </c>
      <c r="AG830" s="16" t="n">
        <f aca="false">AF830-p_spc_lo*Y830/1000</f>
        <v>-0.0343679215911484</v>
      </c>
      <c r="AH830" s="16" t="n">
        <f aca="false">AF830-p_spc_hi*Y830/1000</f>
        <v>-0.0537228990622509</v>
      </c>
      <c r="AI830" s="16" t="n">
        <f aca="false">Q830*J830</f>
        <v>0.0626460169601732</v>
      </c>
      <c r="AJ830" s="16" t="n">
        <f aca="false">S830*J830</f>
        <v>0.0806457394629271</v>
      </c>
      <c r="AK830" s="16" t="n">
        <f aca="false">T830*J830</f>
        <v>0</v>
      </c>
      <c r="AL830" s="16" t="n">
        <f aca="false">U830*J830</f>
        <v>0.143199673296452</v>
      </c>
      <c r="AM830" s="16" t="n">
        <f aca="false">AI830-AJ830</f>
        <v>-0.017999722502754</v>
      </c>
      <c r="AN830" s="16" t="n">
        <f aca="false">J830*Country_Data!$EB$122</f>
        <v>1.27016743386928</v>
      </c>
      <c r="AO830" s="16" t="n">
        <f aca="false">L830*Country_Data!$EB$122</f>
        <v>0.304840184128628</v>
      </c>
    </row>
    <row r="831" customFormat="false" ht="15" hidden="false" customHeight="false" outlineLevel="0" collapsed="false">
      <c r="A831" s="14" t="str">
        <f aca="false">Country_Data!$A$123</f>
        <v>HTI</v>
      </c>
      <c r="B831" s="14" t="str">
        <f aca="false">Country_Data!$E$123</f>
        <v>EMDC</v>
      </c>
      <c r="C831" s="35" t="s">
        <v>466</v>
      </c>
      <c r="D831" s="37" t="n">
        <f aca="false">IF(Country_Data!$BZ$123="","",Country_Data!$BZ$123)</f>
        <v>0.754773076858133</v>
      </c>
      <c r="E831" s="40" t="n">
        <f aca="false">Country_Data!$BW$123</f>
        <v>37.646</v>
      </c>
      <c r="F831" s="41" t="n">
        <f aca="false">Country_Data!$BX$123</f>
        <v>0.671651702704139</v>
      </c>
      <c r="G831" s="42" t="n">
        <f aca="false">IF(D831="","",D831/SUMIFS($D$5:$D$1369,$B$5:$B$1369,B831,$C$5:$C$1369,C831))</f>
        <v>8.61665062185473E-005</v>
      </c>
      <c r="H831" s="42" t="n">
        <f aca="false">E831/SUMIFS($E$5:$E$1369,$B$5:$B$1369,B831,$C$5:$C$1369,C831)</f>
        <v>0.000466308914606112</v>
      </c>
      <c r="I831" s="43" t="n">
        <f aca="false">IF(G831="",H831,p_beta_alloc*G831+(1-p_beta_alloc)*H831)*F831^p_phi</f>
        <v>0.000226388846029712</v>
      </c>
      <c r="J831" s="16" t="n">
        <f aca="false">INDEX(Sector_Params!$C$16:$E$16,MATCH(B831,Sector_Params!$C$15:$E$15,0))*I831/SUMIFS($I$5:$I$1369,$B$5:$B$1369,B831,$C$5:$C$1369,C831)</f>
        <v>0.218969031332022</v>
      </c>
      <c r="K831" s="28" t="n">
        <f aca="false">INDEX(Sector_Params!$F$5:$H$5,MATCH(B831,Sector_Params!$C$15:$E$15,0))</f>
        <v>0.24</v>
      </c>
      <c r="L831" s="16" t="n">
        <f aca="false">J831*K831</f>
        <v>0.0525525675196853</v>
      </c>
      <c r="M831" s="44" t="n">
        <f aca="false">Country_Data!$DW$123+Sector_Params!$E$5</f>
        <v>0.105</v>
      </c>
      <c r="N831" s="44" t="n">
        <f aca="false">Country_Data!$DX$123+Sector_Params!$E$5</f>
        <v>0.15</v>
      </c>
      <c r="O831" s="11" t="n">
        <f aca="false">IF(p_use_ibrd=1,p_r_ibrd,p_r_wb)</f>
        <v>0.06</v>
      </c>
      <c r="P831" s="45" t="n">
        <f aca="false">Sector_Params!$D$5</f>
        <v>25</v>
      </c>
      <c r="Q831" s="46" t="n">
        <f aca="false">M831/(1-(1+M831)^-P831)</f>
        <v>0.114429319813103</v>
      </c>
      <c r="R831" s="46" t="n">
        <f aca="false">N831/(1-(1+N831)^-P831)</f>
        <v>0.154699402320206</v>
      </c>
      <c r="S831" s="46" t="n">
        <f aca="false">O831/(1-(1+O831)^-P831)</f>
        <v>0.078226718212274</v>
      </c>
      <c r="T831" s="37" t="n">
        <f aca="false">IF(AND(p_eng=1,ISNUMBER(Country_Data!$CZ$123)),Country_Data!$CZ$123,Country_Data!$CM$123)*Sector_Params!$I$5</f>
        <v>0.249683696859968</v>
      </c>
      <c r="U831" s="37" t="n">
        <f aca="false">IF(AND(p_eng=1,ISNUMBER(Country_Data!$DA$123)),Country_Data!$DA$123,Country_Data!$CN$123)*Sector_Params!$J$5</f>
        <v>0.0117879126495955</v>
      </c>
      <c r="V831" s="37" t="n">
        <f aca="false">IF(AND(p_eng=1,ISNUMBER(Country_Data!$DB$123)),Country_Data!$DB$123,p_a)</f>
        <v>1.52230238656987</v>
      </c>
      <c r="W831" s="16" t="n">
        <f aca="false">T831*L831</f>
        <v>0.0131215193377981</v>
      </c>
      <c r="X831" s="16" t="n">
        <f aca="false">U831*L831</f>
        <v>0.000619485075434022</v>
      </c>
      <c r="Y831" s="16" t="n">
        <f aca="false">V831*L831</f>
        <v>0.0800008989555913</v>
      </c>
      <c r="Z831" s="16" t="n">
        <f aca="false">Q831*L831</f>
        <v>0.00601355455570977</v>
      </c>
      <c r="AA831" s="16" t="n">
        <f aca="false">R831*L831</f>
        <v>0.00812985078568761</v>
      </c>
      <c r="AB831" s="16" t="n">
        <f aca="false">S831*L831</f>
        <v>0.00411101489069392</v>
      </c>
      <c r="AC831" s="16" t="n">
        <f aca="false">Z831-W831</f>
        <v>-0.00710796478208835</v>
      </c>
      <c r="AD831" s="16" t="n">
        <f aca="false">AA831-W831</f>
        <v>-0.00499166855211051</v>
      </c>
      <c r="AE831" s="16" t="n">
        <f aca="false">AB831-W831</f>
        <v>-0.0090105044471042</v>
      </c>
      <c r="AF831" s="16" t="n">
        <f aca="false">AE831-X831</f>
        <v>-0.00962998952253822</v>
      </c>
      <c r="AG831" s="16" t="n">
        <f aca="false">AF831-p_spc_lo*Y831/1000</f>
        <v>-0.0136300344703178</v>
      </c>
      <c r="AH831" s="16" t="n">
        <f aca="false">AF831-p_spc_hi*Y831/1000</f>
        <v>-0.0176300794180974</v>
      </c>
      <c r="AI831" s="16" t="n">
        <f aca="false">Q831*J831</f>
        <v>0.0250564773154574</v>
      </c>
      <c r="AJ831" s="16" t="n">
        <f aca="false">S831*J831</f>
        <v>0.0171292287112247</v>
      </c>
      <c r="AK831" s="16" t="n">
        <f aca="false">T831*J831</f>
        <v>0.0546729972408255</v>
      </c>
      <c r="AL831" s="16" t="n">
        <f aca="false">U831*J831</f>
        <v>0.00258118781430843</v>
      </c>
      <c r="AM831" s="16" t="n">
        <f aca="false">AI831-AJ831</f>
        <v>0.00792724860423272</v>
      </c>
      <c r="AN831" s="16" t="n">
        <f aca="false">J831*Country_Data!$EB$123</f>
        <v>0.251364449666075</v>
      </c>
      <c r="AO831" s="16" t="n">
        <f aca="false">L831*Country_Data!$EB$123</f>
        <v>0.0603274679198579</v>
      </c>
    </row>
    <row r="832" customFormat="false" ht="15" hidden="false" customHeight="false" outlineLevel="0" collapsed="false">
      <c r="A832" s="14" t="str">
        <f aca="false">Country_Data!$A$123</f>
        <v>HTI</v>
      </c>
      <c r="B832" s="14" t="str">
        <f aca="false">Country_Data!$E$123</f>
        <v>EMDC</v>
      </c>
      <c r="C832" s="35" t="s">
        <v>470</v>
      </c>
      <c r="D832" s="37" t="n">
        <f aca="false">IF(Country_Data!$BZ$123="","",Country_Data!$BZ$123)</f>
        <v>0.754773076858133</v>
      </c>
      <c r="E832" s="40" t="n">
        <f aca="false">Country_Data!$BW$123</f>
        <v>37.646</v>
      </c>
      <c r="F832" s="41" t="n">
        <f aca="false">Country_Data!$BX$123</f>
        <v>0.671651702704139</v>
      </c>
      <c r="G832" s="42" t="n">
        <f aca="false">IF(D832="","",D832/SUMIFS($D$5:$D$1369,$B$5:$B$1369,B832,$C$5:$C$1369,C832))</f>
        <v>8.61665062185473E-005</v>
      </c>
      <c r="H832" s="42" t="n">
        <f aca="false">E832/SUMIFS($E$5:$E$1369,$B$5:$B$1369,B832,$C$5:$C$1369,C832)</f>
        <v>0.000466308914606112</v>
      </c>
      <c r="I832" s="43" t="n">
        <f aca="false">IF(G832="",H832,p_beta_alloc*G832+(1-p_beta_alloc)*H832)*F832^p_phi</f>
        <v>0.000226388846029712</v>
      </c>
      <c r="J832" s="16" t="n">
        <f aca="false">INDEX(Sector_Params!$C$17:$E$17,MATCH(B832,Sector_Params!$C$15:$E$15,0))*I832/SUMIFS($I$5:$I$1369,$B$5:$B$1369,B832,$C$5:$C$1369,C832)</f>
        <v>0.150150192913387</v>
      </c>
      <c r="K832" s="28" t="n">
        <f aca="false">INDEX(Sector_Params!$F$6:$H$6,MATCH(B832,Sector_Params!$C$15:$E$15,0))</f>
        <v>0.24</v>
      </c>
      <c r="L832" s="16" t="n">
        <f aca="false">J832*K832</f>
        <v>0.0360360462992128</v>
      </c>
      <c r="M832" s="44" t="n">
        <f aca="false">Country_Data!$DW$123+Sector_Params!$E$6</f>
        <v>0.105</v>
      </c>
      <c r="N832" s="44" t="n">
        <f aca="false">Country_Data!$DX$123+Sector_Params!$E$6</f>
        <v>0.15</v>
      </c>
      <c r="O832" s="11" t="n">
        <f aca="false">IF(p_use_ibrd=1,p_r_ibrd,p_r_wb)</f>
        <v>0.06</v>
      </c>
      <c r="P832" s="45" t="n">
        <f aca="false">Sector_Params!$D$6</f>
        <v>40</v>
      </c>
      <c r="Q832" s="46" t="n">
        <f aca="false">M832/(1-(1+M832)^-P832)</f>
        <v>0.10697140835497</v>
      </c>
      <c r="R832" s="46" t="n">
        <f aca="false">N832/(1-(1+N832)^-P832)</f>
        <v>0.150562085013545</v>
      </c>
      <c r="S832" s="46" t="n">
        <f aca="false">O832/(1-(1+O832)^-P832)</f>
        <v>0.0664615359206755</v>
      </c>
      <c r="T832" s="37" t="n">
        <f aca="false">p_grid_credit*IF(AND(p_eng=1,ISNUMBER(Country_Data!$CZ$123)),Country_Data!$CZ$123,Country_Data!$CM$123)*Sector_Params!$I$6</f>
        <v>0</v>
      </c>
      <c r="U832" s="37" t="n">
        <f aca="false">p_grid_credit*IF(AND(p_eng=1,ISNUMBER(Country_Data!$DA$123)),Country_Data!$DA$123,Country_Data!$CN$123)*Sector_Params!$J$6</f>
        <v>0</v>
      </c>
      <c r="V832" s="37" t="n">
        <f aca="false">p_grid_credit*IF(AND(p_eng=1,ISNUMBER(Country_Data!$DB$123)),Country_Data!$DB$123,p_a)</f>
        <v>0</v>
      </c>
      <c r="W832" s="16" t="n">
        <f aca="false">T832*L832</f>
        <v>0</v>
      </c>
      <c r="X832" s="16" t="n">
        <f aca="false">U832*L832</f>
        <v>0</v>
      </c>
      <c r="Y832" s="16" t="n">
        <f aca="false">V832*L832</f>
        <v>0</v>
      </c>
      <c r="Z832" s="16" t="n">
        <f aca="false">Q832*L832</f>
        <v>0.00385482662417171</v>
      </c>
      <c r="AA832" s="16" t="n">
        <f aca="false">R832*L832</f>
        <v>0.00542566226645412</v>
      </c>
      <c r="AB832" s="16" t="n">
        <f aca="false">S832*L832</f>
        <v>0.00239501098555426</v>
      </c>
      <c r="AC832" s="16" t="n">
        <f aca="false">Z832-W832</f>
        <v>0.00385482662417171</v>
      </c>
      <c r="AD832" s="16" t="n">
        <f aca="false">AA832-W832</f>
        <v>0.00542566226645412</v>
      </c>
      <c r="AE832" s="16" t="n">
        <f aca="false">AB832-W832</f>
        <v>0.00239501098555426</v>
      </c>
      <c r="AF832" s="16" t="n">
        <f aca="false">AE832-X832</f>
        <v>0.00239501098555426</v>
      </c>
      <c r="AG832" s="16" t="n">
        <f aca="false">AF832-p_spc_lo*Y832/1000</f>
        <v>0.00239501098555426</v>
      </c>
      <c r="AH832" s="16" t="n">
        <f aca="false">AF832-p_spc_hi*Y832/1000</f>
        <v>0.00239501098555426</v>
      </c>
      <c r="AI832" s="16" t="n">
        <f aca="false">Q832*J832</f>
        <v>0.0160617776007155</v>
      </c>
      <c r="AJ832" s="16" t="n">
        <f aca="false">S832*J832</f>
        <v>0.0099792124398094</v>
      </c>
      <c r="AK832" s="16" t="n">
        <f aca="false">T832*J832</f>
        <v>0</v>
      </c>
      <c r="AL832" s="16" t="n">
        <f aca="false">U832*J832</f>
        <v>0</v>
      </c>
      <c r="AM832" s="16" t="n">
        <f aca="false">AI832-AJ832</f>
        <v>0.00608256516090605</v>
      </c>
      <c r="AN832" s="16" t="n">
        <f aca="false">J832*Country_Data!$EB$123</f>
        <v>0.172364194056737</v>
      </c>
      <c r="AO832" s="16" t="n">
        <f aca="false">L832*Country_Data!$EB$123</f>
        <v>0.0413674065736169</v>
      </c>
    </row>
    <row r="833" customFormat="false" ht="15" hidden="false" customHeight="false" outlineLevel="0" collapsed="false">
      <c r="A833" s="14" t="str">
        <f aca="false">Country_Data!$A$123</f>
        <v>HTI</v>
      </c>
      <c r="B833" s="14" t="str">
        <f aca="false">Country_Data!$E$123</f>
        <v>EMDC</v>
      </c>
      <c r="C833" s="35" t="s">
        <v>473</v>
      </c>
      <c r="D833" s="37" t="n">
        <f aca="false">IF(Country_Data!$CA$123="","",Country_Data!$CA$123)</f>
        <v>0.0278038127545078</v>
      </c>
      <c r="E833" s="40" t="n">
        <f aca="false">Country_Data!$BW$123</f>
        <v>37.646</v>
      </c>
      <c r="F833" s="41" t="n">
        <f aca="false">Country_Data!$BX$123</f>
        <v>0.671651702704139</v>
      </c>
      <c r="G833" s="42" t="n">
        <f aca="false">IF(D833="","",D833/SUMIFS($D$5:$D$1369,$B$5:$B$1369,B833,$C$5:$C$1369,C833))</f>
        <v>0.000642332766160928</v>
      </c>
      <c r="H833" s="42" t="n">
        <f aca="false">E833/SUMIFS($E$5:$E$1369,$B$5:$B$1369,B833,$C$5:$C$1369,C833)</f>
        <v>0.000466308914606112</v>
      </c>
      <c r="I833" s="43" t="n">
        <f aca="false">IF(G833="",H833,p_beta_alloc*G833+(1-p_beta_alloc)*H833)*F833^p_phi</f>
        <v>0.000454290093837398</v>
      </c>
      <c r="J833" s="16" t="n">
        <f aca="false">INDEX(Sector_Params!$C$18:$E$18,MATCH(B833,Sector_Params!$C$15:$E$15,0))*I833/SUMIFS($I$5:$I$1369,$B$5:$B$1369,B833,$C$5:$C$1369,C833)</f>
        <v>0.186021044371139</v>
      </c>
      <c r="K833" s="28" t="n">
        <f aca="false">INDEX(Sector_Params!$F$7:$H$7,MATCH(B833,Sector_Params!$C$15:$E$15,0))</f>
        <v>0.24</v>
      </c>
      <c r="L833" s="16" t="n">
        <f aca="false">J833*K833</f>
        <v>0.0446450506490733</v>
      </c>
      <c r="M833" s="44" t="n">
        <f aca="false">Country_Data!$DW$123+Sector_Params!$E$7</f>
        <v>0.105</v>
      </c>
      <c r="N833" s="44" t="n">
        <f aca="false">Country_Data!$DX$123+Sector_Params!$E$7</f>
        <v>0.15</v>
      </c>
      <c r="O833" s="11" t="n">
        <f aca="false">IF(p_use_ibrd=1,p_r_ibrd,p_r_wb)</f>
        <v>0.06</v>
      </c>
      <c r="P833" s="45" t="n">
        <f aca="false">Sector_Params!$D$7</f>
        <v>12</v>
      </c>
      <c r="Q833" s="46" t="n">
        <f aca="false">M833/(1-(1+M833)^-P833)</f>
        <v>0.150376745634766</v>
      </c>
      <c r="R833" s="46" t="n">
        <f aca="false">N833/(1-(1+N833)^-P833)</f>
        <v>0.18448077613084</v>
      </c>
      <c r="S833" s="46" t="n">
        <f aca="false">O833/(1-(1+O833)^-P833)</f>
        <v>0.119277029380664</v>
      </c>
      <c r="T833" s="37" t="n">
        <f aca="false">IF(AND(p_eng=1,ISNUMBER(Country_Data!$DE$123)),Country_Data!$DE$123,Country_Data!$CM$123)*Sector_Params!$I$7</f>
        <v>-0.04351608</v>
      </c>
      <c r="U833" s="37" t="n">
        <f aca="false">IF(AND(p_eng=1,ISNUMBER(Country_Data!$DF$123)),Country_Data!$DF$123,Country_Data!$CN$123)*Sector_Params!$J$7</f>
        <v>0.00100845</v>
      </c>
      <c r="V833" s="37" t="n">
        <f aca="false">IF(AND(p_eng=1,ISNUMBER(Country_Data!$DG$123)),Country_Data!$DG$123,p_a)</f>
        <v>0.1760535</v>
      </c>
      <c r="W833" s="16" t="n">
        <f aca="false">T833*L833</f>
        <v>-0.00194277759564913</v>
      </c>
      <c r="X833" s="16" t="n">
        <f aca="false">U833*L833</f>
        <v>4.5022301327058E-005</v>
      </c>
      <c r="Y833" s="16" t="n">
        <f aca="false">V833*L833</f>
        <v>0.00785991742444663</v>
      </c>
      <c r="Z833" s="16" t="n">
        <f aca="false">Q833*L833</f>
        <v>0.00671357742530693</v>
      </c>
      <c r="AA833" s="16" t="n">
        <f aca="false">R833*L833</f>
        <v>0.00823615359414169</v>
      </c>
      <c r="AB833" s="16" t="n">
        <f aca="false">S833*L833</f>
        <v>0.00532512901797073</v>
      </c>
      <c r="AC833" s="16" t="n">
        <f aca="false">Z833-W833</f>
        <v>0.00865635502095606</v>
      </c>
      <c r="AD833" s="16" t="n">
        <f aca="false">AA833-W833</f>
        <v>0.0101789311897908</v>
      </c>
      <c r="AE833" s="16" t="n">
        <f aca="false">AB833-W833</f>
        <v>0.00726790661361986</v>
      </c>
      <c r="AF833" s="16" t="n">
        <f aca="false">AE833-X833</f>
        <v>0.0072228843122928</v>
      </c>
      <c r="AG833" s="16" t="n">
        <f aca="false">AF833-p_spc_lo*Y833/1000</f>
        <v>0.00682988844107047</v>
      </c>
      <c r="AH833" s="16" t="n">
        <f aca="false">AF833-p_spc_hi*Y833/1000</f>
        <v>0.00643689256984814</v>
      </c>
      <c r="AI833" s="16" t="n">
        <f aca="false">Q833*J833</f>
        <v>0.0279732392721122</v>
      </c>
      <c r="AJ833" s="16" t="n">
        <f aca="false">S833*J833</f>
        <v>0.0221880375748781</v>
      </c>
      <c r="AK833" s="16" t="n">
        <f aca="false">T833*J833</f>
        <v>-0.00809490664853803</v>
      </c>
      <c r="AL833" s="16" t="n">
        <f aca="false">U833*J833</f>
        <v>0.000187592922196075</v>
      </c>
      <c r="AM833" s="16" t="n">
        <f aca="false">AI833-AJ833</f>
        <v>0.00578520169723417</v>
      </c>
      <c r="AN833" s="16" t="n">
        <f aca="false">J833*Country_Data!$EB$123</f>
        <v>0.213541966004129</v>
      </c>
      <c r="AO833" s="16" t="n">
        <f aca="false">L833*Country_Data!$EB$123</f>
        <v>0.051250071840991</v>
      </c>
    </row>
    <row r="834" customFormat="false" ht="15" hidden="false" customHeight="false" outlineLevel="0" collapsed="false">
      <c r="A834" s="14" t="str">
        <f aca="false">Country_Data!$A$123</f>
        <v>HTI</v>
      </c>
      <c r="B834" s="14" t="str">
        <f aca="false">Country_Data!$E$123</f>
        <v>EMDC</v>
      </c>
      <c r="C834" s="35" t="s">
        <v>477</v>
      </c>
      <c r="D834" s="37" t="n">
        <f aca="false">IF(Country_Data!$CB$123="","",Country_Data!$CB$123)</f>
        <v>0.00585561454965668</v>
      </c>
      <c r="E834" s="40" t="n">
        <f aca="false">Country_Data!$BW$123</f>
        <v>37.646</v>
      </c>
      <c r="F834" s="41" t="n">
        <f aca="false">Country_Data!$BX$123</f>
        <v>0.671651702704139</v>
      </c>
      <c r="G834" s="42" t="n">
        <f aca="false">IF(D834="","",D834/SUMIFS($D$5:$D$1369,$B$5:$B$1369,B834,$C$5:$C$1369,C834))</f>
        <v>0.000184645357098832</v>
      </c>
      <c r="H834" s="42" t="n">
        <f aca="false">E834/SUMIFS($E$5:$E$1369,$B$5:$B$1369,B834,$C$5:$C$1369,C834)</f>
        <v>0.000466308914606112</v>
      </c>
      <c r="I834" s="43" t="n">
        <f aca="false">IF(G834="",H834,p_beta_alloc*G834+(1-p_beta_alloc)*H834)*F834^p_phi</f>
        <v>0.000266742701728562</v>
      </c>
      <c r="J834" s="16" t="n">
        <f aca="false">INDEX(Sector_Params!$C$19:$E$19,MATCH(B834,Sector_Params!$C$15:$E$15,0))*I834/SUMIFS($I$5:$I$1369,$B$5:$B$1369,B834,$C$5:$C$1369,C834)</f>
        <v>0.0858544985825781</v>
      </c>
      <c r="K834" s="28" t="n">
        <f aca="false">INDEX(Sector_Params!$F$8:$H$8,MATCH(B834,Sector_Params!$C$15:$E$15,0))</f>
        <v>0.24</v>
      </c>
      <c r="L834" s="16" t="n">
        <f aca="false">J834*K834</f>
        <v>0.0206050796598187</v>
      </c>
      <c r="M834" s="44" t="n">
        <f aca="false">Country_Data!$DW$123+Sector_Params!$E$8</f>
        <v>0.105</v>
      </c>
      <c r="N834" s="44" t="n">
        <f aca="false">Country_Data!$DX$123+Sector_Params!$E$8</f>
        <v>0.15</v>
      </c>
      <c r="O834" s="11" t="n">
        <f aca="false">IF(p_use_ibrd=1,p_r_ibrd,p_r_wb)</f>
        <v>0.06</v>
      </c>
      <c r="P834" s="45" t="n">
        <f aca="false">Sector_Params!$D$8</f>
        <v>25</v>
      </c>
      <c r="Q834" s="46" t="n">
        <f aca="false">M834/(1-(1+M834)^-P834)</f>
        <v>0.114429319813103</v>
      </c>
      <c r="R834" s="46" t="n">
        <f aca="false">N834/(1-(1+N834)^-P834)</f>
        <v>0.154699402320206</v>
      </c>
      <c r="S834" s="46" t="n">
        <f aca="false">O834/(1-(1+O834)^-P834)</f>
        <v>0.078226718212274</v>
      </c>
      <c r="T834" s="37" t="n">
        <f aca="false">Country_Data!$CM$123*Sector_Params!$I$8</f>
        <v>0.184103653843367</v>
      </c>
      <c r="U834" s="37" t="n">
        <f aca="false">Country_Data!$CN$123*Sector_Params!$J$8</f>
        <v>0.03225</v>
      </c>
      <c r="V834" s="37" t="n">
        <f aca="false">p_a</f>
        <v>0.35</v>
      </c>
      <c r="W834" s="16" t="n">
        <f aca="false">T834*L834</f>
        <v>0.00379347045310628</v>
      </c>
      <c r="X834" s="16" t="n">
        <f aca="false">U834*L834</f>
        <v>0.000664513819029154</v>
      </c>
      <c r="Y834" s="16" t="n">
        <f aca="false">V834*L834</f>
        <v>0.00721177788093656</v>
      </c>
      <c r="Z834" s="16" t="n">
        <f aca="false">Q834*L834</f>
        <v>0.00235782525016787</v>
      </c>
      <c r="AA834" s="16" t="n">
        <f aca="false">R834*L834</f>
        <v>0.0031875935081342</v>
      </c>
      <c r="AB834" s="16" t="n">
        <f aca="false">S834*L834</f>
        <v>0.0016118677602901</v>
      </c>
      <c r="AC834" s="16" t="n">
        <f aca="false">Z834-W834</f>
        <v>-0.00143564520293841</v>
      </c>
      <c r="AD834" s="16" t="n">
        <f aca="false">AA834-W834</f>
        <v>-0.000605876944972074</v>
      </c>
      <c r="AE834" s="16" t="n">
        <f aca="false">AB834-W834</f>
        <v>-0.00218160269281618</v>
      </c>
      <c r="AF834" s="16" t="n">
        <f aca="false">AE834-X834</f>
        <v>-0.00284611651184533</v>
      </c>
      <c r="AG834" s="16" t="n">
        <f aca="false">AF834-p_spc_lo*Y834/1000</f>
        <v>-0.00320670540589216</v>
      </c>
      <c r="AH834" s="16" t="n">
        <f aca="false">AF834-p_spc_hi*Y834/1000</f>
        <v>-0.00356729429993899</v>
      </c>
      <c r="AI834" s="16" t="n">
        <f aca="false">Q834*J834</f>
        <v>0.00982427187569945</v>
      </c>
      <c r="AJ834" s="16" t="n">
        <f aca="false">S834*J834</f>
        <v>0.00671611566787541</v>
      </c>
      <c r="AK834" s="16" t="n">
        <f aca="false">T834*J834</f>
        <v>0.0158061268879428</v>
      </c>
      <c r="AL834" s="16" t="n">
        <f aca="false">U834*J834</f>
        <v>0.00276880757928814</v>
      </c>
      <c r="AM834" s="16" t="n">
        <f aca="false">AI834-AJ834</f>
        <v>0.00310815620782404</v>
      </c>
      <c r="AN834" s="16" t="n">
        <f aca="false">J834*Country_Data!$EB$123</f>
        <v>0.0985562600167129</v>
      </c>
      <c r="AO834" s="16" t="n">
        <f aca="false">L834*Country_Data!$EB$123</f>
        <v>0.0236535024040111</v>
      </c>
    </row>
    <row r="835" customFormat="false" ht="15" hidden="false" customHeight="false" outlineLevel="0" collapsed="false">
      <c r="A835" s="14" t="str">
        <f aca="false">Country_Data!$A$123</f>
        <v>HTI</v>
      </c>
      <c r="B835" s="14" t="str">
        <f aca="false">Country_Data!$E$123</f>
        <v>EMDC</v>
      </c>
      <c r="C835" s="35" t="s">
        <v>481</v>
      </c>
      <c r="D835" s="37" t="n">
        <f aca="false">IF(Country_Data!$CC$123="","",Country_Data!$CC$123)</f>
        <v>0.00794555450868371</v>
      </c>
      <c r="E835" s="40" t="n">
        <f aca="false">Country_Data!$BW$123</f>
        <v>37.646</v>
      </c>
      <c r="F835" s="41" t="n">
        <f aca="false">Country_Data!$BX$123</f>
        <v>0.671651702704139</v>
      </c>
      <c r="G835" s="42" t="n">
        <f aca="false">IF(D835="","",D835/SUMIFS($D$5:$D$1369,$B$5:$B$1369,B835,$C$5:$C$1369,C835))</f>
        <v>0.000113496154390112</v>
      </c>
      <c r="H835" s="42" t="n">
        <f aca="false">E835/SUMIFS($E$5:$E$1369,$B$5:$B$1369,B835,$C$5:$C$1369,C835)</f>
        <v>0.000466308914606112</v>
      </c>
      <c r="I835" s="43" t="n">
        <f aca="false">IF(G835="",H835,p_beta_alloc*G835+(1-p_beta_alloc)*H835)*F835^p_phi</f>
        <v>0.000237587765074333</v>
      </c>
      <c r="J835" s="16" t="n">
        <f aca="false">INDEX(Sector_Params!$C$20:$E$20,MATCH(B835,Sector_Params!$C$15:$E$15,0))*I835/SUMIFS($I$5:$I$1369,$B$5:$B$1369,B835,$C$5:$C$1369,C835)</f>
        <v>0.0433645515941139</v>
      </c>
      <c r="K835" s="28" t="n">
        <f aca="false">INDEX(Sector_Params!$F$9:$H$9,MATCH(B835,Sector_Params!$C$15:$E$15,0))</f>
        <v>0.24</v>
      </c>
      <c r="L835" s="16" t="n">
        <f aca="false">J835*K835</f>
        <v>0.0104074923825873</v>
      </c>
      <c r="M835" s="44" t="n">
        <f aca="false">Country_Data!$DW$123+Sector_Params!$E$9</f>
        <v>0.105</v>
      </c>
      <c r="N835" s="44" t="n">
        <f aca="false">Country_Data!$DX$123+Sector_Params!$E$9</f>
        <v>0.15</v>
      </c>
      <c r="O835" s="11" t="n">
        <f aca="false">IF(p_use_ibrd=1,p_r_ibrd,p_r_wb)</f>
        <v>0.06</v>
      </c>
      <c r="P835" s="45" t="n">
        <f aca="false">Sector_Params!$D$9</f>
        <v>25</v>
      </c>
      <c r="Q835" s="46" t="n">
        <f aca="false">M835/(1-(1+M835)^-P835)</f>
        <v>0.114429319813103</v>
      </c>
      <c r="R835" s="46" t="n">
        <f aca="false">N835/(1-(1+N835)^-P835)</f>
        <v>0.154699402320206</v>
      </c>
      <c r="S835" s="46" t="n">
        <f aca="false">O835/(1-(1+O835)^-P835)</f>
        <v>0.078226718212274</v>
      </c>
      <c r="T835" s="37" t="n">
        <f aca="false">Country_Data!$CM$123*Sector_Params!$I$9</f>
        <v>0.184103653843367</v>
      </c>
      <c r="U835" s="37" t="n">
        <f aca="false">Country_Data!$CN$123*Sector_Params!$J$9</f>
        <v>0.03225</v>
      </c>
      <c r="V835" s="37" t="n">
        <f aca="false">p_a</f>
        <v>0.35</v>
      </c>
      <c r="W835" s="16" t="n">
        <f aca="false">T835*L835</f>
        <v>0.00191605737498134</v>
      </c>
      <c r="X835" s="16" t="n">
        <f aca="false">U835*L835</f>
        <v>0.000335641629338442</v>
      </c>
      <c r="Y835" s="16" t="n">
        <f aca="false">V835*L835</f>
        <v>0.00364262233390557</v>
      </c>
      <c r="Z835" s="16" t="n">
        <f aca="false">Q835*L835</f>
        <v>0.00119092227429952</v>
      </c>
      <c r="AA835" s="16" t="n">
        <f aca="false">R835*L835</f>
        <v>0.00161003285123836</v>
      </c>
      <c r="AB835" s="16" t="n">
        <f aca="false">S835*L835</f>
        <v>0.000814143973909047</v>
      </c>
      <c r="AC835" s="16" t="n">
        <f aca="false">Z835-W835</f>
        <v>-0.000725135100681817</v>
      </c>
      <c r="AD835" s="16" t="n">
        <f aca="false">AA835-W835</f>
        <v>-0.000306024523742978</v>
      </c>
      <c r="AE835" s="16" t="n">
        <f aca="false">AB835-W835</f>
        <v>-0.00110191340107229</v>
      </c>
      <c r="AF835" s="16" t="n">
        <f aca="false">AE835-X835</f>
        <v>-0.00143755503041073</v>
      </c>
      <c r="AG835" s="16" t="n">
        <f aca="false">AF835-p_spc_lo*Y835/1000</f>
        <v>-0.00161968614710601</v>
      </c>
      <c r="AH835" s="16" t="n">
        <f aca="false">AF835-p_spc_hi*Y835/1000</f>
        <v>-0.00180181726380129</v>
      </c>
      <c r="AI835" s="16" t="n">
        <f aca="false">Q835*J835</f>
        <v>0.00496217614291468</v>
      </c>
      <c r="AJ835" s="16" t="n">
        <f aca="false">S835*J835</f>
        <v>0.00339226655795436</v>
      </c>
      <c r="AK835" s="16" t="n">
        <f aca="false">T835*J835</f>
        <v>0.00798357239575558</v>
      </c>
      <c r="AL835" s="16" t="n">
        <f aca="false">U835*J835</f>
        <v>0.00139850678891017</v>
      </c>
      <c r="AM835" s="16" t="n">
        <f aca="false">AI835-AJ835</f>
        <v>0.00156990958496032</v>
      </c>
      <c r="AN835" s="16" t="n">
        <f aca="false">J835*Country_Data!$EB$123</f>
        <v>0.0497801290902294</v>
      </c>
      <c r="AO835" s="16" t="n">
        <f aca="false">L835*Country_Data!$EB$123</f>
        <v>0.0119472309816551</v>
      </c>
    </row>
    <row r="836" customFormat="false" ht="15" hidden="false" customHeight="false" outlineLevel="0" collapsed="false">
      <c r="A836" s="14" t="str">
        <f aca="false">Country_Data!$A$123</f>
        <v>HTI</v>
      </c>
      <c r="B836" s="14" t="str">
        <f aca="false">Country_Data!$E$123</f>
        <v>EMDC</v>
      </c>
      <c r="C836" s="35" t="s">
        <v>484</v>
      </c>
      <c r="D836" s="37" t="n">
        <f aca="false">IF(Country_Data!$CD$123="","",Country_Data!$CD$123)</f>
        <v>0.0388877987361589</v>
      </c>
      <c r="E836" s="40" t="n">
        <f aca="false">Country_Data!$BW$123</f>
        <v>37.646</v>
      </c>
      <c r="F836" s="41" t="n">
        <f aca="false">Country_Data!$BX$123</f>
        <v>0.671651702704139</v>
      </c>
      <c r="G836" s="42" t="n">
        <f aca="false">IF(D836="","",D836/SUMIFS($D$5:$D$1369,$B$5:$B$1369,B836,$C$5:$C$1369,C836))</f>
        <v>0.000217163674607248</v>
      </c>
      <c r="H836" s="42" t="n">
        <f aca="false">E836/SUMIFS($E$5:$E$1369,$B$5:$B$1369,B836,$C$5:$C$1369,C836)</f>
        <v>0.000466308914606112</v>
      </c>
      <c r="I836" s="43" t="n">
        <f aca="false">IF(G836="",H836,p_beta_alloc*G836+(1-p_beta_alloc)*H836)*F836^p_phi</f>
        <v>0.00028006779113176</v>
      </c>
      <c r="J836" s="16" t="n">
        <f aca="false">INDEX(Sector_Params!$C$21:$E$21,MATCH(B836,Sector_Params!$C$15:$E$15,0))*I836/SUMIFS($I$5:$I$1369,$B$5:$B$1369,B836,$C$5:$C$1369,C836)</f>
        <v>0.0621161867354193</v>
      </c>
      <c r="K836" s="28" t="n">
        <f aca="false">INDEX(Sector_Params!$F$10:$H$10,MATCH(B836,Sector_Params!$C$15:$E$15,0))</f>
        <v>0.24</v>
      </c>
      <c r="L836" s="16" t="n">
        <f aca="false">J836*K836</f>
        <v>0.0149078848165006</v>
      </c>
      <c r="M836" s="44" t="n">
        <f aca="false">Country_Data!$DW$123+Sector_Params!$E$10</f>
        <v>0.105</v>
      </c>
      <c r="N836" s="44" t="n">
        <f aca="false">Country_Data!$DX$123+Sector_Params!$E$10</f>
        <v>0.15</v>
      </c>
      <c r="O836" s="11" t="n">
        <f aca="false">IF(p_use_ibrd=1,p_r_ibrd,p_r_wb)</f>
        <v>0.06</v>
      </c>
      <c r="P836" s="45" t="n">
        <f aca="false">Sector_Params!$D$10</f>
        <v>20</v>
      </c>
      <c r="Q836" s="46" t="n">
        <f aca="false">M836/(1-(1+M836)^-P836)</f>
        <v>0.121493265267016</v>
      </c>
      <c r="R836" s="46" t="n">
        <f aca="false">N836/(1-(1+N836)^-P836)</f>
        <v>0.159761470405744</v>
      </c>
      <c r="S836" s="46" t="n">
        <f aca="false">O836/(1-(1+O836)^-P836)</f>
        <v>0.0871845569768514</v>
      </c>
      <c r="T836" s="37" t="n">
        <f aca="false">0*Sector_Params!$I$10</f>
        <v>0</v>
      </c>
      <c r="U836" s="37" t="n">
        <f aca="false">0*Sector_Params!$J$10</f>
        <v>0</v>
      </c>
      <c r="V836" s="37" t="n">
        <f aca="false">1000*p_r_wb/(1-(1+p_r_wb)^-Sector_Params!$D$10)/p_cpt_fuel</f>
        <v>0.871845569768514</v>
      </c>
      <c r="W836" s="16" t="n">
        <f aca="false">T836*L836</f>
        <v>0</v>
      </c>
      <c r="X836" s="16" t="n">
        <f aca="false">U836*L836</f>
        <v>0</v>
      </c>
      <c r="Y836" s="16" t="n">
        <f aca="false">V836*L836</f>
        <v>0.0129973733318854</v>
      </c>
      <c r="Z836" s="16" t="n">
        <f aca="false">Q836*L836</f>
        <v>0.00181120760458123</v>
      </c>
      <c r="AA836" s="16" t="n">
        <f aca="false">R836*L836</f>
        <v>0.0023817055989236</v>
      </c>
      <c r="AB836" s="16" t="n">
        <f aca="false">S836*L836</f>
        <v>0.00129973733318854</v>
      </c>
      <c r="AC836" s="16" t="n">
        <f aca="false">Z836-W836</f>
        <v>0.00181120760458123</v>
      </c>
      <c r="AD836" s="16" t="n">
        <f aca="false">AA836-W836</f>
        <v>0.0023817055989236</v>
      </c>
      <c r="AE836" s="16" t="n">
        <f aca="false">AB836-W836</f>
        <v>0.00129973733318854</v>
      </c>
      <c r="AF836" s="16" t="n">
        <f aca="false">AE836-X836</f>
        <v>0.00129973733318854</v>
      </c>
      <c r="AG836" s="16" t="n">
        <f aca="false">AF836-p_spc_lo*Y836/1000</f>
        <v>0.000649868666594268</v>
      </c>
      <c r="AH836" s="16" t="n">
        <f aca="false">AF836-p_spc_hi*Y836/1000</f>
        <v>0</v>
      </c>
      <c r="AI836" s="16" t="n">
        <f aca="false">Q836*J836</f>
        <v>0.00754669835242181</v>
      </c>
      <c r="AJ836" s="16" t="n">
        <f aca="false">S836*J836</f>
        <v>0.0054155722216189</v>
      </c>
      <c r="AK836" s="16" t="n">
        <f aca="false">T836*J836</f>
        <v>0</v>
      </c>
      <c r="AL836" s="16" t="n">
        <f aca="false">U836*J836</f>
        <v>0</v>
      </c>
      <c r="AM836" s="16" t="n">
        <f aca="false">AI836-AJ836</f>
        <v>0.0021311261308029</v>
      </c>
      <c r="AN836" s="16" t="n">
        <f aca="false">J836*Country_Data!$EB$123</f>
        <v>0.0713059787455909</v>
      </c>
      <c r="AO836" s="16" t="n">
        <f aca="false">L836*Country_Data!$EB$123</f>
        <v>0.0171134348989418</v>
      </c>
    </row>
    <row r="837" customFormat="false" ht="15" hidden="false" customHeight="false" outlineLevel="0" collapsed="false">
      <c r="A837" s="14" t="str">
        <f aca="false">Country_Data!$A$123</f>
        <v>HTI</v>
      </c>
      <c r="B837" s="14" t="str">
        <f aca="false">Country_Data!$E$123</f>
        <v>EMDC</v>
      </c>
      <c r="C837" s="35" t="s">
        <v>488</v>
      </c>
      <c r="D837" s="37" t="n">
        <f aca="false">IF(Country_Data!$CE$123="","",Country_Data!$CE$123)</f>
        <v>11.888</v>
      </c>
      <c r="E837" s="40" t="n">
        <f aca="false">Country_Data!$BW$123</f>
        <v>37.646</v>
      </c>
      <c r="F837" s="41" t="n">
        <f aca="false">Country_Data!$BX$123</f>
        <v>0.671651702704139</v>
      </c>
      <c r="G837" s="42" t="n">
        <f aca="false">IF(D837="","",D837/SUMIFS($D$5:$D$1369,$B$5:$B$1369,B837,$C$5:$C$1369,C837))</f>
        <v>0.000974098070240272</v>
      </c>
      <c r="H837" s="42" t="n">
        <f aca="false">E837/SUMIFS($E$5:$E$1369,$B$5:$B$1369,B837,$C$5:$C$1369,C837)</f>
        <v>0.000466308914606112</v>
      </c>
      <c r="I837" s="43" t="n">
        <f aca="false">IF(G837="",H837,p_beta_alloc*G837+(1-p_beta_alloc)*H837)*F837^p_phi</f>
        <v>0.000590238158696299</v>
      </c>
      <c r="J837" s="16" t="n">
        <f aca="false">INDEX(Sector_Params!$C$22:$E$22,MATCH(B837,Sector_Params!$C$15:$E$15,0))*I837/SUMIFS($I$5:$I$1369,$B$5:$B$1369,B837,$C$5:$C$1369,C837)</f>
        <v>0.355800513109006</v>
      </c>
      <c r="K837" s="28" t="n">
        <f aca="false">INDEX(Sector_Params!$F$11:$H$11,MATCH(B837,Sector_Params!$C$15:$E$15,0))</f>
        <v>0.24</v>
      </c>
      <c r="L837" s="16" t="n">
        <f aca="false">J837*K837</f>
        <v>0.0853921231461614</v>
      </c>
      <c r="M837" s="44" t="n">
        <f aca="false">Country_Data!$DW$123+Sector_Params!$E$11</f>
        <v>0.105</v>
      </c>
      <c r="N837" s="44" t="n">
        <f aca="false">Country_Data!$DX$123+Sector_Params!$E$11</f>
        <v>0.15</v>
      </c>
      <c r="O837" s="11" t="n">
        <f aca="false">IF(p_use_ibrd=1,p_r_ibrd,p_r_wb)</f>
        <v>0.06</v>
      </c>
      <c r="P837" s="45" t="n">
        <f aca="false">Sector_Params!$D$11</f>
        <v>30</v>
      </c>
      <c r="Q837" s="46" t="n">
        <f aca="false">M837/(1-(1+M837)^-P837)</f>
        <v>0.110528481529605</v>
      </c>
      <c r="R837" s="46" t="n">
        <f aca="false">N837/(1-(1+N837)^-P837)</f>
        <v>0.152300198192734</v>
      </c>
      <c r="S837" s="46" t="n">
        <f aca="false">O837/(1-(1+O837)^-P837)</f>
        <v>0.0726489114900472</v>
      </c>
      <c r="T837" s="37" t="n">
        <f aca="false">0*Sector_Params!$I$11</f>
        <v>0</v>
      </c>
      <c r="U837" s="37" t="n">
        <f aca="false">p_c*Sector_Params!$J$11</f>
        <v>0.129</v>
      </c>
      <c r="V837" s="37" t="n">
        <f aca="false">1000*p_r_wb/(1-(1+p_r_wb)^-Sector_Params!$D$11)/p_cpt_afolu</f>
        <v>1.45297822980094</v>
      </c>
      <c r="W837" s="16" t="n">
        <f aca="false">T837*L837</f>
        <v>0</v>
      </c>
      <c r="X837" s="16" t="n">
        <f aca="false">U837*L837</f>
        <v>0.0110155838858548</v>
      </c>
      <c r="Y837" s="16" t="n">
        <f aca="false">V837*L837</f>
        <v>0.124072895927854</v>
      </c>
      <c r="Z837" s="16" t="n">
        <f aca="false">Q837*L837</f>
        <v>0.00943826170593427</v>
      </c>
      <c r="AA837" s="16" t="n">
        <f aca="false">R837*L837</f>
        <v>0.0130052372792588</v>
      </c>
      <c r="AB837" s="16" t="n">
        <f aca="false">S837*L837</f>
        <v>0.00620364479639269</v>
      </c>
      <c r="AC837" s="16" t="n">
        <f aca="false">Z837-W837</f>
        <v>0.00943826170593427</v>
      </c>
      <c r="AD837" s="16" t="n">
        <f aca="false">AA837-W837</f>
        <v>0.0130052372792588</v>
      </c>
      <c r="AE837" s="16" t="n">
        <f aca="false">AB837-W837</f>
        <v>0.00620364479639269</v>
      </c>
      <c r="AF837" s="16" t="n">
        <f aca="false">AE837-X837</f>
        <v>-0.00481193908946213</v>
      </c>
      <c r="AG837" s="16" t="n">
        <f aca="false">AF837-p_spc_lo*Y837/1000</f>
        <v>-0.0110155838858548</v>
      </c>
      <c r="AH837" s="16" t="n">
        <f aca="false">AF837-p_spc_hi*Y837/1000</f>
        <v>-0.0172192286822475</v>
      </c>
      <c r="AI837" s="16" t="n">
        <f aca="false">Q837*J837</f>
        <v>0.0393260904413928</v>
      </c>
      <c r="AJ837" s="16" t="n">
        <f aca="false">S837*J837</f>
        <v>0.0258485199849695</v>
      </c>
      <c r="AK837" s="16" t="n">
        <f aca="false">T837*J837</f>
        <v>0</v>
      </c>
      <c r="AL837" s="16" t="n">
        <f aca="false">U837*J837</f>
        <v>0.0458982661910618</v>
      </c>
      <c r="AM837" s="16" t="n">
        <f aca="false">AI837-AJ837</f>
        <v>0.0134775704564232</v>
      </c>
      <c r="AN837" s="16" t="n">
        <f aca="false">J837*Country_Data!$EB$123</f>
        <v>0.408439493130612</v>
      </c>
      <c r="AO837" s="16" t="n">
        <f aca="false">L837*Country_Data!$EB$123</f>
        <v>0.0980254783513469</v>
      </c>
    </row>
    <row r="838" customFormat="false" ht="15" hidden="false" customHeight="false" outlineLevel="0" collapsed="false">
      <c r="A838" s="14" t="str">
        <f aca="false">Country_Data!$A$124</f>
        <v>MLT</v>
      </c>
      <c r="B838" s="14" t="str">
        <f aca="false">Country_Data!$E$124</f>
        <v>AE</v>
      </c>
      <c r="C838" s="35" t="s">
        <v>466</v>
      </c>
      <c r="D838" s="37" t="n">
        <f aca="false">IF(Country_Data!$BZ$124="","",Country_Data!$BZ$124)</f>
        <v>3.30176759482469</v>
      </c>
      <c r="E838" s="40" t="n">
        <f aca="false">Country_Data!$BW$124</f>
        <v>41.441</v>
      </c>
      <c r="F838" s="41" t="n">
        <f aca="false">Country_Data!$BX$124</f>
        <v>0.60411186988731</v>
      </c>
      <c r="G838" s="42" t="n">
        <f aca="false">IF(D838="","",D838/SUMIFS($D$5:$D$1369,$B$5:$B$1369,B838,$C$5:$C$1369,C838))</f>
        <v>0.000337417692648897</v>
      </c>
      <c r="H838" s="42" t="n">
        <f aca="false">E838/SUMIFS($E$5:$E$1369,$B$5:$B$1369,B838,$C$5:$C$1369,C838)</f>
        <v>0.000525335339734622</v>
      </c>
      <c r="I838" s="43" t="n">
        <f aca="false">IF(G838="",H838,p_beta_alloc*G838+(1-p_beta_alloc)*H838)*F838^p_phi</f>
        <v>0.000335285817496172</v>
      </c>
      <c r="J838" s="16" t="n">
        <f aca="false">INDEX(Sector_Params!$C$16:$E$16,MATCH(B838,Sector_Params!$C$15:$E$15,0))*I838/SUMIFS($I$5:$I$1369,$B$5:$B$1369,B838,$C$5:$C$1369,C838)</f>
        <v>0.300736397939075</v>
      </c>
      <c r="K838" s="28" t="n">
        <f aca="false">INDEX(Sector_Params!$F$5:$H$5,MATCH(B838,Sector_Params!$C$15:$E$15,0))</f>
        <v>0.38</v>
      </c>
      <c r="L838" s="16" t="n">
        <f aca="false">J838*K838</f>
        <v>0.114279831216848</v>
      </c>
      <c r="M838" s="44" t="n">
        <f aca="false">Country_Data!$DW$124+Sector_Params!$E$5</f>
        <v>0.055</v>
      </c>
      <c r="N838" s="44" t="n">
        <f aca="false">Country_Data!$DX$124+Sector_Params!$E$5</f>
        <v>0.07</v>
      </c>
      <c r="O838" s="11" t="n">
        <f aca="false">IF(p_use_ibrd=1,p_r_ibrd,p_r_wb)</f>
        <v>0.06</v>
      </c>
      <c r="P838" s="45" t="n">
        <f aca="false">Sector_Params!$D$5</f>
        <v>25</v>
      </c>
      <c r="Q838" s="46" t="n">
        <f aca="false">M838/(1-(1+M838)^-P838)</f>
        <v>0.0745493529464385</v>
      </c>
      <c r="R838" s="46" t="n">
        <f aca="false">N838/(1-(1+N838)^-P838)</f>
        <v>0.0858105172206656</v>
      </c>
      <c r="S838" s="46" t="n">
        <f aca="false">O838/(1-(1+O838)^-P838)</f>
        <v>0.078226718212274</v>
      </c>
      <c r="T838" s="37" t="n">
        <f aca="false">IF(AND(p_eng=1,ISNUMBER(Country_Data!$CZ$124)),Country_Data!$CZ$124,Country_Data!$CM$124)*Sector_Params!$I$5</f>
        <v>0.138599792932345</v>
      </c>
      <c r="U838" s="37" t="n">
        <f aca="false">IF(AND(p_eng=1,ISNUMBER(Country_Data!$DA$124)),Country_Data!$DA$124,Country_Data!$CN$124)*Sector_Params!$J$5</f>
        <v>0.000565656544971359</v>
      </c>
      <c r="V838" s="37" t="n">
        <f aca="false">IF(AND(p_eng=1,ISNUMBER(Country_Data!$DB$124)),Country_Data!$DB$124,p_a)</f>
        <v>0.821758622504537</v>
      </c>
      <c r="W838" s="16" t="n">
        <f aca="false">T838*L838</f>
        <v>0.0158391609429985</v>
      </c>
      <c r="X838" s="16" t="n">
        <f aca="false">U838*L838</f>
        <v>6.46431344860325E-005</v>
      </c>
      <c r="Y838" s="16" t="n">
        <f aca="false">V838*L838</f>
        <v>0.0939104366808082</v>
      </c>
      <c r="Z838" s="16" t="n">
        <f aca="false">Q838*L838</f>
        <v>0.00851948747204425</v>
      </c>
      <c r="AA838" s="16" t="n">
        <f aca="false">R838*L838</f>
        <v>0.00980641142460812</v>
      </c>
      <c r="AB838" s="16" t="n">
        <f aca="false">S838*L838</f>
        <v>0.00893973615394662</v>
      </c>
      <c r="AC838" s="16" t="n">
        <f aca="false">Z838-W838</f>
        <v>-0.00731967347095422</v>
      </c>
      <c r="AD838" s="16" t="n">
        <f aca="false">AA838-W838</f>
        <v>-0.00603274951839035</v>
      </c>
      <c r="AE838" s="16" t="n">
        <f aca="false">AB838-W838</f>
        <v>-0.00689942478905184</v>
      </c>
      <c r="AF838" s="16" t="n">
        <f aca="false">AE838-X838</f>
        <v>-0.00696406792353788</v>
      </c>
      <c r="AG838" s="16" t="n">
        <f aca="false">AF838-p_spc_lo*Y838/1000</f>
        <v>-0.0116595897575783</v>
      </c>
      <c r="AH838" s="16" t="n">
        <f aca="false">AF838-p_spc_hi*Y838/1000</f>
        <v>-0.0163551115916187</v>
      </c>
      <c r="AI838" s="16" t="n">
        <f aca="false">Q838*J838</f>
        <v>0.0224197038738007</v>
      </c>
      <c r="AJ838" s="16" t="n">
        <f aca="false">S838*J838</f>
        <v>0.0235256214577543</v>
      </c>
      <c r="AK838" s="16" t="n">
        <f aca="false">T838*J838</f>
        <v>0.0416820024815749</v>
      </c>
      <c r="AL838" s="16" t="n">
        <f aca="false">U838*J838</f>
        <v>0.000170113511805349</v>
      </c>
      <c r="AM838" s="16" t="n">
        <f aca="false">AI838-AJ838</f>
        <v>-0.00110591758395362</v>
      </c>
      <c r="AN838" s="16" t="n">
        <f aca="false">J838*Country_Data!$EB$124</f>
        <v>0.31421768474324</v>
      </c>
      <c r="AO838" s="16" t="n">
        <f aca="false">L838*Country_Data!$EB$124</f>
        <v>0.119402720202431</v>
      </c>
    </row>
    <row r="839" customFormat="false" ht="15" hidden="false" customHeight="false" outlineLevel="0" collapsed="false">
      <c r="A839" s="14" t="str">
        <f aca="false">Country_Data!$A$124</f>
        <v>MLT</v>
      </c>
      <c r="B839" s="14" t="str">
        <f aca="false">Country_Data!$E$124</f>
        <v>AE</v>
      </c>
      <c r="C839" s="35" t="s">
        <v>470</v>
      </c>
      <c r="D839" s="37" t="n">
        <f aca="false">IF(Country_Data!$BZ$124="","",Country_Data!$BZ$124)</f>
        <v>3.30176759482469</v>
      </c>
      <c r="E839" s="40" t="n">
        <f aca="false">Country_Data!$BW$124</f>
        <v>41.441</v>
      </c>
      <c r="F839" s="41" t="n">
        <f aca="false">Country_Data!$BX$124</f>
        <v>0.60411186988731</v>
      </c>
      <c r="G839" s="42" t="n">
        <f aca="false">IF(D839="","",D839/SUMIFS($D$5:$D$1369,$B$5:$B$1369,B839,$C$5:$C$1369,C839))</f>
        <v>0.000337417692648897</v>
      </c>
      <c r="H839" s="42" t="n">
        <f aca="false">E839/SUMIFS($E$5:$E$1369,$B$5:$B$1369,B839,$C$5:$C$1369,C839)</f>
        <v>0.000525335339734622</v>
      </c>
      <c r="I839" s="43" t="n">
        <f aca="false">IF(G839="",H839,p_beta_alloc*G839+(1-p_beta_alloc)*H839)*F839^p_phi</f>
        <v>0.000335285817496172</v>
      </c>
      <c r="J839" s="16" t="n">
        <f aca="false">INDEX(Sector_Params!$C$17:$E$17,MATCH(B839,Sector_Params!$C$15:$E$15,0))*I839/SUMIFS($I$5:$I$1369,$B$5:$B$1369,B839,$C$5:$C$1369,C839)</f>
        <v>0.20621924430108</v>
      </c>
      <c r="K839" s="28" t="n">
        <f aca="false">INDEX(Sector_Params!$F$6:$H$6,MATCH(B839,Sector_Params!$C$15:$E$15,0))</f>
        <v>0.38</v>
      </c>
      <c r="L839" s="16" t="n">
        <f aca="false">J839*K839</f>
        <v>0.0783633128344103</v>
      </c>
      <c r="M839" s="44" t="n">
        <f aca="false">Country_Data!$DW$124+Sector_Params!$E$6</f>
        <v>0.055</v>
      </c>
      <c r="N839" s="44" t="n">
        <f aca="false">Country_Data!$DX$124+Sector_Params!$E$6</f>
        <v>0.07</v>
      </c>
      <c r="O839" s="11" t="n">
        <f aca="false">IF(p_use_ibrd=1,p_r_ibrd,p_r_wb)</f>
        <v>0.06</v>
      </c>
      <c r="P839" s="45" t="n">
        <f aca="false">Sector_Params!$D$6</f>
        <v>40</v>
      </c>
      <c r="Q839" s="46" t="n">
        <f aca="false">M839/(1-(1+M839)^-P839)</f>
        <v>0.062320343360638</v>
      </c>
      <c r="R839" s="46" t="n">
        <f aca="false">N839/(1-(1+N839)^-P839)</f>
        <v>0.0750091388736103</v>
      </c>
      <c r="S839" s="46" t="n">
        <f aca="false">O839/(1-(1+O839)^-P839)</f>
        <v>0.0664615359206755</v>
      </c>
      <c r="T839" s="37" t="n">
        <f aca="false">p_grid_credit*IF(AND(p_eng=1,ISNUMBER(Country_Data!$CZ$124)),Country_Data!$CZ$124,Country_Data!$CM$124)*Sector_Params!$I$6</f>
        <v>0</v>
      </c>
      <c r="U839" s="37" t="n">
        <f aca="false">p_grid_credit*IF(AND(p_eng=1,ISNUMBER(Country_Data!$DA$124)),Country_Data!$DA$124,Country_Data!$CN$124)*Sector_Params!$J$6</f>
        <v>0</v>
      </c>
      <c r="V839" s="37" t="n">
        <f aca="false">p_grid_credit*IF(AND(p_eng=1,ISNUMBER(Country_Data!$DB$124)),Country_Data!$DB$124,p_a)</f>
        <v>0</v>
      </c>
      <c r="W839" s="16" t="n">
        <f aca="false">T839*L839</f>
        <v>0</v>
      </c>
      <c r="X839" s="16" t="n">
        <f aca="false">U839*L839</f>
        <v>0</v>
      </c>
      <c r="Y839" s="16" t="n">
        <f aca="false">V839*L839</f>
        <v>0</v>
      </c>
      <c r="Z839" s="16" t="n">
        <f aca="false">Q839*L839</f>
        <v>0.00488362856271753</v>
      </c>
      <c r="AA839" s="16" t="n">
        <f aca="false">R839*L839</f>
        <v>0.00587796461499245</v>
      </c>
      <c r="AB839" s="16" t="n">
        <f aca="false">S839*L839</f>
        <v>0.00520814613080729</v>
      </c>
      <c r="AC839" s="16" t="n">
        <f aca="false">Z839-W839</f>
        <v>0.00488362856271753</v>
      </c>
      <c r="AD839" s="16" t="n">
        <f aca="false">AA839-W839</f>
        <v>0.00587796461499245</v>
      </c>
      <c r="AE839" s="16" t="n">
        <f aca="false">AB839-W839</f>
        <v>0.00520814613080729</v>
      </c>
      <c r="AF839" s="16" t="n">
        <f aca="false">AE839-X839</f>
        <v>0.00520814613080729</v>
      </c>
      <c r="AG839" s="16" t="n">
        <f aca="false">AF839-p_spc_lo*Y839/1000</f>
        <v>0.00520814613080729</v>
      </c>
      <c r="AH839" s="16" t="n">
        <f aca="false">AF839-p_spc_hi*Y839/1000</f>
        <v>0.00520814613080729</v>
      </c>
      <c r="AI839" s="16" t="n">
        <f aca="false">Q839*J839</f>
        <v>0.0128516541124146</v>
      </c>
      <c r="AJ839" s="16" t="n">
        <f aca="false">S839*J839</f>
        <v>0.0137056477126508</v>
      </c>
      <c r="AK839" s="16" t="n">
        <f aca="false">T839*J839</f>
        <v>0</v>
      </c>
      <c r="AL839" s="16" t="n">
        <f aca="false">U839*J839</f>
        <v>0</v>
      </c>
      <c r="AM839" s="16" t="n">
        <f aca="false">AI839-AJ839</f>
        <v>-0.000853993600236197</v>
      </c>
      <c r="AN839" s="16" t="n">
        <f aca="false">J839*Country_Data!$EB$124</f>
        <v>0.215463555252507</v>
      </c>
      <c r="AO839" s="16" t="n">
        <f aca="false">L839*Country_Data!$EB$124</f>
        <v>0.0818761509959528</v>
      </c>
    </row>
    <row r="840" customFormat="false" ht="15" hidden="false" customHeight="false" outlineLevel="0" collapsed="false">
      <c r="A840" s="14" t="str">
        <f aca="false">Country_Data!$A$124</f>
        <v>MLT</v>
      </c>
      <c r="B840" s="14" t="str">
        <f aca="false">Country_Data!$E$124</f>
        <v>AE</v>
      </c>
      <c r="C840" s="35" t="s">
        <v>473</v>
      </c>
      <c r="D840" s="37" t="n">
        <f aca="false">IF(Country_Data!$CA$124="","",Country_Data!$CA$124)</f>
        <v>0.0118704362949355</v>
      </c>
      <c r="E840" s="40" t="n">
        <f aca="false">Country_Data!$BW$124</f>
        <v>41.441</v>
      </c>
      <c r="F840" s="41" t="n">
        <f aca="false">Country_Data!$BX$124</f>
        <v>0.60411186988731</v>
      </c>
      <c r="G840" s="42" t="n">
        <f aca="false">IF(D840="","",D840/SUMIFS($D$5:$D$1369,$B$5:$B$1369,B840,$C$5:$C$1369,C840))</f>
        <v>0.000232375304177578</v>
      </c>
      <c r="H840" s="42" t="n">
        <f aca="false">E840/SUMIFS($E$5:$E$1369,$B$5:$B$1369,B840,$C$5:$C$1369,C840)</f>
        <v>0.000525335339734622</v>
      </c>
      <c r="I840" s="43" t="n">
        <f aca="false">IF(G840="",H840,p_beta_alloc*G840+(1-p_beta_alloc)*H840)*F840^p_phi</f>
        <v>0.00029446391161071</v>
      </c>
      <c r="J840" s="16" t="n">
        <f aca="false">INDEX(Sector_Params!$C$18:$E$18,MATCH(B840,Sector_Params!$C$15:$E$15,0))*I840/SUMIFS($I$5:$I$1369,$B$5:$B$1369,B840,$C$5:$C$1369,C840)</f>
        <v>0.110969655829001</v>
      </c>
      <c r="K840" s="28" t="n">
        <f aca="false">INDEX(Sector_Params!$F$7:$H$7,MATCH(B840,Sector_Params!$C$15:$E$15,0))</f>
        <v>0.38</v>
      </c>
      <c r="L840" s="16" t="n">
        <f aca="false">J840*K840</f>
        <v>0.0421684692150204</v>
      </c>
      <c r="M840" s="44" t="n">
        <f aca="false">Country_Data!$DW$124+Sector_Params!$E$7</f>
        <v>0.055</v>
      </c>
      <c r="N840" s="44" t="n">
        <f aca="false">Country_Data!$DX$124+Sector_Params!$E$7</f>
        <v>0.07</v>
      </c>
      <c r="O840" s="11" t="n">
        <f aca="false">IF(p_use_ibrd=1,p_r_ibrd,p_r_wb)</f>
        <v>0.06</v>
      </c>
      <c r="P840" s="45" t="n">
        <f aca="false">Sector_Params!$D$7</f>
        <v>12</v>
      </c>
      <c r="Q840" s="46" t="n">
        <f aca="false">M840/(1-(1+M840)^-P840)</f>
        <v>0.116029231191614</v>
      </c>
      <c r="R840" s="46" t="n">
        <f aca="false">N840/(1-(1+N840)^-P840)</f>
        <v>0.12590198865502</v>
      </c>
      <c r="S840" s="46" t="n">
        <f aca="false">O840/(1-(1+O840)^-P840)</f>
        <v>0.119277029380664</v>
      </c>
      <c r="T840" s="37" t="n">
        <f aca="false">IF(AND(p_eng=1,ISNUMBER(Country_Data!$DE$124)),Country_Data!$DE$124,Country_Data!$CM$124)*Sector_Params!$I$7</f>
        <v>0.15544161</v>
      </c>
      <c r="U840" s="37" t="n">
        <f aca="false">IF(AND(p_eng=1,ISNUMBER(Country_Data!$DF$124)),Country_Data!$DF$124,Country_Data!$CN$124)*Sector_Params!$J$7</f>
        <v>0.002777625</v>
      </c>
      <c r="V840" s="37" t="n">
        <f aca="false">IF(AND(p_eng=1,ISNUMBER(Country_Data!$DG$124)),Country_Data!$DG$124,p_a)</f>
        <v>0.340436897260274</v>
      </c>
      <c r="W840" s="16" t="n">
        <f aca="false">T840*L840</f>
        <v>0.0065547347460182</v>
      </c>
      <c r="X840" s="16" t="n">
        <f aca="false">U840*L840</f>
        <v>0.000117128194303371</v>
      </c>
      <c r="Y840" s="16" t="n">
        <f aca="false">V840*L840</f>
        <v>0.0143557028217769</v>
      </c>
      <c r="Z840" s="16" t="n">
        <f aca="false">Q840*L840</f>
        <v>0.00489277506354607</v>
      </c>
      <c r="AA840" s="16" t="n">
        <f aca="false">R840*L840</f>
        <v>0.00530909413270907</v>
      </c>
      <c r="AB840" s="16" t="n">
        <f aca="false">S840*L840</f>
        <v>0.00502972974149759</v>
      </c>
      <c r="AC840" s="16" t="n">
        <f aca="false">Z840-W840</f>
        <v>-0.00166195968247213</v>
      </c>
      <c r="AD840" s="16" t="n">
        <f aca="false">AA840-W840</f>
        <v>-0.00124564061330913</v>
      </c>
      <c r="AE840" s="16" t="n">
        <f aca="false">AB840-W840</f>
        <v>-0.00152500500452061</v>
      </c>
      <c r="AF840" s="16" t="n">
        <f aca="false">AE840-X840</f>
        <v>-0.00164213319882398</v>
      </c>
      <c r="AG840" s="16" t="n">
        <f aca="false">AF840-p_spc_lo*Y840/1000</f>
        <v>-0.00235991833991283</v>
      </c>
      <c r="AH840" s="16" t="n">
        <f aca="false">AF840-p_spc_hi*Y840/1000</f>
        <v>-0.00307770348100167</v>
      </c>
      <c r="AI840" s="16" t="n">
        <f aca="false">Q840*J840</f>
        <v>0.012875723851437</v>
      </c>
      <c r="AJ840" s="16" t="n">
        <f aca="false">S840*J840</f>
        <v>0.0132361308986779</v>
      </c>
      <c r="AK840" s="16" t="n">
        <f aca="false">T840*J840</f>
        <v>0.0172493019632058</v>
      </c>
      <c r="AL840" s="16" t="n">
        <f aca="false">U840*J840</f>
        <v>0.000308232090272029</v>
      </c>
      <c r="AM840" s="16" t="n">
        <f aca="false">AI840-AJ840</f>
        <v>-0.000360407047240833</v>
      </c>
      <c r="AN840" s="16" t="n">
        <f aca="false">J840*Country_Data!$EB$124</f>
        <v>0.115944157642025</v>
      </c>
      <c r="AO840" s="16" t="n">
        <f aca="false">L840*Country_Data!$EB$124</f>
        <v>0.0440587799039695</v>
      </c>
    </row>
    <row r="841" customFormat="false" ht="15" hidden="false" customHeight="false" outlineLevel="0" collapsed="false">
      <c r="A841" s="14" t="str">
        <f aca="false">Country_Data!$A$124</f>
        <v>MLT</v>
      </c>
      <c r="B841" s="14" t="str">
        <f aca="false">Country_Data!$E$124</f>
        <v>AE</v>
      </c>
      <c r="C841" s="35" t="s">
        <v>477</v>
      </c>
      <c r="D841" s="37" t="n">
        <f aca="false">IF(Country_Data!$CB$124="","",Country_Data!$CB$124)</f>
        <v>0.00578792015555045</v>
      </c>
      <c r="E841" s="40" t="n">
        <f aca="false">Country_Data!$BW$124</f>
        <v>41.441</v>
      </c>
      <c r="F841" s="41" t="n">
        <f aca="false">Country_Data!$BX$124</f>
        <v>0.60411186988731</v>
      </c>
      <c r="G841" s="42" t="n">
        <f aca="false">IF(D841="","",D841/SUMIFS($D$5:$D$1369,$B$5:$B$1369,B841,$C$5:$C$1369,C841))</f>
        <v>0.00014883698670907</v>
      </c>
      <c r="H841" s="42" t="n">
        <f aca="false">E841/SUMIFS($E$5:$E$1369,$B$5:$B$1369,B841,$C$5:$C$1369,C841)</f>
        <v>0.000525335339734622</v>
      </c>
      <c r="I841" s="43" t="n">
        <f aca="false">IF(G841="",H841,p_beta_alloc*G841+(1-p_beta_alloc)*H841)*F841^p_phi</f>
        <v>0.000261998985944437</v>
      </c>
      <c r="J841" s="16" t="n">
        <f aca="false">INDEX(Sector_Params!$C$19:$E$19,MATCH(B841,Sector_Params!$C$15:$E$15,0))*I841/SUMIFS($I$5:$I$1369,$B$5:$B$1369,B841,$C$5:$C$1369,C841)</f>
        <v>0.0770164142959925</v>
      </c>
      <c r="K841" s="28" t="n">
        <f aca="false">INDEX(Sector_Params!$F$8:$H$8,MATCH(B841,Sector_Params!$C$15:$E$15,0))</f>
        <v>0.38</v>
      </c>
      <c r="L841" s="16" t="n">
        <f aca="false">J841*K841</f>
        <v>0.0292662374324772</v>
      </c>
      <c r="M841" s="44" t="n">
        <f aca="false">Country_Data!$DW$124+Sector_Params!$E$8</f>
        <v>0.055</v>
      </c>
      <c r="N841" s="44" t="n">
        <f aca="false">Country_Data!$DX$124+Sector_Params!$E$8</f>
        <v>0.07</v>
      </c>
      <c r="O841" s="11" t="n">
        <f aca="false">IF(p_use_ibrd=1,p_r_ibrd,p_r_wb)</f>
        <v>0.06</v>
      </c>
      <c r="P841" s="45" t="n">
        <f aca="false">Sector_Params!$D$8</f>
        <v>25</v>
      </c>
      <c r="Q841" s="46" t="n">
        <f aca="false">M841/(1-(1+M841)^-P841)</f>
        <v>0.0745493529464385</v>
      </c>
      <c r="R841" s="46" t="n">
        <f aca="false">N841/(1-(1+N841)^-P841)</f>
        <v>0.0858105172206656</v>
      </c>
      <c r="S841" s="46" t="n">
        <f aca="false">O841/(1-(1+O841)^-P841)</f>
        <v>0.078226718212274</v>
      </c>
      <c r="T841" s="37" t="n">
        <f aca="false">Country_Data!$CM$124*Sector_Params!$I$8</f>
        <v>0.207431472681155</v>
      </c>
      <c r="U841" s="37" t="n">
        <f aca="false">Country_Data!$CN$124*Sector_Params!$J$8</f>
        <v>0.03225</v>
      </c>
      <c r="V841" s="37" t="n">
        <f aca="false">p_a</f>
        <v>0.35</v>
      </c>
      <c r="W841" s="16" t="n">
        <f aca="false">T841*L841</f>
        <v>0.00607073873045507</v>
      </c>
      <c r="X841" s="16" t="n">
        <f aca="false">U841*L841</f>
        <v>0.000943836157197388</v>
      </c>
      <c r="Y841" s="16" t="n">
        <f aca="false">V841*L841</f>
        <v>0.010243183101367</v>
      </c>
      <c r="Z841" s="16" t="n">
        <f aca="false">Q841*L841</f>
        <v>0.00218177906376801</v>
      </c>
      <c r="AA841" s="16" t="n">
        <f aca="false">R841*L841</f>
        <v>0.00251135097118367</v>
      </c>
      <c r="AB841" s="16" t="n">
        <f aca="false">S841*L841</f>
        <v>0.00228940170876389</v>
      </c>
      <c r="AC841" s="16" t="n">
        <f aca="false">Z841-W841</f>
        <v>-0.00388895966668706</v>
      </c>
      <c r="AD841" s="16" t="n">
        <f aca="false">AA841-W841</f>
        <v>-0.0035593877592714</v>
      </c>
      <c r="AE841" s="16" t="n">
        <f aca="false">AB841-W841</f>
        <v>-0.00378133702169118</v>
      </c>
      <c r="AF841" s="16" t="n">
        <f aca="false">AE841-X841</f>
        <v>-0.00472517317888856</v>
      </c>
      <c r="AG841" s="16" t="n">
        <f aca="false">AF841-p_spc_lo*Y841/1000</f>
        <v>-0.00523733233395691</v>
      </c>
      <c r="AH841" s="16" t="n">
        <f aca="false">AF841-p_spc_hi*Y841/1000</f>
        <v>-0.00574949148902526</v>
      </c>
      <c r="AI841" s="16" t="n">
        <f aca="false">Q841*J841</f>
        <v>0.00574152385202108</v>
      </c>
      <c r="AJ841" s="16" t="n">
        <f aca="false">S841*J841</f>
        <v>0.00602474133885235</v>
      </c>
      <c r="AK841" s="16" t="n">
        <f aca="false">T841*J841</f>
        <v>0.0159756282380397</v>
      </c>
      <c r="AL841" s="16" t="n">
        <f aca="false">U841*J841</f>
        <v>0.00248377936104576</v>
      </c>
      <c r="AM841" s="16" t="n">
        <f aca="false">AI841-AJ841</f>
        <v>-0.000283217486831274</v>
      </c>
      <c r="AN841" s="16" t="n">
        <f aca="false">J841*Country_Data!$EB$124</f>
        <v>0.0804688742471922</v>
      </c>
      <c r="AO841" s="16" t="n">
        <f aca="false">L841*Country_Data!$EB$124</f>
        <v>0.030578172213933</v>
      </c>
    </row>
    <row r="842" customFormat="false" ht="15" hidden="false" customHeight="false" outlineLevel="0" collapsed="false">
      <c r="A842" s="14" t="str">
        <f aca="false">Country_Data!$A$124</f>
        <v>MLT</v>
      </c>
      <c r="B842" s="14" t="str">
        <f aca="false">Country_Data!$E$124</f>
        <v>AE</v>
      </c>
      <c r="C842" s="35" t="s">
        <v>481</v>
      </c>
      <c r="D842" s="37" t="n">
        <f aca="false">IF(Country_Data!$CC$124="","",Country_Data!$CC$124)</f>
        <v>0.0082374714459924</v>
      </c>
      <c r="E842" s="40" t="n">
        <f aca="false">Country_Data!$BW$124</f>
        <v>41.441</v>
      </c>
      <c r="F842" s="41" t="n">
        <f aca="false">Country_Data!$BX$124</f>
        <v>0.60411186988731</v>
      </c>
      <c r="G842" s="42" t="n">
        <f aca="false">IF(D842="","",D842/SUMIFS($D$5:$D$1369,$B$5:$B$1369,B842,$C$5:$C$1369,C842))</f>
        <v>0.000149986751668862</v>
      </c>
      <c r="H842" s="42" t="n">
        <f aca="false">E842/SUMIFS($E$5:$E$1369,$B$5:$B$1369,B842,$C$5:$C$1369,C842)</f>
        <v>0.000525335339734622</v>
      </c>
      <c r="I842" s="43" t="n">
        <f aca="false">IF(G842="",H842,p_beta_alloc*G842+(1-p_beta_alloc)*H842)*F842^p_phi</f>
        <v>0.000262445811246698</v>
      </c>
      <c r="J842" s="16" t="n">
        <f aca="false">INDEX(Sector_Params!$C$20:$E$20,MATCH(B842,Sector_Params!$C$15:$E$15,0))*I842/SUMIFS($I$5:$I$1369,$B$5:$B$1369,B842,$C$5:$C$1369,C842)</f>
        <v>0.0445678526456868</v>
      </c>
      <c r="K842" s="28" t="n">
        <f aca="false">INDEX(Sector_Params!$F$9:$H$9,MATCH(B842,Sector_Params!$C$15:$E$15,0))</f>
        <v>0.38</v>
      </c>
      <c r="L842" s="16" t="n">
        <f aca="false">J842*K842</f>
        <v>0.016935784005361</v>
      </c>
      <c r="M842" s="44" t="n">
        <f aca="false">Country_Data!$DW$124+Sector_Params!$E$9</f>
        <v>0.055</v>
      </c>
      <c r="N842" s="44" t="n">
        <f aca="false">Country_Data!$DX$124+Sector_Params!$E$9</f>
        <v>0.07</v>
      </c>
      <c r="O842" s="11" t="n">
        <f aca="false">IF(p_use_ibrd=1,p_r_ibrd,p_r_wb)</f>
        <v>0.06</v>
      </c>
      <c r="P842" s="45" t="n">
        <f aca="false">Sector_Params!$D$9</f>
        <v>25</v>
      </c>
      <c r="Q842" s="46" t="n">
        <f aca="false">M842/(1-(1+M842)^-P842)</f>
        <v>0.0745493529464385</v>
      </c>
      <c r="R842" s="46" t="n">
        <f aca="false">N842/(1-(1+N842)^-P842)</f>
        <v>0.0858105172206656</v>
      </c>
      <c r="S842" s="46" t="n">
        <f aca="false">O842/(1-(1+O842)^-P842)</f>
        <v>0.078226718212274</v>
      </c>
      <c r="T842" s="37" t="n">
        <f aca="false">Country_Data!$CM$124*Sector_Params!$I$9</f>
        <v>0.207431472681155</v>
      </c>
      <c r="U842" s="37" t="n">
        <f aca="false">Country_Data!$CN$124*Sector_Params!$J$9</f>
        <v>0.03225</v>
      </c>
      <c r="V842" s="37" t="n">
        <f aca="false">p_a</f>
        <v>0.35</v>
      </c>
      <c r="W842" s="16" t="n">
        <f aca="false">T842*L842</f>
        <v>0.00351301461724197</v>
      </c>
      <c r="X842" s="16" t="n">
        <f aca="false">U842*L842</f>
        <v>0.000546179034172892</v>
      </c>
      <c r="Y842" s="16" t="n">
        <f aca="false">V842*L842</f>
        <v>0.00592752440187634</v>
      </c>
      <c r="Z842" s="16" t="n">
        <f aca="false">Q842*L842</f>
        <v>0.0012625517392403</v>
      </c>
      <c r="AA842" s="16" t="n">
        <f aca="false">R842*L842</f>
        <v>0.0014532683850375</v>
      </c>
      <c r="AB842" s="16" t="n">
        <f aca="false">S842*L842</f>
        <v>0.00132483080309131</v>
      </c>
      <c r="AC842" s="16" t="n">
        <f aca="false">Z842-W842</f>
        <v>-0.00225046287800167</v>
      </c>
      <c r="AD842" s="16" t="n">
        <f aca="false">AA842-W842</f>
        <v>-0.00205974623220447</v>
      </c>
      <c r="AE842" s="16" t="n">
        <f aca="false">AB842-W842</f>
        <v>-0.00218818381415066</v>
      </c>
      <c r="AF842" s="16" t="n">
        <f aca="false">AE842-X842</f>
        <v>-0.00273436284832355</v>
      </c>
      <c r="AG842" s="16" t="n">
        <f aca="false">AF842-p_spc_lo*Y842/1000</f>
        <v>-0.00303073906841737</v>
      </c>
      <c r="AH842" s="16" t="n">
        <f aca="false">AF842-p_spc_hi*Y842/1000</f>
        <v>-0.00332711528851119</v>
      </c>
      <c r="AI842" s="16" t="n">
        <f aca="false">Q842*J842</f>
        <v>0.00332250457694817</v>
      </c>
      <c r="AJ842" s="16" t="n">
        <f aca="false">S842*J842</f>
        <v>0.00348639685024029</v>
      </c>
      <c r="AK842" s="16" t="n">
        <f aca="false">T842*J842</f>
        <v>0.0092447753085315</v>
      </c>
      <c r="AL842" s="16" t="n">
        <f aca="false">U842*J842</f>
        <v>0.0014373132478234</v>
      </c>
      <c r="AM842" s="16" t="n">
        <f aca="false">AI842-AJ842</f>
        <v>-0.00016389227329212</v>
      </c>
      <c r="AN842" s="16" t="n">
        <f aca="false">J842*Country_Data!$EB$124</f>
        <v>0.0465657219022176</v>
      </c>
      <c r="AO842" s="16" t="n">
        <f aca="false">L842*Country_Data!$EB$124</f>
        <v>0.0176949743228427</v>
      </c>
    </row>
    <row r="843" customFormat="false" ht="15" hidden="false" customHeight="false" outlineLevel="0" collapsed="false">
      <c r="A843" s="14" t="str">
        <f aca="false">Country_Data!$A$124</f>
        <v>MLT</v>
      </c>
      <c r="B843" s="14" t="str">
        <f aca="false">Country_Data!$E$124</f>
        <v>AE</v>
      </c>
      <c r="C843" s="35" t="s">
        <v>484</v>
      </c>
      <c r="D843" s="37" t="n">
        <f aca="false">IF(Country_Data!$CD$124="","",Country_Data!$CD$124)</f>
        <v>0.0279118424086021</v>
      </c>
      <c r="E843" s="40" t="n">
        <f aca="false">Country_Data!$BW$124</f>
        <v>41.441</v>
      </c>
      <c r="F843" s="41" t="n">
        <f aca="false">Country_Data!$BX$124</f>
        <v>0.60411186988731</v>
      </c>
      <c r="G843" s="42" t="n">
        <f aca="false">IF(D843="","",D843/SUMIFS($D$5:$D$1369,$B$5:$B$1369,B843,$C$5:$C$1369,C843))</f>
        <v>0.000188848528337736</v>
      </c>
      <c r="H843" s="42" t="n">
        <f aca="false">E843/SUMIFS($E$5:$E$1369,$B$5:$B$1369,B843,$C$5:$C$1369,C843)</f>
        <v>0.000525335339734622</v>
      </c>
      <c r="I843" s="43" t="n">
        <f aca="false">IF(G843="",H843,p_beta_alloc*G843+(1-p_beta_alloc)*H843)*F843^p_phi</f>
        <v>0.000277548398048138</v>
      </c>
      <c r="J843" s="16" t="n">
        <f aca="false">INDEX(Sector_Params!$C$21:$E$21,MATCH(B843,Sector_Params!$C$15:$E$15,0))*I843/SUMIFS($I$5:$I$1369,$B$5:$B$1369,B843,$C$5:$C$1369,C843)</f>
        <v>0.0565504127558759</v>
      </c>
      <c r="K843" s="28" t="n">
        <f aca="false">INDEX(Sector_Params!$F$10:$H$10,MATCH(B843,Sector_Params!$C$15:$E$15,0))</f>
        <v>0.38</v>
      </c>
      <c r="L843" s="16" t="n">
        <f aca="false">J843*K843</f>
        <v>0.0214891568472329</v>
      </c>
      <c r="M843" s="44" t="n">
        <f aca="false">Country_Data!$DW$124+Sector_Params!$E$10</f>
        <v>0.055</v>
      </c>
      <c r="N843" s="44" t="n">
        <f aca="false">Country_Data!$DX$124+Sector_Params!$E$10</f>
        <v>0.07</v>
      </c>
      <c r="O843" s="11" t="n">
        <f aca="false">IF(p_use_ibrd=1,p_r_ibrd,p_r_wb)</f>
        <v>0.06</v>
      </c>
      <c r="P843" s="45" t="n">
        <f aca="false">Sector_Params!$D$10</f>
        <v>20</v>
      </c>
      <c r="Q843" s="46" t="n">
        <f aca="false">M843/(1-(1+M843)^-P843)</f>
        <v>0.0836793300349332</v>
      </c>
      <c r="R843" s="46" t="n">
        <f aca="false">N843/(1-(1+N843)^-P843)</f>
        <v>0.0943929257432557</v>
      </c>
      <c r="S843" s="46" t="n">
        <f aca="false">O843/(1-(1+O843)^-P843)</f>
        <v>0.0871845569768514</v>
      </c>
      <c r="T843" s="37" t="n">
        <f aca="false">0*Sector_Params!$I$10</f>
        <v>0</v>
      </c>
      <c r="U843" s="37" t="n">
        <f aca="false">0*Sector_Params!$J$10</f>
        <v>0</v>
      </c>
      <c r="V843" s="37" t="n">
        <f aca="false">1000*p_r_wb/(1-(1+p_r_wb)^-Sector_Params!$D$10)/p_cpt_fuel</f>
        <v>0.871845569768514</v>
      </c>
      <c r="W843" s="16" t="n">
        <f aca="false">T843*L843</f>
        <v>0</v>
      </c>
      <c r="X843" s="16" t="n">
        <f aca="false">U843*L843</f>
        <v>0</v>
      </c>
      <c r="Y843" s="16" t="n">
        <f aca="false">V843*L843</f>
        <v>0.0187352261953207</v>
      </c>
      <c r="Z843" s="16" t="n">
        <f aca="false">Q843*L843</f>
        <v>0.00179819824799204</v>
      </c>
      <c r="AA843" s="16" t="n">
        <f aca="false">R843*L843</f>
        <v>0.00202842438656603</v>
      </c>
      <c r="AB843" s="16" t="n">
        <f aca="false">S843*L843</f>
        <v>0.00187352261953207</v>
      </c>
      <c r="AC843" s="16" t="n">
        <f aca="false">Z843-W843</f>
        <v>0.00179819824799204</v>
      </c>
      <c r="AD843" s="16" t="n">
        <f aca="false">AA843-W843</f>
        <v>0.00202842438656603</v>
      </c>
      <c r="AE843" s="16" t="n">
        <f aca="false">AB843-W843</f>
        <v>0.00187352261953207</v>
      </c>
      <c r="AF843" s="16" t="n">
        <f aca="false">AE843-X843</f>
        <v>0.00187352261953207</v>
      </c>
      <c r="AG843" s="16" t="n">
        <f aca="false">AF843-p_spc_lo*Y843/1000</f>
        <v>0.000936761309766035</v>
      </c>
      <c r="AH843" s="16" t="n">
        <f aca="false">AF843-p_spc_hi*Y843/1000</f>
        <v>0</v>
      </c>
      <c r="AI843" s="16" t="n">
        <f aca="false">Q843*J843</f>
        <v>0.00473210065261064</v>
      </c>
      <c r="AJ843" s="16" t="n">
        <f aca="false">S843*J843</f>
        <v>0.00493032268297913</v>
      </c>
      <c r="AK843" s="16" t="n">
        <f aca="false">T843*J843</f>
        <v>0</v>
      </c>
      <c r="AL843" s="16" t="n">
        <f aca="false">U843*J843</f>
        <v>0</v>
      </c>
      <c r="AM843" s="16" t="n">
        <f aca="false">AI843-AJ843</f>
        <v>-0.00019822203036849</v>
      </c>
      <c r="AN843" s="16" t="n">
        <f aca="false">J843*Country_Data!$EB$124</f>
        <v>0.0590854312587256</v>
      </c>
      <c r="AO843" s="16" t="n">
        <f aca="false">L843*Country_Data!$EB$124</f>
        <v>0.0224524638783157</v>
      </c>
    </row>
    <row r="844" customFormat="false" ht="15" hidden="false" customHeight="false" outlineLevel="0" collapsed="false">
      <c r="A844" s="14" t="str">
        <f aca="false">Country_Data!$A$124</f>
        <v>MLT</v>
      </c>
      <c r="B844" s="14" t="str">
        <f aca="false">Country_Data!$E$124</f>
        <v>AE</v>
      </c>
      <c r="C844" s="35" t="s">
        <v>488</v>
      </c>
      <c r="D844" s="37" t="n">
        <f aca="false">IF(Country_Data!$CE$124="","",Country_Data!$CE$124)</f>
        <v>0.553</v>
      </c>
      <c r="E844" s="40" t="n">
        <f aca="false">Country_Data!$BW$124</f>
        <v>41.441</v>
      </c>
      <c r="F844" s="41" t="n">
        <f aca="false">Country_Data!$BX$124</f>
        <v>0.60411186988731</v>
      </c>
      <c r="G844" s="42" t="n">
        <f aca="false">IF(D844="","",D844/SUMIFS($D$5:$D$1369,$B$5:$B$1369,B844,$C$5:$C$1369,C844))</f>
        <v>0.000211046631001185</v>
      </c>
      <c r="H844" s="42" t="n">
        <f aca="false">E844/SUMIFS($E$5:$E$1369,$B$5:$B$1369,B844,$C$5:$C$1369,C844)</f>
        <v>0.000525335339734622</v>
      </c>
      <c r="I844" s="43" t="n">
        <f aca="false">IF(G844="",H844,p_beta_alloc*G844+(1-p_beta_alloc)*H844)*F844^p_phi</f>
        <v>0.000286175095050659</v>
      </c>
      <c r="J844" s="16" t="n">
        <f aca="false">INDEX(Sector_Params!$C$22:$E$22,MATCH(B844,Sector_Params!$C$15:$E$15,0))*I844/SUMIFS($I$5:$I$1369,$B$5:$B$1369,B844,$C$5:$C$1369,C844)</f>
        <v>0.011088604602408</v>
      </c>
      <c r="K844" s="28" t="n">
        <f aca="false">INDEX(Sector_Params!$F$11:$H$11,MATCH(B844,Sector_Params!$C$15:$E$15,0))</f>
        <v>0.38</v>
      </c>
      <c r="L844" s="16" t="n">
        <f aca="false">J844*K844</f>
        <v>0.00421366974891506</v>
      </c>
      <c r="M844" s="44" t="n">
        <f aca="false">Country_Data!$DW$124+Sector_Params!$E$11</f>
        <v>0.055</v>
      </c>
      <c r="N844" s="44" t="n">
        <f aca="false">Country_Data!$DX$124+Sector_Params!$E$11</f>
        <v>0.07</v>
      </c>
      <c r="O844" s="11" t="n">
        <f aca="false">IF(p_use_ibrd=1,p_r_ibrd,p_r_wb)</f>
        <v>0.06</v>
      </c>
      <c r="P844" s="45" t="n">
        <f aca="false">Sector_Params!$D$11</f>
        <v>30</v>
      </c>
      <c r="Q844" s="46" t="n">
        <f aca="false">M844/(1-(1+M844)^-P844)</f>
        <v>0.0688053896793896</v>
      </c>
      <c r="R844" s="46" t="n">
        <f aca="false">N844/(1-(1+N844)^-P844)</f>
        <v>0.0805864035111112</v>
      </c>
      <c r="S844" s="46" t="n">
        <f aca="false">O844/(1-(1+O844)^-P844)</f>
        <v>0.0726489114900472</v>
      </c>
      <c r="T844" s="37" t="n">
        <f aca="false">0*Sector_Params!$I$11</f>
        <v>0</v>
      </c>
      <c r="U844" s="37" t="n">
        <f aca="false">p_c*Sector_Params!$J$11</f>
        <v>0.129</v>
      </c>
      <c r="V844" s="37" t="n">
        <f aca="false">1000*p_r_wb/(1-(1+p_r_wb)^-Sector_Params!$D$11)/p_cpt_afolu</f>
        <v>1.45297822980094</v>
      </c>
      <c r="W844" s="16" t="n">
        <f aca="false">T844*L844</f>
        <v>0</v>
      </c>
      <c r="X844" s="16" t="n">
        <f aca="false">U844*L844</f>
        <v>0.000543563397610043</v>
      </c>
      <c r="Y844" s="16" t="n">
        <f aca="false">V844*L844</f>
        <v>0.00612237041274439</v>
      </c>
      <c r="Z844" s="16" t="n">
        <f aca="false">Q844*L844</f>
        <v>0.000289923189054356</v>
      </c>
      <c r="AA844" s="16" t="n">
        <f aca="false">R844*L844</f>
        <v>0.000339564490648631</v>
      </c>
      <c r="AB844" s="16" t="n">
        <f aca="false">S844*L844</f>
        <v>0.00030611852063722</v>
      </c>
      <c r="AC844" s="16" t="n">
        <f aca="false">Z844-W844</f>
        <v>0.000289923189054356</v>
      </c>
      <c r="AD844" s="16" t="n">
        <f aca="false">AA844-W844</f>
        <v>0.000339564490648631</v>
      </c>
      <c r="AE844" s="16" t="n">
        <f aca="false">AB844-W844</f>
        <v>0.00030611852063722</v>
      </c>
      <c r="AF844" s="16" t="n">
        <f aca="false">AE844-X844</f>
        <v>-0.000237444876972823</v>
      </c>
      <c r="AG844" s="16" t="n">
        <f aca="false">AF844-p_spc_lo*Y844/1000</f>
        <v>-0.000543563397610043</v>
      </c>
      <c r="AH844" s="16" t="n">
        <f aca="false">AF844-p_spc_hi*Y844/1000</f>
        <v>-0.000849681918247262</v>
      </c>
      <c r="AI844" s="16" t="n">
        <f aca="false">Q844*J844</f>
        <v>0.000762955760669359</v>
      </c>
      <c r="AJ844" s="16" t="n">
        <f aca="false">S844*J844</f>
        <v>0.000805575054308472</v>
      </c>
      <c r="AK844" s="16" t="n">
        <f aca="false">T844*J844</f>
        <v>0</v>
      </c>
      <c r="AL844" s="16" t="n">
        <f aca="false">U844*J844</f>
        <v>0.00143042999371064</v>
      </c>
      <c r="AM844" s="16" t="n">
        <f aca="false">AI844-AJ844</f>
        <v>-4.26192936391137E-005</v>
      </c>
      <c r="AN844" s="16" t="n">
        <f aca="false">J844*Country_Data!$EB$124</f>
        <v>0.0115856799811367</v>
      </c>
      <c r="AO844" s="16" t="n">
        <f aca="false">L844*Country_Data!$EB$124</f>
        <v>0.00440255839283194</v>
      </c>
    </row>
    <row r="845" customFormat="false" ht="15" hidden="false" customHeight="false" outlineLevel="0" collapsed="false">
      <c r="A845" s="14" t="str">
        <f aca="false">Country_Data!$A$125</f>
        <v>GUY</v>
      </c>
      <c r="B845" s="14" t="str">
        <f aca="false">Country_Data!$E$125</f>
        <v>EMDC</v>
      </c>
      <c r="C845" s="35" t="s">
        <v>466</v>
      </c>
      <c r="D845" s="37" t="n">
        <f aca="false">IF(Country_Data!$BZ$125="","",Country_Data!$BZ$125)</f>
        <v>1.38378762837821</v>
      </c>
      <c r="E845" s="40" t="n">
        <f aca="false">Country_Data!$BW$125</f>
        <v>66.679</v>
      </c>
      <c r="F845" s="41" t="n">
        <f aca="false">Country_Data!$BX$125</f>
        <v>0.369816583931973</v>
      </c>
      <c r="G845" s="42" t="n">
        <f aca="false">IF(D845="","",D845/SUMIFS($D$5:$D$1369,$B$5:$B$1369,B845,$C$5:$C$1369,C845))</f>
        <v>0.000157976150636083</v>
      </c>
      <c r="H845" s="42" t="n">
        <f aca="false">E845/SUMIFS($E$5:$E$1369,$B$5:$B$1369,B845,$C$5:$C$1369,C845)</f>
        <v>0.000825931363677972</v>
      </c>
      <c r="I845" s="43" t="n">
        <f aca="false">IF(G845="",H845,p_beta_alloc*G845+(1-p_beta_alloc)*H845)*F845^p_phi</f>
        <v>0.000299169608442149</v>
      </c>
      <c r="J845" s="16" t="n">
        <f aca="false">INDEX(Sector_Params!$C$16:$E$16,MATCH(B845,Sector_Params!$C$15:$E$15,0))*I845/SUMIFS($I$5:$I$1369,$B$5:$B$1369,B845,$C$5:$C$1369,C845)</f>
        <v>0.289364429888742</v>
      </c>
      <c r="K845" s="28" t="n">
        <f aca="false">INDEX(Sector_Params!$F$5:$H$5,MATCH(B845,Sector_Params!$C$15:$E$15,0))</f>
        <v>0.24</v>
      </c>
      <c r="L845" s="16" t="n">
        <f aca="false">J845*K845</f>
        <v>0.0694474631732981</v>
      </c>
      <c r="M845" s="44" t="n">
        <f aca="false">Country_Data!$DW$125+Sector_Params!$E$5</f>
        <v>0.105</v>
      </c>
      <c r="N845" s="44" t="n">
        <f aca="false">Country_Data!$DX$125+Sector_Params!$E$5</f>
        <v>0.15</v>
      </c>
      <c r="O845" s="11" t="n">
        <f aca="false">IF(p_use_ibrd=1,p_r_ibrd,p_r_wb)</f>
        <v>0.06</v>
      </c>
      <c r="P845" s="45" t="n">
        <f aca="false">Sector_Params!$D$5</f>
        <v>25</v>
      </c>
      <c r="Q845" s="46" t="n">
        <f aca="false">M845/(1-(1+M845)^-P845)</f>
        <v>0.114429319813103</v>
      </c>
      <c r="R845" s="46" t="n">
        <f aca="false">N845/(1-(1+N845)^-P845)</f>
        <v>0.154699402320206</v>
      </c>
      <c r="S845" s="46" t="n">
        <f aca="false">O845/(1-(1+O845)^-P845)</f>
        <v>0.078226718212274</v>
      </c>
      <c r="T845" s="37" t="n">
        <f aca="false">IF(AND(p_eng=1,ISNUMBER(Country_Data!$CZ$125)),Country_Data!$CZ$125,Country_Data!$CM$125)*Sector_Params!$I$5</f>
        <v>0.299819635493731</v>
      </c>
      <c r="U845" s="37" t="n">
        <f aca="false">IF(AND(p_eng=1,ISNUMBER(Country_Data!$DA$125)),Country_Data!$DA$125,Country_Data!$CN$125)*Sector_Params!$J$5</f>
        <v>0.0311254029548695</v>
      </c>
      <c r="V845" s="37" t="n">
        <f aca="false">IF(AND(p_eng=1,ISNUMBER(Country_Data!$DB$125)),Country_Data!$DB$125,p_a)</f>
        <v>1.80951070383887</v>
      </c>
      <c r="W845" s="16" t="n">
        <f aca="false">T845*L845</f>
        <v>0.0208217130945825</v>
      </c>
      <c r="X845" s="16" t="n">
        <f aca="false">U845*L845</f>
        <v>0.00216158027546237</v>
      </c>
      <c r="Y845" s="16" t="n">
        <f aca="false">V845*L845</f>
        <v>0.125665927966539</v>
      </c>
      <c r="Z845" s="16" t="n">
        <f aca="false">Q845*L845</f>
        <v>0.00794682597366604</v>
      </c>
      <c r="AA845" s="16" t="n">
        <f aca="false">R845*L845</f>
        <v>0.0107434810455638</v>
      </c>
      <c r="AB845" s="16" t="n">
        <f aca="false">S845*L845</f>
        <v>0.00543264713221486</v>
      </c>
      <c r="AC845" s="16" t="n">
        <f aca="false">Z845-W845</f>
        <v>-0.0128748871209165</v>
      </c>
      <c r="AD845" s="16" t="n">
        <f aca="false">AA845-W845</f>
        <v>-0.0100782320490187</v>
      </c>
      <c r="AE845" s="16" t="n">
        <f aca="false">AB845-W845</f>
        <v>-0.0153890659623676</v>
      </c>
      <c r="AF845" s="16" t="n">
        <f aca="false">AE845-X845</f>
        <v>-0.01755064623783</v>
      </c>
      <c r="AG845" s="16" t="n">
        <f aca="false">AF845-p_spc_lo*Y845/1000</f>
        <v>-0.0238339426361569</v>
      </c>
      <c r="AH845" s="16" t="n">
        <f aca="false">AF845-p_spc_hi*Y845/1000</f>
        <v>-0.0301172390344839</v>
      </c>
      <c r="AI845" s="16" t="n">
        <f aca="false">Q845*J845</f>
        <v>0.0331117748902752</v>
      </c>
      <c r="AJ845" s="16" t="n">
        <f aca="false">S845*J845</f>
        <v>0.0226360297175619</v>
      </c>
      <c r="AK845" s="16" t="n">
        <f aca="false">T845*J845</f>
        <v>0.0867571378940938</v>
      </c>
      <c r="AL845" s="16" t="n">
        <f aca="false">U845*J845</f>
        <v>0.00900658448109319</v>
      </c>
      <c r="AM845" s="16" t="n">
        <f aca="false">AI845-AJ845</f>
        <v>0.0104757451727133</v>
      </c>
      <c r="AN845" s="16" t="n">
        <f aca="false">J845*Country_Data!$EB$125</f>
        <v>0.332174509927077</v>
      </c>
      <c r="AO845" s="16" t="n">
        <f aca="false">L845*Country_Data!$EB$125</f>
        <v>0.0797218823824984</v>
      </c>
    </row>
    <row r="846" customFormat="false" ht="15" hidden="false" customHeight="false" outlineLevel="0" collapsed="false">
      <c r="A846" s="14" t="str">
        <f aca="false">Country_Data!$A$125</f>
        <v>GUY</v>
      </c>
      <c r="B846" s="14" t="str">
        <f aca="false">Country_Data!$E$125</f>
        <v>EMDC</v>
      </c>
      <c r="C846" s="35" t="s">
        <v>470</v>
      </c>
      <c r="D846" s="37" t="n">
        <f aca="false">IF(Country_Data!$BZ$125="","",Country_Data!$BZ$125)</f>
        <v>1.38378762837821</v>
      </c>
      <c r="E846" s="40" t="n">
        <f aca="false">Country_Data!$BW$125</f>
        <v>66.679</v>
      </c>
      <c r="F846" s="41" t="n">
        <f aca="false">Country_Data!$BX$125</f>
        <v>0.369816583931973</v>
      </c>
      <c r="G846" s="42" t="n">
        <f aca="false">IF(D846="","",D846/SUMIFS($D$5:$D$1369,$B$5:$B$1369,B846,$C$5:$C$1369,C846))</f>
        <v>0.000157976150636083</v>
      </c>
      <c r="H846" s="42" t="n">
        <f aca="false">E846/SUMIFS($E$5:$E$1369,$B$5:$B$1369,B846,$C$5:$C$1369,C846)</f>
        <v>0.000825931363677972</v>
      </c>
      <c r="I846" s="43" t="n">
        <f aca="false">IF(G846="",H846,p_beta_alloc*G846+(1-p_beta_alloc)*H846)*F846^p_phi</f>
        <v>0.000299169608442149</v>
      </c>
      <c r="J846" s="16" t="n">
        <f aca="false">INDEX(Sector_Params!$C$17:$E$17,MATCH(B846,Sector_Params!$C$15:$E$15,0))*I846/SUMIFS($I$5:$I$1369,$B$5:$B$1369,B846,$C$5:$C$1369,C846)</f>
        <v>0.19842132335228</v>
      </c>
      <c r="K846" s="28" t="n">
        <f aca="false">INDEX(Sector_Params!$F$6:$H$6,MATCH(B846,Sector_Params!$C$15:$E$15,0))</f>
        <v>0.24</v>
      </c>
      <c r="L846" s="16" t="n">
        <f aca="false">J846*K846</f>
        <v>0.0476211176045473</v>
      </c>
      <c r="M846" s="44" t="n">
        <f aca="false">Country_Data!$DW$125+Sector_Params!$E$6</f>
        <v>0.105</v>
      </c>
      <c r="N846" s="44" t="n">
        <f aca="false">Country_Data!$DX$125+Sector_Params!$E$6</f>
        <v>0.15</v>
      </c>
      <c r="O846" s="11" t="n">
        <f aca="false">IF(p_use_ibrd=1,p_r_ibrd,p_r_wb)</f>
        <v>0.06</v>
      </c>
      <c r="P846" s="45" t="n">
        <f aca="false">Sector_Params!$D$6</f>
        <v>40</v>
      </c>
      <c r="Q846" s="46" t="n">
        <f aca="false">M846/(1-(1+M846)^-P846)</f>
        <v>0.10697140835497</v>
      </c>
      <c r="R846" s="46" t="n">
        <f aca="false">N846/(1-(1+N846)^-P846)</f>
        <v>0.150562085013545</v>
      </c>
      <c r="S846" s="46" t="n">
        <f aca="false">O846/(1-(1+O846)^-P846)</f>
        <v>0.0664615359206755</v>
      </c>
      <c r="T846" s="37" t="n">
        <f aca="false">p_grid_credit*IF(AND(p_eng=1,ISNUMBER(Country_Data!$CZ$125)),Country_Data!$CZ$125,Country_Data!$CM$125)*Sector_Params!$I$6</f>
        <v>0</v>
      </c>
      <c r="U846" s="37" t="n">
        <f aca="false">p_grid_credit*IF(AND(p_eng=1,ISNUMBER(Country_Data!$DA$125)),Country_Data!$DA$125,Country_Data!$CN$125)*Sector_Params!$J$6</f>
        <v>0</v>
      </c>
      <c r="V846" s="37" t="n">
        <f aca="false">p_grid_credit*IF(AND(p_eng=1,ISNUMBER(Country_Data!$DB$125)),Country_Data!$DB$125,p_a)</f>
        <v>0</v>
      </c>
      <c r="W846" s="16" t="n">
        <f aca="false">T846*L846</f>
        <v>0</v>
      </c>
      <c r="X846" s="16" t="n">
        <f aca="false">U846*L846</f>
        <v>0</v>
      </c>
      <c r="Y846" s="16" t="n">
        <f aca="false">V846*L846</f>
        <v>0</v>
      </c>
      <c r="Z846" s="16" t="n">
        <f aca="false">Q846*L846</f>
        <v>0.00509409801759609</v>
      </c>
      <c r="AA846" s="16" t="n">
        <f aca="false">R846*L846</f>
        <v>0.00716993475721587</v>
      </c>
      <c r="AB846" s="16" t="n">
        <f aca="false">S846*L846</f>
        <v>0.00316497261825733</v>
      </c>
      <c r="AC846" s="16" t="n">
        <f aca="false">Z846-W846</f>
        <v>0.00509409801759609</v>
      </c>
      <c r="AD846" s="16" t="n">
        <f aca="false">AA846-W846</f>
        <v>0.00716993475721587</v>
      </c>
      <c r="AE846" s="16" t="n">
        <f aca="false">AB846-W846</f>
        <v>0.00316497261825733</v>
      </c>
      <c r="AF846" s="16" t="n">
        <f aca="false">AE846-X846</f>
        <v>0.00316497261825733</v>
      </c>
      <c r="AG846" s="16" t="n">
        <f aca="false">AF846-p_spc_lo*Y846/1000</f>
        <v>0.00316497261825733</v>
      </c>
      <c r="AH846" s="16" t="n">
        <f aca="false">AF846-p_spc_hi*Y846/1000</f>
        <v>0.00316497261825733</v>
      </c>
      <c r="AI846" s="16" t="n">
        <f aca="false">Q846*J846</f>
        <v>0.0212254084066504</v>
      </c>
      <c r="AJ846" s="16" t="n">
        <f aca="false">S846*J846</f>
        <v>0.0131873859094055</v>
      </c>
      <c r="AK846" s="16" t="n">
        <f aca="false">T846*J846</f>
        <v>0</v>
      </c>
      <c r="AL846" s="16" t="n">
        <f aca="false">U846*J846</f>
        <v>0</v>
      </c>
      <c r="AM846" s="16" t="n">
        <f aca="false">AI846-AJ846</f>
        <v>0.00803802249724484</v>
      </c>
      <c r="AN846" s="16" t="n">
        <f aca="false">J846*Country_Data!$EB$125</f>
        <v>0.227776806807138</v>
      </c>
      <c r="AO846" s="16" t="n">
        <f aca="false">L846*Country_Data!$EB$125</f>
        <v>0.0546664336337132</v>
      </c>
    </row>
    <row r="847" customFormat="false" ht="15" hidden="false" customHeight="false" outlineLevel="0" collapsed="false">
      <c r="A847" s="14" t="str">
        <f aca="false">Country_Data!$A$125</f>
        <v>GUY</v>
      </c>
      <c r="B847" s="14" t="str">
        <f aca="false">Country_Data!$E$125</f>
        <v>EMDC</v>
      </c>
      <c r="C847" s="35" t="s">
        <v>473</v>
      </c>
      <c r="D847" s="37" t="n">
        <f aca="false">IF(Country_Data!$CA$125="","",Country_Data!$CA$125)</f>
        <v>0.0252451732762792</v>
      </c>
      <c r="E847" s="40" t="n">
        <f aca="false">Country_Data!$BW$125</f>
        <v>66.679</v>
      </c>
      <c r="F847" s="41" t="n">
        <f aca="false">Country_Data!$BX$125</f>
        <v>0.369816583931973</v>
      </c>
      <c r="G847" s="42" t="n">
        <f aca="false">IF(D847="","",D847/SUMIFS($D$5:$D$1369,$B$5:$B$1369,B847,$C$5:$C$1369,C847))</f>
        <v>0.000583222240990504</v>
      </c>
      <c r="H847" s="42" t="n">
        <f aca="false">E847/SUMIFS($E$5:$E$1369,$B$5:$B$1369,B847,$C$5:$C$1369,C847)</f>
        <v>0.000825931363677972</v>
      </c>
      <c r="I847" s="43" t="n">
        <f aca="false">IF(G847="",H847,p_beta_alloc*G847+(1-p_beta_alloc)*H847)*F847^p_phi</f>
        <v>0.000428471097141096</v>
      </c>
      <c r="J847" s="16" t="n">
        <f aca="false">INDEX(Sector_Params!$C$18:$E$18,MATCH(B847,Sector_Params!$C$15:$E$15,0))*I847/SUMIFS($I$5:$I$1369,$B$5:$B$1369,B847,$C$5:$C$1369,C847)</f>
        <v>0.175448776132817</v>
      </c>
      <c r="K847" s="28" t="n">
        <f aca="false">INDEX(Sector_Params!$F$7:$H$7,MATCH(B847,Sector_Params!$C$15:$E$15,0))</f>
        <v>0.24</v>
      </c>
      <c r="L847" s="16" t="n">
        <f aca="false">J847*K847</f>
        <v>0.0421077062718762</v>
      </c>
      <c r="M847" s="44" t="n">
        <f aca="false">Country_Data!$DW$125+Sector_Params!$E$7</f>
        <v>0.105</v>
      </c>
      <c r="N847" s="44" t="n">
        <f aca="false">Country_Data!$DX$125+Sector_Params!$E$7</f>
        <v>0.15</v>
      </c>
      <c r="O847" s="11" t="n">
        <f aca="false">IF(p_use_ibrd=1,p_r_ibrd,p_r_wb)</f>
        <v>0.06</v>
      </c>
      <c r="P847" s="45" t="n">
        <f aca="false">Sector_Params!$D$7</f>
        <v>12</v>
      </c>
      <c r="Q847" s="46" t="n">
        <f aca="false">M847/(1-(1+M847)^-P847)</f>
        <v>0.150376745634766</v>
      </c>
      <c r="R847" s="46" t="n">
        <f aca="false">N847/(1-(1+N847)^-P847)</f>
        <v>0.18448077613084</v>
      </c>
      <c r="S847" s="46" t="n">
        <f aca="false">O847/(1-(1+O847)^-P847)</f>
        <v>0.119277029380664</v>
      </c>
      <c r="T847" s="37" t="n">
        <f aca="false">IF(AND(p_eng=1,ISNUMBER(Country_Data!$DE$125)),Country_Data!$DE$125,Country_Data!$CM$125)*Sector_Params!$I$7</f>
        <v>0.0305325</v>
      </c>
      <c r="U847" s="37" t="n">
        <f aca="false">IF(AND(p_eng=1,ISNUMBER(Country_Data!$DF$125)),Country_Data!$DF$125,Country_Data!$CN$125)*Sector_Params!$J$7</f>
        <v>0.009147375</v>
      </c>
      <c r="V847" s="37" t="n">
        <f aca="false">IF(AND(p_eng=1,ISNUMBER(Country_Data!$DG$125)),Country_Data!$DG$125,p_a)</f>
        <v>0.108659739130435</v>
      </c>
      <c r="W847" s="16" t="n">
        <f aca="false">T847*L847</f>
        <v>0.00128565354174606</v>
      </c>
      <c r="X847" s="16" t="n">
        <f aca="false">U847*L847</f>
        <v>0.000385174979658703</v>
      </c>
      <c r="Y847" s="16" t="n">
        <f aca="false">V847*L847</f>
        <v>0.00457541237888304</v>
      </c>
      <c r="Z847" s="16" t="n">
        <f aca="false">Q847*L847</f>
        <v>0.00633201983530935</v>
      </c>
      <c r="AA847" s="16" t="n">
        <f aca="false">R847*L847</f>
        <v>0.00776806233412514</v>
      </c>
      <c r="AB847" s="16" t="n">
        <f aca="false">S847*L847</f>
        <v>0.00502248211814293</v>
      </c>
      <c r="AC847" s="16" t="n">
        <f aca="false">Z847-W847</f>
        <v>0.00504636629356329</v>
      </c>
      <c r="AD847" s="16" t="n">
        <f aca="false">AA847-W847</f>
        <v>0.00648240879237908</v>
      </c>
      <c r="AE847" s="16" t="n">
        <f aca="false">AB847-W847</f>
        <v>0.00373682857639687</v>
      </c>
      <c r="AF847" s="16" t="n">
        <f aca="false">AE847-X847</f>
        <v>0.00335165359673816</v>
      </c>
      <c r="AG847" s="16" t="n">
        <f aca="false">AF847-p_spc_lo*Y847/1000</f>
        <v>0.00312288297779401</v>
      </c>
      <c r="AH847" s="16" t="n">
        <f aca="false">AF847-p_spc_hi*Y847/1000</f>
        <v>0.00289411235884986</v>
      </c>
      <c r="AI847" s="16" t="n">
        <f aca="false">Q847*J847</f>
        <v>0.0263834159804556</v>
      </c>
      <c r="AJ847" s="16" t="n">
        <f aca="false">S847*J847</f>
        <v>0.0209270088255955</v>
      </c>
      <c r="AK847" s="16" t="n">
        <f aca="false">T847*J847</f>
        <v>0.00535688975727525</v>
      </c>
      <c r="AL847" s="16" t="n">
        <f aca="false">U847*J847</f>
        <v>0.00160489574857793</v>
      </c>
      <c r="AM847" s="16" t="n">
        <f aca="false">AI847-AJ847</f>
        <v>0.00545640715486011</v>
      </c>
      <c r="AN847" s="16" t="n">
        <f aca="false">J847*Country_Data!$EB$125</f>
        <v>0.201405581368906</v>
      </c>
      <c r="AO847" s="16" t="n">
        <f aca="false">L847*Country_Data!$EB$125</f>
        <v>0.0483373395285373</v>
      </c>
    </row>
    <row r="848" customFormat="false" ht="15" hidden="false" customHeight="false" outlineLevel="0" collapsed="false">
      <c r="A848" s="14" t="str">
        <f aca="false">Country_Data!$A$125</f>
        <v>GUY</v>
      </c>
      <c r="B848" s="14" t="str">
        <f aca="false">Country_Data!$E$125</f>
        <v>EMDC</v>
      </c>
      <c r="C848" s="35" t="s">
        <v>477</v>
      </c>
      <c r="D848" s="37" t="n">
        <f aca="false">IF(Country_Data!$CB$125="","",Country_Data!$CB$125)</f>
        <v>0.00403077622172672</v>
      </c>
      <c r="E848" s="40" t="n">
        <f aca="false">Country_Data!$BW$125</f>
        <v>66.679</v>
      </c>
      <c r="F848" s="41" t="n">
        <f aca="false">Country_Data!$BX$125</f>
        <v>0.369816583931973</v>
      </c>
      <c r="G848" s="42" t="n">
        <f aca="false">IF(D848="","",D848/SUMIFS($D$5:$D$1369,$B$5:$B$1369,B848,$C$5:$C$1369,C848))</f>
        <v>0.000127102647985914</v>
      </c>
      <c r="H848" s="42" t="n">
        <f aca="false">E848/SUMIFS($E$5:$E$1369,$B$5:$B$1369,B848,$C$5:$C$1369,C848)</f>
        <v>0.000825931363677972</v>
      </c>
      <c r="I848" s="43" t="n">
        <f aca="false">IF(G848="",H848,p_beta_alloc*G848+(1-p_beta_alloc)*H848)*F848^p_phi</f>
        <v>0.000289782126829584</v>
      </c>
      <c r="J848" s="16" t="n">
        <f aca="false">INDEX(Sector_Params!$C$19:$E$19,MATCH(B848,Sector_Params!$C$15:$E$15,0))*I848/SUMIFS($I$5:$I$1369,$B$5:$B$1369,B848,$C$5:$C$1369,C848)</f>
        <v>0.0932700277680474</v>
      </c>
      <c r="K848" s="28" t="n">
        <f aca="false">INDEX(Sector_Params!$F$8:$H$8,MATCH(B848,Sector_Params!$C$15:$E$15,0))</f>
        <v>0.24</v>
      </c>
      <c r="L848" s="16" t="n">
        <f aca="false">J848*K848</f>
        <v>0.0223848066643314</v>
      </c>
      <c r="M848" s="44" t="n">
        <f aca="false">Country_Data!$DW$125+Sector_Params!$E$8</f>
        <v>0.105</v>
      </c>
      <c r="N848" s="44" t="n">
        <f aca="false">Country_Data!$DX$125+Sector_Params!$E$8</f>
        <v>0.15</v>
      </c>
      <c r="O848" s="11" t="n">
        <f aca="false">IF(p_use_ibrd=1,p_r_ibrd,p_r_wb)</f>
        <v>0.06</v>
      </c>
      <c r="P848" s="45" t="n">
        <f aca="false">Sector_Params!$D$8</f>
        <v>25</v>
      </c>
      <c r="Q848" s="46" t="n">
        <f aca="false">M848/(1-(1+M848)^-P848)</f>
        <v>0.114429319813103</v>
      </c>
      <c r="R848" s="46" t="n">
        <f aca="false">N848/(1-(1+N848)^-P848)</f>
        <v>0.154699402320206</v>
      </c>
      <c r="S848" s="46" t="n">
        <f aca="false">O848/(1-(1+O848)^-P848)</f>
        <v>0.078226718212274</v>
      </c>
      <c r="T848" s="37" t="n">
        <f aca="false">Country_Data!$CM$125*Sector_Params!$I$8</f>
        <v>0.189033002118043</v>
      </c>
      <c r="U848" s="37" t="n">
        <f aca="false">Country_Data!$CN$125*Sector_Params!$J$8</f>
        <v>0.0732168951194093</v>
      </c>
      <c r="V848" s="37" t="n">
        <f aca="false">p_a</f>
        <v>0.35</v>
      </c>
      <c r="W848" s="16" t="n">
        <f aca="false">T848*L848</f>
        <v>0.00423146720559053</v>
      </c>
      <c r="X848" s="16" t="n">
        <f aca="false">U848*L848</f>
        <v>0.0016389460418106</v>
      </c>
      <c r="Y848" s="16" t="n">
        <f aca="false">V848*L848</f>
        <v>0.00783468233251598</v>
      </c>
      <c r="Z848" s="16" t="n">
        <f aca="false">Q848*L848</f>
        <v>0.00256147820074726</v>
      </c>
      <c r="AA848" s="16" t="n">
        <f aca="false">R848*L848</f>
        <v>0.00346291621202544</v>
      </c>
      <c r="AB848" s="16" t="n">
        <f aca="false">S848*L848</f>
        <v>0.00175108996316688</v>
      </c>
      <c r="AC848" s="16" t="n">
        <f aca="false">Z848-W848</f>
        <v>-0.00166998900484327</v>
      </c>
      <c r="AD848" s="16" t="n">
        <f aca="false">AA848-W848</f>
        <v>-0.000768550993565096</v>
      </c>
      <c r="AE848" s="16" t="n">
        <f aca="false">AB848-W848</f>
        <v>-0.00248037724242365</v>
      </c>
      <c r="AF848" s="16" t="n">
        <f aca="false">AE848-X848</f>
        <v>-0.00411932328423426</v>
      </c>
      <c r="AG848" s="16" t="n">
        <f aca="false">AF848-p_spc_lo*Y848/1000</f>
        <v>-0.00451105740086005</v>
      </c>
      <c r="AH848" s="16" t="n">
        <f aca="false">AF848-p_spc_hi*Y848/1000</f>
        <v>-0.00490279151748585</v>
      </c>
      <c r="AI848" s="16" t="n">
        <f aca="false">Q848*J848</f>
        <v>0.0106728258364469</v>
      </c>
      <c r="AJ848" s="16" t="n">
        <f aca="false">S848*J848</f>
        <v>0.00729620817986201</v>
      </c>
      <c r="AK848" s="16" t="n">
        <f aca="false">T848*J848</f>
        <v>0.0176311133566272</v>
      </c>
      <c r="AL848" s="16" t="n">
        <f aca="false">U848*J848</f>
        <v>0.00682894184087752</v>
      </c>
      <c r="AM848" s="16" t="n">
        <f aca="false">AI848-AJ848</f>
        <v>0.00337661765658491</v>
      </c>
      <c r="AN848" s="16" t="n">
        <f aca="false">J848*Country_Data!$EB$125</f>
        <v>0.107068881191265</v>
      </c>
      <c r="AO848" s="16" t="n">
        <f aca="false">L848*Country_Data!$EB$125</f>
        <v>0.0256965314859037</v>
      </c>
    </row>
    <row r="849" customFormat="false" ht="15" hidden="false" customHeight="false" outlineLevel="0" collapsed="false">
      <c r="A849" s="14" t="str">
        <f aca="false">Country_Data!$A$125</f>
        <v>GUY</v>
      </c>
      <c r="B849" s="14" t="str">
        <f aca="false">Country_Data!$E$125</f>
        <v>EMDC</v>
      </c>
      <c r="C849" s="35" t="s">
        <v>481</v>
      </c>
      <c r="D849" s="37" t="n">
        <f aca="false">IF(Country_Data!$CC$125="","",Country_Data!$CC$125)</f>
        <v>0.016784894900261</v>
      </c>
      <c r="E849" s="40" t="n">
        <f aca="false">Country_Data!$BW$125</f>
        <v>66.679</v>
      </c>
      <c r="F849" s="41" t="n">
        <f aca="false">Country_Data!$BX$125</f>
        <v>0.369816583931973</v>
      </c>
      <c r="G849" s="42" t="n">
        <f aca="false">IF(D849="","",D849/SUMIFS($D$5:$D$1369,$B$5:$B$1369,B849,$C$5:$C$1369,C849))</f>
        <v>0.000239759354861869</v>
      </c>
      <c r="H849" s="42" t="n">
        <f aca="false">E849/SUMIFS($E$5:$E$1369,$B$5:$B$1369,B849,$C$5:$C$1369,C849)</f>
        <v>0.000825931363677972</v>
      </c>
      <c r="I849" s="43" t="n">
        <f aca="false">IF(G849="",H849,p_beta_alloc*G849+(1-p_beta_alloc)*H849)*F849^p_phi</f>
        <v>0.000324036833084122</v>
      </c>
      <c r="J849" s="16" t="n">
        <f aca="false">INDEX(Sector_Params!$C$20:$E$20,MATCH(B849,Sector_Params!$C$15:$E$15,0))*I849/SUMIFS($I$5:$I$1369,$B$5:$B$1369,B849,$C$5:$C$1369,C849)</f>
        <v>0.0591432473901734</v>
      </c>
      <c r="K849" s="28" t="n">
        <f aca="false">INDEX(Sector_Params!$F$9:$H$9,MATCH(B849,Sector_Params!$C$15:$E$15,0))</f>
        <v>0.24</v>
      </c>
      <c r="L849" s="16" t="n">
        <f aca="false">J849*K849</f>
        <v>0.0141943793736416</v>
      </c>
      <c r="M849" s="44" t="n">
        <f aca="false">Country_Data!$DW$125+Sector_Params!$E$9</f>
        <v>0.105</v>
      </c>
      <c r="N849" s="44" t="n">
        <f aca="false">Country_Data!$DX$125+Sector_Params!$E$9</f>
        <v>0.15</v>
      </c>
      <c r="O849" s="11" t="n">
        <f aca="false">IF(p_use_ibrd=1,p_r_ibrd,p_r_wb)</f>
        <v>0.06</v>
      </c>
      <c r="P849" s="45" t="n">
        <f aca="false">Sector_Params!$D$9</f>
        <v>25</v>
      </c>
      <c r="Q849" s="46" t="n">
        <f aca="false">M849/(1-(1+M849)^-P849)</f>
        <v>0.114429319813103</v>
      </c>
      <c r="R849" s="46" t="n">
        <f aca="false">N849/(1-(1+N849)^-P849)</f>
        <v>0.154699402320206</v>
      </c>
      <c r="S849" s="46" t="n">
        <f aca="false">O849/(1-(1+O849)^-P849)</f>
        <v>0.078226718212274</v>
      </c>
      <c r="T849" s="37" t="n">
        <f aca="false">Country_Data!$CM$125*Sector_Params!$I$9</f>
        <v>0.189033002118043</v>
      </c>
      <c r="U849" s="37" t="n">
        <f aca="false">Country_Data!$CN$125*Sector_Params!$J$9</f>
        <v>0.0732168951194093</v>
      </c>
      <c r="V849" s="37" t="n">
        <f aca="false">p_a</f>
        <v>0.35</v>
      </c>
      <c r="W849" s="16" t="n">
        <f aca="false">T849*L849</f>
        <v>0.0026832061462019</v>
      </c>
      <c r="X849" s="16" t="n">
        <f aca="false">U849*L849</f>
        <v>0.00103926838588502</v>
      </c>
      <c r="Y849" s="16" t="n">
        <f aca="false">V849*L849</f>
        <v>0.00496803278077457</v>
      </c>
      <c r="Z849" s="16" t="n">
        <f aca="false">Q849*L849</f>
        <v>0.00162425317689495</v>
      </c>
      <c r="AA849" s="16" t="n">
        <f aca="false">R849*L849</f>
        <v>0.00219586200540862</v>
      </c>
      <c r="AB849" s="16" t="n">
        <f aca="false">S849*L849</f>
        <v>0.00111037971545998</v>
      </c>
      <c r="AC849" s="16" t="n">
        <f aca="false">Z849-W849</f>
        <v>-0.00105895296930695</v>
      </c>
      <c r="AD849" s="16" t="n">
        <f aca="false">AA849-W849</f>
        <v>-0.000487344140793276</v>
      </c>
      <c r="AE849" s="16" t="n">
        <f aca="false">AB849-W849</f>
        <v>-0.00157282643074192</v>
      </c>
      <c r="AF849" s="16" t="n">
        <f aca="false">AE849-X849</f>
        <v>-0.00261209481662695</v>
      </c>
      <c r="AG849" s="16" t="n">
        <f aca="false">AF849-p_spc_lo*Y849/1000</f>
        <v>-0.00286049645566568</v>
      </c>
      <c r="AH849" s="16" t="n">
        <f aca="false">AF849-p_spc_hi*Y849/1000</f>
        <v>-0.00310889809470441</v>
      </c>
      <c r="AI849" s="16" t="n">
        <f aca="false">Q849*J849</f>
        <v>0.00676772157039564</v>
      </c>
      <c r="AJ849" s="16" t="n">
        <f aca="false">S849*J849</f>
        <v>0.0046265821477499</v>
      </c>
      <c r="AK849" s="16" t="n">
        <f aca="false">T849*J849</f>
        <v>0.0111800256091746</v>
      </c>
      <c r="AL849" s="16" t="n">
        <f aca="false">U849*J849</f>
        <v>0.0043302849411876</v>
      </c>
      <c r="AM849" s="16" t="n">
        <f aca="false">AI849-AJ849</f>
        <v>0.00214113942264574</v>
      </c>
      <c r="AN849" s="16" t="n">
        <f aca="false">J849*Country_Data!$EB$125</f>
        <v>0.0678932072780347</v>
      </c>
      <c r="AO849" s="16" t="n">
        <f aca="false">L849*Country_Data!$EB$125</f>
        <v>0.0162943697467283</v>
      </c>
    </row>
    <row r="850" customFormat="false" ht="15" hidden="false" customHeight="false" outlineLevel="0" collapsed="false">
      <c r="A850" s="14" t="str">
        <f aca="false">Country_Data!$A$125</f>
        <v>GUY</v>
      </c>
      <c r="B850" s="14" t="str">
        <f aca="false">Country_Data!$E$125</f>
        <v>EMDC</v>
      </c>
      <c r="C850" s="35" t="s">
        <v>484</v>
      </c>
      <c r="D850" s="37" t="n">
        <f aca="false">IF(Country_Data!$CD$125="","",Country_Data!$CD$125)</f>
        <v>0.0410792089361054</v>
      </c>
      <c r="E850" s="40" t="n">
        <f aca="false">Country_Data!$BW$125</f>
        <v>66.679</v>
      </c>
      <c r="F850" s="41" t="n">
        <f aca="false">Country_Data!$BX$125</f>
        <v>0.369816583931973</v>
      </c>
      <c r="G850" s="42" t="n">
        <f aca="false">IF(D850="","",D850/SUMIFS($D$5:$D$1369,$B$5:$B$1369,B850,$C$5:$C$1369,C850))</f>
        <v>0.000229401309728253</v>
      </c>
      <c r="H850" s="42" t="n">
        <f aca="false">E850/SUMIFS($E$5:$E$1369,$B$5:$B$1369,B850,$C$5:$C$1369,C850)</f>
        <v>0.000825931363677972</v>
      </c>
      <c r="I850" s="43" t="n">
        <f aca="false">IF(G850="",H850,p_beta_alloc*G850+(1-p_beta_alloc)*H850)*F850^p_phi</f>
        <v>0.000320887337565725</v>
      </c>
      <c r="J850" s="16" t="n">
        <f aca="false">INDEX(Sector_Params!$C$21:$E$21,MATCH(B850,Sector_Params!$C$15:$E$15,0))*I850/SUMIFS($I$5:$I$1369,$B$5:$B$1369,B850,$C$5:$C$1369,C850)</f>
        <v>0.0711695468469159</v>
      </c>
      <c r="K850" s="28" t="n">
        <f aca="false">INDEX(Sector_Params!$F$10:$H$10,MATCH(B850,Sector_Params!$C$15:$E$15,0))</f>
        <v>0.24</v>
      </c>
      <c r="L850" s="16" t="n">
        <f aca="false">J850*K850</f>
        <v>0.0170806912432598</v>
      </c>
      <c r="M850" s="44" t="n">
        <f aca="false">Country_Data!$DW$125+Sector_Params!$E$10</f>
        <v>0.105</v>
      </c>
      <c r="N850" s="44" t="n">
        <f aca="false">Country_Data!$DX$125+Sector_Params!$E$10</f>
        <v>0.15</v>
      </c>
      <c r="O850" s="11" t="n">
        <f aca="false">IF(p_use_ibrd=1,p_r_ibrd,p_r_wb)</f>
        <v>0.06</v>
      </c>
      <c r="P850" s="45" t="n">
        <f aca="false">Sector_Params!$D$10</f>
        <v>20</v>
      </c>
      <c r="Q850" s="46" t="n">
        <f aca="false">M850/(1-(1+M850)^-P850)</f>
        <v>0.121493265267016</v>
      </c>
      <c r="R850" s="46" t="n">
        <f aca="false">N850/(1-(1+N850)^-P850)</f>
        <v>0.159761470405744</v>
      </c>
      <c r="S850" s="46" t="n">
        <f aca="false">O850/(1-(1+O850)^-P850)</f>
        <v>0.0871845569768514</v>
      </c>
      <c r="T850" s="37" t="n">
        <f aca="false">0*Sector_Params!$I$10</f>
        <v>0</v>
      </c>
      <c r="U850" s="37" t="n">
        <f aca="false">0*Sector_Params!$J$10</f>
        <v>0</v>
      </c>
      <c r="V850" s="37" t="n">
        <f aca="false">1000*p_r_wb/(1-(1+p_r_wb)^-Sector_Params!$D$10)/p_cpt_fuel</f>
        <v>0.871845569768514</v>
      </c>
      <c r="W850" s="16" t="n">
        <f aca="false">T850*L850</f>
        <v>0</v>
      </c>
      <c r="X850" s="16" t="n">
        <f aca="false">U850*L850</f>
        <v>0</v>
      </c>
      <c r="Y850" s="16" t="n">
        <f aca="false">V850*L850</f>
        <v>0.0148917249890199</v>
      </c>
      <c r="Z850" s="16" t="n">
        <f aca="false">Q850*L850</f>
        <v>0.00207518895216137</v>
      </c>
      <c r="AA850" s="16" t="n">
        <f aca="false">R850*L850</f>
        <v>0.0027288363485697</v>
      </c>
      <c r="AB850" s="16" t="n">
        <f aca="false">S850*L850</f>
        <v>0.00148917249890199</v>
      </c>
      <c r="AC850" s="16" t="n">
        <f aca="false">Z850-W850</f>
        <v>0.00207518895216137</v>
      </c>
      <c r="AD850" s="16" t="n">
        <f aca="false">AA850-W850</f>
        <v>0.0027288363485697</v>
      </c>
      <c r="AE850" s="16" t="n">
        <f aca="false">AB850-W850</f>
        <v>0.00148917249890199</v>
      </c>
      <c r="AF850" s="16" t="n">
        <f aca="false">AE850-X850</f>
        <v>0.00148917249890199</v>
      </c>
      <c r="AG850" s="16" t="n">
        <f aca="false">AF850-p_spc_lo*Y850/1000</f>
        <v>0.000744586249450996</v>
      </c>
      <c r="AH850" s="16" t="n">
        <f aca="false">AF850-p_spc_hi*Y850/1000</f>
        <v>0</v>
      </c>
      <c r="AI850" s="16" t="n">
        <f aca="false">Q850*J850</f>
        <v>0.00864662063400569</v>
      </c>
      <c r="AJ850" s="16" t="n">
        <f aca="false">S850*J850</f>
        <v>0.00620488541209164</v>
      </c>
      <c r="AK850" s="16" t="n">
        <f aca="false">T850*J850</f>
        <v>0</v>
      </c>
      <c r="AL850" s="16" t="n">
        <f aca="false">U850*J850</f>
        <v>0</v>
      </c>
      <c r="AM850" s="16" t="n">
        <f aca="false">AI850-AJ850</f>
        <v>0.00244173522191405</v>
      </c>
      <c r="AN850" s="16" t="n">
        <f aca="false">J850*Country_Data!$EB$125</f>
        <v>0.0816987400790624</v>
      </c>
      <c r="AO850" s="16" t="n">
        <f aca="false">L850*Country_Data!$EB$125</f>
        <v>0.019607697618975</v>
      </c>
    </row>
    <row r="851" customFormat="false" ht="15" hidden="false" customHeight="false" outlineLevel="0" collapsed="false">
      <c r="A851" s="14" t="str">
        <f aca="false">Country_Data!$A$125</f>
        <v>GUY</v>
      </c>
      <c r="B851" s="14" t="str">
        <f aca="false">Country_Data!$E$125</f>
        <v>EMDC</v>
      </c>
      <c r="C851" s="35" t="s">
        <v>488</v>
      </c>
      <c r="D851" s="37" t="n">
        <f aca="false">IF(Country_Data!$CE$125="","",Country_Data!$CE$125)</f>
        <v>17.317</v>
      </c>
      <c r="E851" s="40" t="n">
        <f aca="false">Country_Data!$BW$125</f>
        <v>66.679</v>
      </c>
      <c r="F851" s="41" t="n">
        <f aca="false">Country_Data!$BX$125</f>
        <v>0.369816583931973</v>
      </c>
      <c r="G851" s="42" t="n">
        <f aca="false">IF(D851="","",D851/SUMIFS($D$5:$D$1369,$B$5:$B$1369,B851,$C$5:$C$1369,C851))</f>
        <v>0.00141894820679263</v>
      </c>
      <c r="H851" s="42" t="n">
        <f aca="false">E851/SUMIFS($E$5:$E$1369,$B$5:$B$1369,B851,$C$5:$C$1369,C851)</f>
        <v>0.000825931363677972</v>
      </c>
      <c r="I851" s="43" t="n">
        <f aca="false">IF(G851="",H851,p_beta_alloc*G851+(1-p_beta_alloc)*H851)*F851^p_phi</f>
        <v>0.000682584218869073</v>
      </c>
      <c r="J851" s="16" t="n">
        <f aca="false">INDEX(Sector_Params!$C$22:$E$22,MATCH(B851,Sector_Params!$C$15:$E$15,0))*I851/SUMIFS($I$5:$I$1369,$B$5:$B$1369,B851,$C$5:$C$1369,C851)</f>
        <v>0.411467492800121</v>
      </c>
      <c r="K851" s="28" t="n">
        <f aca="false">INDEX(Sector_Params!$F$11:$H$11,MATCH(B851,Sector_Params!$C$15:$E$15,0))</f>
        <v>0.24</v>
      </c>
      <c r="L851" s="16" t="n">
        <f aca="false">J851*K851</f>
        <v>0.0987521982720291</v>
      </c>
      <c r="M851" s="44" t="n">
        <f aca="false">Country_Data!$DW$125+Sector_Params!$E$11</f>
        <v>0.105</v>
      </c>
      <c r="N851" s="44" t="n">
        <f aca="false">Country_Data!$DX$125+Sector_Params!$E$11</f>
        <v>0.15</v>
      </c>
      <c r="O851" s="11" t="n">
        <f aca="false">IF(p_use_ibrd=1,p_r_ibrd,p_r_wb)</f>
        <v>0.06</v>
      </c>
      <c r="P851" s="45" t="n">
        <f aca="false">Sector_Params!$D$11</f>
        <v>30</v>
      </c>
      <c r="Q851" s="46" t="n">
        <f aca="false">M851/(1-(1+M851)^-P851)</f>
        <v>0.110528481529605</v>
      </c>
      <c r="R851" s="46" t="n">
        <f aca="false">N851/(1-(1+N851)^-P851)</f>
        <v>0.152300198192734</v>
      </c>
      <c r="S851" s="46" t="n">
        <f aca="false">O851/(1-(1+O851)^-P851)</f>
        <v>0.0726489114900472</v>
      </c>
      <c r="T851" s="37" t="n">
        <f aca="false">0*Sector_Params!$I$11</f>
        <v>0</v>
      </c>
      <c r="U851" s="37" t="n">
        <f aca="false">p_c*Sector_Params!$J$11</f>
        <v>0.129</v>
      </c>
      <c r="V851" s="37" t="n">
        <f aca="false">1000*p_r_wb/(1-(1+p_r_wb)^-Sector_Params!$D$11)/p_cpt_afolu</f>
        <v>1.45297822980094</v>
      </c>
      <c r="W851" s="16" t="n">
        <f aca="false">T851*L851</f>
        <v>0</v>
      </c>
      <c r="X851" s="16" t="n">
        <f aca="false">U851*L851</f>
        <v>0.0127390335770918</v>
      </c>
      <c r="Y851" s="16" t="n">
        <f aca="false">V851*L851</f>
        <v>0.143484794234245</v>
      </c>
      <c r="Z851" s="16" t="n">
        <f aca="false">Q851*L851</f>
        <v>0.0109149305227179</v>
      </c>
      <c r="AA851" s="16" t="n">
        <f aca="false">R851*L851</f>
        <v>0.0150399793687982</v>
      </c>
      <c r="AB851" s="16" t="n">
        <f aca="false">S851*L851</f>
        <v>0.00717423971171224</v>
      </c>
      <c r="AC851" s="16" t="n">
        <f aca="false">Z851-W851</f>
        <v>0.0109149305227179</v>
      </c>
      <c r="AD851" s="16" t="n">
        <f aca="false">AA851-W851</f>
        <v>0.0150399793687982</v>
      </c>
      <c r="AE851" s="16" t="n">
        <f aca="false">AB851-W851</f>
        <v>0.00717423971171224</v>
      </c>
      <c r="AF851" s="16" t="n">
        <f aca="false">AE851-X851</f>
        <v>-0.00556479386537952</v>
      </c>
      <c r="AG851" s="16" t="n">
        <f aca="false">AF851-p_spc_lo*Y851/1000</f>
        <v>-0.0127390335770918</v>
      </c>
      <c r="AH851" s="16" t="n">
        <f aca="false">AF851-p_spc_hi*Y851/1000</f>
        <v>-0.019913273288804</v>
      </c>
      <c r="AI851" s="16" t="n">
        <f aca="false">Q851*J851</f>
        <v>0.0454788771779912</v>
      </c>
      <c r="AJ851" s="16" t="n">
        <f aca="false">S851*J851</f>
        <v>0.0298926654654677</v>
      </c>
      <c r="AK851" s="16" t="n">
        <f aca="false">T851*J851</f>
        <v>0</v>
      </c>
      <c r="AL851" s="16" t="n">
        <f aca="false">U851*J851</f>
        <v>0.0530793065712157</v>
      </c>
      <c r="AM851" s="16" t="n">
        <f aca="false">AI851-AJ851</f>
        <v>0.0155862117125235</v>
      </c>
      <c r="AN851" s="16" t="n">
        <f aca="false">J851*Country_Data!$EB$125</f>
        <v>0.47234213557055</v>
      </c>
      <c r="AO851" s="16" t="n">
        <f aca="false">L851*Country_Data!$EB$125</f>
        <v>0.113362112536932</v>
      </c>
    </row>
    <row r="852" customFormat="false" ht="15" hidden="false" customHeight="false" outlineLevel="0" collapsed="false">
      <c r="A852" s="14" t="str">
        <f aca="false">Country_Data!$A$126</f>
        <v>GIN</v>
      </c>
      <c r="B852" s="14" t="str">
        <f aca="false">Country_Data!$E$126</f>
        <v>EMDC</v>
      </c>
      <c r="C852" s="35" t="s">
        <v>466</v>
      </c>
      <c r="D852" s="37" t="n">
        <f aca="false">IF(Country_Data!$BZ$126="","",Country_Data!$BZ$126)</f>
        <v>2.57809829655598</v>
      </c>
      <c r="E852" s="40" t="n">
        <f aca="false">Country_Data!$BW$126</f>
        <v>68.371</v>
      </c>
      <c r="F852" s="41" t="n">
        <f aca="false">Country_Data!$BX$126</f>
        <v>0.354433897412646</v>
      </c>
      <c r="G852" s="42" t="n">
        <f aca="false">IF(D852="","",D852/SUMIFS($D$5:$D$1369,$B$5:$B$1369,B852,$C$5:$C$1369,C852))</f>
        <v>0.00029432120688106</v>
      </c>
      <c r="H852" s="42" t="n">
        <f aca="false">E852/SUMIFS($E$5:$E$1369,$B$5:$B$1369,B852,$C$5:$C$1369,C852)</f>
        <v>0.000846889624409883</v>
      </c>
      <c r="I852" s="43" t="n">
        <f aca="false">IF(G852="",H852,p_beta_alloc*G852+(1-p_beta_alloc)*H852)*F852^p_phi</f>
        <v>0.000339706232179925</v>
      </c>
      <c r="J852" s="16" t="n">
        <f aca="false">INDEX(Sector_Params!$C$16:$E$16,MATCH(B852,Sector_Params!$C$15:$E$15,0))*I852/SUMIFS($I$5:$I$1369,$B$5:$B$1369,B852,$C$5:$C$1369,C852)</f>
        <v>0.328572480059935</v>
      </c>
      <c r="K852" s="28" t="n">
        <f aca="false">INDEX(Sector_Params!$F$5:$H$5,MATCH(B852,Sector_Params!$C$15:$E$15,0))</f>
        <v>0.24</v>
      </c>
      <c r="L852" s="16" t="n">
        <f aca="false">J852*K852</f>
        <v>0.0788573952143843</v>
      </c>
      <c r="M852" s="44" t="n">
        <f aca="false">Country_Data!$DW$126+Sector_Params!$E$5</f>
        <v>0.105</v>
      </c>
      <c r="N852" s="44" t="n">
        <f aca="false">Country_Data!$DX$126+Sector_Params!$E$5</f>
        <v>0.15</v>
      </c>
      <c r="O852" s="11" t="n">
        <f aca="false">IF(p_use_ibrd=1,p_r_ibrd,p_r_wb)</f>
        <v>0.06</v>
      </c>
      <c r="P852" s="45" t="n">
        <f aca="false">Sector_Params!$D$5</f>
        <v>25</v>
      </c>
      <c r="Q852" s="46" t="n">
        <f aca="false">M852/(1-(1+M852)^-P852)</f>
        <v>0.114429319813103</v>
      </c>
      <c r="R852" s="46" t="n">
        <f aca="false">N852/(1-(1+N852)^-P852)</f>
        <v>0.154699402320206</v>
      </c>
      <c r="S852" s="46" t="n">
        <f aca="false">O852/(1-(1+O852)^-P852)</f>
        <v>0.078226718212274</v>
      </c>
      <c r="T852" s="37" t="n">
        <f aca="false">IF(AND(p_eng=1,ISNUMBER(Country_Data!$CZ$126)),Country_Data!$CZ$126,Country_Data!$CM$126)*Sector_Params!$I$5</f>
        <v>0.0656905279332055</v>
      </c>
      <c r="U852" s="37" t="n">
        <f aca="false">IF(AND(p_eng=1,ISNUMBER(Country_Data!$DA$126)),Country_Data!$DA$126,Country_Data!$CN$126)*Sector_Params!$J$5</f>
        <v>9.86784238830467E-005</v>
      </c>
      <c r="V852" s="37" t="n">
        <f aca="false">IF(AND(p_eng=1,ISNUMBER(Country_Data!$DB$126)),Country_Data!$DB$126,p_a)</f>
        <v>0.464083676869936</v>
      </c>
      <c r="W852" s="16" t="n">
        <f aca="false">T852*L852</f>
        <v>0.00518018392307034</v>
      </c>
      <c r="X852" s="16" t="n">
        <f aca="false">U852*L852</f>
        <v>7.78152347127796E-006</v>
      </c>
      <c r="Y852" s="16" t="n">
        <f aca="false">V852*L852</f>
        <v>0.0365964299194772</v>
      </c>
      <c r="Z852" s="16" t="n">
        <f aca="false">Q852*L852</f>
        <v>0.00902359809661507</v>
      </c>
      <c r="AA852" s="16" t="n">
        <f aca="false">R852*L852</f>
        <v>0.0121991919081936</v>
      </c>
      <c r="AB852" s="16" t="n">
        <f aca="false">S852*L852</f>
        <v>0.00616875523438956</v>
      </c>
      <c r="AC852" s="16" t="n">
        <f aca="false">Z852-W852</f>
        <v>0.00384341417354473</v>
      </c>
      <c r="AD852" s="16" t="n">
        <f aca="false">AA852-W852</f>
        <v>0.00701900798512323</v>
      </c>
      <c r="AE852" s="16" t="n">
        <f aca="false">AB852-W852</f>
        <v>0.000988571311319222</v>
      </c>
      <c r="AF852" s="16" t="n">
        <f aca="false">AE852-X852</f>
        <v>0.000980789787847944</v>
      </c>
      <c r="AG852" s="16" t="n">
        <f aca="false">AF852-p_spc_lo*Y852/1000</f>
        <v>-0.000849031708125916</v>
      </c>
      <c r="AH852" s="16" t="n">
        <f aca="false">AF852-p_spc_hi*Y852/1000</f>
        <v>-0.00267885320409978</v>
      </c>
      <c r="AI852" s="16" t="n">
        <f aca="false">Q852*J852</f>
        <v>0.0375983254025628</v>
      </c>
      <c r="AJ852" s="16" t="n">
        <f aca="false">S852*J852</f>
        <v>0.0257031468099565</v>
      </c>
      <c r="AK852" s="16" t="n">
        <f aca="false">T852*J852</f>
        <v>0.0215840996794598</v>
      </c>
      <c r="AL852" s="16" t="n">
        <f aca="false">U852*J852</f>
        <v>3.24230144636582E-005</v>
      </c>
      <c r="AM852" s="16" t="n">
        <f aca="false">AI852-AJ852</f>
        <v>0.0118951785926063</v>
      </c>
      <c r="AN852" s="16" t="n">
        <f aca="false">J852*Country_Data!$EB$126</f>
        <v>0.400909367142897</v>
      </c>
      <c r="AO852" s="16" t="n">
        <f aca="false">L852*Country_Data!$EB$126</f>
        <v>0.0962182481142953</v>
      </c>
    </row>
    <row r="853" customFormat="false" ht="15" hidden="false" customHeight="false" outlineLevel="0" collapsed="false">
      <c r="A853" s="14" t="str">
        <f aca="false">Country_Data!$A$126</f>
        <v>GIN</v>
      </c>
      <c r="B853" s="14" t="str">
        <f aca="false">Country_Data!$E$126</f>
        <v>EMDC</v>
      </c>
      <c r="C853" s="35" t="s">
        <v>470</v>
      </c>
      <c r="D853" s="37" t="n">
        <f aca="false">IF(Country_Data!$BZ$126="","",Country_Data!$BZ$126)</f>
        <v>2.57809829655598</v>
      </c>
      <c r="E853" s="40" t="n">
        <f aca="false">Country_Data!$BW$126</f>
        <v>68.371</v>
      </c>
      <c r="F853" s="41" t="n">
        <f aca="false">Country_Data!$BX$126</f>
        <v>0.354433897412646</v>
      </c>
      <c r="G853" s="42" t="n">
        <f aca="false">IF(D853="","",D853/SUMIFS($D$5:$D$1369,$B$5:$B$1369,B853,$C$5:$C$1369,C853))</f>
        <v>0.00029432120688106</v>
      </c>
      <c r="H853" s="42" t="n">
        <f aca="false">E853/SUMIFS($E$5:$E$1369,$B$5:$B$1369,B853,$C$5:$C$1369,C853)</f>
        <v>0.000846889624409883</v>
      </c>
      <c r="I853" s="43" t="n">
        <f aca="false">IF(G853="",H853,p_beta_alloc*G853+(1-p_beta_alloc)*H853)*F853^p_phi</f>
        <v>0.000339706232179925</v>
      </c>
      <c r="J853" s="16" t="n">
        <f aca="false">INDEX(Sector_Params!$C$17:$E$17,MATCH(B853,Sector_Params!$C$15:$E$15,0))*I853/SUMIFS($I$5:$I$1369,$B$5:$B$1369,B853,$C$5:$C$1369,C853)</f>
        <v>0.22530684346967</v>
      </c>
      <c r="K853" s="28" t="n">
        <f aca="false">INDEX(Sector_Params!$F$6:$H$6,MATCH(B853,Sector_Params!$C$15:$E$15,0))</f>
        <v>0.24</v>
      </c>
      <c r="L853" s="16" t="n">
        <f aca="false">J853*K853</f>
        <v>0.0540736424327207</v>
      </c>
      <c r="M853" s="44" t="n">
        <f aca="false">Country_Data!$DW$126+Sector_Params!$E$6</f>
        <v>0.105</v>
      </c>
      <c r="N853" s="44" t="n">
        <f aca="false">Country_Data!$DX$126+Sector_Params!$E$6</f>
        <v>0.15</v>
      </c>
      <c r="O853" s="11" t="n">
        <f aca="false">IF(p_use_ibrd=1,p_r_ibrd,p_r_wb)</f>
        <v>0.06</v>
      </c>
      <c r="P853" s="45" t="n">
        <f aca="false">Sector_Params!$D$6</f>
        <v>40</v>
      </c>
      <c r="Q853" s="46" t="n">
        <f aca="false">M853/(1-(1+M853)^-P853)</f>
        <v>0.10697140835497</v>
      </c>
      <c r="R853" s="46" t="n">
        <f aca="false">N853/(1-(1+N853)^-P853)</f>
        <v>0.150562085013545</v>
      </c>
      <c r="S853" s="46" t="n">
        <f aca="false">O853/(1-(1+O853)^-P853)</f>
        <v>0.0664615359206755</v>
      </c>
      <c r="T853" s="37" t="n">
        <f aca="false">p_grid_credit*IF(AND(p_eng=1,ISNUMBER(Country_Data!$CZ$126)),Country_Data!$CZ$126,Country_Data!$CM$126)*Sector_Params!$I$6</f>
        <v>0</v>
      </c>
      <c r="U853" s="37" t="n">
        <f aca="false">p_grid_credit*IF(AND(p_eng=1,ISNUMBER(Country_Data!$DA$126)),Country_Data!$DA$126,Country_Data!$CN$126)*Sector_Params!$J$6</f>
        <v>0</v>
      </c>
      <c r="V853" s="37" t="n">
        <f aca="false">p_grid_credit*IF(AND(p_eng=1,ISNUMBER(Country_Data!$DB$126)),Country_Data!$DB$126,p_a)</f>
        <v>0</v>
      </c>
      <c r="W853" s="16" t="n">
        <f aca="false">T853*L853</f>
        <v>0</v>
      </c>
      <c r="X853" s="16" t="n">
        <f aca="false">U853*L853</f>
        <v>0</v>
      </c>
      <c r="Y853" s="16" t="n">
        <f aca="false">V853*L853</f>
        <v>0</v>
      </c>
      <c r="Z853" s="16" t="n">
        <f aca="false">Q853*L853</f>
        <v>0.00578433368591122</v>
      </c>
      <c r="AA853" s="16" t="n">
        <f aca="false">R853*L853</f>
        <v>0.00814144034894733</v>
      </c>
      <c r="AB853" s="16" t="n">
        <f aca="false">S853*L853</f>
        <v>0.00359381732890403</v>
      </c>
      <c r="AC853" s="16" t="n">
        <f aca="false">Z853-W853</f>
        <v>0.00578433368591122</v>
      </c>
      <c r="AD853" s="16" t="n">
        <f aca="false">AA853-W853</f>
        <v>0.00814144034894733</v>
      </c>
      <c r="AE853" s="16" t="n">
        <f aca="false">AB853-W853</f>
        <v>0.00359381732890403</v>
      </c>
      <c r="AF853" s="16" t="n">
        <f aca="false">AE853-X853</f>
        <v>0.00359381732890403</v>
      </c>
      <c r="AG853" s="16" t="n">
        <f aca="false">AF853-p_spc_lo*Y853/1000</f>
        <v>0.00359381732890403</v>
      </c>
      <c r="AH853" s="16" t="n">
        <f aca="false">AF853-p_spc_hi*Y853/1000</f>
        <v>0.00359381732890403</v>
      </c>
      <c r="AI853" s="16" t="n">
        <f aca="false">Q853*J853</f>
        <v>0.0241013903579634</v>
      </c>
      <c r="AJ853" s="16" t="n">
        <f aca="false">S853*J853</f>
        <v>0.0149742388704335</v>
      </c>
      <c r="AK853" s="16" t="n">
        <f aca="false">T853*J853</f>
        <v>0</v>
      </c>
      <c r="AL853" s="16" t="n">
        <f aca="false">U853*J853</f>
        <v>0</v>
      </c>
      <c r="AM853" s="16" t="n">
        <f aca="false">AI853-AJ853</f>
        <v>0.00912715148752995</v>
      </c>
      <c r="AN853" s="16" t="n">
        <f aca="false">J853*Country_Data!$EB$126</f>
        <v>0.274909280326558</v>
      </c>
      <c r="AO853" s="16" t="n">
        <f aca="false">L853*Country_Data!$EB$126</f>
        <v>0.0659782272783739</v>
      </c>
    </row>
    <row r="854" customFormat="false" ht="15" hidden="false" customHeight="false" outlineLevel="0" collapsed="false">
      <c r="A854" s="14" t="str">
        <f aca="false">Country_Data!$A$126</f>
        <v>GIN</v>
      </c>
      <c r="B854" s="14" t="str">
        <f aca="false">Country_Data!$E$126</f>
        <v>EMDC</v>
      </c>
      <c r="C854" s="35" t="s">
        <v>473</v>
      </c>
      <c r="D854" s="37" t="n">
        <f aca="false">IF(Country_Data!$CA$126="","",Country_Data!$CA$126)</f>
        <v>0.05620149492417</v>
      </c>
      <c r="E854" s="40" t="n">
        <f aca="false">Country_Data!$BW$126</f>
        <v>68.371</v>
      </c>
      <c r="F854" s="41" t="n">
        <f aca="false">Country_Data!$BX$126</f>
        <v>0.354433897412646</v>
      </c>
      <c r="G854" s="42" t="n">
        <f aca="false">IF(D854="","",D854/SUMIFS($D$5:$D$1369,$B$5:$B$1369,B854,$C$5:$C$1369,C854))</f>
        <v>0.00129838529757645</v>
      </c>
      <c r="H854" s="42" t="n">
        <f aca="false">E854/SUMIFS($E$5:$E$1369,$B$5:$B$1369,B854,$C$5:$C$1369,C854)</f>
        <v>0.000846889624409883</v>
      </c>
      <c r="I854" s="43" t="n">
        <f aca="false">IF(G854="",H854,p_beta_alloc*G854+(1-p_beta_alloc)*H854)*F854^p_phi</f>
        <v>0.000638587753249484</v>
      </c>
      <c r="J854" s="16" t="n">
        <f aca="false">INDEX(Sector_Params!$C$18:$E$18,MATCH(B854,Sector_Params!$C$15:$E$15,0))*I854/SUMIFS($I$5:$I$1369,$B$5:$B$1369,B854,$C$5:$C$1369,C854)</f>
        <v>0.261486575193969</v>
      </c>
      <c r="K854" s="28" t="n">
        <f aca="false">INDEX(Sector_Params!$F$7:$H$7,MATCH(B854,Sector_Params!$C$15:$E$15,0))</f>
        <v>0.24</v>
      </c>
      <c r="L854" s="16" t="n">
        <f aca="false">J854*K854</f>
        <v>0.0627567780465526</v>
      </c>
      <c r="M854" s="44" t="n">
        <f aca="false">Country_Data!$DW$126+Sector_Params!$E$7</f>
        <v>0.105</v>
      </c>
      <c r="N854" s="44" t="n">
        <f aca="false">Country_Data!$DX$126+Sector_Params!$E$7</f>
        <v>0.15</v>
      </c>
      <c r="O854" s="11" t="n">
        <f aca="false">IF(p_use_ibrd=1,p_r_ibrd,p_r_wb)</f>
        <v>0.06</v>
      </c>
      <c r="P854" s="45" t="n">
        <f aca="false">Sector_Params!$D$7</f>
        <v>12</v>
      </c>
      <c r="Q854" s="46" t="n">
        <f aca="false">M854/(1-(1+M854)^-P854)</f>
        <v>0.150376745634766</v>
      </c>
      <c r="R854" s="46" t="n">
        <f aca="false">N854/(1-(1+N854)^-P854)</f>
        <v>0.18448077613084</v>
      </c>
      <c r="S854" s="46" t="n">
        <f aca="false">O854/(1-(1+O854)^-P854)</f>
        <v>0.119277029380664</v>
      </c>
      <c r="T854" s="37" t="n">
        <f aca="false">IF(AND(p_eng=1,ISNUMBER(Country_Data!$DE$126)),Country_Data!$DE$126,Country_Data!$CM$126)*Sector_Params!$I$7</f>
        <v>0.11751282</v>
      </c>
      <c r="U854" s="37" t="n">
        <f aca="false">IF(AND(p_eng=1,ISNUMBER(Country_Data!$DF$126)),Country_Data!$DF$126,Country_Data!$CN$126)*Sector_Params!$J$7</f>
        <v>0.0001431</v>
      </c>
      <c r="V854" s="37" t="n">
        <f aca="false">IF(AND(p_eng=1,ISNUMBER(Country_Data!$DG$126)),Country_Data!$DG$126,p_a)</f>
        <v>0.42436573325062</v>
      </c>
      <c r="W854" s="16" t="n">
        <f aca="false">T854*L854</f>
        <v>0.00737472596236449</v>
      </c>
      <c r="X854" s="16" t="n">
        <f aca="false">U854*L854</f>
        <v>8.98049493846168E-006</v>
      </c>
      <c r="Y854" s="16" t="n">
        <f aca="false">V854*L854</f>
        <v>0.0266318261321717</v>
      </c>
      <c r="Z854" s="16" t="n">
        <f aca="false">Q854*L854</f>
        <v>0.00943716004916389</v>
      </c>
      <c r="AA854" s="16" t="n">
        <f aca="false">R854*L854</f>
        <v>0.0115774191214989</v>
      </c>
      <c r="AB854" s="16" t="n">
        <f aca="false">S854*L854</f>
        <v>0.00748544205889444</v>
      </c>
      <c r="AC854" s="16" t="n">
        <f aca="false">Z854-W854</f>
        <v>0.0020624340867994</v>
      </c>
      <c r="AD854" s="16" t="n">
        <f aca="false">AA854-W854</f>
        <v>0.00420269315913437</v>
      </c>
      <c r="AE854" s="16" t="n">
        <f aca="false">AB854-W854</f>
        <v>0.000110716096529948</v>
      </c>
      <c r="AF854" s="16" t="n">
        <f aca="false">AE854-X854</f>
        <v>0.000101735601591486</v>
      </c>
      <c r="AG854" s="16" t="n">
        <f aca="false">AF854-p_spc_lo*Y854/1000</f>
        <v>-0.0012298557050171</v>
      </c>
      <c r="AH854" s="16" t="n">
        <f aca="false">AF854-p_spc_hi*Y854/1000</f>
        <v>-0.00256144701162569</v>
      </c>
      <c r="AI854" s="16" t="n">
        <f aca="false">Q854*J854</f>
        <v>0.0393215002048495</v>
      </c>
      <c r="AJ854" s="16" t="n">
        <f aca="false">S854*J854</f>
        <v>0.0311893419120602</v>
      </c>
      <c r="AK854" s="16" t="n">
        <f aca="false">T854*J854</f>
        <v>0.0307280248431854</v>
      </c>
      <c r="AL854" s="16" t="n">
        <f aca="false">U854*J854</f>
        <v>3.7418728910257E-005</v>
      </c>
      <c r="AM854" s="16" t="n">
        <f aca="false">AI854-AJ854</f>
        <v>0.00813215829278939</v>
      </c>
      <c r="AN854" s="16" t="n">
        <f aca="false">J854*Country_Data!$EB$126</f>
        <v>0.319054162290936</v>
      </c>
      <c r="AO854" s="16" t="n">
        <f aca="false">L854*Country_Data!$EB$126</f>
        <v>0.0765729989498246</v>
      </c>
    </row>
    <row r="855" customFormat="false" ht="15" hidden="false" customHeight="false" outlineLevel="0" collapsed="false">
      <c r="A855" s="14" t="str">
        <f aca="false">Country_Data!$A$126</f>
        <v>GIN</v>
      </c>
      <c r="B855" s="14" t="str">
        <f aca="false">Country_Data!$E$126</f>
        <v>EMDC</v>
      </c>
      <c r="C855" s="35" t="s">
        <v>477</v>
      </c>
      <c r="D855" s="37" t="n">
        <f aca="false">IF(Country_Data!$CB$126="","",Country_Data!$CB$126)</f>
        <v>0.00308297038427619</v>
      </c>
      <c r="E855" s="40" t="n">
        <f aca="false">Country_Data!$BW$126</f>
        <v>68.371</v>
      </c>
      <c r="F855" s="41" t="n">
        <f aca="false">Country_Data!$BX$126</f>
        <v>0.354433897412646</v>
      </c>
      <c r="G855" s="42" t="n">
        <f aca="false">IF(D855="","",D855/SUMIFS($D$5:$D$1369,$B$5:$B$1369,B855,$C$5:$C$1369,C855))</f>
        <v>9.72154438620242E-005</v>
      </c>
      <c r="H855" s="42" t="n">
        <f aca="false">E855/SUMIFS($E$5:$E$1369,$B$5:$B$1369,B855,$C$5:$C$1369,C855)</f>
        <v>0.000846889624409883</v>
      </c>
      <c r="I855" s="43" t="n">
        <f aca="false">IF(G855="",H855,p_beta_alloc*G855+(1-p_beta_alloc)*H855)*F855^p_phi</f>
        <v>0.000281033413573391</v>
      </c>
      <c r="J855" s="16" t="n">
        <f aca="false">INDEX(Sector_Params!$C$19:$E$19,MATCH(B855,Sector_Params!$C$15:$E$15,0))*I855/SUMIFS($I$5:$I$1369,$B$5:$B$1369,B855,$C$5:$C$1369,C855)</f>
        <v>0.0904541442031521</v>
      </c>
      <c r="K855" s="28" t="n">
        <f aca="false">INDEX(Sector_Params!$F$8:$H$8,MATCH(B855,Sector_Params!$C$15:$E$15,0))</f>
        <v>0.24</v>
      </c>
      <c r="L855" s="16" t="n">
        <f aca="false">J855*K855</f>
        <v>0.0217089946087565</v>
      </c>
      <c r="M855" s="44" t="n">
        <f aca="false">Country_Data!$DW$126+Sector_Params!$E$8</f>
        <v>0.105</v>
      </c>
      <c r="N855" s="44" t="n">
        <f aca="false">Country_Data!$DX$126+Sector_Params!$E$8</f>
        <v>0.15</v>
      </c>
      <c r="O855" s="11" t="n">
        <f aca="false">IF(p_use_ibrd=1,p_r_ibrd,p_r_wb)</f>
        <v>0.06</v>
      </c>
      <c r="P855" s="45" t="n">
        <f aca="false">Sector_Params!$D$8</f>
        <v>25</v>
      </c>
      <c r="Q855" s="46" t="n">
        <f aca="false">M855/(1-(1+M855)^-P855)</f>
        <v>0.114429319813103</v>
      </c>
      <c r="R855" s="46" t="n">
        <f aca="false">N855/(1-(1+N855)^-P855)</f>
        <v>0.154699402320206</v>
      </c>
      <c r="S855" s="46" t="n">
        <f aca="false">O855/(1-(1+O855)^-P855)</f>
        <v>0.078226718212274</v>
      </c>
      <c r="T855" s="37" t="n">
        <f aca="false">Country_Data!$CM$126*Sector_Params!$I$8</f>
        <v>0.278759674029019</v>
      </c>
      <c r="U855" s="37" t="n">
        <f aca="false">Country_Data!$CN$126*Sector_Params!$J$8</f>
        <v>0.03225</v>
      </c>
      <c r="V855" s="37" t="n">
        <f aca="false">p_a</f>
        <v>0.35</v>
      </c>
      <c r="W855" s="16" t="n">
        <f aca="false">T855*L855</f>
        <v>0.0060515922606347</v>
      </c>
      <c r="X855" s="16" t="n">
        <f aca="false">U855*L855</f>
        <v>0.000700115076132398</v>
      </c>
      <c r="Y855" s="16" t="n">
        <f aca="false">V855*L855</f>
        <v>0.00759814811306478</v>
      </c>
      <c r="Z855" s="16" t="n">
        <f aca="false">Q855*L855</f>
        <v>0.00248414548690634</v>
      </c>
      <c r="AA855" s="16" t="n">
        <f aca="false">R855*L855</f>
        <v>0.00335836849094722</v>
      </c>
      <c r="AB855" s="16" t="n">
        <f aca="false">S855*L855</f>
        <v>0.00169822340393097</v>
      </c>
      <c r="AC855" s="16" t="n">
        <f aca="false">Z855-W855</f>
        <v>-0.00356744677372836</v>
      </c>
      <c r="AD855" s="16" t="n">
        <f aca="false">AA855-W855</f>
        <v>-0.00269322376968748</v>
      </c>
      <c r="AE855" s="16" t="n">
        <f aca="false">AB855-W855</f>
        <v>-0.00435336885670373</v>
      </c>
      <c r="AF855" s="16" t="n">
        <f aca="false">AE855-X855</f>
        <v>-0.00505348393283613</v>
      </c>
      <c r="AG855" s="16" t="n">
        <f aca="false">AF855-p_spc_lo*Y855/1000</f>
        <v>-0.00543339133848937</v>
      </c>
      <c r="AH855" s="16" t="n">
        <f aca="false">AF855-p_spc_hi*Y855/1000</f>
        <v>-0.00581329874414261</v>
      </c>
      <c r="AI855" s="16" t="n">
        <f aca="false">Q855*J855</f>
        <v>0.0103506061954431</v>
      </c>
      <c r="AJ855" s="16" t="n">
        <f aca="false">S855*J855</f>
        <v>0.00707593084971238</v>
      </c>
      <c r="AK855" s="16" t="n">
        <f aca="false">T855*J855</f>
        <v>0.0252149677526446</v>
      </c>
      <c r="AL855" s="16" t="n">
        <f aca="false">U855*J855</f>
        <v>0.00291714615055166</v>
      </c>
      <c r="AM855" s="16" t="n">
        <f aca="false">AI855-AJ855</f>
        <v>0.00327467534573069</v>
      </c>
      <c r="AN855" s="16" t="n">
        <f aca="false">J855*Country_Data!$EB$126</f>
        <v>0.110368079826172</v>
      </c>
      <c r="AO855" s="16" t="n">
        <f aca="false">L855*Country_Data!$EB$126</f>
        <v>0.0264883391582812</v>
      </c>
    </row>
    <row r="856" customFormat="false" ht="15" hidden="false" customHeight="false" outlineLevel="0" collapsed="false">
      <c r="A856" s="14" t="str">
        <f aca="false">Country_Data!$A$126</f>
        <v>GIN</v>
      </c>
      <c r="B856" s="14" t="str">
        <f aca="false">Country_Data!$E$126</f>
        <v>EMDC</v>
      </c>
      <c r="C856" s="35" t="s">
        <v>481</v>
      </c>
      <c r="D856" s="37" t="n">
        <f aca="false">IF(Country_Data!$CC$126="","",Country_Data!$CC$126)</f>
        <v>0.0120098076908857</v>
      </c>
      <c r="E856" s="40" t="n">
        <f aca="false">Country_Data!$BW$126</f>
        <v>68.371</v>
      </c>
      <c r="F856" s="41" t="n">
        <f aca="false">Country_Data!$BX$126</f>
        <v>0.354433897412646</v>
      </c>
      <c r="G856" s="42" t="n">
        <f aca="false">IF(D856="","",D856/SUMIFS($D$5:$D$1369,$B$5:$B$1369,B856,$C$5:$C$1369,C856))</f>
        <v>0.000171550895081094</v>
      </c>
      <c r="H856" s="42" t="n">
        <f aca="false">E856/SUMIFS($E$5:$E$1369,$B$5:$B$1369,B856,$C$5:$C$1369,C856)</f>
        <v>0.000846889624409883</v>
      </c>
      <c r="I856" s="43" t="n">
        <f aca="false">IF(G856="",H856,p_beta_alloc*G856+(1-p_beta_alloc)*H856)*F856^p_phi</f>
        <v>0.000303160977874949</v>
      </c>
      <c r="J856" s="16" t="n">
        <f aca="false">INDEX(Sector_Params!$C$20:$E$20,MATCH(B856,Sector_Params!$C$15:$E$15,0))*I856/SUMIFS($I$5:$I$1369,$B$5:$B$1369,B856,$C$5:$C$1369,C856)</f>
        <v>0.0553329834230612</v>
      </c>
      <c r="K856" s="28" t="n">
        <f aca="false">INDEX(Sector_Params!$F$9:$H$9,MATCH(B856,Sector_Params!$C$15:$E$15,0))</f>
        <v>0.24</v>
      </c>
      <c r="L856" s="16" t="n">
        <f aca="false">J856*K856</f>
        <v>0.0132799160215347</v>
      </c>
      <c r="M856" s="44" t="n">
        <f aca="false">Country_Data!$DW$126+Sector_Params!$E$9</f>
        <v>0.105</v>
      </c>
      <c r="N856" s="44" t="n">
        <f aca="false">Country_Data!$DX$126+Sector_Params!$E$9</f>
        <v>0.15</v>
      </c>
      <c r="O856" s="11" t="n">
        <f aca="false">IF(p_use_ibrd=1,p_r_ibrd,p_r_wb)</f>
        <v>0.06</v>
      </c>
      <c r="P856" s="45" t="n">
        <f aca="false">Sector_Params!$D$9</f>
        <v>25</v>
      </c>
      <c r="Q856" s="46" t="n">
        <f aca="false">M856/(1-(1+M856)^-P856)</f>
        <v>0.114429319813103</v>
      </c>
      <c r="R856" s="46" t="n">
        <f aca="false">N856/(1-(1+N856)^-P856)</f>
        <v>0.154699402320206</v>
      </c>
      <c r="S856" s="46" t="n">
        <f aca="false">O856/(1-(1+O856)^-P856)</f>
        <v>0.078226718212274</v>
      </c>
      <c r="T856" s="37" t="n">
        <f aca="false">Country_Data!$CM$126*Sector_Params!$I$9</f>
        <v>0.278759674029019</v>
      </c>
      <c r="U856" s="37" t="n">
        <f aca="false">Country_Data!$CN$126*Sector_Params!$J$9</f>
        <v>0.03225</v>
      </c>
      <c r="V856" s="37" t="n">
        <f aca="false">p_a</f>
        <v>0.35</v>
      </c>
      <c r="W856" s="16" t="n">
        <f aca="false">T856*L856</f>
        <v>0.00370190506129576</v>
      </c>
      <c r="X856" s="16" t="n">
        <f aca="false">U856*L856</f>
        <v>0.000428277291694493</v>
      </c>
      <c r="Y856" s="16" t="n">
        <f aca="false">V856*L856</f>
        <v>0.00464797060753714</v>
      </c>
      <c r="Z856" s="16" t="n">
        <f aca="false">Q856*L856</f>
        <v>0.00151961175751935</v>
      </c>
      <c r="AA856" s="16" t="n">
        <f aca="false">R856*L856</f>
        <v>0.00205439507139395</v>
      </c>
      <c r="AB856" s="16" t="n">
        <f aca="false">S856*L856</f>
        <v>0.00103884424849926</v>
      </c>
      <c r="AC856" s="16" t="n">
        <f aca="false">Z856-W856</f>
        <v>-0.00218229330377641</v>
      </c>
      <c r="AD856" s="16" t="n">
        <f aca="false">AA856-W856</f>
        <v>-0.00164750998990181</v>
      </c>
      <c r="AE856" s="16" t="n">
        <f aca="false">AB856-W856</f>
        <v>-0.0026630608127965</v>
      </c>
      <c r="AF856" s="16" t="n">
        <f aca="false">AE856-X856</f>
        <v>-0.00309133810449099</v>
      </c>
      <c r="AG856" s="16" t="n">
        <f aca="false">AF856-p_spc_lo*Y856/1000</f>
        <v>-0.00332373663486785</v>
      </c>
      <c r="AH856" s="16" t="n">
        <f aca="false">AF856-p_spc_hi*Y856/1000</f>
        <v>-0.00355613516524471</v>
      </c>
      <c r="AI856" s="16" t="n">
        <f aca="false">Q856*J856</f>
        <v>0.00633171565633061</v>
      </c>
      <c r="AJ856" s="16" t="n">
        <f aca="false">S856*J856</f>
        <v>0.00432851770208023</v>
      </c>
      <c r="AK856" s="16" t="n">
        <f aca="false">T856*J856</f>
        <v>0.0154246044220657</v>
      </c>
      <c r="AL856" s="16" t="n">
        <f aca="false">U856*J856</f>
        <v>0.00178448871539372</v>
      </c>
      <c r="AM856" s="16" t="n">
        <f aca="false">AI856-AJ856</f>
        <v>0.00200319795425038</v>
      </c>
      <c r="AN856" s="16" t="n">
        <f aca="false">J856*Country_Data!$EB$126</f>
        <v>0.0675148185332545</v>
      </c>
      <c r="AO856" s="16" t="n">
        <f aca="false">L856*Country_Data!$EB$126</f>
        <v>0.0162035564479811</v>
      </c>
    </row>
    <row r="857" customFormat="false" ht="15" hidden="false" customHeight="false" outlineLevel="0" collapsed="false">
      <c r="A857" s="14" t="str">
        <f aca="false">Country_Data!$A$126</f>
        <v>GIN</v>
      </c>
      <c r="B857" s="14" t="str">
        <f aca="false">Country_Data!$E$126</f>
        <v>EMDC</v>
      </c>
      <c r="C857" s="35" t="s">
        <v>484</v>
      </c>
      <c r="D857" s="37" t="n">
        <f aca="false">IF(Country_Data!$CD$126="","",Country_Data!$CD$126)</f>
        <v>0.0620131191317304</v>
      </c>
      <c r="E857" s="40" t="n">
        <f aca="false">Country_Data!$BW$126</f>
        <v>68.371</v>
      </c>
      <c r="F857" s="41" t="n">
        <f aca="false">Country_Data!$BX$126</f>
        <v>0.354433897412646</v>
      </c>
      <c r="G857" s="42" t="n">
        <f aca="false">IF(D857="","",D857/SUMIFS($D$5:$D$1369,$B$5:$B$1369,B857,$C$5:$C$1369,C857))</f>
        <v>0.000346303911822647</v>
      </c>
      <c r="H857" s="42" t="n">
        <f aca="false">E857/SUMIFS($E$5:$E$1369,$B$5:$B$1369,B857,$C$5:$C$1369,C857)</f>
        <v>0.000846889624409883</v>
      </c>
      <c r="I857" s="43" t="n">
        <f aca="false">IF(G857="",H857,p_beta_alloc*G857+(1-p_beta_alloc)*H857)*F857^p_phi</f>
        <v>0.000355180015244402</v>
      </c>
      <c r="J857" s="16" t="n">
        <f aca="false">INDEX(Sector_Params!$C$21:$E$21,MATCH(B857,Sector_Params!$C$15:$E$15,0))*I857/SUMIFS($I$5:$I$1369,$B$5:$B$1369,B857,$C$5:$C$1369,C857)</f>
        <v>0.0787753138711723</v>
      </c>
      <c r="K857" s="28" t="n">
        <f aca="false">INDEX(Sector_Params!$F$10:$H$10,MATCH(B857,Sector_Params!$C$15:$E$15,0))</f>
        <v>0.24</v>
      </c>
      <c r="L857" s="16" t="n">
        <f aca="false">J857*K857</f>
        <v>0.0189060753290813</v>
      </c>
      <c r="M857" s="44" t="n">
        <f aca="false">Country_Data!$DW$126+Sector_Params!$E$10</f>
        <v>0.105</v>
      </c>
      <c r="N857" s="44" t="n">
        <f aca="false">Country_Data!$DX$126+Sector_Params!$E$10</f>
        <v>0.15</v>
      </c>
      <c r="O857" s="11" t="n">
        <f aca="false">IF(p_use_ibrd=1,p_r_ibrd,p_r_wb)</f>
        <v>0.06</v>
      </c>
      <c r="P857" s="45" t="n">
        <f aca="false">Sector_Params!$D$10</f>
        <v>20</v>
      </c>
      <c r="Q857" s="46" t="n">
        <f aca="false">M857/(1-(1+M857)^-P857)</f>
        <v>0.121493265267016</v>
      </c>
      <c r="R857" s="46" t="n">
        <f aca="false">N857/(1-(1+N857)^-P857)</f>
        <v>0.159761470405744</v>
      </c>
      <c r="S857" s="46" t="n">
        <f aca="false">O857/(1-(1+O857)^-P857)</f>
        <v>0.0871845569768514</v>
      </c>
      <c r="T857" s="37" t="n">
        <f aca="false">0*Sector_Params!$I$10</f>
        <v>0</v>
      </c>
      <c r="U857" s="37" t="n">
        <f aca="false">0*Sector_Params!$J$10</f>
        <v>0</v>
      </c>
      <c r="V857" s="37" t="n">
        <f aca="false">1000*p_r_wb/(1-(1+p_r_wb)^-Sector_Params!$D$10)/p_cpt_fuel</f>
        <v>0.871845569768514</v>
      </c>
      <c r="W857" s="16" t="n">
        <f aca="false">T857*L857</f>
        <v>0</v>
      </c>
      <c r="X857" s="16" t="n">
        <f aca="false">U857*L857</f>
        <v>0</v>
      </c>
      <c r="Y857" s="16" t="n">
        <f aca="false">V857*L857</f>
        <v>0.0164831780173694</v>
      </c>
      <c r="Z857" s="16" t="n">
        <f aca="false">Q857*L857</f>
        <v>0.00229696082511427</v>
      </c>
      <c r="AA857" s="16" t="n">
        <f aca="false">R857*L857</f>
        <v>0.00302046239417579</v>
      </c>
      <c r="AB857" s="16" t="n">
        <f aca="false">S857*L857</f>
        <v>0.00164831780173694</v>
      </c>
      <c r="AC857" s="16" t="n">
        <f aca="false">Z857-W857</f>
        <v>0.00229696082511427</v>
      </c>
      <c r="AD857" s="16" t="n">
        <f aca="false">AA857-W857</f>
        <v>0.00302046239417579</v>
      </c>
      <c r="AE857" s="16" t="n">
        <f aca="false">AB857-W857</f>
        <v>0.00164831780173694</v>
      </c>
      <c r="AF857" s="16" t="n">
        <f aca="false">AE857-X857</f>
        <v>0.00164831780173694</v>
      </c>
      <c r="AG857" s="16" t="n">
        <f aca="false">AF857-p_spc_lo*Y857/1000</f>
        <v>0.000824158900868468</v>
      </c>
      <c r="AH857" s="16" t="n">
        <f aca="false">AF857-p_spc_hi*Y857/1000</f>
        <v>0</v>
      </c>
      <c r="AI857" s="16" t="n">
        <f aca="false">Q857*J857</f>
        <v>0.00957067010464279</v>
      </c>
      <c r="AJ857" s="16" t="n">
        <f aca="false">S857*J857</f>
        <v>0.00686799084057057</v>
      </c>
      <c r="AK857" s="16" t="n">
        <f aca="false">T857*J857</f>
        <v>0</v>
      </c>
      <c r="AL857" s="16" t="n">
        <f aca="false">U857*J857</f>
        <v>0</v>
      </c>
      <c r="AM857" s="16" t="n">
        <f aca="false">AI857-AJ857</f>
        <v>0.00270267926407222</v>
      </c>
      <c r="AN857" s="16" t="n">
        <f aca="false">J857*Country_Data!$EB$126</f>
        <v>0.0961180961497869</v>
      </c>
      <c r="AO857" s="16" t="n">
        <f aca="false">L857*Country_Data!$EB$126</f>
        <v>0.0230683430759489</v>
      </c>
    </row>
    <row r="858" customFormat="false" ht="15" hidden="false" customHeight="false" outlineLevel="0" collapsed="false">
      <c r="A858" s="14" t="str">
        <f aca="false">Country_Data!$A$126</f>
        <v>GIN</v>
      </c>
      <c r="B858" s="14" t="str">
        <f aca="false">Country_Data!$E$126</f>
        <v>EMDC</v>
      </c>
      <c r="C858" s="35" t="s">
        <v>488</v>
      </c>
      <c r="D858" s="37" t="n">
        <f aca="false">IF(Country_Data!$CE$126="","",Country_Data!$CE$126)</f>
        <v>37.359</v>
      </c>
      <c r="E858" s="40" t="n">
        <f aca="false">Country_Data!$BW$126</f>
        <v>68.371</v>
      </c>
      <c r="F858" s="41" t="n">
        <f aca="false">Country_Data!$BX$126</f>
        <v>0.354433897412646</v>
      </c>
      <c r="G858" s="42" t="n">
        <f aca="false">IF(D858="","",D858/SUMIFS($D$5:$D$1369,$B$5:$B$1369,B858,$C$5:$C$1369,C858))</f>
        <v>0.00306118184775457</v>
      </c>
      <c r="H858" s="42" t="n">
        <f aca="false">E858/SUMIFS($E$5:$E$1369,$B$5:$B$1369,B858,$C$5:$C$1369,C858)</f>
        <v>0.000846889624409883</v>
      </c>
      <c r="I858" s="43" t="n">
        <f aca="false">IF(G858="",H858,p_beta_alloc*G858+(1-p_beta_alloc)*H858)*F858^p_phi</f>
        <v>0.00116332249790957</v>
      </c>
      <c r="J858" s="16" t="n">
        <f aca="false">INDEX(Sector_Params!$C$22:$E$22,MATCH(B858,Sector_Params!$C$15:$E$15,0))*I858/SUMIFS($I$5:$I$1369,$B$5:$B$1369,B858,$C$5:$C$1369,C858)</f>
        <v>0.701260559943651</v>
      </c>
      <c r="K858" s="28" t="n">
        <f aca="false">INDEX(Sector_Params!$F$11:$H$11,MATCH(B858,Sector_Params!$C$15:$E$15,0))</f>
        <v>0.24</v>
      </c>
      <c r="L858" s="16" t="n">
        <f aca="false">J858*K858</f>
        <v>0.168302534386476</v>
      </c>
      <c r="M858" s="44" t="n">
        <f aca="false">Country_Data!$DW$126+Sector_Params!$E$11</f>
        <v>0.105</v>
      </c>
      <c r="N858" s="44" t="n">
        <f aca="false">Country_Data!$DX$126+Sector_Params!$E$11</f>
        <v>0.15</v>
      </c>
      <c r="O858" s="11" t="n">
        <f aca="false">IF(p_use_ibrd=1,p_r_ibrd,p_r_wb)</f>
        <v>0.06</v>
      </c>
      <c r="P858" s="45" t="n">
        <f aca="false">Sector_Params!$D$11</f>
        <v>30</v>
      </c>
      <c r="Q858" s="46" t="n">
        <f aca="false">M858/(1-(1+M858)^-P858)</f>
        <v>0.110528481529605</v>
      </c>
      <c r="R858" s="46" t="n">
        <f aca="false">N858/(1-(1+N858)^-P858)</f>
        <v>0.152300198192734</v>
      </c>
      <c r="S858" s="46" t="n">
        <f aca="false">O858/(1-(1+O858)^-P858)</f>
        <v>0.0726489114900472</v>
      </c>
      <c r="T858" s="37" t="n">
        <f aca="false">0*Sector_Params!$I$11</f>
        <v>0</v>
      </c>
      <c r="U858" s="37" t="n">
        <f aca="false">p_c*Sector_Params!$J$11</f>
        <v>0.129</v>
      </c>
      <c r="V858" s="37" t="n">
        <f aca="false">1000*p_r_wb/(1-(1+p_r_wb)^-Sector_Params!$D$11)/p_cpt_afolu</f>
        <v>1.45297822980094</v>
      </c>
      <c r="W858" s="16" t="n">
        <f aca="false">T858*L858</f>
        <v>0</v>
      </c>
      <c r="X858" s="16" t="n">
        <f aca="false">U858*L858</f>
        <v>0.0217110269358554</v>
      </c>
      <c r="Y858" s="16" t="n">
        <f aca="false">V858*L858</f>
        <v>0.244539918483875</v>
      </c>
      <c r="Z858" s="16" t="n">
        <f aca="false">Q858*L858</f>
        <v>0.0186022235633214</v>
      </c>
      <c r="AA858" s="16" t="n">
        <f aca="false">R858*L858</f>
        <v>0.0256325093433998</v>
      </c>
      <c r="AB858" s="16" t="n">
        <f aca="false">S858*L858</f>
        <v>0.0122269959241937</v>
      </c>
      <c r="AC858" s="16" t="n">
        <f aca="false">Z858-W858</f>
        <v>0.0186022235633214</v>
      </c>
      <c r="AD858" s="16" t="n">
        <f aca="false">AA858-W858</f>
        <v>0.0256325093433998</v>
      </c>
      <c r="AE858" s="16" t="n">
        <f aca="false">AB858-W858</f>
        <v>0.0122269959241937</v>
      </c>
      <c r="AF858" s="16" t="n">
        <f aca="false">AE858-X858</f>
        <v>-0.00948403101166169</v>
      </c>
      <c r="AG858" s="16" t="n">
        <f aca="false">AF858-p_spc_lo*Y858/1000</f>
        <v>-0.0217110269358554</v>
      </c>
      <c r="AH858" s="16" t="n">
        <f aca="false">AF858-p_spc_hi*Y858/1000</f>
        <v>-0.0339380228600492</v>
      </c>
      <c r="AI858" s="16" t="n">
        <f aca="false">Q858*J858</f>
        <v>0.0775092648471723</v>
      </c>
      <c r="AJ858" s="16" t="n">
        <f aca="false">S858*J858</f>
        <v>0.0509458163508072</v>
      </c>
      <c r="AK858" s="16" t="n">
        <f aca="false">T858*J858</f>
        <v>0</v>
      </c>
      <c r="AL858" s="16" t="n">
        <f aca="false">U858*J858</f>
        <v>0.0904626122327309</v>
      </c>
      <c r="AM858" s="16" t="n">
        <f aca="false">AI858-AJ858</f>
        <v>0.0265634484963651</v>
      </c>
      <c r="AN858" s="16" t="n">
        <f aca="false">J858*Country_Data!$EB$126</f>
        <v>0.855646605698687</v>
      </c>
      <c r="AO858" s="16" t="n">
        <f aca="false">L858*Country_Data!$EB$126</f>
        <v>0.205355185367685</v>
      </c>
    </row>
    <row r="859" customFormat="false" ht="15" hidden="false" customHeight="false" outlineLevel="0" collapsed="false">
      <c r="A859" s="14" t="str">
        <f aca="false">Country_Data!$A$127</f>
        <v>MNG</v>
      </c>
      <c r="B859" s="14" t="str">
        <f aca="false">Country_Data!$E$127</f>
        <v>EMDC</v>
      </c>
      <c r="C859" s="35" t="s">
        <v>466</v>
      </c>
      <c r="D859" s="37" t="n">
        <f aca="false">IF(Country_Data!$BZ$127="","",Country_Data!$BZ$127)</f>
        <v>11.0238358097605</v>
      </c>
      <c r="E859" s="40" t="n">
        <f aca="false">Country_Data!$BW$127</f>
        <v>67.579</v>
      </c>
      <c r="F859" s="41" t="n">
        <f aca="false">Country_Data!$BX$127</f>
        <v>0.352106423593128</v>
      </c>
      <c r="G859" s="42" t="n">
        <f aca="false">IF(D859="","",D859/SUMIFS($D$5:$D$1369,$B$5:$B$1369,B859,$C$5:$C$1369,C859))</f>
        <v>0.00125850463666249</v>
      </c>
      <c r="H859" s="42" t="n">
        <f aca="false">E859/SUMIFS($E$5:$E$1369,$B$5:$B$1369,B859,$C$5:$C$1369,C859)</f>
        <v>0.000837079374705584</v>
      </c>
      <c r="I859" s="43" t="n">
        <f aca="false">IF(G859="",H859,p_beta_alloc*G859+(1-p_beta_alloc)*H859)*F859^p_phi</f>
        <v>0.000621744646742012</v>
      </c>
      <c r="J859" s="16" t="n">
        <f aca="false">INDEX(Sector_Params!$C$16:$E$16,MATCH(B859,Sector_Params!$C$15:$E$15,0))*I859/SUMIFS($I$5:$I$1369,$B$5:$B$1369,B859,$C$5:$C$1369,C859)</f>
        <v>0.60136718491467</v>
      </c>
      <c r="K859" s="28" t="n">
        <f aca="false">INDEX(Sector_Params!$F$5:$H$5,MATCH(B859,Sector_Params!$C$15:$E$15,0))</f>
        <v>0.24</v>
      </c>
      <c r="L859" s="16" t="n">
        <f aca="false">J859*K859</f>
        <v>0.144328124379521</v>
      </c>
      <c r="M859" s="44" t="n">
        <f aca="false">Country_Data!$DW$127+Sector_Params!$E$5</f>
        <v>0.1016</v>
      </c>
      <c r="N859" s="44" t="n">
        <f aca="false">Country_Data!$DX$127+Sector_Params!$E$5</f>
        <v>0.1466</v>
      </c>
      <c r="O859" s="11" t="n">
        <f aca="false">IF(p_use_ibrd=1,p_r_ibrd,p_r_wb)</f>
        <v>0.06</v>
      </c>
      <c r="P859" s="45" t="n">
        <f aca="false">Sector_Params!$D$5</f>
        <v>25</v>
      </c>
      <c r="Q859" s="46" t="n">
        <f aca="false">M859/(1-(1+M859)^-P859)</f>
        <v>0.111526092174066</v>
      </c>
      <c r="R859" s="46" t="n">
        <f aca="false">N859/(1-(1+N859)^-P859)</f>
        <v>0.151557692054218</v>
      </c>
      <c r="S859" s="46" t="n">
        <f aca="false">O859/(1-(1+O859)^-P859)</f>
        <v>0.078226718212274</v>
      </c>
      <c r="T859" s="37" t="n">
        <f aca="false">IF(AND(p_eng=1,ISNUMBER(Country_Data!$CZ$127)),Country_Data!$CZ$127,Country_Data!$CM$127)*Sector_Params!$I$5</f>
        <v>0.0455445687410698</v>
      </c>
      <c r="U859" s="37" t="n">
        <f aca="false">IF(AND(p_eng=1,ISNUMBER(Country_Data!$DA$127)),Country_Data!$DA$127,Country_Data!$CN$127)*Sector_Params!$J$5</f>
        <v>0.0372546370274667</v>
      </c>
      <c r="V859" s="37" t="n">
        <f aca="false">IF(AND(p_eng=1,ISNUMBER(Country_Data!$DB$127)),Country_Data!$DB$127,p_a)</f>
        <v>1.97699425886511</v>
      </c>
      <c r="W859" s="16" t="n">
        <f aca="false">T859*L859</f>
        <v>0.00657336218207276</v>
      </c>
      <c r="X859" s="16" t="n">
        <f aca="false">U859*L859</f>
        <v>0.00537689188661412</v>
      </c>
      <c r="Y859" s="16" t="n">
        <f aca="false">V859*L859</f>
        <v>0.285335873291082</v>
      </c>
      <c r="Z859" s="16" t="n">
        <f aca="false">Q859*L859</f>
        <v>0.0160963517028605</v>
      </c>
      <c r="AA859" s="16" t="n">
        <f aca="false">R859*L859</f>
        <v>0.0218740374294743</v>
      </c>
      <c r="AB859" s="16" t="n">
        <f aca="false">S859*L859</f>
        <v>0.0112903155159428</v>
      </c>
      <c r="AC859" s="16" t="n">
        <f aca="false">Z859-W859</f>
        <v>0.00952298952078772</v>
      </c>
      <c r="AD859" s="16" t="n">
        <f aca="false">AA859-W859</f>
        <v>0.0153006752474015</v>
      </c>
      <c r="AE859" s="16" t="n">
        <f aca="false">AB859-W859</f>
        <v>0.00471695333387005</v>
      </c>
      <c r="AF859" s="16" t="n">
        <f aca="false">AE859-X859</f>
        <v>-0.000659938552744066</v>
      </c>
      <c r="AG859" s="16" t="n">
        <f aca="false">AF859-p_spc_lo*Y859/1000</f>
        <v>-0.0149267322172982</v>
      </c>
      <c r="AH859" s="16" t="n">
        <f aca="false">AF859-p_spc_hi*Y859/1000</f>
        <v>-0.0291935258818523</v>
      </c>
      <c r="AI859" s="16" t="n">
        <f aca="false">Q859*J859</f>
        <v>0.067068132095252</v>
      </c>
      <c r="AJ859" s="16" t="n">
        <f aca="false">S859*J859</f>
        <v>0.0470429813164283</v>
      </c>
      <c r="AK859" s="16" t="n">
        <f aca="false">T859*J859</f>
        <v>0.0273890090919698</v>
      </c>
      <c r="AL859" s="16" t="n">
        <f aca="false">U859*J859</f>
        <v>0.0224037161942255</v>
      </c>
      <c r="AM859" s="16" t="n">
        <f aca="false">AI859-AJ859</f>
        <v>0.0200251507788236</v>
      </c>
      <c r="AN859" s="16" t="n">
        <f aca="false">J859*Country_Data!$EB$127</f>
        <v>0.669213739110172</v>
      </c>
      <c r="AO859" s="16" t="n">
        <f aca="false">L859*Country_Data!$EB$127</f>
        <v>0.160611297386441</v>
      </c>
    </row>
    <row r="860" customFormat="false" ht="15" hidden="false" customHeight="false" outlineLevel="0" collapsed="false">
      <c r="A860" s="14" t="str">
        <f aca="false">Country_Data!$A$127</f>
        <v>MNG</v>
      </c>
      <c r="B860" s="14" t="str">
        <f aca="false">Country_Data!$E$127</f>
        <v>EMDC</v>
      </c>
      <c r="C860" s="35" t="s">
        <v>470</v>
      </c>
      <c r="D860" s="37" t="n">
        <f aca="false">IF(Country_Data!$BZ$127="","",Country_Data!$BZ$127)</f>
        <v>11.0238358097605</v>
      </c>
      <c r="E860" s="40" t="n">
        <f aca="false">Country_Data!$BW$127</f>
        <v>67.579</v>
      </c>
      <c r="F860" s="41" t="n">
        <f aca="false">Country_Data!$BX$127</f>
        <v>0.352106423593128</v>
      </c>
      <c r="G860" s="42" t="n">
        <f aca="false">IF(D860="","",D860/SUMIFS($D$5:$D$1369,$B$5:$B$1369,B860,$C$5:$C$1369,C860))</f>
        <v>0.00125850463666249</v>
      </c>
      <c r="H860" s="42" t="n">
        <f aca="false">E860/SUMIFS($E$5:$E$1369,$B$5:$B$1369,B860,$C$5:$C$1369,C860)</f>
        <v>0.000837079374705584</v>
      </c>
      <c r="I860" s="43" t="n">
        <f aca="false">IF(G860="",H860,p_beta_alloc*G860+(1-p_beta_alloc)*H860)*F860^p_phi</f>
        <v>0.000621744646742012</v>
      </c>
      <c r="J860" s="16" t="n">
        <f aca="false">INDEX(Sector_Params!$C$17:$E$17,MATCH(B860,Sector_Params!$C$15:$E$15,0))*I860/SUMIFS($I$5:$I$1369,$B$5:$B$1369,B860,$C$5:$C$1369,C860)</f>
        <v>0.412366069655774</v>
      </c>
      <c r="K860" s="28" t="n">
        <f aca="false">INDEX(Sector_Params!$F$6:$H$6,MATCH(B860,Sector_Params!$C$15:$E$15,0))</f>
        <v>0.24</v>
      </c>
      <c r="L860" s="16" t="n">
        <f aca="false">J860*K860</f>
        <v>0.0989678567173857</v>
      </c>
      <c r="M860" s="44" t="n">
        <f aca="false">Country_Data!$DW$127+Sector_Params!$E$6</f>
        <v>0.1016</v>
      </c>
      <c r="N860" s="44" t="n">
        <f aca="false">Country_Data!$DX$127+Sector_Params!$E$6</f>
        <v>0.1466</v>
      </c>
      <c r="O860" s="11" t="n">
        <f aca="false">IF(p_use_ibrd=1,p_r_ibrd,p_r_wb)</f>
        <v>0.06</v>
      </c>
      <c r="P860" s="45" t="n">
        <f aca="false">Sector_Params!$D$6</f>
        <v>40</v>
      </c>
      <c r="Q860" s="46" t="n">
        <f aca="false">M860/(1-(1+M860)^-P860)</f>
        <v>0.103763147057519</v>
      </c>
      <c r="R860" s="46" t="n">
        <f aca="false">N860/(1-(1+N860)^-P860)</f>
        <v>0.147218707675122</v>
      </c>
      <c r="S860" s="46" t="n">
        <f aca="false">O860/(1-(1+O860)^-P860)</f>
        <v>0.0664615359206755</v>
      </c>
      <c r="T860" s="37" t="n">
        <f aca="false">p_grid_credit*IF(AND(p_eng=1,ISNUMBER(Country_Data!$CZ$127)),Country_Data!$CZ$127,Country_Data!$CM$127)*Sector_Params!$I$6</f>
        <v>0</v>
      </c>
      <c r="U860" s="37" t="n">
        <f aca="false">p_grid_credit*IF(AND(p_eng=1,ISNUMBER(Country_Data!$DA$127)),Country_Data!$DA$127,Country_Data!$CN$127)*Sector_Params!$J$6</f>
        <v>0</v>
      </c>
      <c r="V860" s="37" t="n">
        <f aca="false">p_grid_credit*IF(AND(p_eng=1,ISNUMBER(Country_Data!$DB$127)),Country_Data!$DB$127,p_a)</f>
        <v>0</v>
      </c>
      <c r="W860" s="16" t="n">
        <f aca="false">T860*L860</f>
        <v>0</v>
      </c>
      <c r="X860" s="16" t="n">
        <f aca="false">U860*L860</f>
        <v>0</v>
      </c>
      <c r="Y860" s="16" t="n">
        <f aca="false">V860*L860</f>
        <v>0</v>
      </c>
      <c r="Z860" s="16" t="n">
        <f aca="false">Q860*L860</f>
        <v>0.0102692162705336</v>
      </c>
      <c r="AA860" s="16" t="n">
        <f aca="false">R860*L860</f>
        <v>0.0145699199673102</v>
      </c>
      <c r="AB860" s="16" t="n">
        <f aca="false">S860*L860</f>
        <v>0.0065775557642148</v>
      </c>
      <c r="AC860" s="16" t="n">
        <f aca="false">Z860-W860</f>
        <v>0.0102692162705336</v>
      </c>
      <c r="AD860" s="16" t="n">
        <f aca="false">AA860-W860</f>
        <v>0.0145699199673102</v>
      </c>
      <c r="AE860" s="16" t="n">
        <f aca="false">AB860-W860</f>
        <v>0.0065775557642148</v>
      </c>
      <c r="AF860" s="16" t="n">
        <f aca="false">AE860-X860</f>
        <v>0.0065775557642148</v>
      </c>
      <c r="AG860" s="16" t="n">
        <f aca="false">AF860-p_spc_lo*Y860/1000</f>
        <v>0.0065775557642148</v>
      </c>
      <c r="AH860" s="16" t="n">
        <f aca="false">AF860-p_spc_hi*Y860/1000</f>
        <v>0.0065775557642148</v>
      </c>
      <c r="AI860" s="16" t="n">
        <f aca="false">Q860*J860</f>
        <v>0.0427884011272232</v>
      </c>
      <c r="AJ860" s="16" t="n">
        <f aca="false">S860*J860</f>
        <v>0.027406482350895</v>
      </c>
      <c r="AK860" s="16" t="n">
        <f aca="false">T860*J860</f>
        <v>0</v>
      </c>
      <c r="AL860" s="16" t="n">
        <f aca="false">U860*J860</f>
        <v>0</v>
      </c>
      <c r="AM860" s="16" t="n">
        <f aca="false">AI860-AJ860</f>
        <v>0.0153819187763282</v>
      </c>
      <c r="AN860" s="16" t="n">
        <f aca="false">J860*Country_Data!$EB$127</f>
        <v>0.458889421104118</v>
      </c>
      <c r="AO860" s="16" t="n">
        <f aca="false">L860*Country_Data!$EB$127</f>
        <v>0.110133461064988</v>
      </c>
    </row>
    <row r="861" customFormat="false" ht="15" hidden="false" customHeight="false" outlineLevel="0" collapsed="false">
      <c r="A861" s="14" t="str">
        <f aca="false">Country_Data!$A$127</f>
        <v>MNG</v>
      </c>
      <c r="B861" s="14" t="str">
        <f aca="false">Country_Data!$E$127</f>
        <v>EMDC</v>
      </c>
      <c r="C861" s="35" t="s">
        <v>473</v>
      </c>
      <c r="D861" s="37" t="n">
        <f aca="false">IF(Country_Data!$CA$127="","",Country_Data!$CA$127)</f>
        <v>0.0703538228709399</v>
      </c>
      <c r="E861" s="40" t="n">
        <f aca="false">Country_Data!$BW$127</f>
        <v>67.579</v>
      </c>
      <c r="F861" s="41" t="n">
        <f aca="false">Country_Data!$BX$127</f>
        <v>0.352106423593128</v>
      </c>
      <c r="G861" s="42" t="n">
        <f aca="false">IF(D861="","",D861/SUMIFS($D$5:$D$1369,$B$5:$B$1369,B861,$C$5:$C$1369,C861))</f>
        <v>0.00162533700157221</v>
      </c>
      <c r="H861" s="42" t="n">
        <f aca="false">E861/SUMIFS($E$5:$E$1369,$B$5:$B$1369,B861,$C$5:$C$1369,C861)</f>
        <v>0.000837079374705584</v>
      </c>
      <c r="I861" s="43" t="n">
        <f aca="false">IF(G861="",H861,p_beta_alloc*G861+(1-p_beta_alloc)*H861)*F861^p_phi</f>
        <v>0.000730581161001078</v>
      </c>
      <c r="J861" s="16" t="n">
        <f aca="false">INDEX(Sector_Params!$C$18:$E$18,MATCH(B861,Sector_Params!$C$15:$E$15,0))*I861/SUMIFS($I$5:$I$1369,$B$5:$B$1369,B861,$C$5:$C$1369,C861)</f>
        <v>0.29915569899251</v>
      </c>
      <c r="K861" s="28" t="n">
        <f aca="false">INDEX(Sector_Params!$F$7:$H$7,MATCH(B861,Sector_Params!$C$15:$E$15,0))</f>
        <v>0.24</v>
      </c>
      <c r="L861" s="16" t="n">
        <f aca="false">J861*K861</f>
        <v>0.0717973677582023</v>
      </c>
      <c r="M861" s="44" t="n">
        <f aca="false">Country_Data!$DW$127+Sector_Params!$E$7</f>
        <v>0.1016</v>
      </c>
      <c r="N861" s="44" t="n">
        <f aca="false">Country_Data!$DX$127+Sector_Params!$E$7</f>
        <v>0.1466</v>
      </c>
      <c r="O861" s="11" t="n">
        <f aca="false">IF(p_use_ibrd=1,p_r_ibrd,p_r_wb)</f>
        <v>0.06</v>
      </c>
      <c r="P861" s="45" t="n">
        <f aca="false">Sector_Params!$D$7</f>
        <v>12</v>
      </c>
      <c r="Q861" s="46" t="n">
        <f aca="false">M861/(1-(1+M861)^-P861)</f>
        <v>0.147915531374194</v>
      </c>
      <c r="R861" s="46" t="n">
        <f aca="false">N861/(1-(1+N861)^-P861)</f>
        <v>0.181810853898682</v>
      </c>
      <c r="S861" s="46" t="n">
        <f aca="false">O861/(1-(1+O861)^-P861)</f>
        <v>0.119277029380664</v>
      </c>
      <c r="T861" s="37" t="n">
        <f aca="false">IF(AND(p_eng=1,ISNUMBER(Country_Data!$DE$127)),Country_Data!$DE$127,Country_Data!$CM$127)*Sector_Params!$I$7</f>
        <v>0.13438854</v>
      </c>
      <c r="U861" s="37" t="n">
        <f aca="false">IF(AND(p_eng=1,ISNUMBER(Country_Data!$DF$127)),Country_Data!$DF$127,Country_Data!$CN$127)*Sector_Params!$J$7</f>
        <v>0.0171144</v>
      </c>
      <c r="V861" s="37" t="n">
        <f aca="false">IF(AND(p_eng=1,ISNUMBER(Country_Data!$DG$127)),Country_Data!$DG$127,p_a)</f>
        <v>0.0693595309597523</v>
      </c>
      <c r="W861" s="16" t="n">
        <f aca="false">T861*L861</f>
        <v>0.00964874342886788</v>
      </c>
      <c r="X861" s="16" t="n">
        <f aca="false">U861*L861</f>
        <v>0.00122876887076098</v>
      </c>
      <c r="Y861" s="16" t="n">
        <f aca="false">V861*L861</f>
        <v>0.00497983175185375</v>
      </c>
      <c r="Z861" s="16" t="n">
        <f aca="false">Q861*L861</f>
        <v>0.0106199458032229</v>
      </c>
      <c r="AA861" s="16" t="n">
        <f aca="false">R861*L861</f>
        <v>0.0130535407397964</v>
      </c>
      <c r="AB861" s="16" t="n">
        <f aca="false">S861*L861</f>
        <v>0.0085637767435494</v>
      </c>
      <c r="AC861" s="16" t="n">
        <f aca="false">Z861-W861</f>
        <v>0.00097120237435501</v>
      </c>
      <c r="AD861" s="16" t="n">
        <f aca="false">AA861-W861</f>
        <v>0.00340479731092855</v>
      </c>
      <c r="AE861" s="16" t="n">
        <f aca="false">AB861-W861</f>
        <v>-0.00108496668531848</v>
      </c>
      <c r="AF861" s="16" t="n">
        <f aca="false">AE861-X861</f>
        <v>-0.00231373555607946</v>
      </c>
      <c r="AG861" s="16" t="n">
        <f aca="false">AF861-p_spc_lo*Y861/1000</f>
        <v>-0.00256272714367214</v>
      </c>
      <c r="AH861" s="16" t="n">
        <f aca="false">AF861-p_spc_hi*Y861/1000</f>
        <v>-0.00281171873126483</v>
      </c>
      <c r="AI861" s="16" t="n">
        <f aca="false">Q861*J861</f>
        <v>0.0442497741800954</v>
      </c>
      <c r="AJ861" s="16" t="n">
        <f aca="false">S861*J861</f>
        <v>0.0356824030981225</v>
      </c>
      <c r="AK861" s="16" t="n">
        <f aca="false">T861*J861</f>
        <v>0.0402030976202828</v>
      </c>
      <c r="AL861" s="16" t="n">
        <f aca="false">U861*J861</f>
        <v>0.00511987029483741</v>
      </c>
      <c r="AM861" s="16" t="n">
        <f aca="false">AI861-AJ861</f>
        <v>0.00856737108197287</v>
      </c>
      <c r="AN861" s="16" t="n">
        <f aca="false">J861*Country_Data!$EB$127</f>
        <v>0.332906598366023</v>
      </c>
      <c r="AO861" s="16" t="n">
        <f aca="false">L861*Country_Data!$EB$127</f>
        <v>0.0798975836078456</v>
      </c>
    </row>
    <row r="862" customFormat="false" ht="15" hidden="false" customHeight="false" outlineLevel="0" collapsed="false">
      <c r="A862" s="14" t="str">
        <f aca="false">Country_Data!$A$127</f>
        <v>MNG</v>
      </c>
      <c r="B862" s="14" t="str">
        <f aca="false">Country_Data!$E$127</f>
        <v>EMDC</v>
      </c>
      <c r="C862" s="35" t="s">
        <v>477</v>
      </c>
      <c r="D862" s="37" t="n">
        <f aca="false">IF(Country_Data!$CB$127="","",Country_Data!$CB$127)</f>
        <v>0.024904253476074</v>
      </c>
      <c r="E862" s="40" t="n">
        <f aca="false">Country_Data!$BW$127</f>
        <v>67.579</v>
      </c>
      <c r="F862" s="41" t="n">
        <f aca="false">Country_Data!$BX$127</f>
        <v>0.352106423593128</v>
      </c>
      <c r="G862" s="42" t="n">
        <f aca="false">IF(D862="","",D862/SUMIFS($D$5:$D$1369,$B$5:$B$1369,B862,$C$5:$C$1369,C862))</f>
        <v>0.000785306945560329</v>
      </c>
      <c r="H862" s="42" t="n">
        <f aca="false">E862/SUMIFS($E$5:$E$1369,$B$5:$B$1369,B862,$C$5:$C$1369,C862)</f>
        <v>0.000837079374705584</v>
      </c>
      <c r="I862" s="43" t="n">
        <f aca="false">IF(G862="",H862,p_beta_alloc*G862+(1-p_beta_alloc)*H862)*F862^p_phi</f>
        <v>0.000481350308124503</v>
      </c>
      <c r="J862" s="16" t="n">
        <f aca="false">INDEX(Sector_Params!$C$19:$E$19,MATCH(B862,Sector_Params!$C$15:$E$15,0))*I862/SUMIFS($I$5:$I$1369,$B$5:$B$1369,B862,$C$5:$C$1369,C862)</f>
        <v>0.154928660011295</v>
      </c>
      <c r="K862" s="28" t="n">
        <f aca="false">INDEX(Sector_Params!$F$8:$H$8,MATCH(B862,Sector_Params!$C$15:$E$15,0))</f>
        <v>0.24</v>
      </c>
      <c r="L862" s="16" t="n">
        <f aca="false">J862*K862</f>
        <v>0.0371828784027108</v>
      </c>
      <c r="M862" s="44" t="n">
        <f aca="false">Country_Data!$DW$127+Sector_Params!$E$8</f>
        <v>0.1016</v>
      </c>
      <c r="N862" s="44" t="n">
        <f aca="false">Country_Data!$DX$127+Sector_Params!$E$8</f>
        <v>0.1466</v>
      </c>
      <c r="O862" s="11" t="n">
        <f aca="false">IF(p_use_ibrd=1,p_r_ibrd,p_r_wb)</f>
        <v>0.06</v>
      </c>
      <c r="P862" s="45" t="n">
        <f aca="false">Sector_Params!$D$8</f>
        <v>25</v>
      </c>
      <c r="Q862" s="46" t="n">
        <f aca="false">M862/(1-(1+M862)^-P862)</f>
        <v>0.111526092174066</v>
      </c>
      <c r="R862" s="46" t="n">
        <f aca="false">N862/(1-(1+N862)^-P862)</f>
        <v>0.151557692054218</v>
      </c>
      <c r="S862" s="46" t="n">
        <f aca="false">O862/(1-(1+O862)^-P862)</f>
        <v>0.078226718212274</v>
      </c>
      <c r="T862" s="37" t="n">
        <f aca="false">Country_Data!$CM$127*Sector_Params!$I$8</f>
        <v>0.0649584943772795</v>
      </c>
      <c r="U862" s="37" t="n">
        <f aca="false">Country_Data!$CN$127*Sector_Params!$J$8</f>
        <v>0.11929457473098</v>
      </c>
      <c r="V862" s="37" t="n">
        <f aca="false">p_a</f>
        <v>0.35</v>
      </c>
      <c r="W862" s="16" t="n">
        <f aca="false">T862*L862</f>
        <v>0.00241534379765356</v>
      </c>
      <c r="X862" s="16" t="n">
        <f aca="false">U862*L862</f>
        <v>0.00443571566632514</v>
      </c>
      <c r="Y862" s="16" t="n">
        <f aca="false">V862*L862</f>
        <v>0.0130140074409488</v>
      </c>
      <c r="Z862" s="16" t="n">
        <f aca="false">Q862*L862</f>
        <v>0.00414686112403781</v>
      </c>
      <c r="AA862" s="16" t="n">
        <f aca="false">R862*L862</f>
        <v>0.00563535123464748</v>
      </c>
      <c r="AB862" s="16" t="n">
        <f aca="false">S862*L862</f>
        <v>0.00290869455113011</v>
      </c>
      <c r="AC862" s="16" t="n">
        <f aca="false">Z862-W862</f>
        <v>0.00173151732638425</v>
      </c>
      <c r="AD862" s="16" t="n">
        <f aca="false">AA862-W862</f>
        <v>0.00322000743699392</v>
      </c>
      <c r="AE862" s="16" t="n">
        <f aca="false">AB862-W862</f>
        <v>0.000493350753476547</v>
      </c>
      <c r="AF862" s="16" t="n">
        <f aca="false">AE862-X862</f>
        <v>-0.0039423649128486</v>
      </c>
      <c r="AG862" s="16" t="n">
        <f aca="false">AF862-p_spc_lo*Y862/1000</f>
        <v>-0.00459306528489603</v>
      </c>
      <c r="AH862" s="16" t="n">
        <f aca="false">AF862-p_spc_hi*Y862/1000</f>
        <v>-0.00524376565694347</v>
      </c>
      <c r="AI862" s="16" t="n">
        <f aca="false">Q862*J862</f>
        <v>0.0172785880168242</v>
      </c>
      <c r="AJ862" s="16" t="n">
        <f aca="false">S862*J862</f>
        <v>0.0121195606297088</v>
      </c>
      <c r="AK862" s="16" t="n">
        <f aca="false">T862*J862</f>
        <v>0.0100639324902232</v>
      </c>
      <c r="AL862" s="16" t="n">
        <f aca="false">U862*J862</f>
        <v>0.0184821486096881</v>
      </c>
      <c r="AM862" s="16" t="n">
        <f aca="false">AI862-AJ862</f>
        <v>0.00515902738711542</v>
      </c>
      <c r="AN862" s="16" t="n">
        <f aca="false">J862*Country_Data!$EB$127</f>
        <v>0.172407790884364</v>
      </c>
      <c r="AO862" s="16" t="n">
        <f aca="false">L862*Country_Data!$EB$127</f>
        <v>0.0413778698122475</v>
      </c>
    </row>
    <row r="863" customFormat="false" ht="15" hidden="false" customHeight="false" outlineLevel="0" collapsed="false">
      <c r="A863" s="14" t="str">
        <f aca="false">Country_Data!$A$127</f>
        <v>MNG</v>
      </c>
      <c r="B863" s="14" t="str">
        <f aca="false">Country_Data!$E$127</f>
        <v>EMDC</v>
      </c>
      <c r="C863" s="35" t="s">
        <v>481</v>
      </c>
      <c r="D863" s="37" t="n">
        <f aca="false">IF(Country_Data!$CC$127="","",Country_Data!$CC$127)</f>
        <v>0.047296312988135</v>
      </c>
      <c r="E863" s="40" t="n">
        <f aca="false">Country_Data!$BW$127</f>
        <v>67.579</v>
      </c>
      <c r="F863" s="41" t="n">
        <f aca="false">Country_Data!$BX$127</f>
        <v>0.352106423593128</v>
      </c>
      <c r="G863" s="42" t="n">
        <f aca="false">IF(D863="","",D863/SUMIFS($D$5:$D$1369,$B$5:$B$1369,B863,$C$5:$C$1369,C863))</f>
        <v>0.0006755915694893</v>
      </c>
      <c r="H863" s="42" t="n">
        <f aca="false">E863/SUMIFS($E$5:$E$1369,$B$5:$B$1369,B863,$C$5:$C$1369,C863)</f>
        <v>0.000837079374705584</v>
      </c>
      <c r="I863" s="43" t="n">
        <f aca="false">IF(G863="",H863,p_beta_alloc*G863+(1-p_beta_alloc)*H863)*F863^p_phi</f>
        <v>0.000448798548153345</v>
      </c>
      <c r="J863" s="16" t="n">
        <f aca="false">INDEX(Sector_Params!$C$20:$E$20,MATCH(B863,Sector_Params!$C$15:$E$15,0))*I863/SUMIFS($I$5:$I$1369,$B$5:$B$1369,B863,$C$5:$C$1369,C863)</f>
        <v>0.0819147728026743</v>
      </c>
      <c r="K863" s="28" t="n">
        <f aca="false">INDEX(Sector_Params!$F$9:$H$9,MATCH(B863,Sector_Params!$C$15:$E$15,0))</f>
        <v>0.24</v>
      </c>
      <c r="L863" s="16" t="n">
        <f aca="false">J863*K863</f>
        <v>0.0196595454726418</v>
      </c>
      <c r="M863" s="44" t="n">
        <f aca="false">Country_Data!$DW$127+Sector_Params!$E$9</f>
        <v>0.1016</v>
      </c>
      <c r="N863" s="44" t="n">
        <f aca="false">Country_Data!$DX$127+Sector_Params!$E$9</f>
        <v>0.1466</v>
      </c>
      <c r="O863" s="11" t="n">
        <f aca="false">IF(p_use_ibrd=1,p_r_ibrd,p_r_wb)</f>
        <v>0.06</v>
      </c>
      <c r="P863" s="45" t="n">
        <f aca="false">Sector_Params!$D$9</f>
        <v>25</v>
      </c>
      <c r="Q863" s="46" t="n">
        <f aca="false">M863/(1-(1+M863)^-P863)</f>
        <v>0.111526092174066</v>
      </c>
      <c r="R863" s="46" t="n">
        <f aca="false">N863/(1-(1+N863)^-P863)</f>
        <v>0.151557692054218</v>
      </c>
      <c r="S863" s="46" t="n">
        <f aca="false">O863/(1-(1+O863)^-P863)</f>
        <v>0.078226718212274</v>
      </c>
      <c r="T863" s="37" t="n">
        <f aca="false">Country_Data!$CM$127*Sector_Params!$I$9</f>
        <v>0.0649584943772795</v>
      </c>
      <c r="U863" s="37" t="n">
        <f aca="false">Country_Data!$CN$127*Sector_Params!$J$9</f>
        <v>0.11929457473098</v>
      </c>
      <c r="V863" s="37" t="n">
        <f aca="false">p_a</f>
        <v>0.35</v>
      </c>
      <c r="W863" s="16" t="n">
        <f aca="false">T863*L863</f>
        <v>0.00127705447404448</v>
      </c>
      <c r="X863" s="16" t="n">
        <f aca="false">U863*L863</f>
        <v>0.00234527711656318</v>
      </c>
      <c r="Y863" s="16" t="n">
        <f aca="false">V863*L863</f>
        <v>0.00688084091542464</v>
      </c>
      <c r="Z863" s="16" t="n">
        <f aca="false">Q863*L863</f>
        <v>0.00219255228048209</v>
      </c>
      <c r="AA863" s="16" t="n">
        <f aca="false">R863*L863</f>
        <v>0.00297955533866854</v>
      </c>
      <c r="AB863" s="16" t="n">
        <f aca="false">S863*L863</f>
        <v>0.00153790172386974</v>
      </c>
      <c r="AC863" s="16" t="n">
        <f aca="false">Z863-W863</f>
        <v>0.000915497806437615</v>
      </c>
      <c r="AD863" s="16" t="n">
        <f aca="false">AA863-W863</f>
        <v>0.00170250086462407</v>
      </c>
      <c r="AE863" s="16" t="n">
        <f aca="false">AB863-W863</f>
        <v>0.000260847249825263</v>
      </c>
      <c r="AF863" s="16" t="n">
        <f aca="false">AE863-X863</f>
        <v>-0.00208442986673791</v>
      </c>
      <c r="AG863" s="16" t="n">
        <f aca="false">AF863-p_spc_lo*Y863/1000</f>
        <v>-0.00242847191250915</v>
      </c>
      <c r="AH863" s="16" t="n">
        <f aca="false">AF863-p_spc_hi*Y863/1000</f>
        <v>-0.00277251395828038</v>
      </c>
      <c r="AI863" s="16" t="n">
        <f aca="false">Q863*J863</f>
        <v>0.00913563450200871</v>
      </c>
      <c r="AJ863" s="16" t="n">
        <f aca="false">S863*J863</f>
        <v>0.00640792384945724</v>
      </c>
      <c r="AK863" s="16" t="n">
        <f aca="false">T863*J863</f>
        <v>0.00532106030851865</v>
      </c>
      <c r="AL863" s="16" t="n">
        <f aca="false">U863*J863</f>
        <v>0.0097719879856799</v>
      </c>
      <c r="AM863" s="16" t="n">
        <f aca="false">AI863-AJ863</f>
        <v>0.00272771065255147</v>
      </c>
      <c r="AN863" s="16" t="n">
        <f aca="false">J863*Country_Data!$EB$127</f>
        <v>0.0911564394778478</v>
      </c>
      <c r="AO863" s="16" t="n">
        <f aca="false">L863*Country_Data!$EB$127</f>
        <v>0.0218775454746835</v>
      </c>
    </row>
    <row r="864" customFormat="false" ht="15" hidden="false" customHeight="false" outlineLevel="0" collapsed="false">
      <c r="A864" s="14" t="str">
        <f aca="false">Country_Data!$A$127</f>
        <v>MNG</v>
      </c>
      <c r="B864" s="14" t="str">
        <f aca="false">Country_Data!$E$127</f>
        <v>EMDC</v>
      </c>
      <c r="C864" s="35" t="s">
        <v>484</v>
      </c>
      <c r="D864" s="37" t="n">
        <f aca="false">IF(Country_Data!$CD$127="","",Country_Data!$CD$127)</f>
        <v>0.277553469572706</v>
      </c>
      <c r="E864" s="40" t="n">
        <f aca="false">Country_Data!$BW$127</f>
        <v>67.579</v>
      </c>
      <c r="F864" s="41" t="n">
        <f aca="false">Country_Data!$BX$127</f>
        <v>0.352106423593128</v>
      </c>
      <c r="G864" s="42" t="n">
        <f aca="false">IF(D864="","",D864/SUMIFS($D$5:$D$1369,$B$5:$B$1369,B864,$C$5:$C$1369,C864))</f>
        <v>0.00154995996974123</v>
      </c>
      <c r="H864" s="42" t="n">
        <f aca="false">E864/SUMIFS($E$5:$E$1369,$B$5:$B$1369,B864,$C$5:$C$1369,C864)</f>
        <v>0.000837079374705584</v>
      </c>
      <c r="I864" s="43" t="n">
        <f aca="false">IF(G864="",H864,p_beta_alloc*G864+(1-p_beta_alloc)*H864)*F864^p_phi</f>
        <v>0.000708217339854334</v>
      </c>
      <c r="J864" s="16" t="n">
        <f aca="false">INDEX(Sector_Params!$C$21:$E$21,MATCH(B864,Sector_Params!$C$15:$E$15,0))*I864/SUMIFS($I$5:$I$1369,$B$5:$B$1369,B864,$C$5:$C$1369,C864)</f>
        <v>0.157075400758802</v>
      </c>
      <c r="K864" s="28" t="n">
        <f aca="false">INDEX(Sector_Params!$F$10:$H$10,MATCH(B864,Sector_Params!$C$15:$E$15,0))</f>
        <v>0.24</v>
      </c>
      <c r="L864" s="16" t="n">
        <f aca="false">J864*K864</f>
        <v>0.0376980961821125</v>
      </c>
      <c r="M864" s="44" t="n">
        <f aca="false">Country_Data!$DW$127+Sector_Params!$E$10</f>
        <v>0.1016</v>
      </c>
      <c r="N864" s="44" t="n">
        <f aca="false">Country_Data!$DX$127+Sector_Params!$E$10</f>
        <v>0.1466</v>
      </c>
      <c r="O864" s="11" t="n">
        <f aca="false">IF(p_use_ibrd=1,p_r_ibrd,p_r_wb)</f>
        <v>0.06</v>
      </c>
      <c r="P864" s="45" t="n">
        <f aca="false">Sector_Params!$D$10</f>
        <v>20</v>
      </c>
      <c r="Q864" s="46" t="n">
        <f aca="false">M864/(1-(1+M864)^-P864)</f>
        <v>0.118744967582287</v>
      </c>
      <c r="R864" s="46" t="n">
        <f aca="false">N864/(1-(1+N864)^-P864)</f>
        <v>0.156762571900903</v>
      </c>
      <c r="S864" s="46" t="n">
        <f aca="false">O864/(1-(1+O864)^-P864)</f>
        <v>0.0871845569768514</v>
      </c>
      <c r="T864" s="37" t="n">
        <f aca="false">0*Sector_Params!$I$10</f>
        <v>0</v>
      </c>
      <c r="U864" s="37" t="n">
        <f aca="false">0*Sector_Params!$J$10</f>
        <v>0</v>
      </c>
      <c r="V864" s="37" t="n">
        <f aca="false">1000*p_r_wb/(1-(1+p_r_wb)^-Sector_Params!$D$10)/p_cpt_fuel</f>
        <v>0.871845569768514</v>
      </c>
      <c r="W864" s="16" t="n">
        <f aca="false">T864*L864</f>
        <v>0</v>
      </c>
      <c r="X864" s="16" t="n">
        <f aca="false">U864*L864</f>
        <v>0</v>
      </c>
      <c r="Y864" s="16" t="n">
        <f aca="false">V864*L864</f>
        <v>0.0328669181450821</v>
      </c>
      <c r="Z864" s="16" t="n">
        <f aca="false">Q864*L864</f>
        <v>0.00447645920905888</v>
      </c>
      <c r="AA864" s="16" t="n">
        <f aca="false">R864*L864</f>
        <v>0.00590965051327558</v>
      </c>
      <c r="AB864" s="16" t="n">
        <f aca="false">S864*L864</f>
        <v>0.00328669181450821</v>
      </c>
      <c r="AC864" s="16" t="n">
        <f aca="false">Z864-W864</f>
        <v>0.00447645920905888</v>
      </c>
      <c r="AD864" s="16" t="n">
        <f aca="false">AA864-W864</f>
        <v>0.00590965051327558</v>
      </c>
      <c r="AE864" s="16" t="n">
        <f aca="false">AB864-W864</f>
        <v>0.00328669181450821</v>
      </c>
      <c r="AF864" s="16" t="n">
        <f aca="false">AE864-X864</f>
        <v>0.00328669181450821</v>
      </c>
      <c r="AG864" s="16" t="n">
        <f aca="false">AF864-p_spc_lo*Y864/1000</f>
        <v>0.00164334590725411</v>
      </c>
      <c r="AH864" s="16" t="n">
        <f aca="false">AF864-p_spc_hi*Y864/1000</f>
        <v>0</v>
      </c>
      <c r="AI864" s="16" t="n">
        <f aca="false">Q864*J864</f>
        <v>0.0186519133710787</v>
      </c>
      <c r="AJ864" s="16" t="n">
        <f aca="false">S864*J864</f>
        <v>0.0136945492271175</v>
      </c>
      <c r="AK864" s="16" t="n">
        <f aca="false">T864*J864</f>
        <v>0</v>
      </c>
      <c r="AL864" s="16" t="n">
        <f aca="false">U864*J864</f>
        <v>0</v>
      </c>
      <c r="AM864" s="16" t="n">
        <f aca="false">AI864-AJ864</f>
        <v>0.00495736414396114</v>
      </c>
      <c r="AN864" s="16" t="n">
        <f aca="false">J864*Country_Data!$EB$127</f>
        <v>0.174796728023898</v>
      </c>
      <c r="AO864" s="16" t="n">
        <f aca="false">L864*Country_Data!$EB$127</f>
        <v>0.0419512147257354</v>
      </c>
    </row>
    <row r="865" customFormat="false" ht="15" hidden="false" customHeight="false" outlineLevel="0" collapsed="false">
      <c r="A865" s="14" t="str">
        <f aca="false">Country_Data!$A$127</f>
        <v>MNG</v>
      </c>
      <c r="B865" s="14" t="str">
        <f aca="false">Country_Data!$E$127</f>
        <v>EMDC</v>
      </c>
      <c r="C865" s="35" t="s">
        <v>488</v>
      </c>
      <c r="D865" s="37" t="n">
        <f aca="false">IF(Country_Data!$CE$127="","",Country_Data!$CE$127)</f>
        <v>61.633</v>
      </c>
      <c r="E865" s="40" t="n">
        <f aca="false">Country_Data!$BW$127</f>
        <v>67.579</v>
      </c>
      <c r="F865" s="41" t="n">
        <f aca="false">Country_Data!$BX$127</f>
        <v>0.352106423593128</v>
      </c>
      <c r="G865" s="42" t="n">
        <f aca="false">IF(D865="","",D865/SUMIFS($D$5:$D$1369,$B$5:$B$1369,B865,$C$5:$C$1369,C865))</f>
        <v>0.00505018391345211</v>
      </c>
      <c r="H865" s="42" t="n">
        <f aca="false">E865/SUMIFS($E$5:$E$1369,$B$5:$B$1369,B865,$C$5:$C$1369,C865)</f>
        <v>0.000837079374705584</v>
      </c>
      <c r="I865" s="43" t="n">
        <f aca="false">IF(G865="",H865,p_beta_alloc*G865+(1-p_beta_alloc)*H865)*F865^p_phi</f>
        <v>0.00174670851348174</v>
      </c>
      <c r="J865" s="16" t="n">
        <f aca="false">INDEX(Sector_Params!$C$22:$E$22,MATCH(B865,Sector_Params!$C$15:$E$15,0))*I865/SUMIFS($I$5:$I$1369,$B$5:$B$1369,B865,$C$5:$C$1369,C865)</f>
        <v>1.05293054370015</v>
      </c>
      <c r="K865" s="28" t="n">
        <f aca="false">INDEX(Sector_Params!$F$11:$H$11,MATCH(B865,Sector_Params!$C$15:$E$15,0))</f>
        <v>0.24</v>
      </c>
      <c r="L865" s="16" t="n">
        <f aca="false">J865*K865</f>
        <v>0.252703330488037</v>
      </c>
      <c r="M865" s="44" t="n">
        <f aca="false">Country_Data!$DW$127+Sector_Params!$E$11</f>
        <v>0.1016</v>
      </c>
      <c r="N865" s="44" t="n">
        <f aca="false">Country_Data!$DX$127+Sector_Params!$E$11</f>
        <v>0.1466</v>
      </c>
      <c r="O865" s="11" t="n">
        <f aca="false">IF(p_use_ibrd=1,p_r_ibrd,p_r_wb)</f>
        <v>0.06</v>
      </c>
      <c r="P865" s="45" t="n">
        <f aca="false">Sector_Params!$D$11</f>
        <v>30</v>
      </c>
      <c r="Q865" s="46" t="n">
        <f aca="false">M865/(1-(1+M865)^-P865)</f>
        <v>0.107497680996713</v>
      </c>
      <c r="R865" s="46" t="n">
        <f aca="false">N865/(1-(1+N865)^-P865)</f>
        <v>0.14906039101848</v>
      </c>
      <c r="S865" s="46" t="n">
        <f aca="false">O865/(1-(1+O865)^-P865)</f>
        <v>0.0726489114900472</v>
      </c>
      <c r="T865" s="37" t="n">
        <f aca="false">0*Sector_Params!$I$11</f>
        <v>0</v>
      </c>
      <c r="U865" s="37" t="n">
        <f aca="false">p_c*Sector_Params!$J$11</f>
        <v>0.129</v>
      </c>
      <c r="V865" s="37" t="n">
        <f aca="false">1000*p_r_wb/(1-(1+p_r_wb)^-Sector_Params!$D$11)/p_cpt_afolu</f>
        <v>1.45297822980094</v>
      </c>
      <c r="W865" s="16" t="n">
        <f aca="false">T865*L865</f>
        <v>0</v>
      </c>
      <c r="X865" s="16" t="n">
        <f aca="false">U865*L865</f>
        <v>0.0325987296329568</v>
      </c>
      <c r="Y865" s="16" t="n">
        <f aca="false">V865*L865</f>
        <v>0.367172437797311</v>
      </c>
      <c r="Z865" s="16" t="n">
        <f aca="false">Q865*L865</f>
        <v>0.02716502200761</v>
      </c>
      <c r="AA865" s="16" t="n">
        <f aca="false">R865*L865</f>
        <v>0.0376680572542189</v>
      </c>
      <c r="AB865" s="16" t="n">
        <f aca="false">S865*L865</f>
        <v>0.0183586218898655</v>
      </c>
      <c r="AC865" s="16" t="n">
        <f aca="false">Z865-W865</f>
        <v>0.02716502200761</v>
      </c>
      <c r="AD865" s="16" t="n">
        <f aca="false">AA865-W865</f>
        <v>0.0376680572542189</v>
      </c>
      <c r="AE865" s="16" t="n">
        <f aca="false">AB865-W865</f>
        <v>0.0183586218898655</v>
      </c>
      <c r="AF865" s="16" t="n">
        <f aca="false">AE865-X865</f>
        <v>-0.0142401077430912</v>
      </c>
      <c r="AG865" s="16" t="n">
        <f aca="false">AF865-p_spc_lo*Y865/1000</f>
        <v>-0.0325987296329568</v>
      </c>
      <c r="AH865" s="16" t="n">
        <f aca="false">AF865-p_spc_hi*Y865/1000</f>
        <v>-0.0509573515228223</v>
      </c>
      <c r="AI865" s="16" t="n">
        <f aca="false">Q865*J865</f>
        <v>0.113187591698375</v>
      </c>
      <c r="AJ865" s="16" t="n">
        <f aca="false">S865*J865</f>
        <v>0.0764942578744397</v>
      </c>
      <c r="AK865" s="16" t="n">
        <f aca="false">T865*J865</f>
        <v>0</v>
      </c>
      <c r="AL865" s="16" t="n">
        <f aca="false">U865*J865</f>
        <v>0.13582804013732</v>
      </c>
      <c r="AM865" s="16" t="n">
        <f aca="false">AI865-AJ865</f>
        <v>0.0366933338239354</v>
      </c>
      <c r="AN865" s="16" t="n">
        <f aca="false">J865*Country_Data!$EB$127</f>
        <v>1.17172270760479</v>
      </c>
      <c r="AO865" s="16" t="n">
        <f aca="false">L865*Country_Data!$EB$127</f>
        <v>0.281213449825149</v>
      </c>
    </row>
    <row r="866" customFormat="false" ht="15" hidden="false" customHeight="false" outlineLevel="0" collapsed="false">
      <c r="A866" s="14" t="str">
        <f aca="false">Country_Data!$A$128</f>
        <v>BFA</v>
      </c>
      <c r="B866" s="14" t="str">
        <f aca="false">Country_Data!$E$128</f>
        <v>EMDC</v>
      </c>
      <c r="C866" s="35" t="s">
        <v>466</v>
      </c>
      <c r="D866" s="37" t="n">
        <f aca="false">IF(Country_Data!$BZ$128="","",Country_Data!$BZ$128)</f>
        <v>3.2219855534718</v>
      </c>
      <c r="E866" s="40" t="n">
        <f aca="false">Country_Data!$BW$128</f>
        <v>68.294</v>
      </c>
      <c r="F866" s="41" t="n">
        <f aca="false">Country_Data!$BX$128</f>
        <v>0.338682753975459</v>
      </c>
      <c r="G866" s="42" t="n">
        <f aca="false">IF(D866="","",D866/SUMIFS($D$5:$D$1369,$B$5:$B$1369,B866,$C$5:$C$1369,C866))</f>
        <v>0.000367828751106181</v>
      </c>
      <c r="H866" s="42" t="n">
        <f aca="false">E866/SUMIFS($E$5:$E$1369,$B$5:$B$1369,B866,$C$5:$C$1369,C866)</f>
        <v>0.000845935850133076</v>
      </c>
      <c r="I866" s="43" t="n">
        <f aca="false">IF(G866="",H866,p_beta_alloc*G866+(1-p_beta_alloc)*H866)*F866^p_phi</f>
        <v>0.000353183993596084</v>
      </c>
      <c r="J866" s="16" t="n">
        <f aca="false">INDEX(Sector_Params!$C$16:$E$16,MATCH(B866,Sector_Params!$C$15:$E$15,0))*I866/SUMIFS($I$5:$I$1369,$B$5:$B$1369,B866,$C$5:$C$1369,C866)</f>
        <v>0.341608512592355</v>
      </c>
      <c r="K866" s="28" t="n">
        <f aca="false">INDEX(Sector_Params!$F$5:$H$5,MATCH(B866,Sector_Params!$C$15:$E$15,0))</f>
        <v>0.24</v>
      </c>
      <c r="L866" s="16" t="n">
        <f aca="false">J866*K866</f>
        <v>0.0819860430221652</v>
      </c>
      <c r="M866" s="44" t="n">
        <f aca="false">Country_Data!$DW$128+Sector_Params!$E$5</f>
        <v>0.0791600000000001</v>
      </c>
      <c r="N866" s="44" t="n">
        <f aca="false">Country_Data!$DX$128+Sector_Params!$E$5</f>
        <v>0.12416</v>
      </c>
      <c r="O866" s="11" t="n">
        <f aca="false">IF(p_use_ibrd=1,p_r_ibrd,p_r_wb)</f>
        <v>0.06</v>
      </c>
      <c r="P866" s="45" t="n">
        <f aca="false">Sector_Params!$D$5</f>
        <v>25</v>
      </c>
      <c r="Q866" s="46" t="n">
        <f aca="false">M866/(1-(1+M866)^-P866)</f>
        <v>0.0930075228726752</v>
      </c>
      <c r="R866" s="46" t="n">
        <f aca="false">N866/(1-(1+N866)^-P866)</f>
        <v>0.131194143874752</v>
      </c>
      <c r="S866" s="46" t="n">
        <f aca="false">O866/(1-(1+O866)^-P866)</f>
        <v>0.078226718212274</v>
      </c>
      <c r="T866" s="37" t="n">
        <f aca="false">IF(AND(p_eng=1,ISNUMBER(Country_Data!$CZ$128)),Country_Data!$CZ$128,Country_Data!$CM$128)*Sector_Params!$I$5</f>
        <v>0.254382224023163</v>
      </c>
      <c r="U866" s="37" t="n">
        <f aca="false">IF(AND(p_eng=1,ISNUMBER(Country_Data!$DA$128)),Country_Data!$DA$128,Country_Data!$CN$128)*Sector_Params!$J$5</f>
        <v>0.00976226640532071</v>
      </c>
      <c r="V866" s="37" t="n">
        <f aca="false">IF(AND(p_eng=1,ISNUMBER(Country_Data!$DB$128)),Country_Data!$DB$128,p_a)</f>
        <v>1.5493255058581</v>
      </c>
      <c r="W866" s="16" t="n">
        <f aca="false">T866*L866</f>
        <v>0.0208557919628371</v>
      </c>
      <c r="X866" s="16" t="n">
        <f aca="false">U866*L866</f>
        <v>0.000800369593500462</v>
      </c>
      <c r="Y866" s="16" t="n">
        <f aca="false">V866*L866</f>
        <v>0.12702306757862</v>
      </c>
      <c r="Z866" s="16" t="n">
        <f aca="false">Q866*L866</f>
        <v>0.00762531877162416</v>
      </c>
      <c r="AA866" s="16" t="n">
        <f aca="false">R866*L866</f>
        <v>0.0107560887239716</v>
      </c>
      <c r="AB866" s="16" t="n">
        <f aca="false">S866*L866</f>
        <v>0.00641349908483428</v>
      </c>
      <c r="AC866" s="16" t="n">
        <f aca="false">Z866-W866</f>
        <v>-0.0132304731912129</v>
      </c>
      <c r="AD866" s="16" t="n">
        <f aca="false">AA866-W866</f>
        <v>-0.0100997032388655</v>
      </c>
      <c r="AE866" s="16" t="n">
        <f aca="false">AB866-W866</f>
        <v>-0.0144422928780028</v>
      </c>
      <c r="AF866" s="16" t="n">
        <f aca="false">AE866-X866</f>
        <v>-0.0152426624715033</v>
      </c>
      <c r="AG866" s="16" t="n">
        <f aca="false">AF866-p_spc_lo*Y866/1000</f>
        <v>-0.0215938158504343</v>
      </c>
      <c r="AH866" s="16" t="n">
        <f aca="false">AF866-p_spc_hi*Y866/1000</f>
        <v>-0.0279449692293652</v>
      </c>
      <c r="AI866" s="16" t="n">
        <f aca="false">Q866*J866</f>
        <v>0.031772161548434</v>
      </c>
      <c r="AJ866" s="16" t="n">
        <f aca="false">S866*J866</f>
        <v>0.0267229128534762</v>
      </c>
      <c r="AK866" s="16" t="n">
        <f aca="false">T866*J866</f>
        <v>0.086899133178488</v>
      </c>
      <c r="AL866" s="16" t="n">
        <f aca="false">U866*J866</f>
        <v>0.00333487330625192</v>
      </c>
      <c r="AM866" s="16" t="n">
        <f aca="false">AI866-AJ866</f>
        <v>0.00504924869495783</v>
      </c>
      <c r="AN866" s="16" t="n">
        <f aca="false">J866*Country_Data!$EB$128</f>
        <v>0.416815347922765</v>
      </c>
      <c r="AO866" s="16" t="n">
        <f aca="false">L866*Country_Data!$EB$128</f>
        <v>0.100035683501464</v>
      </c>
    </row>
    <row r="867" customFormat="false" ht="15" hidden="false" customHeight="false" outlineLevel="0" collapsed="false">
      <c r="A867" s="14" t="str">
        <f aca="false">Country_Data!$A$128</f>
        <v>BFA</v>
      </c>
      <c r="B867" s="14" t="str">
        <f aca="false">Country_Data!$E$128</f>
        <v>EMDC</v>
      </c>
      <c r="C867" s="35" t="s">
        <v>470</v>
      </c>
      <c r="D867" s="37" t="n">
        <f aca="false">IF(Country_Data!$BZ$128="","",Country_Data!$BZ$128)</f>
        <v>3.2219855534718</v>
      </c>
      <c r="E867" s="40" t="n">
        <f aca="false">Country_Data!$BW$128</f>
        <v>68.294</v>
      </c>
      <c r="F867" s="41" t="n">
        <f aca="false">Country_Data!$BX$128</f>
        <v>0.338682753975459</v>
      </c>
      <c r="G867" s="42" t="n">
        <f aca="false">IF(D867="","",D867/SUMIFS($D$5:$D$1369,$B$5:$B$1369,B867,$C$5:$C$1369,C867))</f>
        <v>0.000367828751106181</v>
      </c>
      <c r="H867" s="42" t="n">
        <f aca="false">E867/SUMIFS($E$5:$E$1369,$B$5:$B$1369,B867,$C$5:$C$1369,C867)</f>
        <v>0.000845935850133076</v>
      </c>
      <c r="I867" s="43" t="n">
        <f aca="false">IF(G867="",H867,p_beta_alloc*G867+(1-p_beta_alloc)*H867)*F867^p_phi</f>
        <v>0.000353183993596084</v>
      </c>
      <c r="J867" s="16" t="n">
        <f aca="false">INDEX(Sector_Params!$C$17:$E$17,MATCH(B867,Sector_Params!$C$15:$E$15,0))*I867/SUMIFS($I$5:$I$1369,$B$5:$B$1369,B867,$C$5:$C$1369,C867)</f>
        <v>0.234245837206186</v>
      </c>
      <c r="K867" s="28" t="n">
        <f aca="false">INDEX(Sector_Params!$F$6:$H$6,MATCH(B867,Sector_Params!$C$15:$E$15,0))</f>
        <v>0.24</v>
      </c>
      <c r="L867" s="16" t="n">
        <f aca="false">J867*K867</f>
        <v>0.0562190009294847</v>
      </c>
      <c r="M867" s="44" t="n">
        <f aca="false">Country_Data!$DW$128+Sector_Params!$E$6</f>
        <v>0.0791600000000001</v>
      </c>
      <c r="N867" s="44" t="n">
        <f aca="false">Country_Data!$DX$128+Sector_Params!$E$6</f>
        <v>0.12416</v>
      </c>
      <c r="O867" s="11" t="n">
        <f aca="false">IF(p_use_ibrd=1,p_r_ibrd,p_r_wb)</f>
        <v>0.06</v>
      </c>
      <c r="P867" s="45" t="n">
        <f aca="false">Sector_Params!$D$6</f>
        <v>40</v>
      </c>
      <c r="Q867" s="46" t="n">
        <f aca="false">M867/(1-(1+M867)^-P867)</f>
        <v>0.0831063979877213</v>
      </c>
      <c r="R867" s="46" t="n">
        <f aca="false">N867/(1-(1+N867)^-P867)</f>
        <v>0.125321179471016</v>
      </c>
      <c r="S867" s="46" t="n">
        <f aca="false">O867/(1-(1+O867)^-P867)</f>
        <v>0.0664615359206755</v>
      </c>
      <c r="T867" s="37" t="n">
        <f aca="false">p_grid_credit*IF(AND(p_eng=1,ISNUMBER(Country_Data!$CZ$128)),Country_Data!$CZ$128,Country_Data!$CM$128)*Sector_Params!$I$6</f>
        <v>0</v>
      </c>
      <c r="U867" s="37" t="n">
        <f aca="false">p_grid_credit*IF(AND(p_eng=1,ISNUMBER(Country_Data!$DA$128)),Country_Data!$DA$128,Country_Data!$CN$128)*Sector_Params!$J$6</f>
        <v>0</v>
      </c>
      <c r="V867" s="37" t="n">
        <f aca="false">p_grid_credit*IF(AND(p_eng=1,ISNUMBER(Country_Data!$DB$128)),Country_Data!$DB$128,p_a)</f>
        <v>0</v>
      </c>
      <c r="W867" s="16" t="n">
        <f aca="false">T867*L867</f>
        <v>0</v>
      </c>
      <c r="X867" s="16" t="n">
        <f aca="false">U867*L867</f>
        <v>0</v>
      </c>
      <c r="Y867" s="16" t="n">
        <f aca="false">V867*L867</f>
        <v>0</v>
      </c>
      <c r="Z867" s="16" t="n">
        <f aca="false">Q867*L867</f>
        <v>0.00467215866571783</v>
      </c>
      <c r="AA867" s="16" t="n">
        <f aca="false">R867*L867</f>
        <v>0.00704543150516518</v>
      </c>
      <c r="AB867" s="16" t="n">
        <f aca="false">S867*L867</f>
        <v>0.00373640114969944</v>
      </c>
      <c r="AC867" s="16" t="n">
        <f aca="false">Z867-W867</f>
        <v>0.00467215866571783</v>
      </c>
      <c r="AD867" s="16" t="n">
        <f aca="false">AA867-W867</f>
        <v>0.00704543150516518</v>
      </c>
      <c r="AE867" s="16" t="n">
        <f aca="false">AB867-W867</f>
        <v>0.00373640114969944</v>
      </c>
      <c r="AF867" s="16" t="n">
        <f aca="false">AE867-X867</f>
        <v>0.00373640114969944</v>
      </c>
      <c r="AG867" s="16" t="n">
        <f aca="false">AF867-p_spc_lo*Y867/1000</f>
        <v>0.00373640114969944</v>
      </c>
      <c r="AH867" s="16" t="n">
        <f aca="false">AF867-p_spc_hi*Y867/1000</f>
        <v>0.00373640114969944</v>
      </c>
      <c r="AI867" s="16" t="n">
        <f aca="false">Q867*J867</f>
        <v>0.0194673277738243</v>
      </c>
      <c r="AJ867" s="16" t="n">
        <f aca="false">S867*J867</f>
        <v>0.0155683381237477</v>
      </c>
      <c r="AK867" s="16" t="n">
        <f aca="false">T867*J867</f>
        <v>0</v>
      </c>
      <c r="AL867" s="16" t="n">
        <f aca="false">U867*J867</f>
        <v>0</v>
      </c>
      <c r="AM867" s="16" t="n">
        <f aca="false">AI867-AJ867</f>
        <v>0.00389898965007664</v>
      </c>
      <c r="AN867" s="16" t="n">
        <f aca="false">J867*Country_Data!$EB$128</f>
        <v>0.28581623857561</v>
      </c>
      <c r="AO867" s="16" t="n">
        <f aca="false">L867*Country_Data!$EB$128</f>
        <v>0.0685958972581464</v>
      </c>
    </row>
    <row r="868" customFormat="false" ht="15" hidden="false" customHeight="false" outlineLevel="0" collapsed="false">
      <c r="A868" s="14" t="str">
        <f aca="false">Country_Data!$A$128</f>
        <v>BFA</v>
      </c>
      <c r="B868" s="14" t="str">
        <f aca="false">Country_Data!$E$128</f>
        <v>EMDC</v>
      </c>
      <c r="C868" s="35" t="s">
        <v>473</v>
      </c>
      <c r="D868" s="37" t="n">
        <f aca="false">IF(Country_Data!$CA$128="","",Country_Data!$CA$128)</f>
        <v>0.0539771386284503</v>
      </c>
      <c r="E868" s="40" t="n">
        <f aca="false">Country_Data!$BW$128</f>
        <v>68.294</v>
      </c>
      <c r="F868" s="41" t="n">
        <f aca="false">Country_Data!$BX$128</f>
        <v>0.338682753975459</v>
      </c>
      <c r="G868" s="42" t="n">
        <f aca="false">IF(D868="","",D868/SUMIFS($D$5:$D$1369,$B$5:$B$1369,B868,$C$5:$C$1369,C868))</f>
        <v>0.00124699749170348</v>
      </c>
      <c r="H868" s="42" t="n">
        <f aca="false">E868/SUMIFS($E$5:$E$1369,$B$5:$B$1369,B868,$C$5:$C$1369,C868)</f>
        <v>0.000845935850133076</v>
      </c>
      <c r="I868" s="43" t="n">
        <f aca="false">IF(G868="",H868,p_beta_alloc*G868+(1-p_beta_alloc)*H868)*F868^p_phi</f>
        <v>0.000609006520082655</v>
      </c>
      <c r="J868" s="16" t="n">
        <f aca="false">INDEX(Sector_Params!$C$18:$E$18,MATCH(B868,Sector_Params!$C$15:$E$15,0))*I868/SUMIFS($I$5:$I$1369,$B$5:$B$1369,B868,$C$5:$C$1369,C868)</f>
        <v>0.249373760140051</v>
      </c>
      <c r="K868" s="28" t="n">
        <f aca="false">INDEX(Sector_Params!$F$7:$H$7,MATCH(B868,Sector_Params!$C$15:$E$15,0))</f>
        <v>0.24</v>
      </c>
      <c r="L868" s="16" t="n">
        <f aca="false">J868*K868</f>
        <v>0.0598497024336121</v>
      </c>
      <c r="M868" s="44" t="n">
        <f aca="false">Country_Data!$DW$128+Sector_Params!$E$7</f>
        <v>0.0791600000000001</v>
      </c>
      <c r="N868" s="44" t="n">
        <f aca="false">Country_Data!$DX$128+Sector_Params!$E$7</f>
        <v>0.12416</v>
      </c>
      <c r="O868" s="11" t="n">
        <f aca="false">IF(p_use_ibrd=1,p_r_ibrd,p_r_wb)</f>
        <v>0.06</v>
      </c>
      <c r="P868" s="45" t="n">
        <f aca="false">Sector_Params!$D$7</f>
        <v>12</v>
      </c>
      <c r="Q868" s="46" t="n">
        <f aca="false">M868/(1-(1+M868)^-P868)</f>
        <v>0.13211806958721</v>
      </c>
      <c r="R868" s="46" t="n">
        <f aca="false">N868/(1-(1+N868)^-P868)</f>
        <v>0.164560662860498</v>
      </c>
      <c r="S868" s="46" t="n">
        <f aca="false">O868/(1-(1+O868)^-P868)</f>
        <v>0.119277029380664</v>
      </c>
      <c r="T868" s="37" t="n">
        <f aca="false">IF(AND(p_eng=1,ISNUMBER(Country_Data!$DE$128)),Country_Data!$DE$128,Country_Data!$CM$128)*Sector_Params!$I$7</f>
        <v>1.85400000000072E-005</v>
      </c>
      <c r="U868" s="37" t="n">
        <f aca="false">IF(AND(p_eng=1,ISNUMBER(Country_Data!$DF$128)),Country_Data!$DF$128,Country_Data!$CN$128)*Sector_Params!$J$7</f>
        <v>6.8175E-005</v>
      </c>
      <c r="V868" s="37" t="n">
        <f aca="false">IF(AND(p_eng=1,ISNUMBER(Country_Data!$DG$128)),Country_Data!$DG$128,p_a)</f>
        <v>0.16971249408284</v>
      </c>
      <c r="W868" s="16" t="n">
        <f aca="false">T868*L868</f>
        <v>1.1096134831196E-006</v>
      </c>
      <c r="X868" s="16" t="n">
        <f aca="false">U868*L868</f>
        <v>4.08025346341151E-006</v>
      </c>
      <c r="Y868" s="16" t="n">
        <f aca="false">V868*L868</f>
        <v>0.0101572422701241</v>
      </c>
      <c r="Z868" s="16" t="n">
        <f aca="false">Q868*L868</f>
        <v>0.00790722715089778</v>
      </c>
      <c r="AA868" s="16" t="n">
        <f aca="false">R868*L868</f>
        <v>0.0098489067044788</v>
      </c>
      <c r="AB868" s="16" t="n">
        <f aca="false">S868*L868</f>
        <v>0.00713869471559793</v>
      </c>
      <c r="AC868" s="16" t="n">
        <f aca="false">Z868-W868</f>
        <v>0.00790611753741466</v>
      </c>
      <c r="AD868" s="16" t="n">
        <f aca="false">AA868-W868</f>
        <v>0.00984779709099568</v>
      </c>
      <c r="AE868" s="16" t="n">
        <f aca="false">AB868-W868</f>
        <v>0.00713758510211481</v>
      </c>
      <c r="AF868" s="16" t="n">
        <f aca="false">AE868-X868</f>
        <v>0.00713350484865139</v>
      </c>
      <c r="AG868" s="16" t="n">
        <f aca="false">AF868-p_spc_lo*Y868/1000</f>
        <v>0.00662564273514519</v>
      </c>
      <c r="AH868" s="16" t="n">
        <f aca="false">AF868-p_spc_hi*Y868/1000</f>
        <v>0.00611778062163898</v>
      </c>
      <c r="AI868" s="16" t="n">
        <f aca="false">Q868*J868</f>
        <v>0.0329467797954074</v>
      </c>
      <c r="AJ868" s="16" t="n">
        <f aca="false">S868*J868</f>
        <v>0.0297445613149914</v>
      </c>
      <c r="AK868" s="16" t="n">
        <f aca="false">T868*J868</f>
        <v>4.62338951299834E-006</v>
      </c>
      <c r="AL868" s="16" t="n">
        <f aca="false">U868*J868</f>
        <v>1.70010560975479E-005</v>
      </c>
      <c r="AM868" s="16" t="n">
        <f aca="false">AI868-AJ868</f>
        <v>0.00320221848041604</v>
      </c>
      <c r="AN868" s="16" t="n">
        <f aca="false">J868*Country_Data!$EB$128</f>
        <v>0.304274649969333</v>
      </c>
      <c r="AO868" s="16" t="n">
        <f aca="false">L868*Country_Data!$EB$128</f>
        <v>0.0730259159926399</v>
      </c>
    </row>
    <row r="869" customFormat="false" ht="15" hidden="false" customHeight="false" outlineLevel="0" collapsed="false">
      <c r="A869" s="14" t="str">
        <f aca="false">Country_Data!$A$128</f>
        <v>BFA</v>
      </c>
      <c r="B869" s="14" t="str">
        <f aca="false">Country_Data!$E$128</f>
        <v>EMDC</v>
      </c>
      <c r="C869" s="35" t="s">
        <v>477</v>
      </c>
      <c r="D869" s="37" t="n">
        <f aca="false">IF(Country_Data!$CB$128="","",Country_Data!$CB$128)</f>
        <v>0.00933823019890131</v>
      </c>
      <c r="E869" s="40" t="n">
        <f aca="false">Country_Data!$BW$128</f>
        <v>68.294</v>
      </c>
      <c r="F869" s="41" t="n">
        <f aca="false">Country_Data!$BX$128</f>
        <v>0.338682753975459</v>
      </c>
      <c r="G869" s="42" t="n">
        <f aca="false">IF(D869="","",D869/SUMIFS($D$5:$D$1369,$B$5:$B$1369,B869,$C$5:$C$1369,C869))</f>
        <v>0.000294462833085269</v>
      </c>
      <c r="H869" s="42" t="n">
        <f aca="false">E869/SUMIFS($E$5:$E$1369,$B$5:$B$1369,B869,$C$5:$C$1369,C869)</f>
        <v>0.000845935850133076</v>
      </c>
      <c r="I869" s="43" t="n">
        <f aca="false">IF(G869="",H869,p_beta_alloc*G869+(1-p_beta_alloc)*H869)*F869^p_phi</f>
        <v>0.000331835811342282</v>
      </c>
      <c r="J869" s="16" t="n">
        <f aca="false">INDEX(Sector_Params!$C$19:$E$19,MATCH(B869,Sector_Params!$C$15:$E$15,0))*I869/SUMIFS($I$5:$I$1369,$B$5:$B$1369,B869,$C$5:$C$1369,C869)</f>
        <v>0.106805535858768</v>
      </c>
      <c r="K869" s="28" t="n">
        <f aca="false">INDEX(Sector_Params!$F$8:$H$8,MATCH(B869,Sector_Params!$C$15:$E$15,0))</f>
        <v>0.24</v>
      </c>
      <c r="L869" s="16" t="n">
        <f aca="false">J869*K869</f>
        <v>0.0256333286061043</v>
      </c>
      <c r="M869" s="44" t="n">
        <f aca="false">Country_Data!$DW$128+Sector_Params!$E$8</f>
        <v>0.0791600000000001</v>
      </c>
      <c r="N869" s="44" t="n">
        <f aca="false">Country_Data!$DX$128+Sector_Params!$E$8</f>
        <v>0.12416</v>
      </c>
      <c r="O869" s="11" t="n">
        <f aca="false">IF(p_use_ibrd=1,p_r_ibrd,p_r_wb)</f>
        <v>0.06</v>
      </c>
      <c r="P869" s="45" t="n">
        <f aca="false">Sector_Params!$D$8</f>
        <v>25</v>
      </c>
      <c r="Q869" s="46" t="n">
        <f aca="false">M869/(1-(1+M869)^-P869)</f>
        <v>0.0930075228726752</v>
      </c>
      <c r="R869" s="46" t="n">
        <f aca="false">N869/(1-(1+N869)^-P869)</f>
        <v>0.131194143874752</v>
      </c>
      <c r="S869" s="46" t="n">
        <f aca="false">O869/(1-(1+O869)^-P869)</f>
        <v>0.078226718212274</v>
      </c>
      <c r="T869" s="37" t="n">
        <f aca="false">Country_Data!$CM$128*Sector_Params!$I$8</f>
        <v>0.22225049648275</v>
      </c>
      <c r="U869" s="37" t="n">
        <f aca="false">Country_Data!$CN$128*Sector_Params!$J$8</f>
        <v>0.03225</v>
      </c>
      <c r="V869" s="37" t="n">
        <f aca="false">p_a</f>
        <v>0.35</v>
      </c>
      <c r="W869" s="16" t="n">
        <f aca="false">T869*L869</f>
        <v>0.00569702000921217</v>
      </c>
      <c r="X869" s="16" t="n">
        <f aca="false">U869*L869</f>
        <v>0.000826674847546865</v>
      </c>
      <c r="Y869" s="16" t="n">
        <f aca="false">V869*L869</f>
        <v>0.00897166501213652</v>
      </c>
      <c r="Z869" s="16" t="n">
        <f aca="false">Q869*L869</f>
        <v>0.00238409239663505</v>
      </c>
      <c r="AA869" s="16" t="n">
        <f aca="false">R869*L869</f>
        <v>0.00336294260113805</v>
      </c>
      <c r="AB869" s="16" t="n">
        <f aca="false">S869*L869</f>
        <v>0.00200521117371235</v>
      </c>
      <c r="AC869" s="16" t="n">
        <f aca="false">Z869-W869</f>
        <v>-0.00331292761257712</v>
      </c>
      <c r="AD869" s="16" t="n">
        <f aca="false">AA869-W869</f>
        <v>-0.00233407740807412</v>
      </c>
      <c r="AE869" s="16" t="n">
        <f aca="false">AB869-W869</f>
        <v>-0.00369180883549983</v>
      </c>
      <c r="AF869" s="16" t="n">
        <f aca="false">AE869-X869</f>
        <v>-0.00451848368304669</v>
      </c>
      <c r="AG869" s="16" t="n">
        <f aca="false">AF869-p_spc_lo*Y869/1000</f>
        <v>-0.00496706693365352</v>
      </c>
      <c r="AH869" s="16" t="n">
        <f aca="false">AF869-p_spc_hi*Y869/1000</f>
        <v>-0.00541565018426035</v>
      </c>
      <c r="AI869" s="16" t="n">
        <f aca="false">Q869*J869</f>
        <v>0.00993371831931271</v>
      </c>
      <c r="AJ869" s="16" t="n">
        <f aca="false">S869*J869</f>
        <v>0.00835504655713477</v>
      </c>
      <c r="AK869" s="16" t="n">
        <f aca="false">T869*J869</f>
        <v>0.0237375833717174</v>
      </c>
      <c r="AL869" s="16" t="n">
        <f aca="false">U869*J869</f>
        <v>0.00344447853144527</v>
      </c>
      <c r="AM869" s="16" t="n">
        <f aca="false">AI869-AJ869</f>
        <v>0.00157867176217793</v>
      </c>
      <c r="AN869" s="16" t="n">
        <f aca="false">J869*Country_Data!$EB$128</f>
        <v>0.130319312745505</v>
      </c>
      <c r="AO869" s="16" t="n">
        <f aca="false">L869*Country_Data!$EB$128</f>
        <v>0.0312766350589211</v>
      </c>
    </row>
    <row r="870" customFormat="false" ht="15" hidden="false" customHeight="false" outlineLevel="0" collapsed="false">
      <c r="A870" s="14" t="str">
        <f aca="false">Country_Data!$A$128</f>
        <v>BFA</v>
      </c>
      <c r="B870" s="14" t="str">
        <f aca="false">Country_Data!$E$128</f>
        <v>EMDC</v>
      </c>
      <c r="C870" s="35" t="s">
        <v>481</v>
      </c>
      <c r="D870" s="37" t="n">
        <f aca="false">IF(Country_Data!$CC$128="","",Country_Data!$CC$128)</f>
        <v>0.0230488091196508</v>
      </c>
      <c r="E870" s="40" t="n">
        <f aca="false">Country_Data!$BW$128</f>
        <v>68.294</v>
      </c>
      <c r="F870" s="41" t="n">
        <f aca="false">Country_Data!$BX$128</f>
        <v>0.338682753975459</v>
      </c>
      <c r="G870" s="42" t="n">
        <f aca="false">IF(D870="","",D870/SUMIFS($D$5:$D$1369,$B$5:$B$1369,B870,$C$5:$C$1369,C870))</f>
        <v>0.000329234567013935</v>
      </c>
      <c r="H870" s="42" t="n">
        <f aca="false">E870/SUMIFS($E$5:$E$1369,$B$5:$B$1369,B870,$C$5:$C$1369,C870)</f>
        <v>0.000845935850133076</v>
      </c>
      <c r="I870" s="43" t="n">
        <f aca="false">IF(G870="",H870,p_beta_alloc*G870+(1-p_beta_alloc)*H870)*F870^p_phi</f>
        <v>0.000341953769833284</v>
      </c>
      <c r="J870" s="16" t="n">
        <f aca="false">INDEX(Sector_Params!$C$20:$E$20,MATCH(B870,Sector_Params!$C$15:$E$15,0))*I870/SUMIFS($I$5:$I$1369,$B$5:$B$1369,B870,$C$5:$C$1369,C870)</f>
        <v>0.0624134491525597</v>
      </c>
      <c r="K870" s="28" t="n">
        <f aca="false">INDEX(Sector_Params!$F$9:$H$9,MATCH(B870,Sector_Params!$C$15:$E$15,0))</f>
        <v>0.24</v>
      </c>
      <c r="L870" s="16" t="n">
        <f aca="false">J870*K870</f>
        <v>0.0149792277966143</v>
      </c>
      <c r="M870" s="44" t="n">
        <f aca="false">Country_Data!$DW$128+Sector_Params!$E$9</f>
        <v>0.0791600000000001</v>
      </c>
      <c r="N870" s="44" t="n">
        <f aca="false">Country_Data!$DX$128+Sector_Params!$E$9</f>
        <v>0.12416</v>
      </c>
      <c r="O870" s="11" t="n">
        <f aca="false">IF(p_use_ibrd=1,p_r_ibrd,p_r_wb)</f>
        <v>0.06</v>
      </c>
      <c r="P870" s="45" t="n">
        <f aca="false">Sector_Params!$D$9</f>
        <v>25</v>
      </c>
      <c r="Q870" s="46" t="n">
        <f aca="false">M870/(1-(1+M870)^-P870)</f>
        <v>0.0930075228726752</v>
      </c>
      <c r="R870" s="46" t="n">
        <f aca="false">N870/(1-(1+N870)^-P870)</f>
        <v>0.131194143874752</v>
      </c>
      <c r="S870" s="46" t="n">
        <f aca="false">O870/(1-(1+O870)^-P870)</f>
        <v>0.078226718212274</v>
      </c>
      <c r="T870" s="37" t="n">
        <f aca="false">Country_Data!$CM$128*Sector_Params!$I$9</f>
        <v>0.22225049648275</v>
      </c>
      <c r="U870" s="37" t="n">
        <f aca="false">Country_Data!$CN$128*Sector_Params!$J$9</f>
        <v>0.03225</v>
      </c>
      <c r="V870" s="37" t="n">
        <f aca="false">p_a</f>
        <v>0.35</v>
      </c>
      <c r="W870" s="16" t="n">
        <f aca="false">T870*L870</f>
        <v>0.00332914081472575</v>
      </c>
      <c r="X870" s="16" t="n">
        <f aca="false">U870*L870</f>
        <v>0.000483080096440812</v>
      </c>
      <c r="Y870" s="16" t="n">
        <f aca="false">V870*L870</f>
        <v>0.00524272972881502</v>
      </c>
      <c r="Z870" s="16" t="n">
        <f aca="false">Q870*L870</f>
        <v>0.00139318087190862</v>
      </c>
      <c r="AA870" s="16" t="n">
        <f aca="false">R870*L870</f>
        <v>0.00196518696668171</v>
      </c>
      <c r="AB870" s="16" t="n">
        <f aca="false">S870*L870</f>
        <v>0.00117177583188321</v>
      </c>
      <c r="AC870" s="16" t="n">
        <f aca="false">Z870-W870</f>
        <v>-0.00193595994281713</v>
      </c>
      <c r="AD870" s="16" t="n">
        <f aca="false">AA870-W870</f>
        <v>-0.00136395384804404</v>
      </c>
      <c r="AE870" s="16" t="n">
        <f aca="false">AB870-W870</f>
        <v>-0.00215736498284254</v>
      </c>
      <c r="AF870" s="16" t="n">
        <f aca="false">AE870-X870</f>
        <v>-0.00264044507928335</v>
      </c>
      <c r="AG870" s="16" t="n">
        <f aca="false">AF870-p_spc_lo*Y870/1000</f>
        <v>-0.0029025815657241</v>
      </c>
      <c r="AH870" s="16" t="n">
        <f aca="false">AF870-p_spc_hi*Y870/1000</f>
        <v>-0.00316471805216485</v>
      </c>
      <c r="AI870" s="16" t="n">
        <f aca="false">Q870*J870</f>
        <v>0.00580492029961925</v>
      </c>
      <c r="AJ870" s="16" t="n">
        <f aca="false">S870*J870</f>
        <v>0.00488239929951338</v>
      </c>
      <c r="AK870" s="16" t="n">
        <f aca="false">T870*J870</f>
        <v>0.0138714200613573</v>
      </c>
      <c r="AL870" s="16" t="n">
        <f aca="false">U870*J870</f>
        <v>0.00201283373517005</v>
      </c>
      <c r="AM870" s="16" t="n">
        <f aca="false">AI870-AJ870</f>
        <v>0.000922521000105873</v>
      </c>
      <c r="AN870" s="16" t="n">
        <f aca="false">J870*Country_Data!$EB$128</f>
        <v>0.0761540844698674</v>
      </c>
      <c r="AO870" s="16" t="n">
        <f aca="false">L870*Country_Data!$EB$128</f>
        <v>0.0182769802727682</v>
      </c>
    </row>
    <row r="871" customFormat="false" ht="15" hidden="false" customHeight="false" outlineLevel="0" collapsed="false">
      <c r="A871" s="14" t="str">
        <f aca="false">Country_Data!$A$128</f>
        <v>BFA</v>
      </c>
      <c r="B871" s="14" t="str">
        <f aca="false">Country_Data!$E$128</f>
        <v>EMDC</v>
      </c>
      <c r="C871" s="35" t="s">
        <v>484</v>
      </c>
      <c r="D871" s="37" t="n">
        <f aca="false">IF(Country_Data!$CD$128="","",Country_Data!$CD$128)</f>
        <v>0.0769803368055295</v>
      </c>
      <c r="E871" s="40" t="n">
        <f aca="false">Country_Data!$BW$128</f>
        <v>68.294</v>
      </c>
      <c r="F871" s="41" t="n">
        <f aca="false">Country_Data!$BX$128</f>
        <v>0.338682753975459</v>
      </c>
      <c r="G871" s="42" t="n">
        <f aca="false">IF(D871="","",D871/SUMIFS($D$5:$D$1369,$B$5:$B$1369,B871,$C$5:$C$1369,C871))</f>
        <v>0.000429886323127057</v>
      </c>
      <c r="H871" s="42" t="n">
        <f aca="false">E871/SUMIFS($E$5:$E$1369,$B$5:$B$1369,B871,$C$5:$C$1369,C871)</f>
        <v>0.000845935850133076</v>
      </c>
      <c r="I871" s="43" t="n">
        <f aca="false">IF(G871="",H871,p_beta_alloc*G871+(1-p_beta_alloc)*H871)*F871^p_phi</f>
        <v>0.000371241647524062</v>
      </c>
      <c r="J871" s="16" t="n">
        <f aca="false">INDEX(Sector_Params!$C$21:$E$21,MATCH(B871,Sector_Params!$C$15:$E$15,0))*I871/SUMIFS($I$5:$I$1369,$B$5:$B$1369,B871,$C$5:$C$1369,C871)</f>
        <v>0.0823376205038892</v>
      </c>
      <c r="K871" s="28" t="n">
        <f aca="false">INDEX(Sector_Params!$F$10:$H$10,MATCH(B871,Sector_Params!$C$15:$E$15,0))</f>
        <v>0.24</v>
      </c>
      <c r="L871" s="16" t="n">
        <f aca="false">J871*K871</f>
        <v>0.0197610289209334</v>
      </c>
      <c r="M871" s="44" t="n">
        <f aca="false">Country_Data!$DW$128+Sector_Params!$E$10</f>
        <v>0.0791600000000001</v>
      </c>
      <c r="N871" s="44" t="n">
        <f aca="false">Country_Data!$DX$128+Sector_Params!$E$10</f>
        <v>0.12416</v>
      </c>
      <c r="O871" s="11" t="n">
        <f aca="false">IF(p_use_ibrd=1,p_r_ibrd,p_r_wb)</f>
        <v>0.06</v>
      </c>
      <c r="P871" s="45" t="n">
        <f aca="false">Sector_Params!$D$10</f>
        <v>20</v>
      </c>
      <c r="Q871" s="46" t="n">
        <f aca="false">M871/(1-(1+M871)^-P871)</f>
        <v>0.101216365458302</v>
      </c>
      <c r="R871" s="46" t="n">
        <f aca="false">N871/(1-(1+N871)^-P871)</f>
        <v>0.137384362338124</v>
      </c>
      <c r="S871" s="46" t="n">
        <f aca="false">O871/(1-(1+O871)^-P871)</f>
        <v>0.0871845569768514</v>
      </c>
      <c r="T871" s="37" t="n">
        <f aca="false">0*Sector_Params!$I$10</f>
        <v>0</v>
      </c>
      <c r="U871" s="37" t="n">
        <f aca="false">0*Sector_Params!$J$10</f>
        <v>0</v>
      </c>
      <c r="V871" s="37" t="n">
        <f aca="false">1000*p_r_wb/(1-(1+p_r_wb)^-Sector_Params!$D$10)/p_cpt_fuel</f>
        <v>0.871845569768514</v>
      </c>
      <c r="W871" s="16" t="n">
        <f aca="false">T871*L871</f>
        <v>0</v>
      </c>
      <c r="X871" s="16" t="n">
        <f aca="false">U871*L871</f>
        <v>0</v>
      </c>
      <c r="Y871" s="16" t="n">
        <f aca="false">V871*L871</f>
        <v>0.0172285655187833</v>
      </c>
      <c r="Z871" s="16" t="n">
        <f aca="false">Q871*L871</f>
        <v>0.00200013952509328</v>
      </c>
      <c r="AA871" s="16" t="n">
        <f aca="false">R871*L871</f>
        <v>0.00271485635744766</v>
      </c>
      <c r="AB871" s="16" t="n">
        <f aca="false">S871*L871</f>
        <v>0.00172285655187833</v>
      </c>
      <c r="AC871" s="16" t="n">
        <f aca="false">Z871-W871</f>
        <v>0.00200013952509328</v>
      </c>
      <c r="AD871" s="16" t="n">
        <f aca="false">AA871-W871</f>
        <v>0.00271485635744766</v>
      </c>
      <c r="AE871" s="16" t="n">
        <f aca="false">AB871-W871</f>
        <v>0.00172285655187833</v>
      </c>
      <c r="AF871" s="16" t="n">
        <f aca="false">AE871-X871</f>
        <v>0.00172285655187833</v>
      </c>
      <c r="AG871" s="16" t="n">
        <f aca="false">AF871-p_spc_lo*Y871/1000</f>
        <v>0.000861428275939163</v>
      </c>
      <c r="AH871" s="16" t="n">
        <f aca="false">AF871-p_spc_hi*Y871/1000</f>
        <v>0</v>
      </c>
      <c r="AI871" s="16" t="n">
        <f aca="false">Q871*J871</f>
        <v>0.00833391468788865</v>
      </c>
      <c r="AJ871" s="16" t="n">
        <f aca="false">S871*J871</f>
        <v>0.00717856896615969</v>
      </c>
      <c r="AK871" s="16" t="n">
        <f aca="false">T871*J871</f>
        <v>0</v>
      </c>
      <c r="AL871" s="16" t="n">
        <f aca="false">U871*J871</f>
        <v>0</v>
      </c>
      <c r="AM871" s="16" t="n">
        <f aca="false">AI871-AJ871</f>
        <v>0.00115534572172896</v>
      </c>
      <c r="AN871" s="16" t="n">
        <f aca="false">J871*Country_Data!$EB$128</f>
        <v>0.100464662537304</v>
      </c>
      <c r="AO871" s="16" t="n">
        <f aca="false">L871*Country_Data!$EB$128</f>
        <v>0.0241115190089528</v>
      </c>
    </row>
    <row r="872" customFormat="false" ht="15" hidden="false" customHeight="false" outlineLevel="0" collapsed="false">
      <c r="A872" s="14" t="str">
        <f aca="false">Country_Data!$A$128</f>
        <v>BFA</v>
      </c>
      <c r="B872" s="14" t="str">
        <f aca="false">Country_Data!$E$128</f>
        <v>EMDC</v>
      </c>
      <c r="C872" s="35" t="s">
        <v>488</v>
      </c>
      <c r="D872" s="37" t="n">
        <f aca="false">IF(Country_Data!$CE$128="","",Country_Data!$CE$128)</f>
        <v>54.29</v>
      </c>
      <c r="E872" s="40" t="n">
        <f aca="false">Country_Data!$BW$128</f>
        <v>68.294</v>
      </c>
      <c r="F872" s="41" t="n">
        <f aca="false">Country_Data!$BX$128</f>
        <v>0.338682753975459</v>
      </c>
      <c r="G872" s="42" t="n">
        <f aca="false">IF(D872="","",D872/SUMIFS($D$5:$D$1369,$B$5:$B$1369,B872,$C$5:$C$1369,C872))</f>
        <v>0.00444850136552358</v>
      </c>
      <c r="H872" s="42" t="n">
        <f aca="false">E872/SUMIFS($E$5:$E$1369,$B$5:$B$1369,B872,$C$5:$C$1369,C872)</f>
        <v>0.000845935850133076</v>
      </c>
      <c r="I872" s="43" t="n">
        <f aca="false">IF(G872="",H872,p_beta_alloc*G872+(1-p_beta_alloc)*H872)*F872^p_phi</f>
        <v>0.00154058742342639</v>
      </c>
      <c r="J872" s="16" t="n">
        <f aca="false">INDEX(Sector_Params!$C$22:$E$22,MATCH(B872,Sector_Params!$C$15:$E$15,0))*I872/SUMIFS($I$5:$I$1369,$B$5:$B$1369,B872,$C$5:$C$1369,C872)</f>
        <v>0.928679021625967</v>
      </c>
      <c r="K872" s="28" t="n">
        <f aca="false">INDEX(Sector_Params!$F$11:$H$11,MATCH(B872,Sector_Params!$C$15:$E$15,0))</f>
        <v>0.24</v>
      </c>
      <c r="L872" s="16" t="n">
        <f aca="false">J872*K872</f>
        <v>0.222882965190232</v>
      </c>
      <c r="M872" s="44" t="n">
        <f aca="false">Country_Data!$DW$128+Sector_Params!$E$11</f>
        <v>0.0791600000000001</v>
      </c>
      <c r="N872" s="44" t="n">
        <f aca="false">Country_Data!$DX$128+Sector_Params!$E$11</f>
        <v>0.12416</v>
      </c>
      <c r="O872" s="11" t="n">
        <f aca="false">IF(p_use_ibrd=1,p_r_ibrd,p_r_wb)</f>
        <v>0.06</v>
      </c>
      <c r="P872" s="45" t="n">
        <f aca="false">Sector_Params!$D$11</f>
        <v>30</v>
      </c>
      <c r="Q872" s="46" t="n">
        <f aca="false">M872/(1-(1+M872)^-P872)</f>
        <v>0.0881243945386919</v>
      </c>
      <c r="R872" s="46" t="n">
        <f aca="false">N872/(1-(1+N872)^-P872)</f>
        <v>0.127982130327371</v>
      </c>
      <c r="S872" s="46" t="n">
        <f aca="false">O872/(1-(1+O872)^-P872)</f>
        <v>0.0726489114900472</v>
      </c>
      <c r="T872" s="37" t="n">
        <f aca="false">0*Sector_Params!$I$11</f>
        <v>0</v>
      </c>
      <c r="U872" s="37" t="n">
        <f aca="false">p_c*Sector_Params!$J$11</f>
        <v>0.129</v>
      </c>
      <c r="V872" s="37" t="n">
        <f aca="false">1000*p_r_wb/(1-(1+p_r_wb)^-Sector_Params!$D$11)/p_cpt_afolu</f>
        <v>1.45297822980094</v>
      </c>
      <c r="W872" s="16" t="n">
        <f aca="false">T872*L872</f>
        <v>0</v>
      </c>
      <c r="X872" s="16" t="n">
        <f aca="false">U872*L872</f>
        <v>0.0287519025095399</v>
      </c>
      <c r="Y872" s="16" t="n">
        <f aca="false">V872*L872</f>
        <v>0.323844096214889</v>
      </c>
      <c r="Z872" s="16" t="n">
        <f aca="false">Q872*L872</f>
        <v>0.0196414263603776</v>
      </c>
      <c r="AA872" s="16" t="n">
        <f aca="false">R872*L872</f>
        <v>0.0285250366987272</v>
      </c>
      <c r="AB872" s="16" t="n">
        <f aca="false">S872*L872</f>
        <v>0.0161922048107445</v>
      </c>
      <c r="AC872" s="16" t="n">
        <f aca="false">Z872-W872</f>
        <v>0.0196414263603776</v>
      </c>
      <c r="AD872" s="16" t="n">
        <f aca="false">AA872-W872</f>
        <v>0.0285250366987272</v>
      </c>
      <c r="AE872" s="16" t="n">
        <f aca="false">AB872-W872</f>
        <v>0.0161922048107445</v>
      </c>
      <c r="AF872" s="16" t="n">
        <f aca="false">AE872-X872</f>
        <v>-0.0125596976987955</v>
      </c>
      <c r="AG872" s="16" t="n">
        <f aca="false">AF872-p_spc_lo*Y872/1000</f>
        <v>-0.0287519025095399</v>
      </c>
      <c r="AH872" s="16" t="n">
        <f aca="false">AF872-p_spc_hi*Y872/1000</f>
        <v>-0.0449441073202844</v>
      </c>
      <c r="AI872" s="16" t="n">
        <f aca="false">Q872*J872</f>
        <v>0.0818392765015732</v>
      </c>
      <c r="AJ872" s="16" t="n">
        <f aca="false">S872*J872</f>
        <v>0.0674675200447685</v>
      </c>
      <c r="AK872" s="16" t="n">
        <f aca="false">T872*J872</f>
        <v>0</v>
      </c>
      <c r="AL872" s="16" t="n">
        <f aca="false">U872*J872</f>
        <v>0.11979959378975</v>
      </c>
      <c r="AM872" s="16" t="n">
        <f aca="false">AI872-AJ872</f>
        <v>0.0143717564568046</v>
      </c>
      <c r="AN872" s="16" t="n">
        <f aca="false">J872*Country_Data!$EB$128</f>
        <v>1.13313238762734</v>
      </c>
      <c r="AO872" s="16" t="n">
        <f aca="false">L872*Country_Data!$EB$128</f>
        <v>0.271951773030562</v>
      </c>
    </row>
    <row r="873" customFormat="false" ht="15" hidden="false" customHeight="false" outlineLevel="0" collapsed="false">
      <c r="A873" s="14" t="str">
        <f aca="false">Country_Data!$A$129</f>
        <v>MOZ</v>
      </c>
      <c r="B873" s="14" t="str">
        <f aca="false">Country_Data!$E$129</f>
        <v>EMDC</v>
      </c>
      <c r="C873" s="35" t="s">
        <v>466</v>
      </c>
      <c r="D873" s="37" t="n">
        <f aca="false">IF(Country_Data!$BZ$129="","",Country_Data!$BZ$129)</f>
        <v>13.1588229259219</v>
      </c>
      <c r="E873" s="40" t="n">
        <f aca="false">Country_Data!$BW$129</f>
        <v>59.162</v>
      </c>
      <c r="F873" s="41" t="n">
        <f aca="false">Country_Data!$BX$129</f>
        <v>0.384452858253609</v>
      </c>
      <c r="G873" s="42" t="n">
        <f aca="false">IF(D873="","",D873/SUMIFS($D$5:$D$1369,$B$5:$B$1369,B873,$C$5:$C$1369,C873))</f>
        <v>0.00150223932495718</v>
      </c>
      <c r="H873" s="42" t="n">
        <f aca="false">E873/SUMIFS($E$5:$E$1369,$B$5:$B$1369,B873,$C$5:$C$1369,C873)</f>
        <v>0.000732820698239568</v>
      </c>
      <c r="I873" s="43" t="n">
        <f aca="false">IF(G873="",H873,p_beta_alloc*G873+(1-p_beta_alloc)*H873)*F873^p_phi</f>
        <v>0.000692916243202465</v>
      </c>
      <c r="J873" s="16" t="n">
        <f aca="false">INDEX(Sector_Params!$C$16:$E$16,MATCH(B873,Sector_Params!$C$15:$E$15,0))*I873/SUMIFS($I$5:$I$1369,$B$5:$B$1369,B873,$C$5:$C$1369,C873)</f>
        <v>0.670206157366757</v>
      </c>
      <c r="K873" s="28" t="n">
        <f aca="false">INDEX(Sector_Params!$F$5:$H$5,MATCH(B873,Sector_Params!$C$15:$E$15,0))</f>
        <v>0.24</v>
      </c>
      <c r="L873" s="16" t="n">
        <f aca="false">J873*K873</f>
        <v>0.160849477768022</v>
      </c>
      <c r="M873" s="44" t="n">
        <f aca="false">Country_Data!$DW$129+Sector_Params!$E$5</f>
        <v>0.105</v>
      </c>
      <c r="N873" s="44" t="n">
        <f aca="false">Country_Data!$DX$129+Sector_Params!$E$5</f>
        <v>0.15</v>
      </c>
      <c r="O873" s="11" t="n">
        <f aca="false">IF(p_use_ibrd=1,p_r_ibrd,p_r_wb)</f>
        <v>0.06</v>
      </c>
      <c r="P873" s="45" t="n">
        <f aca="false">Sector_Params!$D$5</f>
        <v>25</v>
      </c>
      <c r="Q873" s="46" t="n">
        <f aca="false">M873/(1-(1+M873)^-P873)</f>
        <v>0.114429319813103</v>
      </c>
      <c r="R873" s="46" t="n">
        <f aca="false">N873/(1-(1+N873)^-P873)</f>
        <v>0.154699402320206</v>
      </c>
      <c r="S873" s="46" t="n">
        <f aca="false">O873/(1-(1+O873)^-P873)</f>
        <v>0.078226718212274</v>
      </c>
      <c r="T873" s="37" t="n">
        <f aca="false">IF(AND(p_eng=1,ISNUMBER(Country_Data!$CZ$129)),Country_Data!$CZ$129,Country_Data!$CM$129)*Sector_Params!$I$5</f>
        <v>-0.00096362518751995</v>
      </c>
      <c r="U873" s="37" t="n">
        <f aca="false">IF(AND(p_eng=1,ISNUMBER(Country_Data!$DA$129)),Country_Data!$DA$129,Country_Data!$CN$129)*Sector_Params!$J$5</f>
        <v>5.17711880632247E-008</v>
      </c>
      <c r="V873" s="37" t="n">
        <f aca="false">IF(AND(p_eng=1,ISNUMBER(Country_Data!$DB$129)),Country_Data!$DB$129,p_a)</f>
        <v>0.167317574874201</v>
      </c>
      <c r="W873" s="16" t="n">
        <f aca="false">T873*L873</f>
        <v>-0.000154998608176696</v>
      </c>
      <c r="X873" s="16" t="n">
        <f aca="false">U873*L873</f>
        <v>8.32736856339972E-009</v>
      </c>
      <c r="Y873" s="16" t="n">
        <f aca="false">V873*L873</f>
        <v>0.0269129445399271</v>
      </c>
      <c r="Z873" s="16" t="n">
        <f aca="false">Q873*L873</f>
        <v>0.0184058963332876</v>
      </c>
      <c r="AA873" s="16" t="n">
        <f aca="false">R873*L873</f>
        <v>0.0248833180742303</v>
      </c>
      <c r="AB873" s="16" t="n">
        <f aca="false">S873*L873</f>
        <v>0.0125827267719505</v>
      </c>
      <c r="AC873" s="16" t="n">
        <f aca="false">Z873-W873</f>
        <v>0.0185608949414643</v>
      </c>
      <c r="AD873" s="16" t="n">
        <f aca="false">AA873-W873</f>
        <v>0.025038316682407</v>
      </c>
      <c r="AE873" s="16" t="n">
        <f aca="false">AB873-W873</f>
        <v>0.0127377253801271</v>
      </c>
      <c r="AF873" s="16" t="n">
        <f aca="false">AE873-X873</f>
        <v>0.0127377170527586</v>
      </c>
      <c r="AG873" s="16" t="n">
        <f aca="false">AF873-p_spc_lo*Y873/1000</f>
        <v>0.0113920698257622</v>
      </c>
      <c r="AH873" s="16" t="n">
        <f aca="false">AF873-p_spc_hi*Y873/1000</f>
        <v>0.0100464225987659</v>
      </c>
      <c r="AI873" s="16" t="n">
        <f aca="false">Q873*J873</f>
        <v>0.0766912347220317</v>
      </c>
      <c r="AJ873" s="16" t="n">
        <f aca="false">S873*J873</f>
        <v>0.0524280282164602</v>
      </c>
      <c r="AK873" s="16" t="n">
        <f aca="false">T873*J873</f>
        <v>-0.000645827534069566</v>
      </c>
      <c r="AL873" s="16" t="n">
        <f aca="false">U873*J873</f>
        <v>3.46973690141655E-008</v>
      </c>
      <c r="AM873" s="16" t="n">
        <f aca="false">AI873-AJ873</f>
        <v>0.0242632065055714</v>
      </c>
      <c r="AN873" s="16" t="n">
        <f aca="false">J873*Country_Data!$EB$129</f>
        <v>0.848927799331225</v>
      </c>
      <c r="AO873" s="16" t="n">
        <f aca="false">L873*Country_Data!$EB$129</f>
        <v>0.203742671839494</v>
      </c>
    </row>
    <row r="874" customFormat="false" ht="15" hidden="false" customHeight="false" outlineLevel="0" collapsed="false">
      <c r="A874" s="14" t="str">
        <f aca="false">Country_Data!$A$129</f>
        <v>MOZ</v>
      </c>
      <c r="B874" s="14" t="str">
        <f aca="false">Country_Data!$E$129</f>
        <v>EMDC</v>
      </c>
      <c r="C874" s="35" t="s">
        <v>470</v>
      </c>
      <c r="D874" s="37" t="n">
        <f aca="false">IF(Country_Data!$BZ$129="","",Country_Data!$BZ$129)</f>
        <v>13.1588229259219</v>
      </c>
      <c r="E874" s="40" t="n">
        <f aca="false">Country_Data!$BW$129</f>
        <v>59.162</v>
      </c>
      <c r="F874" s="41" t="n">
        <f aca="false">Country_Data!$BX$129</f>
        <v>0.384452858253609</v>
      </c>
      <c r="G874" s="42" t="n">
        <f aca="false">IF(D874="","",D874/SUMIFS($D$5:$D$1369,$B$5:$B$1369,B874,$C$5:$C$1369,C874))</f>
        <v>0.00150223932495718</v>
      </c>
      <c r="H874" s="42" t="n">
        <f aca="false">E874/SUMIFS($E$5:$E$1369,$B$5:$B$1369,B874,$C$5:$C$1369,C874)</f>
        <v>0.000732820698239568</v>
      </c>
      <c r="I874" s="43" t="n">
        <f aca="false">IF(G874="",H874,p_beta_alloc*G874+(1-p_beta_alloc)*H874)*F874^p_phi</f>
        <v>0.000692916243202465</v>
      </c>
      <c r="J874" s="16" t="n">
        <f aca="false">INDEX(Sector_Params!$C$17:$E$17,MATCH(B874,Sector_Params!$C$15:$E$15,0))*I874/SUMIFS($I$5:$I$1369,$B$5:$B$1369,B874,$C$5:$C$1369,C874)</f>
        <v>0.459569936480062</v>
      </c>
      <c r="K874" s="28" t="n">
        <f aca="false">INDEX(Sector_Params!$F$6:$H$6,MATCH(B874,Sector_Params!$C$15:$E$15,0))</f>
        <v>0.24</v>
      </c>
      <c r="L874" s="16" t="n">
        <f aca="false">J874*K874</f>
        <v>0.110296784755215</v>
      </c>
      <c r="M874" s="44" t="n">
        <f aca="false">Country_Data!$DW$129+Sector_Params!$E$6</f>
        <v>0.105</v>
      </c>
      <c r="N874" s="44" t="n">
        <f aca="false">Country_Data!$DX$129+Sector_Params!$E$6</f>
        <v>0.15</v>
      </c>
      <c r="O874" s="11" t="n">
        <f aca="false">IF(p_use_ibrd=1,p_r_ibrd,p_r_wb)</f>
        <v>0.06</v>
      </c>
      <c r="P874" s="45" t="n">
        <f aca="false">Sector_Params!$D$6</f>
        <v>40</v>
      </c>
      <c r="Q874" s="46" t="n">
        <f aca="false">M874/(1-(1+M874)^-P874)</f>
        <v>0.10697140835497</v>
      </c>
      <c r="R874" s="46" t="n">
        <f aca="false">N874/(1-(1+N874)^-P874)</f>
        <v>0.150562085013545</v>
      </c>
      <c r="S874" s="46" t="n">
        <f aca="false">O874/(1-(1+O874)^-P874)</f>
        <v>0.0664615359206755</v>
      </c>
      <c r="T874" s="37" t="n">
        <f aca="false">p_grid_credit*IF(AND(p_eng=1,ISNUMBER(Country_Data!$CZ$129)),Country_Data!$CZ$129,Country_Data!$CM$129)*Sector_Params!$I$6</f>
        <v>-0</v>
      </c>
      <c r="U874" s="37" t="n">
        <f aca="false">p_grid_credit*IF(AND(p_eng=1,ISNUMBER(Country_Data!$DA$129)),Country_Data!$DA$129,Country_Data!$CN$129)*Sector_Params!$J$6</f>
        <v>0</v>
      </c>
      <c r="V874" s="37" t="n">
        <f aca="false">p_grid_credit*IF(AND(p_eng=1,ISNUMBER(Country_Data!$DB$129)),Country_Data!$DB$129,p_a)</f>
        <v>0</v>
      </c>
      <c r="W874" s="16" t="n">
        <f aca="false">T874*L874</f>
        <v>-0</v>
      </c>
      <c r="X874" s="16" t="n">
        <f aca="false">U874*L874</f>
        <v>0</v>
      </c>
      <c r="Y874" s="16" t="n">
        <f aca="false">V874*L874</f>
        <v>0</v>
      </c>
      <c r="Z874" s="16" t="n">
        <f aca="false">Q874*L874</f>
        <v>0.0117986024022904</v>
      </c>
      <c r="AA874" s="16" t="n">
        <f aca="false">R874*L874</f>
        <v>0.0166065138830353</v>
      </c>
      <c r="AB874" s="16" t="n">
        <f aca="false">S874*L874</f>
        <v>0.00733049372194372</v>
      </c>
      <c r="AC874" s="16" t="n">
        <f aca="false">Z874-W874</f>
        <v>0.0117986024022904</v>
      </c>
      <c r="AD874" s="16" t="n">
        <f aca="false">AA874-W874</f>
        <v>0.0166065138830353</v>
      </c>
      <c r="AE874" s="16" t="n">
        <f aca="false">AB874-W874</f>
        <v>0.00733049372194372</v>
      </c>
      <c r="AF874" s="16" t="n">
        <f aca="false">AE874-X874</f>
        <v>0.00733049372194372</v>
      </c>
      <c r="AG874" s="16" t="n">
        <f aca="false">AF874-p_spc_lo*Y874/1000</f>
        <v>0.00733049372194372</v>
      </c>
      <c r="AH874" s="16" t="n">
        <f aca="false">AF874-p_spc_hi*Y874/1000</f>
        <v>0.00733049372194372</v>
      </c>
      <c r="AI874" s="16" t="n">
        <f aca="false">Q874*J874</f>
        <v>0.0491608433428765</v>
      </c>
      <c r="AJ874" s="16" t="n">
        <f aca="false">S874*J874</f>
        <v>0.0305437238414322</v>
      </c>
      <c r="AK874" s="16" t="n">
        <f aca="false">T874*J874</f>
        <v>-0</v>
      </c>
      <c r="AL874" s="16" t="n">
        <f aca="false">U874*J874</f>
        <v>0</v>
      </c>
      <c r="AM874" s="16" t="n">
        <f aca="false">AI874-AJ874</f>
        <v>0.0186171195014443</v>
      </c>
      <c r="AN874" s="16" t="n">
        <f aca="false">J874*Country_Data!$EB$129</f>
        <v>0.582121919541412</v>
      </c>
      <c r="AO874" s="16" t="n">
        <f aca="false">L874*Country_Data!$EB$129</f>
        <v>0.139709260689939</v>
      </c>
    </row>
    <row r="875" customFormat="false" ht="15" hidden="false" customHeight="false" outlineLevel="0" collapsed="false">
      <c r="A875" s="14" t="str">
        <f aca="false">Country_Data!$A$129</f>
        <v>MOZ</v>
      </c>
      <c r="B875" s="14" t="str">
        <f aca="false">Country_Data!$E$129</f>
        <v>EMDC</v>
      </c>
      <c r="C875" s="35" t="s">
        <v>473</v>
      </c>
      <c r="D875" s="37" t="n">
        <f aca="false">IF(Country_Data!$CA$129="","",Country_Data!$CA$129)</f>
        <v>0.0741951653485075</v>
      </c>
      <c r="E875" s="40" t="n">
        <f aca="false">Country_Data!$BW$129</f>
        <v>59.162</v>
      </c>
      <c r="F875" s="41" t="n">
        <f aca="false">Country_Data!$BX$129</f>
        <v>0.384452858253609</v>
      </c>
      <c r="G875" s="42" t="n">
        <f aca="false">IF(D875="","",D875/SUMIFS($D$5:$D$1369,$B$5:$B$1369,B875,$C$5:$C$1369,C875))</f>
        <v>0.00171408095051092</v>
      </c>
      <c r="H875" s="42" t="n">
        <f aca="false">E875/SUMIFS($E$5:$E$1369,$B$5:$B$1369,B875,$C$5:$C$1369,C875)</f>
        <v>0.000732820698239568</v>
      </c>
      <c r="I875" s="43" t="n">
        <f aca="false">IF(G875="",H875,p_beta_alloc*G875+(1-p_beta_alloc)*H875)*F875^p_phi</f>
        <v>0.000758591662121485</v>
      </c>
      <c r="J875" s="16" t="n">
        <f aca="false">INDEX(Sector_Params!$C$18:$E$18,MATCH(B875,Sector_Params!$C$15:$E$15,0))*I875/SUMIFS($I$5:$I$1369,$B$5:$B$1369,B875,$C$5:$C$1369,C875)</f>
        <v>0.310625336438846</v>
      </c>
      <c r="K875" s="28" t="n">
        <f aca="false">INDEX(Sector_Params!$F$7:$H$7,MATCH(B875,Sector_Params!$C$15:$E$15,0))</f>
        <v>0.24</v>
      </c>
      <c r="L875" s="16" t="n">
        <f aca="false">J875*K875</f>
        <v>0.0745500807453231</v>
      </c>
      <c r="M875" s="44" t="n">
        <f aca="false">Country_Data!$DW$129+Sector_Params!$E$7</f>
        <v>0.105</v>
      </c>
      <c r="N875" s="44" t="n">
        <f aca="false">Country_Data!$DX$129+Sector_Params!$E$7</f>
        <v>0.15</v>
      </c>
      <c r="O875" s="11" t="n">
        <f aca="false">IF(p_use_ibrd=1,p_r_ibrd,p_r_wb)</f>
        <v>0.06</v>
      </c>
      <c r="P875" s="45" t="n">
        <f aca="false">Sector_Params!$D$7</f>
        <v>12</v>
      </c>
      <c r="Q875" s="46" t="n">
        <f aca="false">M875/(1-(1+M875)^-P875)</f>
        <v>0.150376745634766</v>
      </c>
      <c r="R875" s="46" t="n">
        <f aca="false">N875/(1-(1+N875)^-P875)</f>
        <v>0.18448077613084</v>
      </c>
      <c r="S875" s="46" t="n">
        <f aca="false">O875/(1-(1+O875)^-P875)</f>
        <v>0.119277029380664</v>
      </c>
      <c r="T875" s="37" t="n">
        <f aca="false">IF(AND(p_eng=1,ISNUMBER(Country_Data!$DE$129)),Country_Data!$DE$129,Country_Data!$CM$129)*Sector_Params!$I$7</f>
        <v>0.15471684</v>
      </c>
      <c r="U875" s="37" t="n">
        <f aca="false">IF(AND(p_eng=1,ISNUMBER(Country_Data!$DF$129)),Country_Data!$DF$129,Country_Data!$CN$129)*Sector_Params!$J$7</f>
        <v>2.835E-005</v>
      </c>
      <c r="V875" s="37" t="n">
        <f aca="false">IF(AND(p_eng=1,ISNUMBER(Country_Data!$DG$129)),Country_Data!$DG$129,p_a)</f>
        <v>0.494002239262254</v>
      </c>
      <c r="W875" s="16" t="n">
        <f aca="false">T875*L875</f>
        <v>0.0115341529146612</v>
      </c>
      <c r="X875" s="16" t="n">
        <f aca="false">U875*L875</f>
        <v>2.11349478912991E-006</v>
      </c>
      <c r="Y875" s="16" t="n">
        <f aca="false">V875*L875</f>
        <v>0.0368279068253714</v>
      </c>
      <c r="Z875" s="16" t="n">
        <f aca="false">Q875*L875</f>
        <v>0.0112105985292907</v>
      </c>
      <c r="AA875" s="16" t="n">
        <f aca="false">R875*L875</f>
        <v>0.013753056756514</v>
      </c>
      <c r="AB875" s="16" t="n">
        <f aca="false">S875*L875</f>
        <v>0.00889211217139074</v>
      </c>
      <c r="AC875" s="16" t="n">
        <f aca="false">Z875-W875</f>
        <v>-0.000323554385370536</v>
      </c>
      <c r="AD875" s="16" t="n">
        <f aca="false">AA875-W875</f>
        <v>0.00221890384185273</v>
      </c>
      <c r="AE875" s="16" t="n">
        <f aca="false">AB875-W875</f>
        <v>-0.00264204074327049</v>
      </c>
      <c r="AF875" s="16" t="n">
        <f aca="false">AE875-X875</f>
        <v>-0.00264415423805962</v>
      </c>
      <c r="AG875" s="16" t="n">
        <f aca="false">AF875-p_spc_lo*Y875/1000</f>
        <v>-0.00448554957932819</v>
      </c>
      <c r="AH875" s="16" t="n">
        <f aca="false">AF875-p_spc_hi*Y875/1000</f>
        <v>-0.00632694492059676</v>
      </c>
      <c r="AI875" s="16" t="n">
        <f aca="false">Q875*J875</f>
        <v>0.0467108272053779</v>
      </c>
      <c r="AJ875" s="16" t="n">
        <f aca="false">S875*J875</f>
        <v>0.0370504673807948</v>
      </c>
      <c r="AK875" s="16" t="n">
        <f aca="false">T875*J875</f>
        <v>0.0480589704777551</v>
      </c>
      <c r="AL875" s="16" t="n">
        <f aca="false">U875*J875</f>
        <v>8.80622828804129E-006</v>
      </c>
      <c r="AM875" s="16" t="n">
        <f aca="false">AI875-AJ875</f>
        <v>0.00966035982458314</v>
      </c>
      <c r="AN875" s="16" t="n">
        <f aca="false">J875*Country_Data!$EB$129</f>
        <v>0.393458759489205</v>
      </c>
      <c r="AO875" s="16" t="n">
        <f aca="false">L875*Country_Data!$EB$129</f>
        <v>0.0944301022774092</v>
      </c>
    </row>
    <row r="876" customFormat="false" ht="15" hidden="false" customHeight="false" outlineLevel="0" collapsed="false">
      <c r="A876" s="14" t="str">
        <f aca="false">Country_Data!$A$129</f>
        <v>MOZ</v>
      </c>
      <c r="B876" s="14" t="str">
        <f aca="false">Country_Data!$E$129</f>
        <v>EMDC</v>
      </c>
      <c r="C876" s="35" t="s">
        <v>477</v>
      </c>
      <c r="D876" s="37" t="n">
        <f aca="false">IF(Country_Data!$CB$129="","",Country_Data!$CB$129)</f>
        <v>0.00956298804192753</v>
      </c>
      <c r="E876" s="40" t="n">
        <f aca="false">Country_Data!$BW$129</f>
        <v>59.162</v>
      </c>
      <c r="F876" s="41" t="n">
        <f aca="false">Country_Data!$BX$129</f>
        <v>0.384452858253609</v>
      </c>
      <c r="G876" s="42" t="n">
        <f aca="false">IF(D876="","",D876/SUMIFS($D$5:$D$1369,$B$5:$B$1369,B876,$C$5:$C$1369,C876))</f>
        <v>0.000301550132263589</v>
      </c>
      <c r="H876" s="42" t="n">
        <f aca="false">E876/SUMIFS($E$5:$E$1369,$B$5:$B$1369,B876,$C$5:$C$1369,C876)</f>
        <v>0.000732820698239568</v>
      </c>
      <c r="I876" s="43" t="n">
        <f aca="false">IF(G876="",H876,p_beta_alloc*G876+(1-p_beta_alloc)*H876)*F876^p_phi</f>
        <v>0.000320677003083496</v>
      </c>
      <c r="J876" s="16" t="n">
        <f aca="false">INDEX(Sector_Params!$C$19:$E$19,MATCH(B876,Sector_Params!$C$15:$E$15,0))*I876/SUMIFS($I$5:$I$1369,$B$5:$B$1369,B876,$C$5:$C$1369,C876)</f>
        <v>0.103213932858465</v>
      </c>
      <c r="K876" s="28" t="n">
        <f aca="false">INDEX(Sector_Params!$F$8:$H$8,MATCH(B876,Sector_Params!$C$15:$E$15,0))</f>
        <v>0.24</v>
      </c>
      <c r="L876" s="16" t="n">
        <f aca="false">J876*K876</f>
        <v>0.0247713438860317</v>
      </c>
      <c r="M876" s="44" t="n">
        <f aca="false">Country_Data!$DW$129+Sector_Params!$E$8</f>
        <v>0.105</v>
      </c>
      <c r="N876" s="44" t="n">
        <f aca="false">Country_Data!$DX$129+Sector_Params!$E$8</f>
        <v>0.15</v>
      </c>
      <c r="O876" s="11" t="n">
        <f aca="false">IF(p_use_ibrd=1,p_r_ibrd,p_r_wb)</f>
        <v>0.06</v>
      </c>
      <c r="P876" s="45" t="n">
        <f aca="false">Sector_Params!$D$8</f>
        <v>25</v>
      </c>
      <c r="Q876" s="46" t="n">
        <f aca="false">M876/(1-(1+M876)^-P876)</f>
        <v>0.114429319813103</v>
      </c>
      <c r="R876" s="46" t="n">
        <f aca="false">N876/(1-(1+N876)^-P876)</f>
        <v>0.154699402320206</v>
      </c>
      <c r="S876" s="46" t="n">
        <f aca="false">O876/(1-(1+O876)^-P876)</f>
        <v>0.078226718212274</v>
      </c>
      <c r="T876" s="37" t="n">
        <f aca="false">Country_Data!$CM$129*Sector_Params!$I$8</f>
        <v>0.164241555293782</v>
      </c>
      <c r="U876" s="37" t="n">
        <f aca="false">Country_Data!$CN$129*Sector_Params!$J$8</f>
        <v>0.03225</v>
      </c>
      <c r="V876" s="37" t="n">
        <f aca="false">p_a</f>
        <v>0.35</v>
      </c>
      <c r="W876" s="16" t="n">
        <f aca="false">T876*L876</f>
        <v>0.00406848404655895</v>
      </c>
      <c r="X876" s="16" t="n">
        <f aca="false">U876*L876</f>
        <v>0.000798875840324521</v>
      </c>
      <c r="Y876" s="16" t="n">
        <f aca="false">V876*L876</f>
        <v>0.00866997036011108</v>
      </c>
      <c r="Z876" s="16" t="n">
        <f aca="false">Q876*L876</f>
        <v>0.00283456803173508</v>
      </c>
      <c r="AA876" s="16" t="n">
        <f aca="false">R876*L876</f>
        <v>0.0038321120938374</v>
      </c>
      <c r="AB876" s="16" t="n">
        <f aca="false">S876*L876</f>
        <v>0.00193778093791193</v>
      </c>
      <c r="AC876" s="16" t="n">
        <f aca="false">Z876-W876</f>
        <v>-0.00123391601482387</v>
      </c>
      <c r="AD876" s="16" t="n">
        <f aca="false">AA876-W876</f>
        <v>-0.000236371952721553</v>
      </c>
      <c r="AE876" s="16" t="n">
        <f aca="false">AB876-W876</f>
        <v>-0.00213070310864702</v>
      </c>
      <c r="AF876" s="16" t="n">
        <f aca="false">AE876-X876</f>
        <v>-0.00292957894897154</v>
      </c>
      <c r="AG876" s="16" t="n">
        <f aca="false">AF876-p_spc_lo*Y876/1000</f>
        <v>-0.00336307746697709</v>
      </c>
      <c r="AH876" s="16" t="n">
        <f aca="false">AF876-p_spc_hi*Y876/1000</f>
        <v>-0.00379657598498265</v>
      </c>
      <c r="AI876" s="16" t="n">
        <f aca="false">Q876*J876</f>
        <v>0.0118107001322295</v>
      </c>
      <c r="AJ876" s="16" t="n">
        <f aca="false">S876*J876</f>
        <v>0.00807408724129973</v>
      </c>
      <c r="AK876" s="16" t="n">
        <f aca="false">T876*J876</f>
        <v>0.0169520168606623</v>
      </c>
      <c r="AL876" s="16" t="n">
        <f aca="false">U876*J876</f>
        <v>0.00332864933468551</v>
      </c>
      <c r="AM876" s="16" t="n">
        <f aca="false">AI876-AJ876</f>
        <v>0.00373661289092977</v>
      </c>
      <c r="AN876" s="16" t="n">
        <f aca="false">J876*Country_Data!$EB$129</f>
        <v>0.130737648287389</v>
      </c>
      <c r="AO876" s="16" t="n">
        <f aca="false">L876*Country_Data!$EB$129</f>
        <v>0.0313770355889734</v>
      </c>
    </row>
    <row r="877" customFormat="false" ht="15" hidden="false" customHeight="false" outlineLevel="0" collapsed="false">
      <c r="A877" s="14" t="str">
        <f aca="false">Country_Data!$A$129</f>
        <v>MOZ</v>
      </c>
      <c r="B877" s="14" t="str">
        <f aca="false">Country_Data!$E$129</f>
        <v>EMDC</v>
      </c>
      <c r="C877" s="35" t="s">
        <v>481</v>
      </c>
      <c r="D877" s="37" t="n">
        <f aca="false">IF(Country_Data!$CC$129="","",Country_Data!$CC$129)</f>
        <v>0.0511493647894069</v>
      </c>
      <c r="E877" s="40" t="n">
        <f aca="false">Country_Data!$BW$129</f>
        <v>59.162</v>
      </c>
      <c r="F877" s="41" t="n">
        <f aca="false">Country_Data!$BX$129</f>
        <v>0.384452858253609</v>
      </c>
      <c r="G877" s="42" t="n">
        <f aca="false">IF(D877="","",D877/SUMIFS($D$5:$D$1369,$B$5:$B$1369,B877,$C$5:$C$1369,C877))</f>
        <v>0.000730629460379397</v>
      </c>
      <c r="H877" s="42" t="n">
        <f aca="false">E877/SUMIFS($E$5:$E$1369,$B$5:$B$1369,B877,$C$5:$C$1369,C877)</f>
        <v>0.000732820698239568</v>
      </c>
      <c r="I877" s="43" t="n">
        <f aca="false">IF(G877="",H877,p_beta_alloc*G877+(1-p_beta_alloc)*H877)*F877^p_phi</f>
        <v>0.000453700739801135</v>
      </c>
      <c r="J877" s="16" t="n">
        <f aca="false">INDEX(Sector_Params!$C$20:$E$20,MATCH(B877,Sector_Params!$C$15:$E$15,0))*I877/SUMIFS($I$5:$I$1369,$B$5:$B$1369,B877,$C$5:$C$1369,C877)</f>
        <v>0.0828095214971969</v>
      </c>
      <c r="K877" s="28" t="n">
        <f aca="false">INDEX(Sector_Params!$F$9:$H$9,MATCH(B877,Sector_Params!$C$15:$E$15,0))</f>
        <v>0.24</v>
      </c>
      <c r="L877" s="16" t="n">
        <f aca="false">J877*K877</f>
        <v>0.0198742851593273</v>
      </c>
      <c r="M877" s="44" t="n">
        <f aca="false">Country_Data!$DW$129+Sector_Params!$E$9</f>
        <v>0.105</v>
      </c>
      <c r="N877" s="44" t="n">
        <f aca="false">Country_Data!$DX$129+Sector_Params!$E$9</f>
        <v>0.15</v>
      </c>
      <c r="O877" s="11" t="n">
        <f aca="false">IF(p_use_ibrd=1,p_r_ibrd,p_r_wb)</f>
        <v>0.06</v>
      </c>
      <c r="P877" s="45" t="n">
        <f aca="false">Sector_Params!$D$9</f>
        <v>25</v>
      </c>
      <c r="Q877" s="46" t="n">
        <f aca="false">M877/(1-(1+M877)^-P877)</f>
        <v>0.114429319813103</v>
      </c>
      <c r="R877" s="46" t="n">
        <f aca="false">N877/(1-(1+N877)^-P877)</f>
        <v>0.154699402320206</v>
      </c>
      <c r="S877" s="46" t="n">
        <f aca="false">O877/(1-(1+O877)^-P877)</f>
        <v>0.078226718212274</v>
      </c>
      <c r="T877" s="37" t="n">
        <f aca="false">Country_Data!$CM$129*Sector_Params!$I$9</f>
        <v>0.164241555293782</v>
      </c>
      <c r="U877" s="37" t="n">
        <f aca="false">Country_Data!$CN$129*Sector_Params!$J$9</f>
        <v>0.03225</v>
      </c>
      <c r="V877" s="37" t="n">
        <f aca="false">p_a</f>
        <v>0.35</v>
      </c>
      <c r="W877" s="16" t="n">
        <f aca="false">T877*L877</f>
        <v>0.00326418350492003</v>
      </c>
      <c r="X877" s="16" t="n">
        <f aca="false">U877*L877</f>
        <v>0.000640945696388304</v>
      </c>
      <c r="Y877" s="16" t="n">
        <f aca="false">V877*L877</f>
        <v>0.00695599980576454</v>
      </c>
      <c r="Z877" s="16" t="n">
        <f aca="false">Q877*L877</f>
        <v>0.00227420093255347</v>
      </c>
      <c r="AA877" s="16" t="n">
        <f aca="false">R877*L877</f>
        <v>0.00307454003568928</v>
      </c>
      <c r="AB877" s="16" t="n">
        <f aca="false">S877*L877</f>
        <v>0.00155470010482907</v>
      </c>
      <c r="AC877" s="16" t="n">
        <f aca="false">Z877-W877</f>
        <v>-0.000989982572366561</v>
      </c>
      <c r="AD877" s="16" t="n">
        <f aca="false">AA877-W877</f>
        <v>-0.000189643469230757</v>
      </c>
      <c r="AE877" s="16" t="n">
        <f aca="false">AB877-W877</f>
        <v>-0.00170948340009096</v>
      </c>
      <c r="AF877" s="16" t="n">
        <f aca="false">AE877-X877</f>
        <v>-0.00235042909647927</v>
      </c>
      <c r="AG877" s="16" t="n">
        <f aca="false">AF877-p_spc_lo*Y877/1000</f>
        <v>-0.00269822908676749</v>
      </c>
      <c r="AH877" s="16" t="n">
        <f aca="false">AF877-p_spc_hi*Y877/1000</f>
        <v>-0.00304602907705572</v>
      </c>
      <c r="AI877" s="16" t="n">
        <f aca="false">Q877*J877</f>
        <v>0.0094758372189728</v>
      </c>
      <c r="AJ877" s="16" t="n">
        <f aca="false">S877*J877</f>
        <v>0.00647791710345446</v>
      </c>
      <c r="AK877" s="16" t="n">
        <f aca="false">T877*J877</f>
        <v>0.0136007646038335</v>
      </c>
      <c r="AL877" s="16" t="n">
        <f aca="false">U877*J877</f>
        <v>0.0026706070682846</v>
      </c>
      <c r="AM877" s="16" t="n">
        <f aca="false">AI877-AJ877</f>
        <v>0.00299792011551833</v>
      </c>
      <c r="AN877" s="16" t="n">
        <f aca="false">J877*Country_Data!$EB$129</f>
        <v>0.104892060563116</v>
      </c>
      <c r="AO877" s="16" t="n">
        <f aca="false">L877*Country_Data!$EB$129</f>
        <v>0.0251740945351479</v>
      </c>
    </row>
    <row r="878" customFormat="false" ht="15" hidden="false" customHeight="false" outlineLevel="0" collapsed="false">
      <c r="A878" s="14" t="str">
        <f aca="false">Country_Data!$A$129</f>
        <v>MOZ</v>
      </c>
      <c r="B878" s="14" t="str">
        <f aca="false">Country_Data!$E$129</f>
        <v>EMDC</v>
      </c>
      <c r="C878" s="35" t="s">
        <v>484</v>
      </c>
      <c r="D878" s="37" t="n">
        <f aca="false">IF(Country_Data!$CD$129="","",Country_Data!$CD$129)</f>
        <v>0.103301920241845</v>
      </c>
      <c r="E878" s="40" t="n">
        <f aca="false">Country_Data!$BW$129</f>
        <v>59.162</v>
      </c>
      <c r="F878" s="41" t="n">
        <f aca="false">Country_Data!$BX$129</f>
        <v>0.384452858253609</v>
      </c>
      <c r="G878" s="42" t="n">
        <f aca="false">IF(D878="","",D878/SUMIFS($D$5:$D$1369,$B$5:$B$1369,B878,$C$5:$C$1369,C878))</f>
        <v>0.000576875660818638</v>
      </c>
      <c r="H878" s="42" t="n">
        <f aca="false">E878/SUMIFS($E$5:$E$1369,$B$5:$B$1369,B878,$C$5:$C$1369,C878)</f>
        <v>0.000732820698239568</v>
      </c>
      <c r="I878" s="43" t="n">
        <f aca="false">IF(G878="",H878,p_beta_alloc*G878+(1-p_beta_alloc)*H878)*F878^p_phi</f>
        <v>0.00040603378497038</v>
      </c>
      <c r="J878" s="16" t="n">
        <f aca="false">INDEX(Sector_Params!$C$21:$E$21,MATCH(B878,Sector_Params!$C$15:$E$15,0))*I878/SUMIFS($I$5:$I$1369,$B$5:$B$1369,B878,$C$5:$C$1369,C878)</f>
        <v>0.090054162623233</v>
      </c>
      <c r="K878" s="28" t="n">
        <f aca="false">INDEX(Sector_Params!$F$10:$H$10,MATCH(B878,Sector_Params!$C$15:$E$15,0))</f>
        <v>0.24</v>
      </c>
      <c r="L878" s="16" t="n">
        <f aca="false">J878*K878</f>
        <v>0.0216129990295759</v>
      </c>
      <c r="M878" s="44" t="n">
        <f aca="false">Country_Data!$DW$129+Sector_Params!$E$10</f>
        <v>0.105</v>
      </c>
      <c r="N878" s="44" t="n">
        <f aca="false">Country_Data!$DX$129+Sector_Params!$E$10</f>
        <v>0.15</v>
      </c>
      <c r="O878" s="11" t="n">
        <f aca="false">IF(p_use_ibrd=1,p_r_ibrd,p_r_wb)</f>
        <v>0.06</v>
      </c>
      <c r="P878" s="45" t="n">
        <f aca="false">Sector_Params!$D$10</f>
        <v>20</v>
      </c>
      <c r="Q878" s="46" t="n">
        <f aca="false">M878/(1-(1+M878)^-P878)</f>
        <v>0.121493265267016</v>
      </c>
      <c r="R878" s="46" t="n">
        <f aca="false">N878/(1-(1+N878)^-P878)</f>
        <v>0.159761470405744</v>
      </c>
      <c r="S878" s="46" t="n">
        <f aca="false">O878/(1-(1+O878)^-P878)</f>
        <v>0.0871845569768514</v>
      </c>
      <c r="T878" s="37" t="n">
        <f aca="false">0*Sector_Params!$I$10</f>
        <v>0</v>
      </c>
      <c r="U878" s="37" t="n">
        <f aca="false">0*Sector_Params!$J$10</f>
        <v>0</v>
      </c>
      <c r="V878" s="37" t="n">
        <f aca="false">1000*p_r_wb/(1-(1+p_r_wb)^-Sector_Params!$D$10)/p_cpt_fuel</f>
        <v>0.871845569768514</v>
      </c>
      <c r="W878" s="16" t="n">
        <f aca="false">T878*L878</f>
        <v>0</v>
      </c>
      <c r="X878" s="16" t="n">
        <f aca="false">U878*L878</f>
        <v>0</v>
      </c>
      <c r="Y878" s="16" t="n">
        <f aca="false">V878*L878</f>
        <v>0.018843197453347</v>
      </c>
      <c r="Z878" s="16" t="n">
        <f aca="false">Q878*L878</f>
        <v>0.00262583382431603</v>
      </c>
      <c r="AA878" s="16" t="n">
        <f aca="false">R878*L878</f>
        <v>0.00345292450484296</v>
      </c>
      <c r="AB878" s="16" t="n">
        <f aca="false">S878*L878</f>
        <v>0.0018843197453347</v>
      </c>
      <c r="AC878" s="16" t="n">
        <f aca="false">Z878-W878</f>
        <v>0.00262583382431603</v>
      </c>
      <c r="AD878" s="16" t="n">
        <f aca="false">AA878-W878</f>
        <v>0.00345292450484296</v>
      </c>
      <c r="AE878" s="16" t="n">
        <f aca="false">AB878-W878</f>
        <v>0.0018843197453347</v>
      </c>
      <c r="AF878" s="16" t="n">
        <f aca="false">AE878-X878</f>
        <v>0.0018843197453347</v>
      </c>
      <c r="AG878" s="16" t="n">
        <f aca="false">AF878-p_spc_lo*Y878/1000</f>
        <v>0.000942159872667348</v>
      </c>
      <c r="AH878" s="16" t="n">
        <f aca="false">AF878-p_spc_hi*Y878/1000</f>
        <v>0</v>
      </c>
      <c r="AI878" s="16" t="n">
        <f aca="false">Q878*J878</f>
        <v>0.0109409742679835</v>
      </c>
      <c r="AJ878" s="16" t="n">
        <f aca="false">S878*J878</f>
        <v>0.0078513322722279</v>
      </c>
      <c r="AK878" s="16" t="n">
        <f aca="false">T878*J878</f>
        <v>0</v>
      </c>
      <c r="AL878" s="16" t="n">
        <f aca="false">U878*J878</f>
        <v>0</v>
      </c>
      <c r="AM878" s="16" t="n">
        <f aca="false">AI878-AJ878</f>
        <v>0.00308964199575556</v>
      </c>
      <c r="AN878" s="16" t="n">
        <f aca="false">J878*Country_Data!$EB$129</f>
        <v>0.114068605989428</v>
      </c>
      <c r="AO878" s="16" t="n">
        <f aca="false">L878*Country_Data!$EB$129</f>
        <v>0.0273764654374628</v>
      </c>
    </row>
    <row r="879" customFormat="false" ht="15" hidden="false" customHeight="false" outlineLevel="0" collapsed="false">
      <c r="A879" s="14" t="str">
        <f aca="false">Country_Data!$A$129</f>
        <v>MOZ</v>
      </c>
      <c r="B879" s="14" t="str">
        <f aca="false">Country_Data!$E$129</f>
        <v>EMDC</v>
      </c>
      <c r="C879" s="35" t="s">
        <v>488</v>
      </c>
      <c r="D879" s="37" t="n">
        <f aca="false">IF(Country_Data!$CE$129="","",Country_Data!$CE$129)</f>
        <v>95.07</v>
      </c>
      <c r="E879" s="40" t="n">
        <f aca="false">Country_Data!$BW$129</f>
        <v>59.162</v>
      </c>
      <c r="F879" s="41" t="n">
        <f aca="false">Country_Data!$BX$129</f>
        <v>0.384452858253609</v>
      </c>
      <c r="G879" s="42" t="n">
        <f aca="false">IF(D879="","",D879/SUMIFS($D$5:$D$1369,$B$5:$B$1369,B879,$C$5:$C$1369,C879))</f>
        <v>0.00778999861522061</v>
      </c>
      <c r="H879" s="42" t="n">
        <f aca="false">E879/SUMIFS($E$5:$E$1369,$B$5:$B$1369,B879,$C$5:$C$1369,C879)</f>
        <v>0.000732820698239568</v>
      </c>
      <c r="I879" s="43" t="n">
        <f aca="false">IF(G879="",H879,p_beta_alloc*G879+(1-p_beta_alloc)*H879)*F879^p_phi</f>
        <v>0.00264225563469639</v>
      </c>
      <c r="J879" s="16" t="n">
        <f aca="false">INDEX(Sector_Params!$C$22:$E$22,MATCH(B879,Sector_Params!$C$15:$E$15,0))*I879/SUMIFS($I$5:$I$1369,$B$5:$B$1369,B879,$C$5:$C$1369,C879)</f>
        <v>1.59277386041363</v>
      </c>
      <c r="K879" s="28" t="n">
        <f aca="false">INDEX(Sector_Params!$F$11:$H$11,MATCH(B879,Sector_Params!$C$15:$E$15,0))</f>
        <v>0.24</v>
      </c>
      <c r="L879" s="16" t="n">
        <f aca="false">J879*K879</f>
        <v>0.382265726499271</v>
      </c>
      <c r="M879" s="44" t="n">
        <f aca="false">Country_Data!$DW$129+Sector_Params!$E$11</f>
        <v>0.105</v>
      </c>
      <c r="N879" s="44" t="n">
        <f aca="false">Country_Data!$DX$129+Sector_Params!$E$11</f>
        <v>0.15</v>
      </c>
      <c r="O879" s="11" t="n">
        <f aca="false">IF(p_use_ibrd=1,p_r_ibrd,p_r_wb)</f>
        <v>0.06</v>
      </c>
      <c r="P879" s="45" t="n">
        <f aca="false">Sector_Params!$D$11</f>
        <v>30</v>
      </c>
      <c r="Q879" s="46" t="n">
        <f aca="false">M879/(1-(1+M879)^-P879)</f>
        <v>0.110528481529605</v>
      </c>
      <c r="R879" s="46" t="n">
        <f aca="false">N879/(1-(1+N879)^-P879)</f>
        <v>0.152300198192734</v>
      </c>
      <c r="S879" s="46" t="n">
        <f aca="false">O879/(1-(1+O879)^-P879)</f>
        <v>0.0726489114900472</v>
      </c>
      <c r="T879" s="37" t="n">
        <f aca="false">0*Sector_Params!$I$11</f>
        <v>0</v>
      </c>
      <c r="U879" s="37" t="n">
        <f aca="false">p_c*Sector_Params!$J$11</f>
        <v>0.129</v>
      </c>
      <c r="V879" s="37" t="n">
        <f aca="false">1000*p_r_wb/(1-(1+p_r_wb)^-Sector_Params!$D$11)/p_cpt_afolu</f>
        <v>1.45297822980094</v>
      </c>
      <c r="W879" s="16" t="n">
        <f aca="false">T879*L879</f>
        <v>0</v>
      </c>
      <c r="X879" s="16" t="n">
        <f aca="false">U879*L879</f>
        <v>0.049312278718406</v>
      </c>
      <c r="Y879" s="16" t="n">
        <f aca="false">V879*L879</f>
        <v>0.555423778602483</v>
      </c>
      <c r="Z879" s="16" t="n">
        <f aca="false">Q879*L879</f>
        <v>0.0422512502907758</v>
      </c>
      <c r="AA879" s="16" t="n">
        <f aca="false">R879*L879</f>
        <v>0.0582191459081286</v>
      </c>
      <c r="AB879" s="16" t="n">
        <f aca="false">S879*L879</f>
        <v>0.0277711889301242</v>
      </c>
      <c r="AC879" s="16" t="n">
        <f aca="false">Z879-W879</f>
        <v>0.0422512502907758</v>
      </c>
      <c r="AD879" s="16" t="n">
        <f aca="false">AA879-W879</f>
        <v>0.0582191459081286</v>
      </c>
      <c r="AE879" s="16" t="n">
        <f aca="false">AB879-W879</f>
        <v>0.0277711889301242</v>
      </c>
      <c r="AF879" s="16" t="n">
        <f aca="false">AE879-X879</f>
        <v>-0.0215410897882819</v>
      </c>
      <c r="AG879" s="16" t="n">
        <f aca="false">AF879-p_spc_lo*Y879/1000</f>
        <v>-0.049312278718406</v>
      </c>
      <c r="AH879" s="16" t="n">
        <f aca="false">AF879-p_spc_hi*Y879/1000</f>
        <v>-0.0770834676485302</v>
      </c>
      <c r="AI879" s="16" t="n">
        <f aca="false">Q879*J879</f>
        <v>0.176046876211566</v>
      </c>
      <c r="AJ879" s="16" t="n">
        <f aca="false">S879*J879</f>
        <v>0.115713287208851</v>
      </c>
      <c r="AK879" s="16" t="n">
        <f aca="false">T879*J879</f>
        <v>0</v>
      </c>
      <c r="AL879" s="16" t="n">
        <f aca="false">U879*J879</f>
        <v>0.205467827993358</v>
      </c>
      <c r="AM879" s="16" t="n">
        <f aca="false">AI879-AJ879</f>
        <v>0.0603335890027152</v>
      </c>
      <c r="AN879" s="16" t="n">
        <f aca="false">J879*Country_Data!$EB$129</f>
        <v>2.01751355652393</v>
      </c>
      <c r="AO879" s="16" t="n">
        <f aca="false">L879*Country_Data!$EB$129</f>
        <v>0.484203253565744</v>
      </c>
    </row>
    <row r="880" customFormat="false" ht="15" hidden="false" customHeight="false" outlineLevel="0" collapsed="false">
      <c r="A880" s="14" t="str">
        <f aca="false">Country_Data!$A$130</f>
        <v>JAM</v>
      </c>
      <c r="B880" s="14" t="str">
        <f aca="false">Country_Data!$E$130</f>
        <v>EMDC</v>
      </c>
      <c r="C880" s="35" t="s">
        <v>466</v>
      </c>
      <c r="D880" s="37" t="n">
        <f aca="false">IF(Country_Data!$BZ$130="","",Country_Data!$BZ$130)</f>
        <v>3.7203865873359</v>
      </c>
      <c r="E880" s="40" t="n">
        <f aca="false">Country_Data!$BW$130</f>
        <v>36.651</v>
      </c>
      <c r="F880" s="41" t="n">
        <f aca="false">Country_Data!$BX$130</f>
        <v>0.597528034705738</v>
      </c>
      <c r="G880" s="42" t="n">
        <f aca="false">IF(D880="","",D880/SUMIFS($D$5:$D$1369,$B$5:$B$1369,B880,$C$5:$C$1369,C880))</f>
        <v>0.000424727277432199</v>
      </c>
      <c r="H880" s="42" t="n">
        <f aca="false">E880/SUMIFS($E$5:$E$1369,$B$5:$B$1369,B880,$C$5:$C$1369,C880)</f>
        <v>0.00045398416908114</v>
      </c>
      <c r="I880" s="43" t="n">
        <f aca="false">IF(G880="",H880,p_beta_alloc*G880+(1-p_beta_alloc)*H880)*F880^p_phi</f>
        <v>0.000339621699751577</v>
      </c>
      <c r="J880" s="16" t="n">
        <f aca="false">INDEX(Sector_Params!$C$16:$E$16,MATCH(B880,Sector_Params!$C$15:$E$15,0))*I880/SUMIFS($I$5:$I$1369,$B$5:$B$1369,B880,$C$5:$C$1369,C880)</f>
        <v>0.328490718152155</v>
      </c>
      <c r="K880" s="28" t="n">
        <f aca="false">INDEX(Sector_Params!$F$5:$H$5,MATCH(B880,Sector_Params!$C$15:$E$15,0))</f>
        <v>0.24</v>
      </c>
      <c r="L880" s="16" t="n">
        <f aca="false">J880*K880</f>
        <v>0.0788377723565173</v>
      </c>
      <c r="M880" s="44" t="n">
        <f aca="false">Country_Data!$DW$130+Sector_Params!$E$5</f>
        <v>0.039</v>
      </c>
      <c r="N880" s="44" t="n">
        <f aca="false">Country_Data!$DX$130+Sector_Params!$E$5</f>
        <v>0.084</v>
      </c>
      <c r="O880" s="11" t="n">
        <f aca="false">IF(p_use_ibrd=1,p_r_ibrd,p_r_wb)</f>
        <v>0.06</v>
      </c>
      <c r="P880" s="45" t="n">
        <f aca="false">Sector_Params!$D$5</f>
        <v>25</v>
      </c>
      <c r="Q880" s="46" t="n">
        <f aca="false">M880/(1-(1+M880)^-P880)</f>
        <v>0.0633371599763771</v>
      </c>
      <c r="R880" s="46" t="n">
        <f aca="false">N880/(1-(1+N880)^-P880)</f>
        <v>0.0969000689307115</v>
      </c>
      <c r="S880" s="46" t="n">
        <f aca="false">O880/(1-(1+O880)^-P880)</f>
        <v>0.078226718212274</v>
      </c>
      <c r="T880" s="37" t="n">
        <f aca="false">IF(AND(p_eng=1,ISNUMBER(Country_Data!$CZ$130)),Country_Data!$CZ$130,Country_Data!$CM$130)*Sector_Params!$I$5</f>
        <v>0.196580100798726</v>
      </c>
      <c r="U880" s="37" t="n">
        <f aca="false">IF(AND(p_eng=1,ISNUMBER(Country_Data!$DA$130)),Country_Data!$DA$130,Country_Data!$CN$130)*Sector_Params!$J$5</f>
        <v>0.0158116273267788</v>
      </c>
      <c r="V880" s="37" t="n">
        <f aca="false">IF(AND(p_eng=1,ISNUMBER(Country_Data!$DB$130)),Country_Data!$DB$130,p_a)</f>
        <v>1.12124672491258</v>
      </c>
      <c r="W880" s="16" t="n">
        <f aca="false">T880*L880</f>
        <v>0.0154979372365911</v>
      </c>
      <c r="X880" s="16" t="n">
        <f aca="false">U880*L880</f>
        <v>0.00124655347577468</v>
      </c>
      <c r="Y880" s="16" t="n">
        <f aca="false">V880*L880</f>
        <v>0.0883965940541481</v>
      </c>
      <c r="Z880" s="16" t="n">
        <f aca="false">Q880*L880</f>
        <v>0.00499336059992594</v>
      </c>
      <c r="AA880" s="16" t="n">
        <f aca="false">R880*L880</f>
        <v>0.00763938557569026</v>
      </c>
      <c r="AB880" s="16" t="n">
        <f aca="false">S880*L880</f>
        <v>0.00616722020261668</v>
      </c>
      <c r="AC880" s="16" t="n">
        <f aca="false">Z880-W880</f>
        <v>-0.0105045766366652</v>
      </c>
      <c r="AD880" s="16" t="n">
        <f aca="false">AA880-W880</f>
        <v>-0.00785855166090088</v>
      </c>
      <c r="AE880" s="16" t="n">
        <f aca="false">AB880-W880</f>
        <v>-0.00933071703397447</v>
      </c>
      <c r="AF880" s="16" t="n">
        <f aca="false">AE880-X880</f>
        <v>-0.0105772705097491</v>
      </c>
      <c r="AG880" s="16" t="n">
        <f aca="false">AF880-p_spc_lo*Y880/1000</f>
        <v>-0.0149971002124566</v>
      </c>
      <c r="AH880" s="16" t="n">
        <f aca="false">AF880-p_spc_hi*Y880/1000</f>
        <v>-0.019416929915164</v>
      </c>
      <c r="AI880" s="16" t="n">
        <f aca="false">Q880*J880</f>
        <v>0.0208056691663581</v>
      </c>
      <c r="AJ880" s="16" t="n">
        <f aca="false">S880*J880</f>
        <v>0.0256967508442361</v>
      </c>
      <c r="AK880" s="16" t="n">
        <f aca="false">T880*J880</f>
        <v>0.0645747384857964</v>
      </c>
      <c r="AL880" s="16" t="n">
        <f aca="false">U880*J880</f>
        <v>0.00519397281572782</v>
      </c>
      <c r="AM880" s="16" t="n">
        <f aca="false">AI880-AJ880</f>
        <v>-0.00489108167787809</v>
      </c>
      <c r="AN880" s="16" t="n">
        <f aca="false">J880*Country_Data!$EB$130</f>
        <v>0.400809604939141</v>
      </c>
      <c r="AO880" s="16" t="n">
        <f aca="false">L880*Country_Data!$EB$130</f>
        <v>0.0961943051853939</v>
      </c>
    </row>
    <row r="881" customFormat="false" ht="15" hidden="false" customHeight="false" outlineLevel="0" collapsed="false">
      <c r="A881" s="14" t="str">
        <f aca="false">Country_Data!$A$130</f>
        <v>JAM</v>
      </c>
      <c r="B881" s="14" t="str">
        <f aca="false">Country_Data!$E$130</f>
        <v>EMDC</v>
      </c>
      <c r="C881" s="35" t="s">
        <v>470</v>
      </c>
      <c r="D881" s="37" t="n">
        <f aca="false">IF(Country_Data!$BZ$130="","",Country_Data!$BZ$130)</f>
        <v>3.7203865873359</v>
      </c>
      <c r="E881" s="40" t="n">
        <f aca="false">Country_Data!$BW$130</f>
        <v>36.651</v>
      </c>
      <c r="F881" s="41" t="n">
        <f aca="false">Country_Data!$BX$130</f>
        <v>0.597528034705738</v>
      </c>
      <c r="G881" s="42" t="n">
        <f aca="false">IF(D881="","",D881/SUMIFS($D$5:$D$1369,$B$5:$B$1369,B881,$C$5:$C$1369,C881))</f>
        <v>0.000424727277432199</v>
      </c>
      <c r="H881" s="42" t="n">
        <f aca="false">E881/SUMIFS($E$5:$E$1369,$B$5:$B$1369,B881,$C$5:$C$1369,C881)</f>
        <v>0.00045398416908114</v>
      </c>
      <c r="I881" s="43" t="n">
        <f aca="false">IF(G881="",H881,p_beta_alloc*G881+(1-p_beta_alloc)*H881)*F881^p_phi</f>
        <v>0.000339621699751577</v>
      </c>
      <c r="J881" s="16" t="n">
        <f aca="false">INDEX(Sector_Params!$C$17:$E$17,MATCH(B881,Sector_Params!$C$15:$E$15,0))*I881/SUMIFS($I$5:$I$1369,$B$5:$B$1369,B881,$C$5:$C$1369,C881)</f>
        <v>0.225250778161478</v>
      </c>
      <c r="K881" s="28" t="n">
        <f aca="false">INDEX(Sector_Params!$F$6:$H$6,MATCH(B881,Sector_Params!$C$15:$E$15,0))</f>
        <v>0.24</v>
      </c>
      <c r="L881" s="16" t="n">
        <f aca="false">J881*K881</f>
        <v>0.0540601867587547</v>
      </c>
      <c r="M881" s="44" t="n">
        <f aca="false">Country_Data!$DW$130+Sector_Params!$E$6</f>
        <v>0.039</v>
      </c>
      <c r="N881" s="44" t="n">
        <f aca="false">Country_Data!$DX$130+Sector_Params!$E$6</f>
        <v>0.084</v>
      </c>
      <c r="O881" s="11" t="n">
        <f aca="false">IF(p_use_ibrd=1,p_r_ibrd,p_r_wb)</f>
        <v>0.06</v>
      </c>
      <c r="P881" s="45" t="n">
        <f aca="false">Sector_Params!$D$6</f>
        <v>40</v>
      </c>
      <c r="Q881" s="46" t="n">
        <f aca="false">M881/(1-(1+M881)^-P881)</f>
        <v>0.0497741161970242</v>
      </c>
      <c r="R881" s="46" t="n">
        <f aca="false">N881/(1-(1+N881)^-P881)</f>
        <v>0.0874729829292119</v>
      </c>
      <c r="S881" s="46" t="n">
        <f aca="false">O881/(1-(1+O881)^-P881)</f>
        <v>0.0664615359206755</v>
      </c>
      <c r="T881" s="37" t="n">
        <f aca="false">p_grid_credit*IF(AND(p_eng=1,ISNUMBER(Country_Data!$CZ$130)),Country_Data!$CZ$130,Country_Data!$CM$130)*Sector_Params!$I$6</f>
        <v>0</v>
      </c>
      <c r="U881" s="37" t="n">
        <f aca="false">p_grid_credit*IF(AND(p_eng=1,ISNUMBER(Country_Data!$DA$130)),Country_Data!$DA$130,Country_Data!$CN$130)*Sector_Params!$J$6</f>
        <v>0</v>
      </c>
      <c r="V881" s="37" t="n">
        <f aca="false">p_grid_credit*IF(AND(p_eng=1,ISNUMBER(Country_Data!$DB$130)),Country_Data!$DB$130,p_a)</f>
        <v>0</v>
      </c>
      <c r="W881" s="16" t="n">
        <f aca="false">T881*L881</f>
        <v>0</v>
      </c>
      <c r="X881" s="16" t="n">
        <f aca="false">U881*L881</f>
        <v>0</v>
      </c>
      <c r="Y881" s="16" t="n">
        <f aca="false">V881*L881</f>
        <v>0</v>
      </c>
      <c r="Z881" s="16" t="n">
        <f aca="false">Q881*L881</f>
        <v>0.00269079801736308</v>
      </c>
      <c r="AA881" s="16" t="n">
        <f aca="false">R881*L881</f>
        <v>0.00472880579349855</v>
      </c>
      <c r="AB881" s="16" t="n">
        <f aca="false">S881*L881</f>
        <v>0.0035929230441454</v>
      </c>
      <c r="AC881" s="16" t="n">
        <f aca="false">Z881-W881</f>
        <v>0.00269079801736308</v>
      </c>
      <c r="AD881" s="16" t="n">
        <f aca="false">AA881-W881</f>
        <v>0.00472880579349855</v>
      </c>
      <c r="AE881" s="16" t="n">
        <f aca="false">AB881-W881</f>
        <v>0.0035929230441454</v>
      </c>
      <c r="AF881" s="16" t="n">
        <f aca="false">AE881-X881</f>
        <v>0.0035929230441454</v>
      </c>
      <c r="AG881" s="16" t="n">
        <f aca="false">AF881-p_spc_lo*Y881/1000</f>
        <v>0.0035929230441454</v>
      </c>
      <c r="AH881" s="16" t="n">
        <f aca="false">AF881-p_spc_hi*Y881/1000</f>
        <v>0.0035929230441454</v>
      </c>
      <c r="AI881" s="16" t="n">
        <f aca="false">Q881*J881</f>
        <v>0.0112116584056795</v>
      </c>
      <c r="AJ881" s="16" t="n">
        <f aca="false">S881*J881</f>
        <v>0.0149705126839392</v>
      </c>
      <c r="AK881" s="16" t="n">
        <f aca="false">T881*J881</f>
        <v>0</v>
      </c>
      <c r="AL881" s="16" t="n">
        <f aca="false">U881*J881</f>
        <v>0</v>
      </c>
      <c r="AM881" s="16" t="n">
        <f aca="false">AI881-AJ881</f>
        <v>-0.00375885427825965</v>
      </c>
      <c r="AN881" s="16" t="n">
        <f aca="false">J881*Country_Data!$EB$130</f>
        <v>0.274840871958268</v>
      </c>
      <c r="AO881" s="16" t="n">
        <f aca="false">L881*Country_Data!$EB$130</f>
        <v>0.0659618092699844</v>
      </c>
    </row>
    <row r="882" customFormat="false" ht="15" hidden="false" customHeight="false" outlineLevel="0" collapsed="false">
      <c r="A882" s="14" t="str">
        <f aca="false">Country_Data!$A$130</f>
        <v>JAM</v>
      </c>
      <c r="B882" s="14" t="str">
        <f aca="false">Country_Data!$E$130</f>
        <v>EMDC</v>
      </c>
      <c r="C882" s="35" t="s">
        <v>473</v>
      </c>
      <c r="D882" s="37" t="n">
        <f aca="false">IF(Country_Data!$CA$130="","",Country_Data!$CA$130)</f>
        <v>0.0364142500892834</v>
      </c>
      <c r="E882" s="40" t="n">
        <f aca="false">Country_Data!$BW$130</f>
        <v>36.651</v>
      </c>
      <c r="F882" s="41" t="n">
        <f aca="false">Country_Data!$BX$130</f>
        <v>0.597528034705738</v>
      </c>
      <c r="G882" s="42" t="n">
        <f aca="false">IF(D882="","",D882/SUMIFS($D$5:$D$1369,$B$5:$B$1369,B882,$C$5:$C$1369,C882))</f>
        <v>0.00084125390262287</v>
      </c>
      <c r="H882" s="42" t="n">
        <f aca="false">E882/SUMIFS($E$5:$E$1369,$B$5:$B$1369,B882,$C$5:$C$1369,C882)</f>
        <v>0.00045398416908114</v>
      </c>
      <c r="I882" s="43" t="n">
        <f aca="false">IF(G882="",H882,p_beta_alloc*G882+(1-p_beta_alloc)*H882)*F882^p_phi</f>
        <v>0.000500609110351898</v>
      </c>
      <c r="J882" s="16" t="n">
        <f aca="false">INDEX(Sector_Params!$C$18:$E$18,MATCH(B882,Sector_Params!$C$15:$E$15,0))*I882/SUMIFS($I$5:$I$1369,$B$5:$B$1369,B882,$C$5:$C$1369,C882)</f>
        <v>0.204987585669649</v>
      </c>
      <c r="K882" s="28" t="n">
        <f aca="false">INDEX(Sector_Params!$F$7:$H$7,MATCH(B882,Sector_Params!$C$15:$E$15,0))</f>
        <v>0.24</v>
      </c>
      <c r="L882" s="16" t="n">
        <f aca="false">J882*K882</f>
        <v>0.0491970205607158</v>
      </c>
      <c r="M882" s="44" t="n">
        <f aca="false">Country_Data!$DW$130+Sector_Params!$E$7</f>
        <v>0.039</v>
      </c>
      <c r="N882" s="44" t="n">
        <f aca="false">Country_Data!$DX$130+Sector_Params!$E$7</f>
        <v>0.084</v>
      </c>
      <c r="O882" s="11" t="n">
        <f aca="false">IF(p_use_ibrd=1,p_r_ibrd,p_r_wb)</f>
        <v>0.06</v>
      </c>
      <c r="P882" s="45" t="n">
        <f aca="false">Sector_Params!$D$7</f>
        <v>12</v>
      </c>
      <c r="Q882" s="46" t="n">
        <f aca="false">M882/(1-(1+M882)^-P882)</f>
        <v>0.105934846155051</v>
      </c>
      <c r="R882" s="46" t="n">
        <f aca="false">N882/(1-(1+N882)^-P882)</f>
        <v>0.135458070699967</v>
      </c>
      <c r="S882" s="46" t="n">
        <f aca="false">O882/(1-(1+O882)^-P882)</f>
        <v>0.119277029380664</v>
      </c>
      <c r="T882" s="37" t="n">
        <f aca="false">IF(AND(p_eng=1,ISNUMBER(Country_Data!$DE$130)),Country_Data!$DE$130,Country_Data!$CM$130)*Sector_Params!$I$7</f>
        <v>0.09473706</v>
      </c>
      <c r="U882" s="37" t="n">
        <f aca="false">IF(AND(p_eng=1,ISNUMBER(Country_Data!$DF$130)),Country_Data!$DF$130,Country_Data!$CN$130)*Sector_Params!$J$7</f>
        <v>0.00730305</v>
      </c>
      <c r="V882" s="37" t="n">
        <f aca="false">IF(AND(p_eng=1,ISNUMBER(Country_Data!$DG$130)),Country_Data!$DG$130,p_a)</f>
        <v>0.270161670731707</v>
      </c>
      <c r="W882" s="16" t="n">
        <f aca="false">T882*L882</f>
        <v>0.00466078108868177</v>
      </c>
      <c r="X882" s="16" t="n">
        <f aca="false">U882*L882</f>
        <v>0.000359288301005936</v>
      </c>
      <c r="Y882" s="16" t="n">
        <f aca="false">V882*L882</f>
        <v>0.0132911492697051</v>
      </c>
      <c r="Z882" s="16" t="n">
        <f aca="false">Q882*L882</f>
        <v>0.00521167880438631</v>
      </c>
      <c r="AA882" s="16" t="n">
        <f aca="false">R882*L882</f>
        <v>0.00666413348934117</v>
      </c>
      <c r="AB882" s="16" t="n">
        <f aca="false">S882*L882</f>
        <v>0.00586807446686161</v>
      </c>
      <c r="AC882" s="16" t="n">
        <f aca="false">Z882-W882</f>
        <v>0.000550897715704541</v>
      </c>
      <c r="AD882" s="16" t="n">
        <f aca="false">AA882-W882</f>
        <v>0.0020033524006594</v>
      </c>
      <c r="AE882" s="16" t="n">
        <f aca="false">AB882-W882</f>
        <v>0.00120729337817984</v>
      </c>
      <c r="AF882" s="16" t="n">
        <f aca="false">AE882-X882</f>
        <v>0.000848005077173906</v>
      </c>
      <c r="AG882" s="16" t="n">
        <f aca="false">AF882-p_spc_lo*Y882/1000</f>
        <v>0.000183447613688649</v>
      </c>
      <c r="AH882" s="16" t="n">
        <f aca="false">AF882-p_spc_hi*Y882/1000</f>
        <v>-0.000481109849796608</v>
      </c>
      <c r="AI882" s="16" t="n">
        <f aca="false">Q882*J882</f>
        <v>0.0217153283516096</v>
      </c>
      <c r="AJ882" s="16" t="n">
        <f aca="false">S882*J882</f>
        <v>0.02445031027859</v>
      </c>
      <c r="AK882" s="16" t="n">
        <f aca="false">T882*J882</f>
        <v>0.0194199212028407</v>
      </c>
      <c r="AL882" s="16" t="n">
        <f aca="false">U882*J882</f>
        <v>0.00149703458752473</v>
      </c>
      <c r="AM882" s="16" t="n">
        <f aca="false">AI882-AJ882</f>
        <v>-0.00273498192698042</v>
      </c>
      <c r="AN882" s="16" t="n">
        <f aca="false">J882*Country_Data!$EB$130</f>
        <v>0.250116635538006</v>
      </c>
      <c r="AO882" s="16" t="n">
        <f aca="false">L882*Country_Data!$EB$130</f>
        <v>0.0600279925291215</v>
      </c>
    </row>
    <row r="883" customFormat="false" ht="15" hidden="false" customHeight="false" outlineLevel="0" collapsed="false">
      <c r="A883" s="14" t="str">
        <f aca="false">Country_Data!$A$130</f>
        <v>JAM</v>
      </c>
      <c r="B883" s="14" t="str">
        <f aca="false">Country_Data!$E$130</f>
        <v>EMDC</v>
      </c>
      <c r="C883" s="35" t="s">
        <v>477</v>
      </c>
      <c r="D883" s="37" t="n">
        <f aca="false">IF(Country_Data!$CB$130="","",Country_Data!$CB$130)</f>
        <v>0.00963972947127212</v>
      </c>
      <c r="E883" s="40" t="n">
        <f aca="false">Country_Data!$BW$130</f>
        <v>36.651</v>
      </c>
      <c r="F883" s="41" t="n">
        <f aca="false">Country_Data!$BX$130</f>
        <v>0.597528034705738</v>
      </c>
      <c r="G883" s="42" t="n">
        <f aca="false">IF(D883="","",D883/SUMIFS($D$5:$D$1369,$B$5:$B$1369,B883,$C$5:$C$1369,C883))</f>
        <v>0.000303970023208501</v>
      </c>
      <c r="H883" s="42" t="n">
        <f aca="false">E883/SUMIFS($E$5:$E$1369,$B$5:$B$1369,B883,$C$5:$C$1369,C883)</f>
        <v>0.00045398416908114</v>
      </c>
      <c r="I883" s="43" t="n">
        <f aca="false">IF(G883="",H883,p_beta_alloc*G883+(1-p_beta_alloc)*H883)*F883^p_phi</f>
        <v>0.000292949058693449</v>
      </c>
      <c r="J883" s="16" t="n">
        <f aca="false">INDEX(Sector_Params!$C$19:$E$19,MATCH(B883,Sector_Params!$C$15:$E$15,0))*I883/SUMIFS($I$5:$I$1369,$B$5:$B$1369,B883,$C$5:$C$1369,C883)</f>
        <v>0.0942893446807705</v>
      </c>
      <c r="K883" s="28" t="n">
        <f aca="false">INDEX(Sector_Params!$F$8:$H$8,MATCH(B883,Sector_Params!$C$15:$E$15,0))</f>
        <v>0.24</v>
      </c>
      <c r="L883" s="16" t="n">
        <f aca="false">J883*K883</f>
        <v>0.0226294427233849</v>
      </c>
      <c r="M883" s="44" t="n">
        <f aca="false">Country_Data!$DW$130+Sector_Params!$E$8</f>
        <v>0.039</v>
      </c>
      <c r="N883" s="44" t="n">
        <f aca="false">Country_Data!$DX$130+Sector_Params!$E$8</f>
        <v>0.084</v>
      </c>
      <c r="O883" s="11" t="n">
        <f aca="false">IF(p_use_ibrd=1,p_r_ibrd,p_r_wb)</f>
        <v>0.06</v>
      </c>
      <c r="P883" s="45" t="n">
        <f aca="false">Sector_Params!$D$8</f>
        <v>25</v>
      </c>
      <c r="Q883" s="46" t="n">
        <f aca="false">M883/(1-(1+M883)^-P883)</f>
        <v>0.0633371599763771</v>
      </c>
      <c r="R883" s="46" t="n">
        <f aca="false">N883/(1-(1+N883)^-P883)</f>
        <v>0.0969000689307115</v>
      </c>
      <c r="S883" s="46" t="n">
        <f aca="false">O883/(1-(1+O883)^-P883)</f>
        <v>0.078226718212274</v>
      </c>
      <c r="T883" s="37" t="n">
        <f aca="false">Country_Data!$CM$130*Sector_Params!$I$8</f>
        <v>0.189485221441395</v>
      </c>
      <c r="U883" s="37" t="n">
        <f aca="false">Country_Data!$CN$130*Sector_Params!$J$8</f>
        <v>0.0489353938137684</v>
      </c>
      <c r="V883" s="37" t="n">
        <f aca="false">p_a</f>
        <v>0.35</v>
      </c>
      <c r="W883" s="16" t="n">
        <f aca="false">T883*L883</f>
        <v>0.00428794496553595</v>
      </c>
      <c r="X883" s="16" t="n">
        <f aca="false">U883*L883</f>
        <v>0.00110738069145496</v>
      </c>
      <c r="Y883" s="16" t="n">
        <f aca="false">V883*L883</f>
        <v>0.00792030495318472</v>
      </c>
      <c r="Z883" s="16" t="n">
        <f aca="false">Q883*L883</f>
        <v>0.00143328463394729</v>
      </c>
      <c r="AA883" s="16" t="n">
        <f aca="false">R883*L883</f>
        <v>0.00219279455975959</v>
      </c>
      <c r="AB883" s="16" t="n">
        <f aca="false">S883*L883</f>
        <v>0.00177022703922303</v>
      </c>
      <c r="AC883" s="16" t="n">
        <f aca="false">Z883-W883</f>
        <v>-0.00285466033158866</v>
      </c>
      <c r="AD883" s="16" t="n">
        <f aca="false">AA883-W883</f>
        <v>-0.00209515040577637</v>
      </c>
      <c r="AE883" s="16" t="n">
        <f aca="false">AB883-W883</f>
        <v>-0.00251771792631293</v>
      </c>
      <c r="AF883" s="16" t="n">
        <f aca="false">AE883-X883</f>
        <v>-0.00362509861776788</v>
      </c>
      <c r="AG883" s="16" t="n">
        <f aca="false">AF883-p_spc_lo*Y883/1000</f>
        <v>-0.00402111386542712</v>
      </c>
      <c r="AH883" s="16" t="n">
        <f aca="false">AF883-p_spc_hi*Y883/1000</f>
        <v>-0.00441712911308635</v>
      </c>
      <c r="AI883" s="16" t="n">
        <f aca="false">Q883*J883</f>
        <v>0.00597201930811372</v>
      </c>
      <c r="AJ883" s="16" t="n">
        <f aca="false">S883*J883</f>
        <v>0.00737594599676261</v>
      </c>
      <c r="AK883" s="16" t="n">
        <f aca="false">T883*J883</f>
        <v>0.0178664373563998</v>
      </c>
      <c r="AL883" s="16" t="n">
        <f aca="false">U883*J883</f>
        <v>0.00461408621439565</v>
      </c>
      <c r="AM883" s="16" t="n">
        <f aca="false">AI883-AJ883</f>
        <v>-0.00140392668864888</v>
      </c>
      <c r="AN883" s="16" t="n">
        <f aca="false">J883*Country_Data!$EB$130</f>
        <v>0.115047619013591</v>
      </c>
      <c r="AO883" s="16" t="n">
        <f aca="false">L883*Country_Data!$EB$130</f>
        <v>0.0276114285632619</v>
      </c>
    </row>
    <row r="884" customFormat="false" ht="15" hidden="false" customHeight="false" outlineLevel="0" collapsed="false">
      <c r="A884" s="14" t="str">
        <f aca="false">Country_Data!$A$130</f>
        <v>JAM</v>
      </c>
      <c r="B884" s="14" t="str">
        <f aca="false">Country_Data!$E$130</f>
        <v>EMDC</v>
      </c>
      <c r="C884" s="35" t="s">
        <v>481</v>
      </c>
      <c r="D884" s="37" t="n">
        <f aca="false">IF(Country_Data!$CC$130="","",Country_Data!$CC$130)</f>
        <v>0.0504096915217038</v>
      </c>
      <c r="E884" s="40" t="n">
        <f aca="false">Country_Data!$BW$130</f>
        <v>36.651</v>
      </c>
      <c r="F884" s="41" t="n">
        <f aca="false">Country_Data!$BX$130</f>
        <v>0.597528034705738</v>
      </c>
      <c r="G884" s="42" t="n">
        <f aca="false">IF(D884="","",D884/SUMIFS($D$5:$D$1369,$B$5:$B$1369,B884,$C$5:$C$1369,C884))</f>
        <v>0.000720063794849355</v>
      </c>
      <c r="H884" s="42" t="n">
        <f aca="false">E884/SUMIFS($E$5:$E$1369,$B$5:$B$1369,B884,$C$5:$C$1369,C884)</f>
        <v>0.00045398416908114</v>
      </c>
      <c r="I884" s="43" t="n">
        <f aca="false">IF(G884="",H884,p_beta_alloc*G884+(1-p_beta_alloc)*H884)*F884^p_phi</f>
        <v>0.000453769171531898</v>
      </c>
      <c r="J884" s="16" t="n">
        <f aca="false">INDEX(Sector_Params!$C$20:$E$20,MATCH(B884,Sector_Params!$C$15:$E$15,0))*I884/SUMIFS($I$5:$I$1369,$B$5:$B$1369,B884,$C$5:$C$1369,C884)</f>
        <v>0.0828220116661179</v>
      </c>
      <c r="K884" s="28" t="n">
        <f aca="false">INDEX(Sector_Params!$F$9:$H$9,MATCH(B884,Sector_Params!$C$15:$E$15,0))</f>
        <v>0.24</v>
      </c>
      <c r="L884" s="16" t="n">
        <f aca="false">J884*K884</f>
        <v>0.0198772827998683</v>
      </c>
      <c r="M884" s="44" t="n">
        <f aca="false">Country_Data!$DW$130+Sector_Params!$E$9</f>
        <v>0.039</v>
      </c>
      <c r="N884" s="44" t="n">
        <f aca="false">Country_Data!$DX$130+Sector_Params!$E$9</f>
        <v>0.084</v>
      </c>
      <c r="O884" s="11" t="n">
        <f aca="false">IF(p_use_ibrd=1,p_r_ibrd,p_r_wb)</f>
        <v>0.06</v>
      </c>
      <c r="P884" s="45" t="n">
        <f aca="false">Sector_Params!$D$9</f>
        <v>25</v>
      </c>
      <c r="Q884" s="46" t="n">
        <f aca="false">M884/(1-(1+M884)^-P884)</f>
        <v>0.0633371599763771</v>
      </c>
      <c r="R884" s="46" t="n">
        <f aca="false">N884/(1-(1+N884)^-P884)</f>
        <v>0.0969000689307115</v>
      </c>
      <c r="S884" s="46" t="n">
        <f aca="false">O884/(1-(1+O884)^-P884)</f>
        <v>0.078226718212274</v>
      </c>
      <c r="T884" s="37" t="n">
        <f aca="false">Country_Data!$CM$130*Sector_Params!$I$9</f>
        <v>0.189485221441395</v>
      </c>
      <c r="U884" s="37" t="n">
        <f aca="false">Country_Data!$CN$130*Sector_Params!$J$9</f>
        <v>0.0489353938137684</v>
      </c>
      <c r="V884" s="37" t="n">
        <f aca="false">p_a</f>
        <v>0.35</v>
      </c>
      <c r="W884" s="16" t="n">
        <f aca="false">T884*L884</f>
        <v>0.00376645133298627</v>
      </c>
      <c r="X884" s="16" t="n">
        <f aca="false">U884*L884</f>
        <v>0.0009727026617592</v>
      </c>
      <c r="Y884" s="16" t="n">
        <f aca="false">V884*L884</f>
        <v>0.00695704897995391</v>
      </c>
      <c r="Z884" s="16" t="n">
        <f aca="false">Q884*L884</f>
        <v>0.00125897064059095</v>
      </c>
      <c r="AA884" s="16" t="n">
        <f aca="false">R884*L884</f>
        <v>0.00192611007346248</v>
      </c>
      <c r="AB884" s="16" t="n">
        <f aca="false">S884*L884</f>
        <v>0.00155493460041098</v>
      </c>
      <c r="AC884" s="16" t="n">
        <f aca="false">Z884-W884</f>
        <v>-0.00250748069239532</v>
      </c>
      <c r="AD884" s="16" t="n">
        <f aca="false">AA884-W884</f>
        <v>-0.00184034125952379</v>
      </c>
      <c r="AE884" s="16" t="n">
        <f aca="false">AB884-W884</f>
        <v>-0.0022115167325753</v>
      </c>
      <c r="AF884" s="16" t="n">
        <f aca="false">AE884-X884</f>
        <v>-0.0031842193943345</v>
      </c>
      <c r="AG884" s="16" t="n">
        <f aca="false">AF884-p_spc_lo*Y884/1000</f>
        <v>-0.00353207184333219</v>
      </c>
      <c r="AH884" s="16" t="n">
        <f aca="false">AF884-p_spc_hi*Y884/1000</f>
        <v>-0.00387992429232989</v>
      </c>
      <c r="AI884" s="16" t="n">
        <f aca="false">Q884*J884</f>
        <v>0.00524571100246228</v>
      </c>
      <c r="AJ884" s="16" t="n">
        <f aca="false">S884*J884</f>
        <v>0.00647889416837907</v>
      </c>
      <c r="AK884" s="16" t="n">
        <f aca="false">T884*J884</f>
        <v>0.0156935472207761</v>
      </c>
      <c r="AL884" s="16" t="n">
        <f aca="false">U884*J884</f>
        <v>0.00405292775733</v>
      </c>
      <c r="AM884" s="16" t="n">
        <f aca="false">AI884-AJ884</f>
        <v>-0.00123318316591679</v>
      </c>
      <c r="AN884" s="16" t="n">
        <f aca="false">J884*Country_Data!$EB$130</f>
        <v>0.101055694854628</v>
      </c>
      <c r="AO884" s="16" t="n">
        <f aca="false">L884*Country_Data!$EB$130</f>
        <v>0.0242533667651106</v>
      </c>
    </row>
    <row r="885" customFormat="false" ht="15" hidden="false" customHeight="false" outlineLevel="0" collapsed="false">
      <c r="A885" s="14" t="str">
        <f aca="false">Country_Data!$A$130</f>
        <v>JAM</v>
      </c>
      <c r="B885" s="14" t="str">
        <f aca="false">Country_Data!$E$130</f>
        <v>EMDC</v>
      </c>
      <c r="C885" s="35" t="s">
        <v>484</v>
      </c>
      <c r="D885" s="37" t="n">
        <f aca="false">IF(Country_Data!$CD$130="","",Country_Data!$CD$130)</f>
        <v>0.0902367554214911</v>
      </c>
      <c r="E885" s="40" t="n">
        <f aca="false">Country_Data!$BW$130</f>
        <v>36.651</v>
      </c>
      <c r="F885" s="41" t="n">
        <f aca="false">Country_Data!$BX$130</f>
        <v>0.597528034705738</v>
      </c>
      <c r="G885" s="42" t="n">
        <f aca="false">IF(D885="","",D885/SUMIFS($D$5:$D$1369,$B$5:$B$1369,B885,$C$5:$C$1369,C885))</f>
        <v>0.00050391500750454</v>
      </c>
      <c r="H885" s="42" t="n">
        <f aca="false">E885/SUMIFS($E$5:$E$1369,$B$5:$B$1369,B885,$C$5:$C$1369,C885)</f>
        <v>0.00045398416908114</v>
      </c>
      <c r="I885" s="43" t="n">
        <f aca="false">IF(G885="",H885,p_beta_alloc*G885+(1-p_beta_alloc)*H885)*F885^p_phi</f>
        <v>0.000370227732702839</v>
      </c>
      <c r="J885" s="16" t="n">
        <f aca="false">INDEX(Sector_Params!$C$21:$E$21,MATCH(B885,Sector_Params!$C$15:$E$15,0))*I885/SUMIFS($I$5:$I$1369,$B$5:$B$1369,B885,$C$5:$C$1369,C885)</f>
        <v>0.0821127445118501</v>
      </c>
      <c r="K885" s="28" t="n">
        <f aca="false">INDEX(Sector_Params!$F$10:$H$10,MATCH(B885,Sector_Params!$C$15:$E$15,0))</f>
        <v>0.24</v>
      </c>
      <c r="L885" s="16" t="n">
        <f aca="false">J885*K885</f>
        <v>0.019707058682844</v>
      </c>
      <c r="M885" s="44" t="n">
        <f aca="false">Country_Data!$DW$130+Sector_Params!$E$10</f>
        <v>0.039</v>
      </c>
      <c r="N885" s="44" t="n">
        <f aca="false">Country_Data!$DX$130+Sector_Params!$E$10</f>
        <v>0.084</v>
      </c>
      <c r="O885" s="11" t="n">
        <f aca="false">IF(p_use_ibrd=1,p_r_ibrd,p_r_wb)</f>
        <v>0.06</v>
      </c>
      <c r="P885" s="45" t="n">
        <f aca="false">Sector_Params!$D$10</f>
        <v>20</v>
      </c>
      <c r="Q885" s="46" t="n">
        <f aca="false">M885/(1-(1+M885)^-P885)</f>
        <v>0.0729316659704981</v>
      </c>
      <c r="R885" s="46" t="n">
        <f aca="false">N885/(1-(1+N885)^-P885)</f>
        <v>0.104902617936302</v>
      </c>
      <c r="S885" s="46" t="n">
        <f aca="false">O885/(1-(1+O885)^-P885)</f>
        <v>0.0871845569768514</v>
      </c>
      <c r="T885" s="37" t="n">
        <f aca="false">0*Sector_Params!$I$10</f>
        <v>0</v>
      </c>
      <c r="U885" s="37" t="n">
        <f aca="false">0*Sector_Params!$J$10</f>
        <v>0</v>
      </c>
      <c r="V885" s="37" t="n">
        <f aca="false">1000*p_r_wb/(1-(1+p_r_wb)^-Sector_Params!$D$10)/p_cpt_fuel</f>
        <v>0.871845569768514</v>
      </c>
      <c r="W885" s="16" t="n">
        <f aca="false">T885*L885</f>
        <v>0</v>
      </c>
      <c r="X885" s="16" t="n">
        <f aca="false">U885*L885</f>
        <v>0</v>
      </c>
      <c r="Y885" s="16" t="n">
        <f aca="false">V885*L885</f>
        <v>0.0171815118058057</v>
      </c>
      <c r="Z885" s="16" t="n">
        <f aca="false">Q885*L885</f>
        <v>0.00143726862111818</v>
      </c>
      <c r="AA885" s="16" t="n">
        <f aca="false">R885*L885</f>
        <v>0.00206732204765468</v>
      </c>
      <c r="AB885" s="16" t="n">
        <f aca="false">S885*L885</f>
        <v>0.00171815118058057</v>
      </c>
      <c r="AC885" s="16" t="n">
        <f aca="false">Z885-W885</f>
        <v>0.00143726862111818</v>
      </c>
      <c r="AD885" s="16" t="n">
        <f aca="false">AA885-W885</f>
        <v>0.00206732204765468</v>
      </c>
      <c r="AE885" s="16" t="n">
        <f aca="false">AB885-W885</f>
        <v>0.00171815118058057</v>
      </c>
      <c r="AF885" s="16" t="n">
        <f aca="false">AE885-X885</f>
        <v>0.00171815118058057</v>
      </c>
      <c r="AG885" s="16" t="n">
        <f aca="false">AF885-p_spc_lo*Y885/1000</f>
        <v>0.000859075590290284</v>
      </c>
      <c r="AH885" s="16" t="n">
        <f aca="false">AF885-p_spc_hi*Y885/1000</f>
        <v>0</v>
      </c>
      <c r="AI885" s="16" t="n">
        <f aca="false">Q885*J885</f>
        <v>0.0059886192546591</v>
      </c>
      <c r="AJ885" s="16" t="n">
        <f aca="false">S885*J885</f>
        <v>0.00715896325241904</v>
      </c>
      <c r="AK885" s="16" t="n">
        <f aca="false">T885*J885</f>
        <v>0</v>
      </c>
      <c r="AL885" s="16" t="n">
        <f aca="false">U885*J885</f>
        <v>0</v>
      </c>
      <c r="AM885" s="16" t="n">
        <f aca="false">AI885-AJ885</f>
        <v>-0.00117034399775993</v>
      </c>
      <c r="AN885" s="16" t="n">
        <f aca="false">J885*Country_Data!$EB$130</f>
        <v>0.100190278962521</v>
      </c>
      <c r="AO885" s="16" t="n">
        <f aca="false">L885*Country_Data!$EB$130</f>
        <v>0.024045666951005</v>
      </c>
    </row>
    <row r="886" customFormat="false" ht="15" hidden="false" customHeight="false" outlineLevel="0" collapsed="false">
      <c r="A886" s="14" t="str">
        <f aca="false">Country_Data!$A$130</f>
        <v>JAM</v>
      </c>
      <c r="B886" s="14" t="str">
        <f aca="false">Country_Data!$E$130</f>
        <v>EMDC</v>
      </c>
      <c r="C886" s="35" t="s">
        <v>488</v>
      </c>
      <c r="D886" s="37" t="n">
        <f aca="false">IF(Country_Data!$CE$130="","",Country_Data!$CE$130)</f>
        <v>1.758</v>
      </c>
      <c r="E886" s="40" t="n">
        <f aca="false">Country_Data!$BW$130</f>
        <v>36.651</v>
      </c>
      <c r="F886" s="41" t="n">
        <f aca="false">Country_Data!$BX$130</f>
        <v>0.597528034705738</v>
      </c>
      <c r="G886" s="42" t="n">
        <f aca="false">IF(D886="","",D886/SUMIFS($D$5:$D$1369,$B$5:$B$1369,B886,$C$5:$C$1369,C886))</f>
        <v>0.00014404983239253</v>
      </c>
      <c r="H886" s="42" t="n">
        <f aca="false">E886/SUMIFS($E$5:$E$1369,$B$5:$B$1369,B886,$C$5:$C$1369,C886)</f>
        <v>0.00045398416908114</v>
      </c>
      <c r="I886" s="43" t="n">
        <f aca="false">IF(G886="",H886,p_beta_alloc*G886+(1-p_beta_alloc)*H886)*F886^p_phi</f>
        <v>0.000231139954868725</v>
      </c>
      <c r="J886" s="16" t="n">
        <f aca="false">INDEX(Sector_Params!$C$22:$E$22,MATCH(B886,Sector_Params!$C$15:$E$15,0))*I886/SUMIFS($I$5:$I$1369,$B$5:$B$1369,B886,$C$5:$C$1369,C886)</f>
        <v>0.139333103647405</v>
      </c>
      <c r="K886" s="28" t="n">
        <f aca="false">INDEX(Sector_Params!$F$11:$H$11,MATCH(B886,Sector_Params!$C$15:$E$15,0))</f>
        <v>0.24</v>
      </c>
      <c r="L886" s="16" t="n">
        <f aca="false">J886*K886</f>
        <v>0.0334399448753772</v>
      </c>
      <c r="M886" s="44" t="n">
        <f aca="false">Country_Data!$DW$130+Sector_Params!$E$11</f>
        <v>0.039</v>
      </c>
      <c r="N886" s="44" t="n">
        <f aca="false">Country_Data!$DX$130+Sector_Params!$E$11</f>
        <v>0.084</v>
      </c>
      <c r="O886" s="11" t="n">
        <f aca="false">IF(p_use_ibrd=1,p_r_ibrd,p_r_wb)</f>
        <v>0.06</v>
      </c>
      <c r="P886" s="45" t="n">
        <f aca="false">Sector_Params!$D$11</f>
        <v>30</v>
      </c>
      <c r="Q886" s="46" t="n">
        <f aca="false">M886/(1-(1+M886)^-P886)</f>
        <v>0.0571299995872045</v>
      </c>
      <c r="R886" s="46" t="n">
        <f aca="false">N886/(1-(1+N886)^-P886)</f>
        <v>0.0922008000567433</v>
      </c>
      <c r="S886" s="46" t="n">
        <f aca="false">O886/(1-(1+O886)^-P886)</f>
        <v>0.0726489114900472</v>
      </c>
      <c r="T886" s="37" t="n">
        <f aca="false">0*Sector_Params!$I$11</f>
        <v>0</v>
      </c>
      <c r="U886" s="37" t="n">
        <f aca="false">p_c*Sector_Params!$J$11</f>
        <v>0.129</v>
      </c>
      <c r="V886" s="37" t="n">
        <f aca="false">1000*p_r_wb/(1-(1+p_r_wb)^-Sector_Params!$D$11)/p_cpt_afolu</f>
        <v>1.45297822980094</v>
      </c>
      <c r="W886" s="16" t="n">
        <f aca="false">T886*L886</f>
        <v>0</v>
      </c>
      <c r="X886" s="16" t="n">
        <f aca="false">U886*L886</f>
        <v>0.00431375288892366</v>
      </c>
      <c r="Y886" s="16" t="n">
        <f aca="false">V886*L886</f>
        <v>0.0485875119096667</v>
      </c>
      <c r="Z886" s="16" t="n">
        <f aca="false">Q886*L886</f>
        <v>0.00191042403692644</v>
      </c>
      <c r="AA886" s="16" t="n">
        <f aca="false">R886*L886</f>
        <v>0.00308318967136317</v>
      </c>
      <c r="AB886" s="16" t="n">
        <f aca="false">S886*L886</f>
        <v>0.00242937559548333</v>
      </c>
      <c r="AC886" s="16" t="n">
        <f aca="false">Z886-W886</f>
        <v>0.00191042403692644</v>
      </c>
      <c r="AD886" s="16" t="n">
        <f aca="false">AA886-W886</f>
        <v>0.00308318967136317</v>
      </c>
      <c r="AE886" s="16" t="n">
        <f aca="false">AB886-W886</f>
        <v>0.00242937559548333</v>
      </c>
      <c r="AF886" s="16" t="n">
        <f aca="false">AE886-X886</f>
        <v>-0.00188437729344032</v>
      </c>
      <c r="AG886" s="16" t="n">
        <f aca="false">AF886-p_spc_lo*Y886/1000</f>
        <v>-0.00431375288892366</v>
      </c>
      <c r="AH886" s="16" t="n">
        <f aca="false">AF886-p_spc_hi*Y886/1000</f>
        <v>-0.00674312848440699</v>
      </c>
      <c r="AI886" s="16" t="n">
        <f aca="false">Q886*J886</f>
        <v>0.00796010015386016</v>
      </c>
      <c r="AJ886" s="16" t="n">
        <f aca="false">S886*J886</f>
        <v>0.0101223983145139</v>
      </c>
      <c r="AK886" s="16" t="n">
        <f aca="false">T886*J886</f>
        <v>0</v>
      </c>
      <c r="AL886" s="16" t="n">
        <f aca="false">U886*J886</f>
        <v>0.0179739703705152</v>
      </c>
      <c r="AM886" s="16" t="n">
        <f aca="false">AI886-AJ886</f>
        <v>-0.00216229816065373</v>
      </c>
      <c r="AN886" s="16" t="n">
        <f aca="false">J886*Country_Data!$EB$130</f>
        <v>0.170007988481407</v>
      </c>
      <c r="AO886" s="16" t="n">
        <f aca="false">L886*Country_Data!$EB$130</f>
        <v>0.0408019172355377</v>
      </c>
    </row>
    <row r="887" customFormat="false" ht="15" hidden="false" customHeight="false" outlineLevel="0" collapsed="false">
      <c r="A887" s="14" t="str">
        <f aca="false">Country_Data!$A$131</f>
        <v>BEN</v>
      </c>
      <c r="B887" s="14" t="str">
        <f aca="false">Country_Data!$E$131</f>
        <v>EMDC</v>
      </c>
      <c r="C887" s="35" t="s">
        <v>466</v>
      </c>
      <c r="D887" s="37" t="n">
        <f aca="false">IF(Country_Data!$BZ$131="","",Country_Data!$BZ$131)</f>
        <v>1.74588869088666</v>
      </c>
      <c r="E887" s="40" t="n">
        <f aca="false">Country_Data!$BW$131</f>
        <v>64.229</v>
      </c>
      <c r="F887" s="41" t="n">
        <f aca="false">Country_Data!$BX$131</f>
        <v>0.334537358514067</v>
      </c>
      <c r="G887" s="42" t="n">
        <f aca="false">IF(D887="","",D887/SUMIFS($D$5:$D$1369,$B$5:$B$1369,B887,$C$5:$C$1369,C887))</f>
        <v>0.000199314381173207</v>
      </c>
      <c r="H887" s="42" t="n">
        <f aca="false">E887/SUMIFS($E$5:$E$1369,$B$5:$B$1369,B887,$C$5:$C$1369,C887)</f>
        <v>0.000795584000325027</v>
      </c>
      <c r="I887" s="43" t="n">
        <f aca="false">IF(G887="",H887,p_beta_alloc*G887+(1-p_beta_alloc)*H887)*F887^p_phi</f>
        <v>0.000287720655062756</v>
      </c>
      <c r="J887" s="16" t="n">
        <f aca="false">INDEX(Sector_Params!$C$16:$E$16,MATCH(B887,Sector_Params!$C$15:$E$15,0))*I887/SUMIFS($I$5:$I$1369,$B$5:$B$1369,B887,$C$5:$C$1369,C887)</f>
        <v>0.2782907119242</v>
      </c>
      <c r="K887" s="28" t="n">
        <f aca="false">INDEX(Sector_Params!$F$5:$H$5,MATCH(B887,Sector_Params!$C$15:$E$15,0))</f>
        <v>0.24</v>
      </c>
      <c r="L887" s="16" t="n">
        <f aca="false">J887*K887</f>
        <v>0.066789770861808</v>
      </c>
      <c r="M887" s="44" t="n">
        <f aca="false">Country_Data!$DW$131+Sector_Params!$E$5</f>
        <v>0.105</v>
      </c>
      <c r="N887" s="44" t="n">
        <f aca="false">Country_Data!$DX$131+Sector_Params!$E$5</f>
        <v>0.15</v>
      </c>
      <c r="O887" s="11" t="n">
        <f aca="false">IF(p_use_ibrd=1,p_r_ibrd,p_r_wb)</f>
        <v>0.06</v>
      </c>
      <c r="P887" s="45" t="n">
        <f aca="false">Sector_Params!$D$5</f>
        <v>25</v>
      </c>
      <c r="Q887" s="46" t="n">
        <f aca="false">M887/(1-(1+M887)^-P887)</f>
        <v>0.114429319813103</v>
      </c>
      <c r="R887" s="46" t="n">
        <f aca="false">N887/(1-(1+N887)^-P887)</f>
        <v>0.154699402320206</v>
      </c>
      <c r="S887" s="46" t="n">
        <f aca="false">O887/(1-(1+O887)^-P887)</f>
        <v>0.078226718212274</v>
      </c>
      <c r="T887" s="37" t="n">
        <f aca="false">IF(AND(p_eng=1,ISNUMBER(Country_Data!$CZ$131)),Country_Data!$CZ$131,Country_Data!$CM$131)*Sector_Params!$I$5</f>
        <v>0.144891812594949</v>
      </c>
      <c r="U887" s="37" t="n">
        <f aca="false">IF(AND(p_eng=1,ISNUMBER(Country_Data!$DA$131)),Country_Data!$DA$131,Country_Data!$CN$131)*Sector_Params!$J$5</f>
        <v>0.000119946478490318</v>
      </c>
      <c r="V887" s="37" t="n">
        <f aca="false">IF(AND(p_eng=1,ISNUMBER(Country_Data!$DB$131)),Country_Data!$DB$131,p_a)</f>
        <v>1.14425421996909</v>
      </c>
      <c r="W887" s="16" t="n">
        <f aca="false">T887*L887</f>
        <v>0.00967729096296866</v>
      </c>
      <c r="X887" s="16" t="n">
        <f aca="false">U887*L887</f>
        <v>8.01119781404913E-006</v>
      </c>
      <c r="Y887" s="16" t="n">
        <f aca="false">V887*L887</f>
        <v>0.0764244771593925</v>
      </c>
      <c r="Z887" s="16" t="n">
        <f aca="false">Q887*L887</f>
        <v>0.00764270805018971</v>
      </c>
      <c r="AA887" s="16" t="n">
        <f aca="false">R887*L887</f>
        <v>0.0103323376334252</v>
      </c>
      <c r="AB887" s="16" t="n">
        <f aca="false">S887*L887</f>
        <v>0.005224744584669</v>
      </c>
      <c r="AC887" s="16" t="n">
        <f aca="false">Z887-W887</f>
        <v>-0.00203458291277894</v>
      </c>
      <c r="AD887" s="16" t="n">
        <f aca="false">AA887-W887</f>
        <v>0.000655046670456575</v>
      </c>
      <c r="AE887" s="16" t="n">
        <f aca="false">AB887-W887</f>
        <v>-0.00445254637829966</v>
      </c>
      <c r="AF887" s="16" t="n">
        <f aca="false">AE887-X887</f>
        <v>-0.00446055757611371</v>
      </c>
      <c r="AG887" s="16" t="n">
        <f aca="false">AF887-p_spc_lo*Y887/1000</f>
        <v>-0.00828178143408334</v>
      </c>
      <c r="AH887" s="16" t="n">
        <f aca="false">AF887-p_spc_hi*Y887/1000</f>
        <v>-0.012103005292053</v>
      </c>
      <c r="AI887" s="16" t="n">
        <f aca="false">Q887*J887</f>
        <v>0.0318446168757905</v>
      </c>
      <c r="AJ887" s="16" t="n">
        <f aca="false">S887*J887</f>
        <v>0.0217697691027875</v>
      </c>
      <c r="AK887" s="16" t="n">
        <f aca="false">T887*J887</f>
        <v>0.0403220456790361</v>
      </c>
      <c r="AL887" s="16" t="n">
        <f aca="false">U887*J887</f>
        <v>3.33799908918714E-005</v>
      </c>
      <c r="AM887" s="16" t="n">
        <f aca="false">AI887-AJ887</f>
        <v>0.010074847773003</v>
      </c>
      <c r="AN887" s="16" t="n">
        <f aca="false">J887*Country_Data!$EB$131</f>
        <v>0.319462488482849</v>
      </c>
      <c r="AO887" s="16" t="n">
        <f aca="false">L887*Country_Data!$EB$131</f>
        <v>0.0766709972358837</v>
      </c>
    </row>
    <row r="888" customFormat="false" ht="15" hidden="false" customHeight="false" outlineLevel="0" collapsed="false">
      <c r="A888" s="14" t="str">
        <f aca="false">Country_Data!$A$131</f>
        <v>BEN</v>
      </c>
      <c r="B888" s="14" t="str">
        <f aca="false">Country_Data!$E$131</f>
        <v>EMDC</v>
      </c>
      <c r="C888" s="35" t="s">
        <v>470</v>
      </c>
      <c r="D888" s="37" t="n">
        <f aca="false">IF(Country_Data!$BZ$131="","",Country_Data!$BZ$131)</f>
        <v>1.74588869088666</v>
      </c>
      <c r="E888" s="40" t="n">
        <f aca="false">Country_Data!$BW$131</f>
        <v>64.229</v>
      </c>
      <c r="F888" s="41" t="n">
        <f aca="false">Country_Data!$BX$131</f>
        <v>0.334537358514067</v>
      </c>
      <c r="G888" s="42" t="n">
        <f aca="false">IF(D888="","",D888/SUMIFS($D$5:$D$1369,$B$5:$B$1369,B888,$C$5:$C$1369,C888))</f>
        <v>0.000199314381173207</v>
      </c>
      <c r="H888" s="42" t="n">
        <f aca="false">E888/SUMIFS($E$5:$E$1369,$B$5:$B$1369,B888,$C$5:$C$1369,C888)</f>
        <v>0.000795584000325027</v>
      </c>
      <c r="I888" s="43" t="n">
        <f aca="false">IF(G888="",H888,p_beta_alloc*G888+(1-p_beta_alloc)*H888)*F888^p_phi</f>
        <v>0.000287720655062756</v>
      </c>
      <c r="J888" s="16" t="n">
        <f aca="false">INDEX(Sector_Params!$C$17:$E$17,MATCH(B888,Sector_Params!$C$15:$E$15,0))*I888/SUMIFS($I$5:$I$1369,$B$5:$B$1369,B888,$C$5:$C$1369,C888)</f>
        <v>0.190827916748023</v>
      </c>
      <c r="K888" s="28" t="n">
        <f aca="false">INDEX(Sector_Params!$F$6:$H$6,MATCH(B888,Sector_Params!$C$15:$E$15,0))</f>
        <v>0.24</v>
      </c>
      <c r="L888" s="16" t="n">
        <f aca="false">J888*K888</f>
        <v>0.0457987000195255</v>
      </c>
      <c r="M888" s="44" t="n">
        <f aca="false">Country_Data!$DW$131+Sector_Params!$E$6</f>
        <v>0.105</v>
      </c>
      <c r="N888" s="44" t="n">
        <f aca="false">Country_Data!$DX$131+Sector_Params!$E$6</f>
        <v>0.15</v>
      </c>
      <c r="O888" s="11" t="n">
        <f aca="false">IF(p_use_ibrd=1,p_r_ibrd,p_r_wb)</f>
        <v>0.06</v>
      </c>
      <c r="P888" s="45" t="n">
        <f aca="false">Sector_Params!$D$6</f>
        <v>40</v>
      </c>
      <c r="Q888" s="46" t="n">
        <f aca="false">M888/(1-(1+M888)^-P888)</f>
        <v>0.10697140835497</v>
      </c>
      <c r="R888" s="46" t="n">
        <f aca="false">N888/(1-(1+N888)^-P888)</f>
        <v>0.150562085013545</v>
      </c>
      <c r="S888" s="46" t="n">
        <f aca="false">O888/(1-(1+O888)^-P888)</f>
        <v>0.0664615359206755</v>
      </c>
      <c r="T888" s="37" t="n">
        <f aca="false">p_grid_credit*IF(AND(p_eng=1,ISNUMBER(Country_Data!$CZ$131)),Country_Data!$CZ$131,Country_Data!$CM$131)*Sector_Params!$I$6</f>
        <v>0</v>
      </c>
      <c r="U888" s="37" t="n">
        <f aca="false">p_grid_credit*IF(AND(p_eng=1,ISNUMBER(Country_Data!$DA$131)),Country_Data!$DA$131,Country_Data!$CN$131)*Sector_Params!$J$6</f>
        <v>0</v>
      </c>
      <c r="V888" s="37" t="n">
        <f aca="false">p_grid_credit*IF(AND(p_eng=1,ISNUMBER(Country_Data!$DB$131)),Country_Data!$DB$131,p_a)</f>
        <v>0</v>
      </c>
      <c r="W888" s="16" t="n">
        <f aca="false">T888*L888</f>
        <v>0</v>
      </c>
      <c r="X888" s="16" t="n">
        <f aca="false">U888*L888</f>
        <v>0</v>
      </c>
      <c r="Y888" s="16" t="n">
        <f aca="false">V888*L888</f>
        <v>0</v>
      </c>
      <c r="Z888" s="16" t="n">
        <f aca="false">Q888*L888</f>
        <v>0.00489915144191545</v>
      </c>
      <c r="AA888" s="16" t="n">
        <f aca="false">R888*L888</f>
        <v>0.00689554776584964</v>
      </c>
      <c r="AB888" s="16" t="n">
        <f aca="false">S888*L888</f>
        <v>0.00304385194646793</v>
      </c>
      <c r="AC888" s="16" t="n">
        <f aca="false">Z888-W888</f>
        <v>0.00489915144191545</v>
      </c>
      <c r="AD888" s="16" t="n">
        <f aca="false">AA888-W888</f>
        <v>0.00689554776584964</v>
      </c>
      <c r="AE888" s="16" t="n">
        <f aca="false">AB888-W888</f>
        <v>0.00304385194646793</v>
      </c>
      <c r="AF888" s="16" t="n">
        <f aca="false">AE888-X888</f>
        <v>0.00304385194646793</v>
      </c>
      <c r="AG888" s="16" t="n">
        <f aca="false">AF888-p_spc_lo*Y888/1000</f>
        <v>0.00304385194646793</v>
      </c>
      <c r="AH888" s="16" t="n">
        <f aca="false">AF888-p_spc_hi*Y888/1000</f>
        <v>0.00304385194646793</v>
      </c>
      <c r="AI888" s="16" t="n">
        <f aca="false">Q888*J888</f>
        <v>0.020413131007981</v>
      </c>
      <c r="AJ888" s="16" t="n">
        <f aca="false">S888*J888</f>
        <v>0.0126827164436164</v>
      </c>
      <c r="AK888" s="16" t="n">
        <f aca="false">T888*J888</f>
        <v>0</v>
      </c>
      <c r="AL888" s="16" t="n">
        <f aca="false">U888*J888</f>
        <v>0</v>
      </c>
      <c r="AM888" s="16" t="n">
        <f aca="false">AI888-AJ888</f>
        <v>0.00773041456436464</v>
      </c>
      <c r="AN888" s="16" t="n">
        <f aca="false">J888*Country_Data!$EB$131</f>
        <v>0.219059992102525</v>
      </c>
      <c r="AO888" s="16" t="n">
        <f aca="false">L888*Country_Data!$EB$131</f>
        <v>0.0525743981046059</v>
      </c>
    </row>
    <row r="889" customFormat="false" ht="15" hidden="false" customHeight="false" outlineLevel="0" collapsed="false">
      <c r="A889" s="14" t="str">
        <f aca="false">Country_Data!$A$131</f>
        <v>BEN</v>
      </c>
      <c r="B889" s="14" t="str">
        <f aca="false">Country_Data!$E$131</f>
        <v>EMDC</v>
      </c>
      <c r="C889" s="35" t="s">
        <v>473</v>
      </c>
      <c r="D889" s="37" t="n">
        <f aca="false">IF(Country_Data!$CA$131="","",Country_Data!$CA$131)</f>
        <v>0.0644522997038335</v>
      </c>
      <c r="E889" s="40" t="n">
        <f aca="false">Country_Data!$BW$131</f>
        <v>64.229</v>
      </c>
      <c r="F889" s="41" t="n">
        <f aca="false">Country_Data!$BX$131</f>
        <v>0.334537358514067</v>
      </c>
      <c r="G889" s="42" t="n">
        <f aca="false">IF(D889="","",D889/SUMIFS($D$5:$D$1369,$B$5:$B$1369,B889,$C$5:$C$1369,C889))</f>
        <v>0.00148899808525305</v>
      </c>
      <c r="H889" s="42" t="n">
        <f aca="false">E889/SUMIFS($E$5:$E$1369,$B$5:$B$1369,B889,$C$5:$C$1369,C889)</f>
        <v>0.000795584000325027</v>
      </c>
      <c r="I889" s="43" t="n">
        <f aca="false">IF(G889="",H889,p_beta_alloc*G889+(1-p_beta_alloc)*H889)*F889^p_phi</f>
        <v>0.000660692053008763</v>
      </c>
      <c r="J889" s="16" t="n">
        <f aca="false">INDEX(Sector_Params!$C$18:$E$18,MATCH(B889,Sector_Params!$C$15:$E$15,0))*I889/SUMIFS($I$5:$I$1369,$B$5:$B$1369,B889,$C$5:$C$1369,C889)</f>
        <v>0.27053776293082</v>
      </c>
      <c r="K889" s="28" t="n">
        <f aca="false">INDEX(Sector_Params!$F$7:$H$7,MATCH(B889,Sector_Params!$C$15:$E$15,0))</f>
        <v>0.24</v>
      </c>
      <c r="L889" s="16" t="n">
        <f aca="false">J889*K889</f>
        <v>0.0649290631033967</v>
      </c>
      <c r="M889" s="44" t="n">
        <f aca="false">Country_Data!$DW$131+Sector_Params!$E$7</f>
        <v>0.105</v>
      </c>
      <c r="N889" s="44" t="n">
        <f aca="false">Country_Data!$DX$131+Sector_Params!$E$7</f>
        <v>0.15</v>
      </c>
      <c r="O889" s="11" t="n">
        <f aca="false">IF(p_use_ibrd=1,p_r_ibrd,p_r_wb)</f>
        <v>0.06</v>
      </c>
      <c r="P889" s="45" t="n">
        <f aca="false">Sector_Params!$D$7</f>
        <v>12</v>
      </c>
      <c r="Q889" s="46" t="n">
        <f aca="false">M889/(1-(1+M889)^-P889)</f>
        <v>0.150376745634766</v>
      </c>
      <c r="R889" s="46" t="n">
        <f aca="false">N889/(1-(1+N889)^-P889)</f>
        <v>0.18448077613084</v>
      </c>
      <c r="S889" s="46" t="n">
        <f aca="false">O889/(1-(1+O889)^-P889)</f>
        <v>0.119277029380664</v>
      </c>
      <c r="T889" s="37" t="n">
        <f aca="false">IF(AND(p_eng=1,ISNUMBER(Country_Data!$DE$131)),Country_Data!$DE$131,Country_Data!$CM$131)*Sector_Params!$I$7</f>
        <v>0.157450815</v>
      </c>
      <c r="U889" s="37" t="n">
        <f aca="false">IF(AND(p_eng=1,ISNUMBER(Country_Data!$DF$131)),Country_Data!$DF$131,Country_Data!$CN$131)*Sector_Params!$J$7</f>
        <v>0.0011673</v>
      </c>
      <c r="V889" s="37" t="n">
        <f aca="false">IF(AND(p_eng=1,ISNUMBER(Country_Data!$DG$131)),Country_Data!$DG$131,p_a)</f>
        <v>0.264762935643564</v>
      </c>
      <c r="W889" s="16" t="n">
        <f aca="false">T889*L889</f>
        <v>0.0102231339028162</v>
      </c>
      <c r="X889" s="16" t="n">
        <f aca="false">U889*L889</f>
        <v>7.5791695360595E-005</v>
      </c>
      <c r="Y889" s="16" t="n">
        <f aca="false">V889*L889</f>
        <v>0.0171908093558416</v>
      </c>
      <c r="Z889" s="16" t="n">
        <f aca="false">Q889*L889</f>
        <v>0.00976382120660314</v>
      </c>
      <c r="AA889" s="16" t="n">
        <f aca="false">R889*L889</f>
        <v>0.0119781639547629</v>
      </c>
      <c r="AB889" s="16" t="n">
        <f aca="false">S889*L889</f>
        <v>0.00774454576744281</v>
      </c>
      <c r="AC889" s="16" t="n">
        <f aca="false">Z889-W889</f>
        <v>-0.000459312696213103</v>
      </c>
      <c r="AD889" s="16" t="n">
        <f aca="false">AA889-W889</f>
        <v>0.00175503005194664</v>
      </c>
      <c r="AE889" s="16" t="n">
        <f aca="false">AB889-W889</f>
        <v>-0.00247858813537344</v>
      </c>
      <c r="AF889" s="16" t="n">
        <f aca="false">AE889-X889</f>
        <v>-0.00255437983073403</v>
      </c>
      <c r="AG889" s="16" t="n">
        <f aca="false">AF889-p_spc_lo*Y889/1000</f>
        <v>-0.00341392029852611</v>
      </c>
      <c r="AH889" s="16" t="n">
        <f aca="false">AF889-p_spc_hi*Y889/1000</f>
        <v>-0.00427346076631819</v>
      </c>
      <c r="AI889" s="16" t="n">
        <f aca="false">Q889*J889</f>
        <v>0.0406825883608464</v>
      </c>
      <c r="AJ889" s="16" t="n">
        <f aca="false">S889*J889</f>
        <v>0.0322689406976784</v>
      </c>
      <c r="AK889" s="16" t="n">
        <f aca="false">T889*J889</f>
        <v>0.0425963912617343</v>
      </c>
      <c r="AL889" s="16" t="n">
        <f aca="false">U889*J889</f>
        <v>0.000315798730669146</v>
      </c>
      <c r="AM889" s="16" t="n">
        <f aca="false">AI889-AJ889</f>
        <v>0.00841364766316805</v>
      </c>
      <c r="AN889" s="16" t="n">
        <f aca="false">J889*Country_Data!$EB$131</f>
        <v>0.310562527857571</v>
      </c>
      <c r="AO889" s="16" t="n">
        <f aca="false">L889*Country_Data!$EB$131</f>
        <v>0.0745350066858171</v>
      </c>
    </row>
    <row r="890" customFormat="false" ht="15" hidden="false" customHeight="false" outlineLevel="0" collapsed="false">
      <c r="A890" s="14" t="str">
        <f aca="false">Country_Data!$A$131</f>
        <v>BEN</v>
      </c>
      <c r="B890" s="14" t="str">
        <f aca="false">Country_Data!$E$131</f>
        <v>EMDC</v>
      </c>
      <c r="C890" s="35" t="s">
        <v>477</v>
      </c>
      <c r="D890" s="37" t="n">
        <f aca="false">IF(Country_Data!$CB$131="","",Country_Data!$CB$131)</f>
        <v>0.00414215486434912</v>
      </c>
      <c r="E890" s="40" t="n">
        <f aca="false">Country_Data!$BW$131</f>
        <v>64.229</v>
      </c>
      <c r="F890" s="41" t="n">
        <f aca="false">Country_Data!$BX$131</f>
        <v>0.334537358514067</v>
      </c>
      <c r="G890" s="42" t="n">
        <f aca="false">IF(D890="","",D890/SUMIFS($D$5:$D$1369,$B$5:$B$1369,B890,$C$5:$C$1369,C890))</f>
        <v>0.000130614755735801</v>
      </c>
      <c r="H890" s="42" t="n">
        <f aca="false">E890/SUMIFS($E$5:$E$1369,$B$5:$B$1369,B890,$C$5:$C$1369,C890)</f>
        <v>0.000795584000325027</v>
      </c>
      <c r="I890" s="43" t="n">
        <f aca="false">IF(G890="",H890,p_beta_alloc*G890+(1-p_beta_alloc)*H890)*F890^p_phi</f>
        <v>0.000267852996615418</v>
      </c>
      <c r="J890" s="16" t="n">
        <f aca="false">INDEX(Sector_Params!$C$19:$E$19,MATCH(B890,Sector_Params!$C$15:$E$15,0))*I890/SUMIFS($I$5:$I$1369,$B$5:$B$1369,B890,$C$5:$C$1369,C890)</f>
        <v>0.0862118609777706</v>
      </c>
      <c r="K890" s="28" t="n">
        <f aca="false">INDEX(Sector_Params!$F$8:$H$8,MATCH(B890,Sector_Params!$C$15:$E$15,0))</f>
        <v>0.24</v>
      </c>
      <c r="L890" s="16" t="n">
        <f aca="false">J890*K890</f>
        <v>0.0206908466346649</v>
      </c>
      <c r="M890" s="44" t="n">
        <f aca="false">Country_Data!$DW$131+Sector_Params!$E$8</f>
        <v>0.105</v>
      </c>
      <c r="N890" s="44" t="n">
        <f aca="false">Country_Data!$DX$131+Sector_Params!$E$8</f>
        <v>0.15</v>
      </c>
      <c r="O890" s="11" t="n">
        <f aca="false">IF(p_use_ibrd=1,p_r_ibrd,p_r_wb)</f>
        <v>0.06</v>
      </c>
      <c r="P890" s="45" t="n">
        <f aca="false">Sector_Params!$D$8</f>
        <v>25</v>
      </c>
      <c r="Q890" s="46" t="n">
        <f aca="false">M890/(1-(1+M890)^-P890)</f>
        <v>0.114429319813103</v>
      </c>
      <c r="R890" s="46" t="n">
        <f aca="false">N890/(1-(1+N890)^-P890)</f>
        <v>0.154699402320206</v>
      </c>
      <c r="S890" s="46" t="n">
        <f aca="false">O890/(1-(1+O890)^-P890)</f>
        <v>0.078226718212274</v>
      </c>
      <c r="T890" s="37" t="n">
        <f aca="false">Country_Data!$CM$131*Sector_Params!$I$8</f>
        <v>0.143995107904485</v>
      </c>
      <c r="U890" s="37" t="n">
        <f aca="false">Country_Data!$CN$131*Sector_Params!$J$8</f>
        <v>0.03225</v>
      </c>
      <c r="V890" s="37" t="n">
        <f aca="false">p_a</f>
        <v>0.35</v>
      </c>
      <c r="W890" s="16" t="n">
        <f aca="false">T890*L890</f>
        <v>0.00297938069379373</v>
      </c>
      <c r="X890" s="16" t="n">
        <f aca="false">U890*L890</f>
        <v>0.000667279803967944</v>
      </c>
      <c r="Y890" s="16" t="n">
        <f aca="false">V890*L890</f>
        <v>0.00724179632213273</v>
      </c>
      <c r="Z890" s="16" t="n">
        <f aca="false">Q890*L890</f>
        <v>0.00236763950676195</v>
      </c>
      <c r="AA890" s="16" t="n">
        <f aca="false">R890*L890</f>
        <v>0.00320086160788172</v>
      </c>
      <c r="AB890" s="16" t="n">
        <f aca="false">S890*L890</f>
        <v>0.00161857702926331</v>
      </c>
      <c r="AC890" s="16" t="n">
        <f aca="false">Z890-W890</f>
        <v>-0.000611741187031784</v>
      </c>
      <c r="AD890" s="16" t="n">
        <f aca="false">AA890-W890</f>
        <v>0.000221480914087989</v>
      </c>
      <c r="AE890" s="16" t="n">
        <f aca="false">AB890-W890</f>
        <v>-0.00136080366453042</v>
      </c>
      <c r="AF890" s="16" t="n">
        <f aca="false">AE890-X890</f>
        <v>-0.00202808346849836</v>
      </c>
      <c r="AG890" s="16" t="n">
        <f aca="false">AF890-p_spc_lo*Y890/1000</f>
        <v>-0.002390173284605</v>
      </c>
      <c r="AH890" s="16" t="n">
        <f aca="false">AF890-p_spc_hi*Y890/1000</f>
        <v>-0.00275226310071164</v>
      </c>
      <c r="AI890" s="16" t="n">
        <f aca="false">Q890*J890</f>
        <v>0.00986516461150811</v>
      </c>
      <c r="AJ890" s="16" t="n">
        <f aca="false">S890*J890</f>
        <v>0.00674407095526379</v>
      </c>
      <c r="AK890" s="16" t="n">
        <f aca="false">T890*J890</f>
        <v>0.0124140862241405</v>
      </c>
      <c r="AL890" s="16" t="n">
        <f aca="false">U890*J890</f>
        <v>0.0027803325165331</v>
      </c>
      <c r="AM890" s="16" t="n">
        <f aca="false">AI890-AJ890</f>
        <v>0.00312109365624432</v>
      </c>
      <c r="AN890" s="16" t="n">
        <f aca="false">J890*Country_Data!$EB$131</f>
        <v>0.0989664924648928</v>
      </c>
      <c r="AO890" s="16" t="n">
        <f aca="false">L890*Country_Data!$EB$131</f>
        <v>0.0237519581915743</v>
      </c>
    </row>
    <row r="891" customFormat="false" ht="15" hidden="false" customHeight="false" outlineLevel="0" collapsed="false">
      <c r="A891" s="14" t="str">
        <f aca="false">Country_Data!$A$131</f>
        <v>BEN</v>
      </c>
      <c r="B891" s="14" t="str">
        <f aca="false">Country_Data!$E$131</f>
        <v>EMDC</v>
      </c>
      <c r="C891" s="35" t="s">
        <v>481</v>
      </c>
      <c r="D891" s="37" t="n">
        <f aca="false">IF(Country_Data!$CC$131="","",Country_Data!$CC$131)</f>
        <v>0.0102993660275145</v>
      </c>
      <c r="E891" s="40" t="n">
        <f aca="false">Country_Data!$BW$131</f>
        <v>64.229</v>
      </c>
      <c r="F891" s="41" t="n">
        <f aca="false">Country_Data!$BX$131</f>
        <v>0.334537358514067</v>
      </c>
      <c r="G891" s="42" t="n">
        <f aca="false">IF(D891="","",D891/SUMIFS($D$5:$D$1369,$B$5:$B$1369,B891,$C$5:$C$1369,C891))</f>
        <v>0.000147118547296042</v>
      </c>
      <c r="H891" s="42" t="n">
        <f aca="false">E891/SUMIFS($E$5:$E$1369,$B$5:$B$1369,B891,$C$5:$C$1369,C891)</f>
        <v>0.000795584000325027</v>
      </c>
      <c r="I891" s="43" t="n">
        <f aca="false">IF(G891="",H891,p_beta_alloc*G891+(1-p_beta_alloc)*H891)*F891^p_phi</f>
        <v>0.000272625827496478</v>
      </c>
      <c r="J891" s="16" t="n">
        <f aca="false">INDEX(Sector_Params!$C$20:$E$20,MATCH(B891,Sector_Params!$C$15:$E$15,0))*I891/SUMIFS($I$5:$I$1369,$B$5:$B$1369,B891,$C$5:$C$1369,C891)</f>
        <v>0.0497597035716895</v>
      </c>
      <c r="K891" s="28" t="n">
        <f aca="false">INDEX(Sector_Params!$F$9:$H$9,MATCH(B891,Sector_Params!$C$15:$E$15,0))</f>
        <v>0.24</v>
      </c>
      <c r="L891" s="16" t="n">
        <f aca="false">J891*K891</f>
        <v>0.0119423288572055</v>
      </c>
      <c r="M891" s="44" t="n">
        <f aca="false">Country_Data!$DW$131+Sector_Params!$E$9</f>
        <v>0.105</v>
      </c>
      <c r="N891" s="44" t="n">
        <f aca="false">Country_Data!$DX$131+Sector_Params!$E$9</f>
        <v>0.15</v>
      </c>
      <c r="O891" s="11" t="n">
        <f aca="false">IF(p_use_ibrd=1,p_r_ibrd,p_r_wb)</f>
        <v>0.06</v>
      </c>
      <c r="P891" s="45" t="n">
        <f aca="false">Sector_Params!$D$9</f>
        <v>25</v>
      </c>
      <c r="Q891" s="46" t="n">
        <f aca="false">M891/(1-(1+M891)^-P891)</f>
        <v>0.114429319813103</v>
      </c>
      <c r="R891" s="46" t="n">
        <f aca="false">N891/(1-(1+N891)^-P891)</f>
        <v>0.154699402320206</v>
      </c>
      <c r="S891" s="46" t="n">
        <f aca="false">O891/(1-(1+O891)^-P891)</f>
        <v>0.078226718212274</v>
      </c>
      <c r="T891" s="37" t="n">
        <f aca="false">Country_Data!$CM$131*Sector_Params!$I$9</f>
        <v>0.143995107904485</v>
      </c>
      <c r="U891" s="37" t="n">
        <f aca="false">Country_Data!$CN$131*Sector_Params!$J$9</f>
        <v>0.03225</v>
      </c>
      <c r="V891" s="37" t="n">
        <f aca="false">p_a</f>
        <v>0.35</v>
      </c>
      <c r="W891" s="16" t="n">
        <f aca="false">T891*L891</f>
        <v>0.00171963693242415</v>
      </c>
      <c r="X891" s="16" t="n">
        <f aca="false">U891*L891</f>
        <v>0.000385140105644877</v>
      </c>
      <c r="Y891" s="16" t="n">
        <f aca="false">V891*L891</f>
        <v>0.00417981510002192</v>
      </c>
      <c r="Z891" s="16" t="n">
        <f aca="false">Q891*L891</f>
        <v>0.00136655256811442</v>
      </c>
      <c r="AA891" s="16" t="n">
        <f aca="false">R891*L891</f>
        <v>0.00184747113652104</v>
      </c>
      <c r="AB891" s="16" t="n">
        <f aca="false">S891*L891</f>
        <v>0.000934209194310921</v>
      </c>
      <c r="AC891" s="16" t="n">
        <f aca="false">Z891-W891</f>
        <v>-0.000353084364309732</v>
      </c>
      <c r="AD891" s="16" t="n">
        <f aca="false">AA891-W891</f>
        <v>0.000127834204096892</v>
      </c>
      <c r="AE891" s="16" t="n">
        <f aca="false">AB891-W891</f>
        <v>-0.000785427738113229</v>
      </c>
      <c r="AF891" s="16" t="n">
        <f aca="false">AE891-X891</f>
        <v>-0.00117056784375811</v>
      </c>
      <c r="AG891" s="16" t="n">
        <f aca="false">AF891-p_spc_lo*Y891/1000</f>
        <v>-0.0013795585987592</v>
      </c>
      <c r="AH891" s="16" t="n">
        <f aca="false">AF891-p_spc_hi*Y891/1000</f>
        <v>-0.0015885493537603</v>
      </c>
      <c r="AI891" s="16" t="n">
        <f aca="false">Q891*J891</f>
        <v>0.00569396903381008</v>
      </c>
      <c r="AJ891" s="16" t="n">
        <f aca="false">S891*J891</f>
        <v>0.00389253830962884</v>
      </c>
      <c r="AK891" s="16" t="n">
        <f aca="false">T891*J891</f>
        <v>0.00716515388510063</v>
      </c>
      <c r="AL891" s="16" t="n">
        <f aca="false">U891*J891</f>
        <v>0.00160475044018699</v>
      </c>
      <c r="AM891" s="16" t="n">
        <f aca="false">AI891-AJ891</f>
        <v>0.00180143072418124</v>
      </c>
      <c r="AN891" s="16" t="n">
        <f aca="false">J891*Country_Data!$EB$131</f>
        <v>0.0571214131411997</v>
      </c>
      <c r="AO891" s="16" t="n">
        <f aca="false">L891*Country_Data!$EB$131</f>
        <v>0.0137091391538879</v>
      </c>
    </row>
    <row r="892" customFormat="false" ht="15" hidden="false" customHeight="false" outlineLevel="0" collapsed="false">
      <c r="A892" s="14" t="str">
        <f aca="false">Country_Data!$A$131</f>
        <v>BEN</v>
      </c>
      <c r="B892" s="14" t="str">
        <f aca="false">Country_Data!$E$131</f>
        <v>EMDC</v>
      </c>
      <c r="C892" s="35" t="s">
        <v>484</v>
      </c>
      <c r="D892" s="37" t="n">
        <f aca="false">IF(Country_Data!$CD$131="","",Country_Data!$CD$131)</f>
        <v>0.0809633150902502</v>
      </c>
      <c r="E892" s="40" t="n">
        <f aca="false">Country_Data!$BW$131</f>
        <v>64.229</v>
      </c>
      <c r="F892" s="41" t="n">
        <f aca="false">Country_Data!$BX$131</f>
        <v>0.334537358514067</v>
      </c>
      <c r="G892" s="42" t="n">
        <f aca="false">IF(D892="","",D892/SUMIFS($D$5:$D$1369,$B$5:$B$1369,B892,$C$5:$C$1369,C892))</f>
        <v>0.000452128728927892</v>
      </c>
      <c r="H892" s="42" t="n">
        <f aca="false">E892/SUMIFS($E$5:$E$1369,$B$5:$B$1369,B892,$C$5:$C$1369,C892)</f>
        <v>0.000795584000325027</v>
      </c>
      <c r="I892" s="43" t="n">
        <f aca="false">IF(G892="",H892,p_beta_alloc*G892+(1-p_beta_alloc)*H892)*F892^p_phi</f>
        <v>0.000360833558951193</v>
      </c>
      <c r="J892" s="16" t="n">
        <f aca="false">INDEX(Sector_Params!$C$21:$E$21,MATCH(B892,Sector_Params!$C$15:$E$15,0))*I892/SUMIFS($I$5:$I$1369,$B$5:$B$1369,B892,$C$5:$C$1369,C892)</f>
        <v>0.0800292123476403</v>
      </c>
      <c r="K892" s="28" t="n">
        <f aca="false">INDEX(Sector_Params!$F$10:$H$10,MATCH(B892,Sector_Params!$C$15:$E$15,0))</f>
        <v>0.24</v>
      </c>
      <c r="L892" s="16" t="n">
        <f aca="false">J892*K892</f>
        <v>0.0192070109634337</v>
      </c>
      <c r="M892" s="44" t="n">
        <f aca="false">Country_Data!$DW$131+Sector_Params!$E$10</f>
        <v>0.105</v>
      </c>
      <c r="N892" s="44" t="n">
        <f aca="false">Country_Data!$DX$131+Sector_Params!$E$10</f>
        <v>0.15</v>
      </c>
      <c r="O892" s="11" t="n">
        <f aca="false">IF(p_use_ibrd=1,p_r_ibrd,p_r_wb)</f>
        <v>0.06</v>
      </c>
      <c r="P892" s="45" t="n">
        <f aca="false">Sector_Params!$D$10</f>
        <v>20</v>
      </c>
      <c r="Q892" s="46" t="n">
        <f aca="false">M892/(1-(1+M892)^-P892)</f>
        <v>0.121493265267016</v>
      </c>
      <c r="R892" s="46" t="n">
        <f aca="false">N892/(1-(1+N892)^-P892)</f>
        <v>0.159761470405744</v>
      </c>
      <c r="S892" s="46" t="n">
        <f aca="false">O892/(1-(1+O892)^-P892)</f>
        <v>0.0871845569768514</v>
      </c>
      <c r="T892" s="37" t="n">
        <f aca="false">0*Sector_Params!$I$10</f>
        <v>0</v>
      </c>
      <c r="U892" s="37" t="n">
        <f aca="false">0*Sector_Params!$J$10</f>
        <v>0</v>
      </c>
      <c r="V892" s="37" t="n">
        <f aca="false">1000*p_r_wb/(1-(1+p_r_wb)^-Sector_Params!$D$10)/p_cpt_fuel</f>
        <v>0.871845569768514</v>
      </c>
      <c r="W892" s="16" t="n">
        <f aca="false">T892*L892</f>
        <v>0</v>
      </c>
      <c r="X892" s="16" t="n">
        <f aca="false">U892*L892</f>
        <v>0</v>
      </c>
      <c r="Y892" s="16" t="n">
        <f aca="false">V892*L892</f>
        <v>0.0167455474169649</v>
      </c>
      <c r="Z892" s="16" t="n">
        <f aca="false">Q892*L892</f>
        <v>0.00233352247796694</v>
      </c>
      <c r="AA892" s="16" t="n">
        <f aca="false">R892*L892</f>
        <v>0.00306854031361741</v>
      </c>
      <c r="AB892" s="16" t="n">
        <f aca="false">S892*L892</f>
        <v>0.00167455474169649</v>
      </c>
      <c r="AC892" s="16" t="n">
        <f aca="false">Z892-W892</f>
        <v>0.00233352247796694</v>
      </c>
      <c r="AD892" s="16" t="n">
        <f aca="false">AA892-W892</f>
        <v>0.00306854031361741</v>
      </c>
      <c r="AE892" s="16" t="n">
        <f aca="false">AB892-W892</f>
        <v>0.00167455474169649</v>
      </c>
      <c r="AF892" s="16" t="n">
        <f aca="false">AE892-X892</f>
        <v>0.00167455474169649</v>
      </c>
      <c r="AG892" s="16" t="n">
        <f aca="false">AF892-p_spc_lo*Y892/1000</f>
        <v>0.000837277370848246</v>
      </c>
      <c r="AH892" s="16" t="n">
        <f aca="false">AF892-p_spc_hi*Y892/1000</f>
        <v>0</v>
      </c>
      <c r="AI892" s="16" t="n">
        <f aca="false">Q892*J892</f>
        <v>0.00972301032486223</v>
      </c>
      <c r="AJ892" s="16" t="n">
        <f aca="false">S892*J892</f>
        <v>0.00697731142373539</v>
      </c>
      <c r="AK892" s="16" t="n">
        <f aca="false">T892*J892</f>
        <v>0</v>
      </c>
      <c r="AL892" s="16" t="n">
        <f aca="false">U892*J892</f>
        <v>0</v>
      </c>
      <c r="AM892" s="16" t="n">
        <f aca="false">AI892-AJ892</f>
        <v>0.00274569890112684</v>
      </c>
      <c r="AN892" s="16" t="n">
        <f aca="false">J892*Country_Data!$EB$131</f>
        <v>0.0918691506127707</v>
      </c>
      <c r="AO892" s="16" t="n">
        <f aca="false">L892*Country_Data!$EB$131</f>
        <v>0.022048596147065</v>
      </c>
    </row>
    <row r="893" customFormat="false" ht="15" hidden="false" customHeight="false" outlineLevel="0" collapsed="false">
      <c r="A893" s="14" t="str">
        <f aca="false">Country_Data!$A$131</f>
        <v>BEN</v>
      </c>
      <c r="B893" s="14" t="str">
        <f aca="false">Country_Data!$E$131</f>
        <v>EMDC</v>
      </c>
      <c r="C893" s="35" t="s">
        <v>488</v>
      </c>
      <c r="D893" s="37" t="n">
        <f aca="false">IF(Country_Data!$CE$131="","",Country_Data!$CE$131)</f>
        <v>21.566</v>
      </c>
      <c r="E893" s="40" t="n">
        <f aca="false">Country_Data!$BW$131</f>
        <v>64.229</v>
      </c>
      <c r="F893" s="41" t="n">
        <f aca="false">Country_Data!$BX$131</f>
        <v>0.334537358514067</v>
      </c>
      <c r="G893" s="42" t="n">
        <f aca="false">IF(D893="","",D893/SUMIFS($D$5:$D$1369,$B$5:$B$1369,B893,$C$5:$C$1369,C893))</f>
        <v>0.00176710960487901</v>
      </c>
      <c r="H893" s="42" t="n">
        <f aca="false">E893/SUMIFS($E$5:$E$1369,$B$5:$B$1369,B893,$C$5:$C$1369,C893)</f>
        <v>0.000795584000325027</v>
      </c>
      <c r="I893" s="43" t="n">
        <f aca="false">IF(G893="",H893,p_beta_alloc*G893+(1-p_beta_alloc)*H893)*F893^p_phi</f>
        <v>0.000741120798391561</v>
      </c>
      <c r="J893" s="16" t="n">
        <f aca="false">INDEX(Sector_Params!$C$22:$E$22,MATCH(B893,Sector_Params!$C$15:$E$15,0))*I893/SUMIFS($I$5:$I$1369,$B$5:$B$1369,B893,$C$5:$C$1369,C893)</f>
        <v>0.446753833953919</v>
      </c>
      <c r="K893" s="28" t="n">
        <f aca="false">INDEX(Sector_Params!$F$11:$H$11,MATCH(B893,Sector_Params!$C$15:$E$15,0))</f>
        <v>0.24</v>
      </c>
      <c r="L893" s="16" t="n">
        <f aca="false">J893*K893</f>
        <v>0.107220920148941</v>
      </c>
      <c r="M893" s="44" t="n">
        <f aca="false">Country_Data!$DW$131+Sector_Params!$E$11</f>
        <v>0.105</v>
      </c>
      <c r="N893" s="44" t="n">
        <f aca="false">Country_Data!$DX$131+Sector_Params!$E$11</f>
        <v>0.15</v>
      </c>
      <c r="O893" s="11" t="n">
        <f aca="false">IF(p_use_ibrd=1,p_r_ibrd,p_r_wb)</f>
        <v>0.06</v>
      </c>
      <c r="P893" s="45" t="n">
        <f aca="false">Sector_Params!$D$11</f>
        <v>30</v>
      </c>
      <c r="Q893" s="46" t="n">
        <f aca="false">M893/(1-(1+M893)^-P893)</f>
        <v>0.110528481529605</v>
      </c>
      <c r="R893" s="46" t="n">
        <f aca="false">N893/(1-(1+N893)^-P893)</f>
        <v>0.152300198192734</v>
      </c>
      <c r="S893" s="46" t="n">
        <f aca="false">O893/(1-(1+O893)^-P893)</f>
        <v>0.0726489114900472</v>
      </c>
      <c r="T893" s="37" t="n">
        <f aca="false">0*Sector_Params!$I$11</f>
        <v>0</v>
      </c>
      <c r="U893" s="37" t="n">
        <f aca="false">p_c*Sector_Params!$J$11</f>
        <v>0.129</v>
      </c>
      <c r="V893" s="37" t="n">
        <f aca="false">1000*p_r_wb/(1-(1+p_r_wb)^-Sector_Params!$D$11)/p_cpt_afolu</f>
        <v>1.45297822980094</v>
      </c>
      <c r="W893" s="16" t="n">
        <f aca="false">T893*L893</f>
        <v>0</v>
      </c>
      <c r="X893" s="16" t="n">
        <f aca="false">U893*L893</f>
        <v>0.0138314986992133</v>
      </c>
      <c r="Y893" s="16" t="n">
        <f aca="false">V893*L893</f>
        <v>0.155789662755636</v>
      </c>
      <c r="Z893" s="16" t="n">
        <f aca="false">Q893*L893</f>
        <v>0.0118509654922695</v>
      </c>
      <c r="AA893" s="16" t="n">
        <f aca="false">R893*L893</f>
        <v>0.016329767389091</v>
      </c>
      <c r="AB893" s="16" t="n">
        <f aca="false">S893*L893</f>
        <v>0.00778948313778181</v>
      </c>
      <c r="AC893" s="16" t="n">
        <f aca="false">Z893-W893</f>
        <v>0.0118509654922695</v>
      </c>
      <c r="AD893" s="16" t="n">
        <f aca="false">AA893-W893</f>
        <v>0.016329767389091</v>
      </c>
      <c r="AE893" s="16" t="n">
        <f aca="false">AB893-W893</f>
        <v>0.00778948313778181</v>
      </c>
      <c r="AF893" s="16" t="n">
        <f aca="false">AE893-X893</f>
        <v>-0.00604201556143154</v>
      </c>
      <c r="AG893" s="16" t="n">
        <f aca="false">AF893-p_spc_lo*Y893/1000</f>
        <v>-0.0138314986992133</v>
      </c>
      <c r="AH893" s="16" t="n">
        <f aca="false">AF893-p_spc_hi*Y893/1000</f>
        <v>-0.0216209818369952</v>
      </c>
      <c r="AI893" s="16" t="n">
        <f aca="false">Q893*J893</f>
        <v>0.0493790228844561</v>
      </c>
      <c r="AJ893" s="16" t="n">
        <f aca="false">S893*J893</f>
        <v>0.0324561797407575</v>
      </c>
      <c r="AK893" s="16" t="n">
        <f aca="false">T893*J893</f>
        <v>0</v>
      </c>
      <c r="AL893" s="16" t="n">
        <f aca="false">U893*J893</f>
        <v>0.0576312445800556</v>
      </c>
      <c r="AM893" s="16" t="n">
        <f aca="false">AI893-AJ893</f>
        <v>0.0169228431436985</v>
      </c>
      <c r="AN893" s="16" t="n">
        <f aca="false">J893*Country_Data!$EB$131</f>
        <v>0.512848921716965</v>
      </c>
      <c r="AO893" s="16" t="n">
        <f aca="false">L893*Country_Data!$EB$131</f>
        <v>0.123083741212072</v>
      </c>
    </row>
    <row r="894" customFormat="false" ht="15" hidden="false" customHeight="false" outlineLevel="0" collapsed="false">
      <c r="A894" s="14" t="str">
        <f aca="false">Country_Data!$A$132</f>
        <v>GAB</v>
      </c>
      <c r="B894" s="14" t="str">
        <f aca="false">Country_Data!$E$132</f>
        <v>EMDC</v>
      </c>
      <c r="C894" s="35" t="s">
        <v>466</v>
      </c>
      <c r="D894" s="37" t="n">
        <f aca="false">IF(Country_Data!$BZ$132="","",Country_Data!$BZ$132)</f>
        <v>2.52235095947345</v>
      </c>
      <c r="E894" s="40" t="n">
        <f aca="false">Country_Data!$BW$132</f>
        <v>54.693</v>
      </c>
      <c r="F894" s="41" t="n">
        <f aca="false">Country_Data!$BX$132</f>
        <v>0.382132996910025</v>
      </c>
      <c r="G894" s="42" t="n">
        <f aca="false">IF(D894="","",D894/SUMIFS($D$5:$D$1369,$B$5:$B$1369,B894,$C$5:$C$1369,C894))</f>
        <v>0.000287956971835231</v>
      </c>
      <c r="H894" s="42" t="n">
        <f aca="false">E894/SUMIFS($E$5:$E$1369,$B$5:$B$1369,B894,$C$5:$C$1369,C894)</f>
        <v>0.000677464630148012</v>
      </c>
      <c r="I894" s="43" t="n">
        <f aca="false">IF(G894="",H894,p_beta_alloc*G894+(1-p_beta_alloc)*H894)*F894^p_phi</f>
        <v>0.00029839688607108</v>
      </c>
      <c r="J894" s="16" t="n">
        <f aca="false">INDEX(Sector_Params!$C$16:$E$16,MATCH(B894,Sector_Params!$C$15:$E$15,0))*I894/SUMIFS($I$5:$I$1369,$B$5:$B$1369,B894,$C$5:$C$1369,C894)</f>
        <v>0.288617033221242</v>
      </c>
      <c r="K894" s="28" t="n">
        <f aca="false">INDEX(Sector_Params!$F$5:$H$5,MATCH(B894,Sector_Params!$C$15:$E$15,0))</f>
        <v>0.24</v>
      </c>
      <c r="L894" s="16" t="n">
        <f aca="false">J894*K894</f>
        <v>0.0692680879730981</v>
      </c>
      <c r="M894" s="44" t="n">
        <f aca="false">Country_Data!$DW$132+Sector_Params!$E$5</f>
        <v>0.105</v>
      </c>
      <c r="N894" s="44" t="n">
        <f aca="false">Country_Data!$DX$132+Sector_Params!$E$5</f>
        <v>0.15</v>
      </c>
      <c r="O894" s="11" t="n">
        <f aca="false">IF(p_use_ibrd=1,p_r_ibrd,p_r_wb)</f>
        <v>0.06</v>
      </c>
      <c r="P894" s="45" t="n">
        <f aca="false">Sector_Params!$D$5</f>
        <v>25</v>
      </c>
      <c r="Q894" s="46" t="n">
        <f aca="false">M894/(1-(1+M894)^-P894)</f>
        <v>0.114429319813103</v>
      </c>
      <c r="R894" s="46" t="n">
        <f aca="false">N894/(1-(1+N894)^-P894)</f>
        <v>0.154699402320206</v>
      </c>
      <c r="S894" s="46" t="n">
        <f aca="false">O894/(1-(1+O894)^-P894)</f>
        <v>0.078226718212274</v>
      </c>
      <c r="T894" s="37" t="n">
        <f aca="false">IF(AND(p_eng=1,ISNUMBER(Country_Data!$CZ$132)),Country_Data!$CZ$132,Country_Data!$CM$132)*Sector_Params!$I$5</f>
        <v>0.0985498719874746</v>
      </c>
      <c r="U894" s="37" t="n">
        <f aca="false">IF(AND(p_eng=1,ISNUMBER(Country_Data!$DA$132)),Country_Data!$DA$132,Country_Data!$CN$132)*Sector_Params!$J$5</f>
        <v>0.00540854936204923</v>
      </c>
      <c r="V894" s="37" t="n">
        <f aca="false">IF(AND(p_eng=1,ISNUMBER(Country_Data!$DB$132)),Country_Data!$DB$132,p_a)</f>
        <v>0.809516755503979</v>
      </c>
      <c r="W894" s="16" t="n">
        <f aca="false">T894*L894</f>
        <v>0.00682636120256595</v>
      </c>
      <c r="X894" s="16" t="n">
        <f aca="false">U894*L894</f>
        <v>0.00037463987301727</v>
      </c>
      <c r="Y894" s="16" t="n">
        <f aca="false">V894*L894</f>
        <v>0.0560736778359465</v>
      </c>
      <c r="Z894" s="16" t="n">
        <f aca="false">Q894*L894</f>
        <v>0.00792630019151582</v>
      </c>
      <c r="AA894" s="16" t="n">
        <f aca="false">R894*L894</f>
        <v>0.0107157318093018</v>
      </c>
      <c r="AB894" s="16" t="n">
        <f aca="false">S894*L894</f>
        <v>0.00541861519897455</v>
      </c>
      <c r="AC894" s="16" t="n">
        <f aca="false">Z894-W894</f>
        <v>0.00109993898894987</v>
      </c>
      <c r="AD894" s="16" t="n">
        <f aca="false">AA894-W894</f>
        <v>0.00388937060673581</v>
      </c>
      <c r="AE894" s="16" t="n">
        <f aca="false">AB894-W894</f>
        <v>-0.0014077460035914</v>
      </c>
      <c r="AF894" s="16" t="n">
        <f aca="false">AE894-X894</f>
        <v>-0.00178238587660867</v>
      </c>
      <c r="AG894" s="16" t="n">
        <f aca="false">AF894-p_spc_lo*Y894/1000</f>
        <v>-0.004586069768406</v>
      </c>
      <c r="AH894" s="16" t="n">
        <f aca="false">AF894-p_spc_hi*Y894/1000</f>
        <v>-0.00738975366020332</v>
      </c>
      <c r="AI894" s="16" t="n">
        <f aca="false">Q894*J894</f>
        <v>0.0330262507979826</v>
      </c>
      <c r="AJ894" s="16" t="n">
        <f aca="false">S894*J894</f>
        <v>0.0225775633290606</v>
      </c>
      <c r="AK894" s="16" t="n">
        <f aca="false">T894*J894</f>
        <v>0.0284431716773581</v>
      </c>
      <c r="AL894" s="16" t="n">
        <f aca="false">U894*J894</f>
        <v>0.00156099947090529</v>
      </c>
      <c r="AM894" s="16" t="n">
        <f aca="false">AI894-AJ894</f>
        <v>0.010448687468922</v>
      </c>
      <c r="AN894" s="16" t="n">
        <f aca="false">J894*Country_Data!$EB$132</f>
        <v>0.352157527356771</v>
      </c>
      <c r="AO894" s="16" t="n">
        <f aca="false">L894*Country_Data!$EB$132</f>
        <v>0.0845178065656251</v>
      </c>
    </row>
    <row r="895" customFormat="false" ht="15" hidden="false" customHeight="false" outlineLevel="0" collapsed="false">
      <c r="A895" s="14" t="str">
        <f aca="false">Country_Data!$A$132</f>
        <v>GAB</v>
      </c>
      <c r="B895" s="14" t="str">
        <f aca="false">Country_Data!$E$132</f>
        <v>EMDC</v>
      </c>
      <c r="C895" s="35" t="s">
        <v>470</v>
      </c>
      <c r="D895" s="37" t="n">
        <f aca="false">IF(Country_Data!$BZ$132="","",Country_Data!$BZ$132)</f>
        <v>2.52235095947345</v>
      </c>
      <c r="E895" s="40" t="n">
        <f aca="false">Country_Data!$BW$132</f>
        <v>54.693</v>
      </c>
      <c r="F895" s="41" t="n">
        <f aca="false">Country_Data!$BX$132</f>
        <v>0.382132996910025</v>
      </c>
      <c r="G895" s="42" t="n">
        <f aca="false">IF(D895="","",D895/SUMIFS($D$5:$D$1369,$B$5:$B$1369,B895,$C$5:$C$1369,C895))</f>
        <v>0.000287956971835231</v>
      </c>
      <c r="H895" s="42" t="n">
        <f aca="false">E895/SUMIFS($E$5:$E$1369,$B$5:$B$1369,B895,$C$5:$C$1369,C895)</f>
        <v>0.000677464630148012</v>
      </c>
      <c r="I895" s="43" t="n">
        <f aca="false">IF(G895="",H895,p_beta_alloc*G895+(1-p_beta_alloc)*H895)*F895^p_phi</f>
        <v>0.00029839688607108</v>
      </c>
      <c r="J895" s="16" t="n">
        <f aca="false">INDEX(Sector_Params!$C$17:$E$17,MATCH(B895,Sector_Params!$C$15:$E$15,0))*I895/SUMIFS($I$5:$I$1369,$B$5:$B$1369,B895,$C$5:$C$1369,C895)</f>
        <v>0.19790882278028</v>
      </c>
      <c r="K895" s="28" t="n">
        <f aca="false">INDEX(Sector_Params!$F$6:$H$6,MATCH(B895,Sector_Params!$C$15:$E$15,0))</f>
        <v>0.24</v>
      </c>
      <c r="L895" s="16" t="n">
        <f aca="false">J895*K895</f>
        <v>0.0474981174672673</v>
      </c>
      <c r="M895" s="44" t="n">
        <f aca="false">Country_Data!$DW$132+Sector_Params!$E$6</f>
        <v>0.105</v>
      </c>
      <c r="N895" s="44" t="n">
        <f aca="false">Country_Data!$DX$132+Sector_Params!$E$6</f>
        <v>0.15</v>
      </c>
      <c r="O895" s="11" t="n">
        <f aca="false">IF(p_use_ibrd=1,p_r_ibrd,p_r_wb)</f>
        <v>0.06</v>
      </c>
      <c r="P895" s="45" t="n">
        <f aca="false">Sector_Params!$D$6</f>
        <v>40</v>
      </c>
      <c r="Q895" s="46" t="n">
        <f aca="false">M895/(1-(1+M895)^-P895)</f>
        <v>0.10697140835497</v>
      </c>
      <c r="R895" s="46" t="n">
        <f aca="false">N895/(1-(1+N895)^-P895)</f>
        <v>0.150562085013545</v>
      </c>
      <c r="S895" s="46" t="n">
        <f aca="false">O895/(1-(1+O895)^-P895)</f>
        <v>0.0664615359206755</v>
      </c>
      <c r="T895" s="37" t="n">
        <f aca="false">p_grid_credit*IF(AND(p_eng=1,ISNUMBER(Country_Data!$CZ$132)),Country_Data!$CZ$132,Country_Data!$CM$132)*Sector_Params!$I$6</f>
        <v>0</v>
      </c>
      <c r="U895" s="37" t="n">
        <f aca="false">p_grid_credit*IF(AND(p_eng=1,ISNUMBER(Country_Data!$DA$132)),Country_Data!$DA$132,Country_Data!$CN$132)*Sector_Params!$J$6</f>
        <v>0</v>
      </c>
      <c r="V895" s="37" t="n">
        <f aca="false">p_grid_credit*IF(AND(p_eng=1,ISNUMBER(Country_Data!$DB$132)),Country_Data!$DB$132,p_a)</f>
        <v>0</v>
      </c>
      <c r="W895" s="16" t="n">
        <f aca="false">T895*L895</f>
        <v>0</v>
      </c>
      <c r="X895" s="16" t="n">
        <f aca="false">U895*L895</f>
        <v>0</v>
      </c>
      <c r="Y895" s="16" t="n">
        <f aca="false">V895*L895</f>
        <v>0</v>
      </c>
      <c r="Z895" s="16" t="n">
        <f aca="false">Q895*L895</f>
        <v>0.0050809405196834</v>
      </c>
      <c r="AA895" s="16" t="n">
        <f aca="false">R895*L895</f>
        <v>0.00715141560009004</v>
      </c>
      <c r="AB895" s="16" t="n">
        <f aca="false">S895*L895</f>
        <v>0.00315679784021525</v>
      </c>
      <c r="AC895" s="16" t="n">
        <f aca="false">Z895-W895</f>
        <v>0.0050809405196834</v>
      </c>
      <c r="AD895" s="16" t="n">
        <f aca="false">AA895-W895</f>
        <v>0.00715141560009004</v>
      </c>
      <c r="AE895" s="16" t="n">
        <f aca="false">AB895-W895</f>
        <v>0.00315679784021525</v>
      </c>
      <c r="AF895" s="16" t="n">
        <f aca="false">AE895-X895</f>
        <v>0.00315679784021525</v>
      </c>
      <c r="AG895" s="16" t="n">
        <f aca="false">AF895-p_spc_lo*Y895/1000</f>
        <v>0.00315679784021525</v>
      </c>
      <c r="AH895" s="16" t="n">
        <f aca="false">AF895-p_spc_hi*Y895/1000</f>
        <v>0.00315679784021525</v>
      </c>
      <c r="AI895" s="16" t="n">
        <f aca="false">Q895*J895</f>
        <v>0.0211705854986808</v>
      </c>
      <c r="AJ895" s="16" t="n">
        <f aca="false">S895*J895</f>
        <v>0.0131533243342302</v>
      </c>
      <c r="AK895" s="16" t="n">
        <f aca="false">T895*J895</f>
        <v>0</v>
      </c>
      <c r="AL895" s="16" t="n">
        <f aca="false">U895*J895</f>
        <v>0</v>
      </c>
      <c r="AM895" s="16" t="n">
        <f aca="false">AI895-AJ895</f>
        <v>0.00801726116445062</v>
      </c>
      <c r="AN895" s="16" t="n">
        <f aca="false">J895*Country_Data!$EB$132</f>
        <v>0.241479447330357</v>
      </c>
      <c r="AO895" s="16" t="n">
        <f aca="false">L895*Country_Data!$EB$132</f>
        <v>0.0579550673592858</v>
      </c>
    </row>
    <row r="896" customFormat="false" ht="15" hidden="false" customHeight="false" outlineLevel="0" collapsed="false">
      <c r="A896" s="14" t="str">
        <f aca="false">Country_Data!$A$132</f>
        <v>GAB</v>
      </c>
      <c r="B896" s="14" t="str">
        <f aca="false">Country_Data!$E$132</f>
        <v>EMDC</v>
      </c>
      <c r="C896" s="35" t="s">
        <v>473</v>
      </c>
      <c r="D896" s="37" t="n">
        <f aca="false">IF(Country_Data!$CA$132="","",Country_Data!$CA$132)</f>
        <v>0.00998690428928181</v>
      </c>
      <c r="E896" s="40" t="n">
        <f aca="false">Country_Data!$BW$132</f>
        <v>54.693</v>
      </c>
      <c r="F896" s="41" t="n">
        <f aca="false">Country_Data!$BX$132</f>
        <v>0.382132996910025</v>
      </c>
      <c r="G896" s="42" t="n">
        <f aca="false">IF(D896="","",D896/SUMIFS($D$5:$D$1369,$B$5:$B$1369,B896,$C$5:$C$1369,C896))</f>
        <v>0.000230720725756534</v>
      </c>
      <c r="H896" s="42" t="n">
        <f aca="false">E896/SUMIFS($E$5:$E$1369,$B$5:$B$1369,B896,$C$5:$C$1369,C896)</f>
        <v>0.000677464630148012</v>
      </c>
      <c r="I896" s="43" t="n">
        <f aca="false">IF(G896="",H896,p_beta_alloc*G896+(1-p_beta_alloc)*H896)*F896^p_phi</f>
        <v>0.0002807060476175</v>
      </c>
      <c r="J896" s="16" t="n">
        <f aca="false">INDEX(Sector_Params!$C$18:$E$18,MATCH(B896,Sector_Params!$C$15:$E$15,0))*I896/SUMIFS($I$5:$I$1369,$B$5:$B$1369,B896,$C$5:$C$1369,C896)</f>
        <v>0.114942484653412</v>
      </c>
      <c r="K896" s="28" t="n">
        <f aca="false">INDEX(Sector_Params!$F$7:$H$7,MATCH(B896,Sector_Params!$C$15:$E$15,0))</f>
        <v>0.24</v>
      </c>
      <c r="L896" s="16" t="n">
        <f aca="false">J896*K896</f>
        <v>0.0275861963168188</v>
      </c>
      <c r="M896" s="44" t="n">
        <f aca="false">Country_Data!$DW$132+Sector_Params!$E$7</f>
        <v>0.105</v>
      </c>
      <c r="N896" s="44" t="n">
        <f aca="false">Country_Data!$DX$132+Sector_Params!$E$7</f>
        <v>0.15</v>
      </c>
      <c r="O896" s="11" t="n">
        <f aca="false">IF(p_use_ibrd=1,p_r_ibrd,p_r_wb)</f>
        <v>0.06</v>
      </c>
      <c r="P896" s="45" t="n">
        <f aca="false">Sector_Params!$D$7</f>
        <v>12</v>
      </c>
      <c r="Q896" s="46" t="n">
        <f aca="false">M896/(1-(1+M896)^-P896)</f>
        <v>0.150376745634766</v>
      </c>
      <c r="R896" s="46" t="n">
        <f aca="false">N896/(1-(1+N896)^-P896)</f>
        <v>0.18448077613084</v>
      </c>
      <c r="S896" s="46" t="n">
        <f aca="false">O896/(1-(1+O896)^-P896)</f>
        <v>0.119277029380664</v>
      </c>
      <c r="T896" s="37" t="n">
        <f aca="false">IF(AND(p_eng=1,ISNUMBER(Country_Data!$DE$132)),Country_Data!$DE$132,Country_Data!$CM$132)*Sector_Params!$I$7</f>
        <v>0.101407455</v>
      </c>
      <c r="U896" s="37" t="n">
        <f aca="false">IF(AND(p_eng=1,ISNUMBER(Country_Data!$DF$132)),Country_Data!$DF$132,Country_Data!$CN$132)*Sector_Params!$J$7</f>
        <v>0.005496075</v>
      </c>
      <c r="V896" s="37" t="n">
        <f aca="false">IF(AND(p_eng=1,ISNUMBER(Country_Data!$DG$132)),Country_Data!$DG$132,p_a)</f>
        <v>0.343309465384615</v>
      </c>
      <c r="W896" s="16" t="n">
        <f aca="false">T896*L896</f>
        <v>0.00279744596161897</v>
      </c>
      <c r="X896" s="16" t="n">
        <f aca="false">U896*L896</f>
        <v>0.00015161580392196</v>
      </c>
      <c r="Y896" s="16" t="n">
        <f aca="false">V896*L896</f>
        <v>0.0094706023095221</v>
      </c>
      <c r="Z896" s="16" t="n">
        <f aca="false">Q896*L896</f>
        <v>0.00414832242656497</v>
      </c>
      <c r="AA896" s="16" t="n">
        <f aca="false">R896*L896</f>
        <v>0.00508912290702444</v>
      </c>
      <c r="AB896" s="16" t="n">
        <f aca="false">S896*L896</f>
        <v>0.00329039954858195</v>
      </c>
      <c r="AC896" s="16" t="n">
        <f aca="false">Z896-W896</f>
        <v>0.001350876464946</v>
      </c>
      <c r="AD896" s="16" t="n">
        <f aca="false">AA896-W896</f>
        <v>0.00229167694540547</v>
      </c>
      <c r="AE896" s="16" t="n">
        <f aca="false">AB896-W896</f>
        <v>0.000492953586962981</v>
      </c>
      <c r="AF896" s="16" t="n">
        <f aca="false">AE896-X896</f>
        <v>0.000341337783041021</v>
      </c>
      <c r="AG896" s="16" t="n">
        <f aca="false">AF896-p_spc_lo*Y896/1000</f>
        <v>-0.000132192332435084</v>
      </c>
      <c r="AH896" s="16" t="n">
        <f aca="false">AF896-p_spc_hi*Y896/1000</f>
        <v>-0.000605722447911189</v>
      </c>
      <c r="AI896" s="16" t="n">
        <f aca="false">Q896*J896</f>
        <v>0.017284676777354</v>
      </c>
      <c r="AJ896" s="16" t="n">
        <f aca="false">S896*J896</f>
        <v>0.0137099981190914</v>
      </c>
      <c r="AK896" s="16" t="n">
        <f aca="false">T896*J896</f>
        <v>0.011656024840079</v>
      </c>
      <c r="AL896" s="16" t="n">
        <f aca="false">U896*J896</f>
        <v>0.000631732516341499</v>
      </c>
      <c r="AM896" s="16" t="n">
        <f aca="false">AI896-AJ896</f>
        <v>0.0035746786582626</v>
      </c>
      <c r="AN896" s="16" t="n">
        <f aca="false">J896*Country_Data!$EB$132</f>
        <v>0.140247651817419</v>
      </c>
      <c r="AO896" s="16" t="n">
        <f aca="false">L896*Country_Data!$EB$132</f>
        <v>0.0336594364361804</v>
      </c>
    </row>
    <row r="897" customFormat="false" ht="15" hidden="false" customHeight="false" outlineLevel="0" collapsed="false">
      <c r="A897" s="14" t="str">
        <f aca="false">Country_Data!$A$132</f>
        <v>GAB</v>
      </c>
      <c r="B897" s="14" t="str">
        <f aca="false">Country_Data!$E$132</f>
        <v>EMDC</v>
      </c>
      <c r="C897" s="35" t="s">
        <v>477</v>
      </c>
      <c r="D897" s="37" t="n">
        <f aca="false">IF(Country_Data!$CB$132="","",Country_Data!$CB$132)</f>
        <v>0.00827291879029493</v>
      </c>
      <c r="E897" s="40" t="n">
        <f aca="false">Country_Data!$BW$132</f>
        <v>54.693</v>
      </c>
      <c r="F897" s="41" t="n">
        <f aca="false">Country_Data!$BX$132</f>
        <v>0.382132996910025</v>
      </c>
      <c r="G897" s="42" t="n">
        <f aca="false">IF(D897="","",D897/SUMIFS($D$5:$D$1369,$B$5:$B$1369,B897,$C$5:$C$1369,C897))</f>
        <v>0.000260870320498334</v>
      </c>
      <c r="H897" s="42" t="n">
        <f aca="false">E897/SUMIFS($E$5:$E$1369,$B$5:$B$1369,B897,$C$5:$C$1369,C897)</f>
        <v>0.000677464630148012</v>
      </c>
      <c r="I897" s="43" t="n">
        <f aca="false">IF(G897="",H897,p_beta_alloc*G897+(1-p_beta_alloc)*H897)*F897^p_phi</f>
        <v>0.000290024821061949</v>
      </c>
      <c r="J897" s="16" t="n">
        <f aca="false">INDEX(Sector_Params!$C$19:$E$19,MATCH(B897,Sector_Params!$C$15:$E$15,0))*I897/SUMIFS($I$5:$I$1369,$B$5:$B$1369,B897,$C$5:$C$1369,C897)</f>
        <v>0.0933481419638381</v>
      </c>
      <c r="K897" s="28" t="n">
        <f aca="false">INDEX(Sector_Params!$F$8:$H$8,MATCH(B897,Sector_Params!$C$15:$E$15,0))</f>
        <v>0.24</v>
      </c>
      <c r="L897" s="16" t="n">
        <f aca="false">J897*K897</f>
        <v>0.0224035540713211</v>
      </c>
      <c r="M897" s="44" t="n">
        <f aca="false">Country_Data!$DW$132+Sector_Params!$E$8</f>
        <v>0.105</v>
      </c>
      <c r="N897" s="44" t="n">
        <f aca="false">Country_Data!$DX$132+Sector_Params!$E$8</f>
        <v>0.15</v>
      </c>
      <c r="O897" s="11" t="n">
        <f aca="false">IF(p_use_ibrd=1,p_r_ibrd,p_r_wb)</f>
        <v>0.06</v>
      </c>
      <c r="P897" s="45" t="n">
        <f aca="false">Sector_Params!$D$8</f>
        <v>25</v>
      </c>
      <c r="Q897" s="46" t="n">
        <f aca="false">M897/(1-(1+M897)^-P897)</f>
        <v>0.114429319813103</v>
      </c>
      <c r="R897" s="46" t="n">
        <f aca="false">N897/(1-(1+N897)^-P897)</f>
        <v>0.154699402320206</v>
      </c>
      <c r="S897" s="46" t="n">
        <f aca="false">O897/(1-(1+O897)^-P897)</f>
        <v>0.078226718212274</v>
      </c>
      <c r="T897" s="37" t="n">
        <f aca="false">Country_Data!$CM$132*Sector_Params!$I$8</f>
        <v>0.0701760518189631</v>
      </c>
      <c r="U897" s="37" t="n">
        <f aca="false">Country_Data!$CN$132*Sector_Params!$J$8</f>
        <v>0.03225</v>
      </c>
      <c r="V897" s="37" t="n">
        <f aca="false">p_a</f>
        <v>0.35</v>
      </c>
      <c r="W897" s="16" t="n">
        <f aca="false">T897*L897</f>
        <v>0.00157219297143797</v>
      </c>
      <c r="X897" s="16" t="n">
        <f aca="false">U897*L897</f>
        <v>0.000722514618800107</v>
      </c>
      <c r="Y897" s="16" t="n">
        <f aca="false">V897*L897</f>
        <v>0.0078412439249624</v>
      </c>
      <c r="Z897" s="16" t="n">
        <f aca="false">Q897*L897</f>
        <v>0.00256362345377736</v>
      </c>
      <c r="AA897" s="16" t="n">
        <f aca="false">R897*L897</f>
        <v>0.00346581642468181</v>
      </c>
      <c r="AB897" s="16" t="n">
        <f aca="false">S897*L897</f>
        <v>0.00175255651129068</v>
      </c>
      <c r="AC897" s="16" t="n">
        <f aca="false">Z897-W897</f>
        <v>0.000991430482339387</v>
      </c>
      <c r="AD897" s="16" t="n">
        <f aca="false">AA897-W897</f>
        <v>0.00189362345324384</v>
      </c>
      <c r="AE897" s="16" t="n">
        <f aca="false">AB897-W897</f>
        <v>0.000180363539852708</v>
      </c>
      <c r="AF897" s="16" t="n">
        <f aca="false">AE897-X897</f>
        <v>-0.000542151078947399</v>
      </c>
      <c r="AG897" s="16" t="n">
        <f aca="false">AF897-p_spc_lo*Y897/1000</f>
        <v>-0.000934213275195519</v>
      </c>
      <c r="AH897" s="16" t="n">
        <f aca="false">AF897-p_spc_hi*Y897/1000</f>
        <v>-0.00132627547144364</v>
      </c>
      <c r="AI897" s="16" t="n">
        <f aca="false">Q897*J897</f>
        <v>0.010681764390739</v>
      </c>
      <c r="AJ897" s="16" t="n">
        <f aca="false">S897*J897</f>
        <v>0.00730231879704451</v>
      </c>
      <c r="AK897" s="16" t="n">
        <f aca="false">T897*J897</f>
        <v>0.00655080404765822</v>
      </c>
      <c r="AL897" s="16" t="n">
        <f aca="false">U897*J897</f>
        <v>0.00301047757833378</v>
      </c>
      <c r="AM897" s="16" t="n">
        <f aca="false">AI897-AJ897</f>
        <v>0.00337944559369449</v>
      </c>
      <c r="AN897" s="16" t="n">
        <f aca="false">J897*Country_Data!$EB$132</f>
        <v>0.113899205776032</v>
      </c>
      <c r="AO897" s="16" t="n">
        <f aca="false">L897*Country_Data!$EB$132</f>
        <v>0.0273358093862477</v>
      </c>
    </row>
    <row r="898" customFormat="false" ht="15" hidden="false" customHeight="false" outlineLevel="0" collapsed="false">
      <c r="A898" s="14" t="str">
        <f aca="false">Country_Data!$A$132</f>
        <v>GAB</v>
      </c>
      <c r="B898" s="14" t="str">
        <f aca="false">Country_Data!$E$132</f>
        <v>EMDC</v>
      </c>
      <c r="C898" s="35" t="s">
        <v>481</v>
      </c>
      <c r="D898" s="37" t="n">
        <f aca="false">IF(Country_Data!$CC$132="","",Country_Data!$CC$132)</f>
        <v>0.0119224295335273</v>
      </c>
      <c r="E898" s="40" t="n">
        <f aca="false">Country_Data!$BW$132</f>
        <v>54.693</v>
      </c>
      <c r="F898" s="41" t="n">
        <f aca="false">Country_Data!$BX$132</f>
        <v>0.382132996910025</v>
      </c>
      <c r="G898" s="42" t="n">
        <f aca="false">IF(D898="","",D898/SUMIFS($D$5:$D$1369,$B$5:$B$1369,B898,$C$5:$C$1369,C898))</f>
        <v>0.000170302765095071</v>
      </c>
      <c r="H898" s="42" t="n">
        <f aca="false">E898/SUMIFS($E$5:$E$1369,$B$5:$B$1369,B898,$C$5:$C$1369,C898)</f>
        <v>0.000677464630148012</v>
      </c>
      <c r="I898" s="43" t="n">
        <f aca="false">IF(G898="",H898,p_beta_alloc*G898+(1-p_beta_alloc)*H898)*F898^p_phi</f>
        <v>0.000262031790394428</v>
      </c>
      <c r="J898" s="16" t="n">
        <f aca="false">INDEX(Sector_Params!$C$20:$E$20,MATCH(B898,Sector_Params!$C$15:$E$15,0))*I898/SUMIFS($I$5:$I$1369,$B$5:$B$1369,B898,$C$5:$C$1369,C898)</f>
        <v>0.0478260784611621</v>
      </c>
      <c r="K898" s="28" t="n">
        <f aca="false">INDEX(Sector_Params!$F$9:$H$9,MATCH(B898,Sector_Params!$C$15:$E$15,0))</f>
        <v>0.24</v>
      </c>
      <c r="L898" s="16" t="n">
        <f aca="false">J898*K898</f>
        <v>0.0114782588306789</v>
      </c>
      <c r="M898" s="44" t="n">
        <f aca="false">Country_Data!$DW$132+Sector_Params!$E$9</f>
        <v>0.105</v>
      </c>
      <c r="N898" s="44" t="n">
        <f aca="false">Country_Data!$DX$132+Sector_Params!$E$9</f>
        <v>0.15</v>
      </c>
      <c r="O898" s="11" t="n">
        <f aca="false">IF(p_use_ibrd=1,p_r_ibrd,p_r_wb)</f>
        <v>0.06</v>
      </c>
      <c r="P898" s="45" t="n">
        <f aca="false">Sector_Params!$D$9</f>
        <v>25</v>
      </c>
      <c r="Q898" s="46" t="n">
        <f aca="false">M898/(1-(1+M898)^-P898)</f>
        <v>0.114429319813103</v>
      </c>
      <c r="R898" s="46" t="n">
        <f aca="false">N898/(1-(1+N898)^-P898)</f>
        <v>0.154699402320206</v>
      </c>
      <c r="S898" s="46" t="n">
        <f aca="false">O898/(1-(1+O898)^-P898)</f>
        <v>0.078226718212274</v>
      </c>
      <c r="T898" s="37" t="n">
        <f aca="false">Country_Data!$CM$132*Sector_Params!$I$9</f>
        <v>0.0701760518189631</v>
      </c>
      <c r="U898" s="37" t="n">
        <f aca="false">Country_Data!$CN$132*Sector_Params!$J$9</f>
        <v>0.03225</v>
      </c>
      <c r="V898" s="37" t="n">
        <f aca="false">p_a</f>
        <v>0.35</v>
      </c>
      <c r="W898" s="16" t="n">
        <f aca="false">T898*L898</f>
        <v>0.000805498886493194</v>
      </c>
      <c r="X898" s="16" t="n">
        <f aca="false">U898*L898</f>
        <v>0.000370173847289395</v>
      </c>
      <c r="Y898" s="16" t="n">
        <f aca="false">V898*L898</f>
        <v>0.00401739059073762</v>
      </c>
      <c r="Z898" s="16" t="n">
        <f aca="false">Q898*L898</f>
        <v>0.00131344935063333</v>
      </c>
      <c r="AA898" s="16" t="n">
        <f aca="false">R898*L898</f>
        <v>0.00177567978078266</v>
      </c>
      <c r="AB898" s="16" t="n">
        <f aca="false">S898*L898</f>
        <v>0.000897906519115064</v>
      </c>
      <c r="AC898" s="16" t="n">
        <f aca="false">Z898-W898</f>
        <v>0.000507950464140141</v>
      </c>
      <c r="AD898" s="16" t="n">
        <f aca="false">AA898-W898</f>
        <v>0.000970180894289466</v>
      </c>
      <c r="AE898" s="16" t="n">
        <f aca="false">AB898-W898</f>
        <v>9.24076326218706E-005</v>
      </c>
      <c r="AF898" s="16" t="n">
        <f aca="false">AE898-X898</f>
        <v>-0.000277766214667524</v>
      </c>
      <c r="AG898" s="16" t="n">
        <f aca="false">AF898-p_spc_lo*Y898/1000</f>
        <v>-0.000478635744204405</v>
      </c>
      <c r="AH898" s="16" t="n">
        <f aca="false">AF898-p_spc_hi*Y898/1000</f>
        <v>-0.000679505273741286</v>
      </c>
      <c r="AI898" s="16" t="n">
        <f aca="false">Q898*J898</f>
        <v>0.00547270562763889</v>
      </c>
      <c r="AJ898" s="16" t="n">
        <f aca="false">S898*J898</f>
        <v>0.00374127716297943</v>
      </c>
      <c r="AK898" s="16" t="n">
        <f aca="false">T898*J898</f>
        <v>0.00335624536038831</v>
      </c>
      <c r="AL898" s="16" t="n">
        <f aca="false">U898*J898</f>
        <v>0.00154239103037248</v>
      </c>
      <c r="AM898" s="16" t="n">
        <f aca="false">AI898-AJ898</f>
        <v>0.00173142846465946</v>
      </c>
      <c r="AN898" s="16" t="n">
        <f aca="false">J898*Country_Data!$EB$132</f>
        <v>0.0583552306185032</v>
      </c>
      <c r="AO898" s="16" t="n">
        <f aca="false">L898*Country_Data!$EB$132</f>
        <v>0.0140052553484408</v>
      </c>
    </row>
    <row r="899" customFormat="false" ht="15" hidden="false" customHeight="false" outlineLevel="0" collapsed="false">
      <c r="A899" s="14" t="str">
        <f aca="false">Country_Data!$A$132</f>
        <v>GAB</v>
      </c>
      <c r="B899" s="14" t="str">
        <f aca="false">Country_Data!$E$132</f>
        <v>EMDC</v>
      </c>
      <c r="C899" s="35" t="s">
        <v>484</v>
      </c>
      <c r="D899" s="37" t="n">
        <f aca="false">IF(Country_Data!$CD$132="","",Country_Data!$CD$132)</f>
        <v>0.0373715637488433</v>
      </c>
      <c r="E899" s="40" t="n">
        <f aca="false">Country_Data!$BW$132</f>
        <v>54.693</v>
      </c>
      <c r="F899" s="41" t="n">
        <f aca="false">Country_Data!$BX$132</f>
        <v>0.382132996910025</v>
      </c>
      <c r="G899" s="42" t="n">
        <f aca="false">IF(D899="","",D899/SUMIFS($D$5:$D$1369,$B$5:$B$1369,B899,$C$5:$C$1369,C899))</f>
        <v>0.00020869646452813</v>
      </c>
      <c r="H899" s="42" t="n">
        <f aca="false">E899/SUMIFS($E$5:$E$1369,$B$5:$B$1369,B899,$C$5:$C$1369,C899)</f>
        <v>0.000677464630148012</v>
      </c>
      <c r="I899" s="43" t="n">
        <f aca="false">IF(G899="",H899,p_beta_alloc*G899+(1-p_beta_alloc)*H899)*F899^p_phi</f>
        <v>0.000273898689096548</v>
      </c>
      <c r="J899" s="16" t="n">
        <f aca="false">INDEX(Sector_Params!$C$21:$E$21,MATCH(B899,Sector_Params!$C$15:$E$15,0))*I899/SUMIFS($I$5:$I$1369,$B$5:$B$1369,B899,$C$5:$C$1369,C899)</f>
        <v>0.0607479426668652</v>
      </c>
      <c r="K899" s="28" t="n">
        <f aca="false">INDEX(Sector_Params!$F$10:$H$10,MATCH(B899,Sector_Params!$C$15:$E$15,0))</f>
        <v>0.24</v>
      </c>
      <c r="L899" s="16" t="n">
        <f aca="false">J899*K899</f>
        <v>0.0145795062400476</v>
      </c>
      <c r="M899" s="44" t="n">
        <f aca="false">Country_Data!$DW$132+Sector_Params!$E$10</f>
        <v>0.105</v>
      </c>
      <c r="N899" s="44" t="n">
        <f aca="false">Country_Data!$DX$132+Sector_Params!$E$10</f>
        <v>0.15</v>
      </c>
      <c r="O899" s="11" t="n">
        <f aca="false">IF(p_use_ibrd=1,p_r_ibrd,p_r_wb)</f>
        <v>0.06</v>
      </c>
      <c r="P899" s="45" t="n">
        <f aca="false">Sector_Params!$D$10</f>
        <v>20</v>
      </c>
      <c r="Q899" s="46" t="n">
        <f aca="false">M899/(1-(1+M899)^-P899)</f>
        <v>0.121493265267016</v>
      </c>
      <c r="R899" s="46" t="n">
        <f aca="false">N899/(1-(1+N899)^-P899)</f>
        <v>0.159761470405744</v>
      </c>
      <c r="S899" s="46" t="n">
        <f aca="false">O899/(1-(1+O899)^-P899)</f>
        <v>0.0871845569768514</v>
      </c>
      <c r="T899" s="37" t="n">
        <f aca="false">0*Sector_Params!$I$10</f>
        <v>0</v>
      </c>
      <c r="U899" s="37" t="n">
        <f aca="false">0*Sector_Params!$J$10</f>
        <v>0</v>
      </c>
      <c r="V899" s="37" t="n">
        <f aca="false">1000*p_r_wb/(1-(1+p_r_wb)^-Sector_Params!$D$10)/p_cpt_fuel</f>
        <v>0.871845569768514</v>
      </c>
      <c r="W899" s="16" t="n">
        <f aca="false">T899*L899</f>
        <v>0</v>
      </c>
      <c r="X899" s="16" t="n">
        <f aca="false">U899*L899</f>
        <v>0</v>
      </c>
      <c r="Y899" s="16" t="n">
        <f aca="false">V899*L899</f>
        <v>0.0127110779247979</v>
      </c>
      <c r="Z899" s="16" t="n">
        <f aca="false">Q899*L899</f>
        <v>0.00177131181908423</v>
      </c>
      <c r="AA899" s="16" t="n">
        <f aca="false">R899*L899</f>
        <v>0.00232924335469973</v>
      </c>
      <c r="AB899" s="16" t="n">
        <f aca="false">S899*L899</f>
        <v>0.00127110779247979</v>
      </c>
      <c r="AC899" s="16" t="n">
        <f aca="false">Z899-W899</f>
        <v>0.00177131181908423</v>
      </c>
      <c r="AD899" s="16" t="n">
        <f aca="false">AA899-W899</f>
        <v>0.00232924335469973</v>
      </c>
      <c r="AE899" s="16" t="n">
        <f aca="false">AB899-W899</f>
        <v>0.00127110779247979</v>
      </c>
      <c r="AF899" s="16" t="n">
        <f aca="false">AE899-X899</f>
        <v>0.00127110779247979</v>
      </c>
      <c r="AG899" s="16" t="n">
        <f aca="false">AF899-p_spc_lo*Y899/1000</f>
        <v>0.000635553896239897</v>
      </c>
      <c r="AH899" s="16" t="n">
        <f aca="false">AF899-p_spc_hi*Y899/1000</f>
        <v>0</v>
      </c>
      <c r="AI899" s="16" t="n">
        <f aca="false">Q899*J899</f>
        <v>0.00738046591285094</v>
      </c>
      <c r="AJ899" s="16" t="n">
        <f aca="false">S899*J899</f>
        <v>0.00529628246866581</v>
      </c>
      <c r="AK899" s="16" t="n">
        <f aca="false">T899*J899</f>
        <v>0</v>
      </c>
      <c r="AL899" s="16" t="n">
        <f aca="false">U899*J899</f>
        <v>0</v>
      </c>
      <c r="AM899" s="16" t="n">
        <f aca="false">AI899-AJ899</f>
        <v>0.00208418344418513</v>
      </c>
      <c r="AN899" s="16" t="n">
        <f aca="false">J899*Country_Data!$EB$132</f>
        <v>0.0741219083392603</v>
      </c>
      <c r="AO899" s="16" t="n">
        <f aca="false">L899*Country_Data!$EB$132</f>
        <v>0.0177892580014225</v>
      </c>
    </row>
    <row r="900" customFormat="false" ht="15" hidden="false" customHeight="false" outlineLevel="0" collapsed="false">
      <c r="A900" s="14" t="str">
        <f aca="false">Country_Data!$A$132</f>
        <v>GAB</v>
      </c>
      <c r="B900" s="14" t="str">
        <f aca="false">Country_Data!$E$132</f>
        <v>EMDC</v>
      </c>
      <c r="C900" s="35" t="s">
        <v>488</v>
      </c>
      <c r="D900" s="37" t="n">
        <f aca="false">IF(Country_Data!$CE$132="","",Country_Data!$CE$132)</f>
        <v>20.459</v>
      </c>
      <c r="E900" s="40" t="n">
        <f aca="false">Country_Data!$BW$132</f>
        <v>54.693</v>
      </c>
      <c r="F900" s="41" t="n">
        <f aca="false">Country_Data!$BX$132</f>
        <v>0.382132996910025</v>
      </c>
      <c r="G900" s="42" t="n">
        <f aca="false">IF(D900="","",D900/SUMIFS($D$5:$D$1369,$B$5:$B$1369,B900,$C$5:$C$1369,C900))</f>
        <v>0.00167640245786051</v>
      </c>
      <c r="H900" s="42" t="n">
        <f aca="false">E900/SUMIFS($E$5:$E$1369,$B$5:$B$1369,B900,$C$5:$C$1369,C900)</f>
        <v>0.000677464630148012</v>
      </c>
      <c r="I900" s="43" t="n">
        <f aca="false">IF(G900="",H900,p_beta_alloc*G900+(1-p_beta_alloc)*H900)*F900^p_phi</f>
        <v>0.000727543912259727</v>
      </c>
      <c r="J900" s="16" t="n">
        <f aca="false">INDEX(Sector_Params!$C$22:$E$22,MATCH(B900,Sector_Params!$C$15:$E$15,0))*I900/SUMIFS($I$5:$I$1369,$B$5:$B$1369,B900,$C$5:$C$1369,C900)</f>
        <v>0.438569573107757</v>
      </c>
      <c r="K900" s="28" t="n">
        <f aca="false">INDEX(Sector_Params!$F$11:$H$11,MATCH(B900,Sector_Params!$C$15:$E$15,0))</f>
        <v>0.24</v>
      </c>
      <c r="L900" s="16" t="n">
        <f aca="false">J900*K900</f>
        <v>0.105256697545862</v>
      </c>
      <c r="M900" s="44" t="n">
        <f aca="false">Country_Data!$DW$132+Sector_Params!$E$11</f>
        <v>0.105</v>
      </c>
      <c r="N900" s="44" t="n">
        <f aca="false">Country_Data!$DX$132+Sector_Params!$E$11</f>
        <v>0.15</v>
      </c>
      <c r="O900" s="11" t="n">
        <f aca="false">IF(p_use_ibrd=1,p_r_ibrd,p_r_wb)</f>
        <v>0.06</v>
      </c>
      <c r="P900" s="45" t="n">
        <f aca="false">Sector_Params!$D$11</f>
        <v>30</v>
      </c>
      <c r="Q900" s="46" t="n">
        <f aca="false">M900/(1-(1+M900)^-P900)</f>
        <v>0.110528481529605</v>
      </c>
      <c r="R900" s="46" t="n">
        <f aca="false">N900/(1-(1+N900)^-P900)</f>
        <v>0.152300198192734</v>
      </c>
      <c r="S900" s="46" t="n">
        <f aca="false">O900/(1-(1+O900)^-P900)</f>
        <v>0.0726489114900472</v>
      </c>
      <c r="T900" s="37" t="n">
        <f aca="false">0*Sector_Params!$I$11</f>
        <v>0</v>
      </c>
      <c r="U900" s="37" t="n">
        <f aca="false">p_c*Sector_Params!$J$11</f>
        <v>0.129</v>
      </c>
      <c r="V900" s="37" t="n">
        <f aca="false">1000*p_r_wb/(1-(1+p_r_wb)^-Sector_Params!$D$11)/p_cpt_afolu</f>
        <v>1.45297822980094</v>
      </c>
      <c r="W900" s="16" t="n">
        <f aca="false">T900*L900</f>
        <v>0</v>
      </c>
      <c r="X900" s="16" t="n">
        <f aca="false">U900*L900</f>
        <v>0.0135781139834162</v>
      </c>
      <c r="Y900" s="16" t="n">
        <f aca="false">V900*L900</f>
        <v>0.15293569007488</v>
      </c>
      <c r="Z900" s="16" t="n">
        <f aca="false">Q900*L900</f>
        <v>0.011633862950565</v>
      </c>
      <c r="AA900" s="16" t="n">
        <f aca="false">R900*L900</f>
        <v>0.0160306158973474</v>
      </c>
      <c r="AB900" s="16" t="n">
        <f aca="false">S900*L900</f>
        <v>0.00764678450374398</v>
      </c>
      <c r="AC900" s="16" t="n">
        <f aca="false">Z900-W900</f>
        <v>0.011633862950565</v>
      </c>
      <c r="AD900" s="16" t="n">
        <f aca="false">AA900-W900</f>
        <v>0.0160306158973474</v>
      </c>
      <c r="AE900" s="16" t="n">
        <f aca="false">AB900-W900</f>
        <v>0.00764678450374398</v>
      </c>
      <c r="AF900" s="16" t="n">
        <f aca="false">AE900-X900</f>
        <v>-0.00593132947967219</v>
      </c>
      <c r="AG900" s="16" t="n">
        <f aca="false">AF900-p_spc_lo*Y900/1000</f>
        <v>-0.0135781139834162</v>
      </c>
      <c r="AH900" s="16" t="n">
        <f aca="false">AF900-p_spc_hi*Y900/1000</f>
        <v>-0.0212248984871601</v>
      </c>
      <c r="AI900" s="16" t="n">
        <f aca="false">Q900*J900</f>
        <v>0.0484744289606876</v>
      </c>
      <c r="AJ900" s="16" t="n">
        <f aca="false">S900*J900</f>
        <v>0.0318616020989333</v>
      </c>
      <c r="AK900" s="16" t="n">
        <f aca="false">T900*J900</f>
        <v>0</v>
      </c>
      <c r="AL900" s="16" t="n">
        <f aca="false">U900*J900</f>
        <v>0.0565754749309007</v>
      </c>
      <c r="AM900" s="16" t="n">
        <f aca="false">AI900-AJ900</f>
        <v>0.0166128268617543</v>
      </c>
      <c r="AN900" s="16" t="n">
        <f aca="false">J900*Country_Data!$EB$132</f>
        <v>0.535122874474116</v>
      </c>
      <c r="AO900" s="16" t="n">
        <f aca="false">L900*Country_Data!$EB$132</f>
        <v>0.128429489873788</v>
      </c>
    </row>
    <row r="901" customFormat="false" ht="15" hidden="false" customHeight="false" outlineLevel="0" collapsed="false">
      <c r="A901" s="14" t="str">
        <f aca="false">Country_Data!$A$133</f>
        <v>TCD</v>
      </c>
      <c r="B901" s="14" t="str">
        <f aca="false">Country_Data!$E$133</f>
        <v>EMDC</v>
      </c>
      <c r="C901" s="35" t="s">
        <v>466</v>
      </c>
      <c r="D901" s="37" t="n">
        <f aca="false">IF(Country_Data!$BZ$133="","",Country_Data!$BZ$133)</f>
        <v>0.282530185967761</v>
      </c>
      <c r="E901" s="40" t="n">
        <f aca="false">Country_Data!$BW$133</f>
        <v>57.339</v>
      </c>
      <c r="F901" s="41" t="n">
        <f aca="false">Country_Data!$BX$133</f>
        <v>0.36024346430876</v>
      </c>
      <c r="G901" s="42" t="n">
        <f aca="false">IF(D901="","",D901/SUMIFS($D$5:$D$1369,$B$5:$B$1369,B901,$C$5:$C$1369,C901))</f>
        <v>3.22542493532718E-005</v>
      </c>
      <c r="H901" s="42" t="n">
        <f aca="false">E901/SUMIFS($E$5:$E$1369,$B$5:$B$1369,B901,$C$5:$C$1369,C901)</f>
        <v>0.000710239782569193</v>
      </c>
      <c r="I901" s="43" t="n">
        <f aca="false">IF(G901="",H901,p_beta_alloc*G901+(1-p_beta_alloc)*H901)*F901^p_phi</f>
        <v>0.000222823518011411</v>
      </c>
      <c r="J901" s="16" t="n">
        <f aca="false">INDEX(Sector_Params!$C$16:$E$16,MATCH(B901,Sector_Params!$C$15:$E$15,0))*I901/SUMIFS($I$5:$I$1369,$B$5:$B$1369,B901,$C$5:$C$1369,C901)</f>
        <v>0.215520555683863</v>
      </c>
      <c r="K901" s="28" t="n">
        <f aca="false">INDEX(Sector_Params!$F$5:$H$5,MATCH(B901,Sector_Params!$C$15:$E$15,0))</f>
        <v>0.24</v>
      </c>
      <c r="L901" s="16" t="n">
        <f aca="false">J901*K901</f>
        <v>0.0517249333641272</v>
      </c>
      <c r="M901" s="44" t="n">
        <f aca="false">Country_Data!$DW$133+Sector_Params!$E$5</f>
        <v>0.105</v>
      </c>
      <c r="N901" s="44" t="n">
        <f aca="false">Country_Data!$DX$133+Sector_Params!$E$5</f>
        <v>0.15</v>
      </c>
      <c r="O901" s="11" t="n">
        <f aca="false">IF(p_use_ibrd=1,p_r_ibrd,p_r_wb)</f>
        <v>0.06</v>
      </c>
      <c r="P901" s="45" t="n">
        <f aca="false">Sector_Params!$D$5</f>
        <v>25</v>
      </c>
      <c r="Q901" s="46" t="n">
        <f aca="false">M901/(1-(1+M901)^-P901)</f>
        <v>0.114429319813103</v>
      </c>
      <c r="R901" s="46" t="n">
        <f aca="false">N901/(1-(1+N901)^-P901)</f>
        <v>0.154699402320206</v>
      </c>
      <c r="S901" s="46" t="n">
        <f aca="false">O901/(1-(1+O901)^-P901)</f>
        <v>0.078226718212274</v>
      </c>
      <c r="T901" s="37" t="n">
        <f aca="false">IF(AND(p_eng=1,ISNUMBER(Country_Data!$CZ$133)),Country_Data!$CZ$133,Country_Data!$CM$133)*Sector_Params!$I$5</f>
        <v>0.292605377431855</v>
      </c>
      <c r="U901" s="37" t="n">
        <f aca="false">IF(AND(p_eng=1,ISNUMBER(Country_Data!$DA$133)),Country_Data!$DA$133,Country_Data!$CN$133)*Sector_Params!$J$5</f>
        <v>6.26613689118673E-005</v>
      </c>
      <c r="V901" s="37" t="n">
        <f aca="false">IF(AND(p_eng=1,ISNUMBER(Country_Data!$DB$133)),Country_Data!$DB$133,p_a)</f>
        <v>1.76916223304066</v>
      </c>
      <c r="W901" s="16" t="n">
        <f aca="false">T901*L901</f>
        <v>0.015134993649648</v>
      </c>
      <c r="X901" s="16" t="n">
        <f aca="false">U901*L901</f>
        <v>3.24115513147132E-006</v>
      </c>
      <c r="Y901" s="16" t="n">
        <f aca="false">V901*L901</f>
        <v>0.0915097986143587</v>
      </c>
      <c r="Z901" s="16" t="n">
        <f aca="false">Q901*L901</f>
        <v>0.00591884894223517</v>
      </c>
      <c r="AA901" s="16" t="n">
        <f aca="false">R901*L901</f>
        <v>0.00800181627648298</v>
      </c>
      <c r="AB901" s="16" t="n">
        <f aca="false">S901*L901</f>
        <v>0.00404627178682422</v>
      </c>
      <c r="AC901" s="16" t="n">
        <f aca="false">Z901-W901</f>
        <v>-0.00921614470741282</v>
      </c>
      <c r="AD901" s="16" t="n">
        <f aca="false">AA901-W901</f>
        <v>-0.00713317737316501</v>
      </c>
      <c r="AE901" s="16" t="n">
        <f aca="false">AB901-W901</f>
        <v>-0.0110887218628238</v>
      </c>
      <c r="AF901" s="16" t="n">
        <f aca="false">AE901-X901</f>
        <v>-0.0110919630179552</v>
      </c>
      <c r="AG901" s="16" t="n">
        <f aca="false">AF901-p_spc_lo*Y901/1000</f>
        <v>-0.0156674529486732</v>
      </c>
      <c r="AH901" s="16" t="n">
        <f aca="false">AF901-p_spc_hi*Y901/1000</f>
        <v>-0.0202429428793911</v>
      </c>
      <c r="AI901" s="16" t="n">
        <f aca="false">Q901*J901</f>
        <v>0.0246618705926465</v>
      </c>
      <c r="AJ901" s="16" t="n">
        <f aca="false">S901*J901</f>
        <v>0.0168594657784343</v>
      </c>
      <c r="AK901" s="16" t="n">
        <f aca="false">T901*J901</f>
        <v>0.0630624735402</v>
      </c>
      <c r="AL901" s="16" t="n">
        <f aca="false">U901*J901</f>
        <v>1.35048130477972E-005</v>
      </c>
      <c r="AM901" s="16" t="n">
        <f aca="false">AI901-AJ901</f>
        <v>0.00780240481421226</v>
      </c>
      <c r="AN901" s="16" t="n">
        <f aca="false">J901*Country_Data!$EB$133</f>
        <v>0.262968491973954</v>
      </c>
      <c r="AO901" s="16" t="n">
        <f aca="false">L901*Country_Data!$EB$133</f>
        <v>0.063112438073749</v>
      </c>
    </row>
    <row r="902" customFormat="false" ht="15" hidden="false" customHeight="false" outlineLevel="0" collapsed="false">
      <c r="A902" s="14" t="str">
        <f aca="false">Country_Data!$A$133</f>
        <v>TCD</v>
      </c>
      <c r="B902" s="14" t="str">
        <f aca="false">Country_Data!$E$133</f>
        <v>EMDC</v>
      </c>
      <c r="C902" s="35" t="s">
        <v>470</v>
      </c>
      <c r="D902" s="37" t="n">
        <f aca="false">IF(Country_Data!$BZ$133="","",Country_Data!$BZ$133)</f>
        <v>0.282530185967761</v>
      </c>
      <c r="E902" s="40" t="n">
        <f aca="false">Country_Data!$BW$133</f>
        <v>57.339</v>
      </c>
      <c r="F902" s="41" t="n">
        <f aca="false">Country_Data!$BX$133</f>
        <v>0.36024346430876</v>
      </c>
      <c r="G902" s="42" t="n">
        <f aca="false">IF(D902="","",D902/SUMIFS($D$5:$D$1369,$B$5:$B$1369,B902,$C$5:$C$1369,C902))</f>
        <v>3.22542493532718E-005</v>
      </c>
      <c r="H902" s="42" t="n">
        <f aca="false">E902/SUMIFS($E$5:$E$1369,$B$5:$B$1369,B902,$C$5:$C$1369,C902)</f>
        <v>0.000710239782569193</v>
      </c>
      <c r="I902" s="43" t="n">
        <f aca="false">IF(G902="",H902,p_beta_alloc*G902+(1-p_beta_alloc)*H902)*F902^p_phi</f>
        <v>0.000222823518011411</v>
      </c>
      <c r="J902" s="16" t="n">
        <f aca="false">INDEX(Sector_Params!$C$17:$E$17,MATCH(B902,Sector_Params!$C$15:$E$15,0))*I902/SUMIFS($I$5:$I$1369,$B$5:$B$1369,B902,$C$5:$C$1369,C902)</f>
        <v>0.147785523897506</v>
      </c>
      <c r="K902" s="28" t="n">
        <f aca="false">INDEX(Sector_Params!$F$6:$H$6,MATCH(B902,Sector_Params!$C$15:$E$15,0))</f>
        <v>0.24</v>
      </c>
      <c r="L902" s="16" t="n">
        <f aca="false">J902*K902</f>
        <v>0.0354685257354015</v>
      </c>
      <c r="M902" s="44" t="n">
        <f aca="false">Country_Data!$DW$133+Sector_Params!$E$6</f>
        <v>0.105</v>
      </c>
      <c r="N902" s="44" t="n">
        <f aca="false">Country_Data!$DX$133+Sector_Params!$E$6</f>
        <v>0.15</v>
      </c>
      <c r="O902" s="11" t="n">
        <f aca="false">IF(p_use_ibrd=1,p_r_ibrd,p_r_wb)</f>
        <v>0.06</v>
      </c>
      <c r="P902" s="45" t="n">
        <f aca="false">Sector_Params!$D$6</f>
        <v>40</v>
      </c>
      <c r="Q902" s="46" t="n">
        <f aca="false">M902/(1-(1+M902)^-P902)</f>
        <v>0.10697140835497</v>
      </c>
      <c r="R902" s="46" t="n">
        <f aca="false">N902/(1-(1+N902)^-P902)</f>
        <v>0.150562085013545</v>
      </c>
      <c r="S902" s="46" t="n">
        <f aca="false">O902/(1-(1+O902)^-P902)</f>
        <v>0.0664615359206755</v>
      </c>
      <c r="T902" s="37" t="n">
        <f aca="false">p_grid_credit*IF(AND(p_eng=1,ISNUMBER(Country_Data!$CZ$133)),Country_Data!$CZ$133,Country_Data!$CM$133)*Sector_Params!$I$6</f>
        <v>0</v>
      </c>
      <c r="U902" s="37" t="n">
        <f aca="false">p_grid_credit*IF(AND(p_eng=1,ISNUMBER(Country_Data!$DA$133)),Country_Data!$DA$133,Country_Data!$CN$133)*Sector_Params!$J$6</f>
        <v>0</v>
      </c>
      <c r="V902" s="37" t="n">
        <f aca="false">p_grid_credit*IF(AND(p_eng=1,ISNUMBER(Country_Data!$DB$133)),Country_Data!$DB$133,p_a)</f>
        <v>0</v>
      </c>
      <c r="W902" s="16" t="n">
        <f aca="false">T902*L902</f>
        <v>0</v>
      </c>
      <c r="X902" s="16" t="n">
        <f aca="false">U902*L902</f>
        <v>0</v>
      </c>
      <c r="Y902" s="16" t="n">
        <f aca="false">V902*L902</f>
        <v>0</v>
      </c>
      <c r="Z902" s="16" t="n">
        <f aca="false">Q902*L902</f>
        <v>0.00379411815019041</v>
      </c>
      <c r="AA902" s="16" t="n">
        <f aca="false">R902*L902</f>
        <v>0.00534021518707863</v>
      </c>
      <c r="AB902" s="16" t="n">
        <f aca="false">S902*L902</f>
        <v>0.00235729269721679</v>
      </c>
      <c r="AC902" s="16" t="n">
        <f aca="false">Z902-W902</f>
        <v>0.00379411815019041</v>
      </c>
      <c r="AD902" s="16" t="n">
        <f aca="false">AA902-W902</f>
        <v>0.00534021518707863</v>
      </c>
      <c r="AE902" s="16" t="n">
        <f aca="false">AB902-W902</f>
        <v>0.00235729269721679</v>
      </c>
      <c r="AF902" s="16" t="n">
        <f aca="false">AE902-X902</f>
        <v>0.00235729269721679</v>
      </c>
      <c r="AG902" s="16" t="n">
        <f aca="false">AF902-p_spc_lo*Y902/1000</f>
        <v>0.00235729269721679</v>
      </c>
      <c r="AH902" s="16" t="n">
        <f aca="false">AF902-p_spc_hi*Y902/1000</f>
        <v>0.00235729269721679</v>
      </c>
      <c r="AI902" s="16" t="n">
        <f aca="false">Q902*J902</f>
        <v>0.0158088256257934</v>
      </c>
      <c r="AJ902" s="16" t="n">
        <f aca="false">S902*J902</f>
        <v>0.00982205290506995</v>
      </c>
      <c r="AK902" s="16" t="n">
        <f aca="false">T902*J902</f>
        <v>0</v>
      </c>
      <c r="AL902" s="16" t="n">
        <f aca="false">U902*J902</f>
        <v>0</v>
      </c>
      <c r="AM902" s="16" t="n">
        <f aca="false">AI902-AJ902</f>
        <v>0.00598677272072341</v>
      </c>
      <c r="AN902" s="16" t="n">
        <f aca="false">J902*Country_Data!$EB$133</f>
        <v>0.180321251639283</v>
      </c>
      <c r="AO902" s="16" t="n">
        <f aca="false">L902*Country_Data!$EB$133</f>
        <v>0.0432771003934279</v>
      </c>
    </row>
    <row r="903" customFormat="false" ht="15" hidden="false" customHeight="false" outlineLevel="0" collapsed="false">
      <c r="A903" s="14" t="str">
        <f aca="false">Country_Data!$A$133</f>
        <v>TCD</v>
      </c>
      <c r="B903" s="14" t="str">
        <f aca="false">Country_Data!$E$133</f>
        <v>EMDC</v>
      </c>
      <c r="C903" s="35" t="s">
        <v>473</v>
      </c>
      <c r="D903" s="37" t="n">
        <f aca="false">IF(Country_Data!$CA$133="","",Country_Data!$CA$133)</f>
        <v>0.0132977896629972</v>
      </c>
      <c r="E903" s="40" t="n">
        <f aca="false">Country_Data!$BW$133</f>
        <v>57.339</v>
      </c>
      <c r="F903" s="41" t="n">
        <f aca="false">Country_Data!$BX$133</f>
        <v>0.36024346430876</v>
      </c>
      <c r="G903" s="42" t="n">
        <f aca="false">IF(D903="","",D903/SUMIFS($D$5:$D$1369,$B$5:$B$1369,B903,$C$5:$C$1369,C903))</f>
        <v>0.00030720988137407</v>
      </c>
      <c r="H903" s="42" t="n">
        <f aca="false">E903/SUMIFS($E$5:$E$1369,$B$5:$B$1369,B903,$C$5:$C$1369,C903)</f>
        <v>0.000710239782569193</v>
      </c>
      <c r="I903" s="43" t="n">
        <f aca="false">IF(G903="",H903,p_beta_alloc*G903+(1-p_beta_alloc)*H903)*F903^p_phi</f>
        <v>0.000305338095354604</v>
      </c>
      <c r="J903" s="16" t="n">
        <f aca="false">INDEX(Sector_Params!$C$18:$E$18,MATCH(B903,Sector_Params!$C$15:$E$15,0))*I903/SUMIFS($I$5:$I$1369,$B$5:$B$1369,B903,$C$5:$C$1369,C903)</f>
        <v>0.125028725377595</v>
      </c>
      <c r="K903" s="28" t="n">
        <f aca="false">INDEX(Sector_Params!$F$7:$H$7,MATCH(B903,Sector_Params!$C$15:$E$15,0))</f>
        <v>0.24</v>
      </c>
      <c r="L903" s="16" t="n">
        <f aca="false">J903*K903</f>
        <v>0.0300068940906227</v>
      </c>
      <c r="M903" s="44" t="n">
        <f aca="false">Country_Data!$DW$133+Sector_Params!$E$7</f>
        <v>0.105</v>
      </c>
      <c r="N903" s="44" t="n">
        <f aca="false">Country_Data!$DX$133+Sector_Params!$E$7</f>
        <v>0.15</v>
      </c>
      <c r="O903" s="11" t="n">
        <f aca="false">IF(p_use_ibrd=1,p_r_ibrd,p_r_wb)</f>
        <v>0.06</v>
      </c>
      <c r="P903" s="45" t="n">
        <f aca="false">Sector_Params!$D$7</f>
        <v>12</v>
      </c>
      <c r="Q903" s="46" t="n">
        <f aca="false">M903/(1-(1+M903)^-P903)</f>
        <v>0.150376745634766</v>
      </c>
      <c r="R903" s="46" t="n">
        <f aca="false">N903/(1-(1+N903)^-P903)</f>
        <v>0.18448077613084</v>
      </c>
      <c r="S903" s="46" t="n">
        <f aca="false">O903/(1-(1+O903)^-P903)</f>
        <v>0.119277029380664</v>
      </c>
      <c r="T903" s="37" t="n">
        <f aca="false">IF(AND(p_eng=1,ISNUMBER(Country_Data!$DE$133)),Country_Data!$DE$133,Country_Data!$CM$133)*Sector_Params!$I$7</f>
        <v>-0.074007225</v>
      </c>
      <c r="U903" s="37" t="n">
        <f aca="false">IF(AND(p_eng=1,ISNUMBER(Country_Data!$DF$133)),Country_Data!$DF$133,Country_Data!$CN$133)*Sector_Params!$J$7</f>
        <v>9.1125E-005</v>
      </c>
      <c r="V903" s="37" t="n">
        <f aca="false">IF(AND(p_eng=1,ISNUMBER(Country_Data!$DG$133)),Country_Data!$DG$133,p_a)</f>
        <v>0.118127554054054</v>
      </c>
      <c r="W903" s="16" t="n">
        <f aca="false">T903*L903</f>
        <v>-0.00222072696251589</v>
      </c>
      <c r="X903" s="16" t="n">
        <f aca="false">U903*L903</f>
        <v>2.73437822400799E-006</v>
      </c>
      <c r="Y903" s="16" t="n">
        <f aca="false">V903*L903</f>
        <v>0.00354464100368431</v>
      </c>
      <c r="Z903" s="16" t="n">
        <f aca="false">Q903*L903</f>
        <v>0.00451233907995493</v>
      </c>
      <c r="AA903" s="16" t="n">
        <f aca="false">R903*L903</f>
        <v>0.00553569511111398</v>
      </c>
      <c r="AB903" s="16" t="n">
        <f aca="false">S903*L903</f>
        <v>0.00357913318806966</v>
      </c>
      <c r="AC903" s="16" t="n">
        <f aca="false">Z903-W903</f>
        <v>0.00673306604247081</v>
      </c>
      <c r="AD903" s="16" t="n">
        <f aca="false">AA903-W903</f>
        <v>0.00775642207362987</v>
      </c>
      <c r="AE903" s="16" t="n">
        <f aca="false">AB903-W903</f>
        <v>0.00579986015058555</v>
      </c>
      <c r="AF903" s="16" t="n">
        <f aca="false">AE903-X903</f>
        <v>0.00579712577236154</v>
      </c>
      <c r="AG903" s="16" t="n">
        <f aca="false">AF903-p_spc_lo*Y903/1000</f>
        <v>0.00561989372217733</v>
      </c>
      <c r="AH903" s="16" t="n">
        <f aca="false">AF903-p_spc_hi*Y903/1000</f>
        <v>0.00544266167199311</v>
      </c>
      <c r="AI903" s="16" t="n">
        <f aca="false">Q903*J903</f>
        <v>0.0188014128331455</v>
      </c>
      <c r="AJ903" s="16" t="n">
        <f aca="false">S903*J903</f>
        <v>0.0149130549502903</v>
      </c>
      <c r="AK903" s="16" t="n">
        <f aca="false">T903*J903</f>
        <v>-0.00925302901048286</v>
      </c>
      <c r="AL903" s="16" t="n">
        <f aca="false">U903*J903</f>
        <v>1.13932426000333E-005</v>
      </c>
      <c r="AM903" s="16" t="n">
        <f aca="false">AI903-AJ903</f>
        <v>0.00388835788285526</v>
      </c>
      <c r="AN903" s="16" t="n">
        <f aca="false">J903*Country_Data!$EB$133</f>
        <v>0.152554429259174</v>
      </c>
      <c r="AO903" s="16" t="n">
        <f aca="false">L903*Country_Data!$EB$133</f>
        <v>0.0366130630222017</v>
      </c>
    </row>
    <row r="904" customFormat="false" ht="15" hidden="false" customHeight="false" outlineLevel="0" collapsed="false">
      <c r="A904" s="14" t="str">
        <f aca="false">Country_Data!$A$133</f>
        <v>TCD</v>
      </c>
      <c r="B904" s="14" t="str">
        <f aca="false">Country_Data!$E$133</f>
        <v>EMDC</v>
      </c>
      <c r="C904" s="35" t="s">
        <v>477</v>
      </c>
      <c r="D904" s="37" t="n">
        <f aca="false">IF(Country_Data!$CB$133="","",Country_Data!$CB$133)</f>
        <v>0.00343536394603518</v>
      </c>
      <c r="E904" s="40" t="n">
        <f aca="false">Country_Data!$BW$133</f>
        <v>57.339</v>
      </c>
      <c r="F904" s="41" t="n">
        <f aca="false">Country_Data!$BX$133</f>
        <v>0.36024346430876</v>
      </c>
      <c r="G904" s="42" t="n">
        <f aca="false">IF(D904="","",D904/SUMIFS($D$5:$D$1369,$B$5:$B$1369,B904,$C$5:$C$1369,C904))</f>
        <v>0.000108327485902792</v>
      </c>
      <c r="H904" s="42" t="n">
        <f aca="false">E904/SUMIFS($E$5:$E$1369,$B$5:$B$1369,B904,$C$5:$C$1369,C904)</f>
        <v>0.000710239782569193</v>
      </c>
      <c r="I904" s="43" t="n">
        <f aca="false">IF(G904="",H904,p_beta_alloc*G904+(1-p_beta_alloc)*H904)*F904^p_phi</f>
        <v>0.000245653204804434</v>
      </c>
      <c r="J904" s="16" t="n">
        <f aca="false">INDEX(Sector_Params!$C$19:$E$19,MATCH(B904,Sector_Params!$C$15:$E$15,0))*I904/SUMIFS($I$5:$I$1369,$B$5:$B$1369,B904,$C$5:$C$1369,C904)</f>
        <v>0.079066578343162</v>
      </c>
      <c r="K904" s="28" t="n">
        <f aca="false">INDEX(Sector_Params!$F$8:$H$8,MATCH(B904,Sector_Params!$C$15:$E$15,0))</f>
        <v>0.24</v>
      </c>
      <c r="L904" s="16" t="n">
        <f aca="false">J904*K904</f>
        <v>0.0189759788023589</v>
      </c>
      <c r="M904" s="44" t="n">
        <f aca="false">Country_Data!$DW$133+Sector_Params!$E$8</f>
        <v>0.105</v>
      </c>
      <c r="N904" s="44" t="n">
        <f aca="false">Country_Data!$DX$133+Sector_Params!$E$8</f>
        <v>0.15</v>
      </c>
      <c r="O904" s="11" t="n">
        <f aca="false">IF(p_use_ibrd=1,p_r_ibrd,p_r_wb)</f>
        <v>0.06</v>
      </c>
      <c r="P904" s="45" t="n">
        <f aca="false">Sector_Params!$D$8</f>
        <v>25</v>
      </c>
      <c r="Q904" s="46" t="n">
        <f aca="false">M904/(1-(1+M904)^-P904)</f>
        <v>0.114429319813103</v>
      </c>
      <c r="R904" s="46" t="n">
        <f aca="false">N904/(1-(1+N904)^-P904)</f>
        <v>0.154699402320206</v>
      </c>
      <c r="S904" s="46" t="n">
        <f aca="false">O904/(1-(1+O904)^-P904)</f>
        <v>0.078226718212274</v>
      </c>
      <c r="T904" s="37" t="n">
        <f aca="false">Country_Data!$CM$133*Sector_Params!$I$8</f>
        <v>0.210261888867331</v>
      </c>
      <c r="U904" s="37" t="n">
        <f aca="false">Country_Data!$CN$133*Sector_Params!$J$8</f>
        <v>0.03225</v>
      </c>
      <c r="V904" s="37" t="n">
        <f aca="false">p_a</f>
        <v>0.35</v>
      </c>
      <c r="W904" s="16" t="n">
        <f aca="false">T904*L904</f>
        <v>0.00398992514609041</v>
      </c>
      <c r="X904" s="16" t="n">
        <f aca="false">U904*L904</f>
        <v>0.000611975316376074</v>
      </c>
      <c r="Y904" s="16" t="n">
        <f aca="false">V904*L904</f>
        <v>0.0066415925808256</v>
      </c>
      <c r="Z904" s="16" t="n">
        <f aca="false">Q904*L904</f>
        <v>0.00217140834714179</v>
      </c>
      <c r="AA904" s="16" t="n">
        <f aca="false">R904*L904</f>
        <v>0.00293557257916582</v>
      </c>
      <c r="AB904" s="16" t="n">
        <f aca="false">S904*L904</f>
        <v>0.00148442854657421</v>
      </c>
      <c r="AC904" s="16" t="n">
        <f aca="false">Z904-W904</f>
        <v>-0.00181851679894861</v>
      </c>
      <c r="AD904" s="16" t="n">
        <f aca="false">AA904-W904</f>
        <v>-0.00105435256692458</v>
      </c>
      <c r="AE904" s="16" t="n">
        <f aca="false">AB904-W904</f>
        <v>-0.0025054965995162</v>
      </c>
      <c r="AF904" s="16" t="n">
        <f aca="false">AE904-X904</f>
        <v>-0.00311747191589227</v>
      </c>
      <c r="AG904" s="16" t="n">
        <f aca="false">AF904-p_spc_lo*Y904/1000</f>
        <v>-0.00344955154493355</v>
      </c>
      <c r="AH904" s="16" t="n">
        <f aca="false">AF904-p_spc_hi*Y904/1000</f>
        <v>-0.00378163117397483</v>
      </c>
      <c r="AI904" s="16" t="n">
        <f aca="false">Q904*J904</f>
        <v>0.00904753477975747</v>
      </c>
      <c r="AJ904" s="16" t="n">
        <f aca="false">S904*J904</f>
        <v>0.00618511894405921</v>
      </c>
      <c r="AK904" s="16" t="n">
        <f aca="false">T904*J904</f>
        <v>0.01662468810871</v>
      </c>
      <c r="AL904" s="16" t="n">
        <f aca="false">U904*J904</f>
        <v>0.00254989715156697</v>
      </c>
      <c r="AM904" s="16" t="n">
        <f aca="false">AI904-AJ904</f>
        <v>0.00286241583569826</v>
      </c>
      <c r="AN904" s="16" t="n">
        <f aca="false">J904*Country_Data!$EB$133</f>
        <v>0.0964734839628968</v>
      </c>
      <c r="AO904" s="16" t="n">
        <f aca="false">L904*Country_Data!$EB$133</f>
        <v>0.0231536361510952</v>
      </c>
    </row>
    <row r="905" customFormat="false" ht="15" hidden="false" customHeight="false" outlineLevel="0" collapsed="false">
      <c r="A905" s="14" t="str">
        <f aca="false">Country_Data!$A$133</f>
        <v>TCD</v>
      </c>
      <c r="B905" s="14" t="str">
        <f aca="false">Country_Data!$E$133</f>
        <v>EMDC</v>
      </c>
      <c r="C905" s="35" t="s">
        <v>481</v>
      </c>
      <c r="D905" s="37" t="n">
        <f aca="false">IF(Country_Data!$CC$133="","",Country_Data!$CC$133)</f>
        <v>0.0100032089272236</v>
      </c>
      <c r="E905" s="40" t="n">
        <f aca="false">Country_Data!$BW$133</f>
        <v>57.339</v>
      </c>
      <c r="F905" s="41" t="n">
        <f aca="false">Country_Data!$BX$133</f>
        <v>0.36024346430876</v>
      </c>
      <c r="G905" s="42" t="n">
        <f aca="false">IF(D905="","",D905/SUMIFS($D$5:$D$1369,$B$5:$B$1369,B905,$C$5:$C$1369,C905))</f>
        <v>0.000142888170178672</v>
      </c>
      <c r="H905" s="42" t="n">
        <f aca="false">E905/SUMIFS($E$5:$E$1369,$B$5:$B$1369,B905,$C$5:$C$1369,C905)</f>
        <v>0.000710239782569193</v>
      </c>
      <c r="I905" s="43" t="n">
        <f aca="false">IF(G905="",H905,p_beta_alloc*G905+(1-p_beta_alloc)*H905)*F905^p_phi</f>
        <v>0.000256024915450099</v>
      </c>
      <c r="J905" s="16" t="n">
        <f aca="false">INDEX(Sector_Params!$C$20:$E$20,MATCH(B905,Sector_Params!$C$15:$E$15,0))*I905/SUMIFS($I$5:$I$1369,$B$5:$B$1369,B905,$C$5:$C$1369,C905)</f>
        <v>0.0467297028192546</v>
      </c>
      <c r="K905" s="28" t="n">
        <f aca="false">INDEX(Sector_Params!$F$9:$H$9,MATCH(B905,Sector_Params!$C$15:$E$15,0))</f>
        <v>0.24</v>
      </c>
      <c r="L905" s="16" t="n">
        <f aca="false">J905*K905</f>
        <v>0.0112151286766211</v>
      </c>
      <c r="M905" s="44" t="n">
        <f aca="false">Country_Data!$DW$133+Sector_Params!$E$9</f>
        <v>0.105</v>
      </c>
      <c r="N905" s="44" t="n">
        <f aca="false">Country_Data!$DX$133+Sector_Params!$E$9</f>
        <v>0.15</v>
      </c>
      <c r="O905" s="11" t="n">
        <f aca="false">IF(p_use_ibrd=1,p_r_ibrd,p_r_wb)</f>
        <v>0.06</v>
      </c>
      <c r="P905" s="45" t="n">
        <f aca="false">Sector_Params!$D$9</f>
        <v>25</v>
      </c>
      <c r="Q905" s="46" t="n">
        <f aca="false">M905/(1-(1+M905)^-P905)</f>
        <v>0.114429319813103</v>
      </c>
      <c r="R905" s="46" t="n">
        <f aca="false">N905/(1-(1+N905)^-P905)</f>
        <v>0.154699402320206</v>
      </c>
      <c r="S905" s="46" t="n">
        <f aca="false">O905/(1-(1+O905)^-P905)</f>
        <v>0.078226718212274</v>
      </c>
      <c r="T905" s="37" t="n">
        <f aca="false">Country_Data!$CM$133*Sector_Params!$I$9</f>
        <v>0.210261888867331</v>
      </c>
      <c r="U905" s="37" t="n">
        <f aca="false">Country_Data!$CN$133*Sector_Params!$J$9</f>
        <v>0.03225</v>
      </c>
      <c r="V905" s="37" t="n">
        <f aca="false">p_a</f>
        <v>0.35</v>
      </c>
      <c r="W905" s="16" t="n">
        <f aca="false">T905*L905</f>
        <v>0.00235811413943652</v>
      </c>
      <c r="X905" s="16" t="n">
        <f aca="false">U905*L905</f>
        <v>0.00036168789982103</v>
      </c>
      <c r="Y905" s="16" t="n">
        <f aca="false">V905*L905</f>
        <v>0.00392529503681738</v>
      </c>
      <c r="Z905" s="16" t="n">
        <f aca="false">Q905*L905</f>
        <v>0.00128333954608218</v>
      </c>
      <c r="AA905" s="16" t="n">
        <f aca="false">R905*L905</f>
        <v>0.00173497370321749</v>
      </c>
      <c r="AB905" s="16" t="n">
        <f aca="false">S905*L905</f>
        <v>0.000877322710700431</v>
      </c>
      <c r="AC905" s="16" t="n">
        <f aca="false">Z905-W905</f>
        <v>-0.00107477459335434</v>
      </c>
      <c r="AD905" s="16" t="n">
        <f aca="false">AA905-W905</f>
        <v>-0.000623140436219029</v>
      </c>
      <c r="AE905" s="16" t="n">
        <f aca="false">AB905-W905</f>
        <v>-0.00148079142873609</v>
      </c>
      <c r="AF905" s="16" t="n">
        <f aca="false">AE905-X905</f>
        <v>-0.00184247932855712</v>
      </c>
      <c r="AG905" s="16" t="n">
        <f aca="false">AF905-p_spc_lo*Y905/1000</f>
        <v>-0.00203874408039799</v>
      </c>
      <c r="AH905" s="16" t="n">
        <f aca="false">AF905-p_spc_hi*Y905/1000</f>
        <v>-0.00223500883223886</v>
      </c>
      <c r="AI905" s="16" t="n">
        <f aca="false">Q905*J905</f>
        <v>0.00534724810867576</v>
      </c>
      <c r="AJ905" s="16" t="n">
        <f aca="false">S905*J905</f>
        <v>0.00365551129458513</v>
      </c>
      <c r="AK905" s="16" t="n">
        <f aca="false">T905*J905</f>
        <v>0.0098254755809855</v>
      </c>
      <c r="AL905" s="16" t="n">
        <f aca="false">U905*J905</f>
        <v>0.00150703291592096</v>
      </c>
      <c r="AM905" s="16" t="n">
        <f aca="false">AI905-AJ905</f>
        <v>0.00169173681409063</v>
      </c>
      <c r="AN905" s="16" t="n">
        <f aca="false">J905*Country_Data!$EB$133</f>
        <v>0.0570174823546563</v>
      </c>
      <c r="AO905" s="16" t="n">
        <f aca="false">L905*Country_Data!$EB$133</f>
        <v>0.0136841957651175</v>
      </c>
    </row>
    <row r="906" customFormat="false" ht="15" hidden="false" customHeight="false" outlineLevel="0" collapsed="false">
      <c r="A906" s="14" t="str">
        <f aca="false">Country_Data!$A$133</f>
        <v>TCD</v>
      </c>
      <c r="B906" s="14" t="str">
        <f aca="false">Country_Data!$E$133</f>
        <v>EMDC</v>
      </c>
      <c r="C906" s="35" t="s">
        <v>484</v>
      </c>
      <c r="D906" s="37" t="n">
        <f aca="false">IF(Country_Data!$CD$133="","",Country_Data!$CD$133)</f>
        <v>0.0258411803839363</v>
      </c>
      <c r="E906" s="40" t="n">
        <f aca="false">Country_Data!$BW$133</f>
        <v>57.339</v>
      </c>
      <c r="F906" s="41" t="n">
        <f aca="false">Country_Data!$BX$133</f>
        <v>0.36024346430876</v>
      </c>
      <c r="G906" s="42" t="n">
        <f aca="false">IF(D906="","",D906/SUMIFS($D$5:$D$1369,$B$5:$B$1369,B906,$C$5:$C$1369,C906))</f>
        <v>0.000144306591546576</v>
      </c>
      <c r="H906" s="42" t="n">
        <f aca="false">E906/SUMIFS($E$5:$E$1369,$B$5:$B$1369,B906,$C$5:$C$1369,C906)</f>
        <v>0.000710239782569193</v>
      </c>
      <c r="I906" s="43" t="n">
        <f aca="false">IF(G906="",H906,p_beta_alloc*G906+(1-p_beta_alloc)*H906)*F906^p_phi</f>
        <v>0.000256450585725725</v>
      </c>
      <c r="J906" s="16" t="n">
        <f aca="false">INDEX(Sector_Params!$C$21:$E$21,MATCH(B906,Sector_Params!$C$15:$E$15,0))*I906/SUMIFS($I$5:$I$1369,$B$5:$B$1369,B906,$C$5:$C$1369,C906)</f>
        <v>0.0568781308517283</v>
      </c>
      <c r="K906" s="28" t="n">
        <f aca="false">INDEX(Sector_Params!$F$10:$H$10,MATCH(B906,Sector_Params!$C$15:$E$15,0))</f>
        <v>0.24</v>
      </c>
      <c r="L906" s="16" t="n">
        <f aca="false">J906*K906</f>
        <v>0.0136507514044148</v>
      </c>
      <c r="M906" s="44" t="n">
        <f aca="false">Country_Data!$DW$133+Sector_Params!$E$10</f>
        <v>0.105</v>
      </c>
      <c r="N906" s="44" t="n">
        <f aca="false">Country_Data!$DX$133+Sector_Params!$E$10</f>
        <v>0.15</v>
      </c>
      <c r="O906" s="11" t="n">
        <f aca="false">IF(p_use_ibrd=1,p_r_ibrd,p_r_wb)</f>
        <v>0.06</v>
      </c>
      <c r="P906" s="45" t="n">
        <f aca="false">Sector_Params!$D$10</f>
        <v>20</v>
      </c>
      <c r="Q906" s="46" t="n">
        <f aca="false">M906/(1-(1+M906)^-P906)</f>
        <v>0.121493265267016</v>
      </c>
      <c r="R906" s="46" t="n">
        <f aca="false">N906/(1-(1+N906)^-P906)</f>
        <v>0.159761470405744</v>
      </c>
      <c r="S906" s="46" t="n">
        <f aca="false">O906/(1-(1+O906)^-P906)</f>
        <v>0.0871845569768514</v>
      </c>
      <c r="T906" s="37" t="n">
        <f aca="false">0*Sector_Params!$I$10</f>
        <v>0</v>
      </c>
      <c r="U906" s="37" t="n">
        <f aca="false">0*Sector_Params!$J$10</f>
        <v>0</v>
      </c>
      <c r="V906" s="37" t="n">
        <f aca="false">1000*p_r_wb/(1-(1+p_r_wb)^-Sector_Params!$D$10)/p_cpt_fuel</f>
        <v>0.871845569768514</v>
      </c>
      <c r="W906" s="16" t="n">
        <f aca="false">T906*L906</f>
        <v>0</v>
      </c>
      <c r="X906" s="16" t="n">
        <f aca="false">U906*L906</f>
        <v>0</v>
      </c>
      <c r="Y906" s="16" t="n">
        <f aca="false">V906*L906</f>
        <v>0.0119013471359504</v>
      </c>
      <c r="Z906" s="16" t="n">
        <f aca="false">Q906*L906</f>
        <v>0.00165847436147066</v>
      </c>
      <c r="AA906" s="16" t="n">
        <f aca="false">R906*L906</f>
        <v>0.00218086411651258</v>
      </c>
      <c r="AB906" s="16" t="n">
        <f aca="false">S906*L906</f>
        <v>0.00119013471359504</v>
      </c>
      <c r="AC906" s="16" t="n">
        <f aca="false">Z906-W906</f>
        <v>0.00165847436147066</v>
      </c>
      <c r="AD906" s="16" t="n">
        <f aca="false">AA906-W906</f>
        <v>0.00218086411651258</v>
      </c>
      <c r="AE906" s="16" t="n">
        <f aca="false">AB906-W906</f>
        <v>0.00119013471359504</v>
      </c>
      <c r="AF906" s="16" t="n">
        <f aca="false">AE906-X906</f>
        <v>0.00119013471359504</v>
      </c>
      <c r="AG906" s="16" t="n">
        <f aca="false">AF906-p_spc_lo*Y906/1000</f>
        <v>0.000595067356797518</v>
      </c>
      <c r="AH906" s="16" t="n">
        <f aca="false">AF906-p_spc_hi*Y906/1000</f>
        <v>0</v>
      </c>
      <c r="AI906" s="16" t="n">
        <f aca="false">Q906*J906</f>
        <v>0.00691030983946109</v>
      </c>
      <c r="AJ906" s="16" t="n">
        <f aca="false">S906*J906</f>
        <v>0.00495889463997932</v>
      </c>
      <c r="AK906" s="16" t="n">
        <f aca="false">T906*J906</f>
        <v>0</v>
      </c>
      <c r="AL906" s="16" t="n">
        <f aca="false">U906*J906</f>
        <v>0</v>
      </c>
      <c r="AM906" s="16" t="n">
        <f aca="false">AI906-AJ906</f>
        <v>0.00195141519948177</v>
      </c>
      <c r="AN906" s="16" t="n">
        <f aca="false">J906*Country_Data!$EB$133</f>
        <v>0.0694001379539693</v>
      </c>
      <c r="AO906" s="16" t="n">
        <f aca="false">L906*Country_Data!$EB$133</f>
        <v>0.0166560331089526</v>
      </c>
    </row>
    <row r="907" customFormat="false" ht="15" hidden="false" customHeight="false" outlineLevel="0" collapsed="false">
      <c r="A907" s="14" t="str">
        <f aca="false">Country_Data!$A$133</f>
        <v>TCD</v>
      </c>
      <c r="B907" s="14" t="str">
        <f aca="false">Country_Data!$E$133</f>
        <v>EMDC</v>
      </c>
      <c r="C907" s="35" t="s">
        <v>488</v>
      </c>
      <c r="D907" s="37" t="n">
        <f aca="false">IF(Country_Data!$CE$133="","",Country_Data!$CE$133)</f>
        <v>114.41</v>
      </c>
      <c r="E907" s="40" t="n">
        <f aca="false">Country_Data!$BW$133</f>
        <v>57.339</v>
      </c>
      <c r="F907" s="41" t="n">
        <f aca="false">Country_Data!$BX$133</f>
        <v>0.36024346430876</v>
      </c>
      <c r="G907" s="42" t="n">
        <f aca="false">IF(D907="","",D907/SUMIFS($D$5:$D$1369,$B$5:$B$1369,B907,$C$5:$C$1369,C907))</f>
        <v>0.00937471065075618</v>
      </c>
      <c r="H907" s="42" t="n">
        <f aca="false">E907/SUMIFS($E$5:$E$1369,$B$5:$B$1369,B907,$C$5:$C$1369,C907)</f>
        <v>0.000710239782569193</v>
      </c>
      <c r="I907" s="43" t="n">
        <f aca="false">IF(G907="",H907,p_beta_alloc*G907+(1-p_beta_alloc)*H907)*F907^p_phi</f>
        <v>0.00302650800937202</v>
      </c>
      <c r="J907" s="16" t="n">
        <f aca="false">INDEX(Sector_Params!$C$22:$E$22,MATCH(B907,Sector_Params!$C$15:$E$15,0))*I907/SUMIFS($I$5:$I$1369,$B$5:$B$1369,B907,$C$5:$C$1369,C907)</f>
        <v>1.82440441506113</v>
      </c>
      <c r="K907" s="28" t="n">
        <f aca="false">INDEX(Sector_Params!$F$11:$H$11,MATCH(B907,Sector_Params!$C$15:$E$15,0))</f>
        <v>0.24</v>
      </c>
      <c r="L907" s="16" t="n">
        <f aca="false">J907*K907</f>
        <v>0.437857059614672</v>
      </c>
      <c r="M907" s="44" t="n">
        <f aca="false">Country_Data!$DW$133+Sector_Params!$E$11</f>
        <v>0.105</v>
      </c>
      <c r="N907" s="44" t="n">
        <f aca="false">Country_Data!$DX$133+Sector_Params!$E$11</f>
        <v>0.15</v>
      </c>
      <c r="O907" s="11" t="n">
        <f aca="false">IF(p_use_ibrd=1,p_r_ibrd,p_r_wb)</f>
        <v>0.06</v>
      </c>
      <c r="P907" s="45" t="n">
        <f aca="false">Sector_Params!$D$11</f>
        <v>30</v>
      </c>
      <c r="Q907" s="46" t="n">
        <f aca="false">M907/(1-(1+M907)^-P907)</f>
        <v>0.110528481529605</v>
      </c>
      <c r="R907" s="46" t="n">
        <f aca="false">N907/(1-(1+N907)^-P907)</f>
        <v>0.152300198192734</v>
      </c>
      <c r="S907" s="46" t="n">
        <f aca="false">O907/(1-(1+O907)^-P907)</f>
        <v>0.0726489114900472</v>
      </c>
      <c r="T907" s="37" t="n">
        <f aca="false">0*Sector_Params!$I$11</f>
        <v>0</v>
      </c>
      <c r="U907" s="37" t="n">
        <f aca="false">p_c*Sector_Params!$J$11</f>
        <v>0.129</v>
      </c>
      <c r="V907" s="37" t="n">
        <f aca="false">1000*p_r_wb/(1-(1+p_r_wb)^-Sector_Params!$D$11)/p_cpt_afolu</f>
        <v>1.45297822980094</v>
      </c>
      <c r="W907" s="16" t="n">
        <f aca="false">T907*L907</f>
        <v>0</v>
      </c>
      <c r="X907" s="16" t="n">
        <f aca="false">U907*L907</f>
        <v>0.0564835606902927</v>
      </c>
      <c r="Y907" s="16" t="n">
        <f aca="false">V907*L907</f>
        <v>0.636196775384772</v>
      </c>
      <c r="Z907" s="16" t="n">
        <f aca="false">Q907*L907</f>
        <v>0.0483956759262275</v>
      </c>
      <c r="AA907" s="16" t="n">
        <f aca="false">R907*L907</f>
        <v>0.0666857169594024</v>
      </c>
      <c r="AB907" s="16" t="n">
        <f aca="false">S907*L907</f>
        <v>0.0318098387692386</v>
      </c>
      <c r="AC907" s="16" t="n">
        <f aca="false">Z907-W907</f>
        <v>0.0483956759262275</v>
      </c>
      <c r="AD907" s="16" t="n">
        <f aca="false">AA907-W907</f>
        <v>0.0666857169594024</v>
      </c>
      <c r="AE907" s="16" t="n">
        <f aca="false">AB907-W907</f>
        <v>0.0318098387692386</v>
      </c>
      <c r="AF907" s="16" t="n">
        <f aca="false">AE907-X907</f>
        <v>-0.0246737219210541</v>
      </c>
      <c r="AG907" s="16" t="n">
        <f aca="false">AF907-p_spc_lo*Y907/1000</f>
        <v>-0.0564835606902927</v>
      </c>
      <c r="AH907" s="16" t="n">
        <f aca="false">AF907-p_spc_hi*Y907/1000</f>
        <v>-0.0882933994595313</v>
      </c>
      <c r="AI907" s="16" t="n">
        <f aca="false">Q907*J907</f>
        <v>0.201648649692615</v>
      </c>
      <c r="AJ907" s="16" t="n">
        <f aca="false">S907*J907</f>
        <v>0.132540994871828</v>
      </c>
      <c r="AK907" s="16" t="n">
        <f aca="false">T907*J907</f>
        <v>0</v>
      </c>
      <c r="AL907" s="16" t="n">
        <f aca="false">U907*J907</f>
        <v>0.235348169542886</v>
      </c>
      <c r="AM907" s="16" t="n">
        <f aca="false">AI907-AJ907</f>
        <v>0.0691076548207869</v>
      </c>
      <c r="AN907" s="16" t="n">
        <f aca="false">J907*Country_Data!$EB$133</f>
        <v>2.22605623977227</v>
      </c>
      <c r="AO907" s="16" t="n">
        <f aca="false">L907*Country_Data!$EB$133</f>
        <v>0.534253497545344</v>
      </c>
    </row>
    <row r="908" customFormat="false" ht="15" hidden="false" customHeight="false" outlineLevel="0" collapsed="false">
      <c r="A908" s="14" t="str">
        <f aca="false">Country_Data!$A$134</f>
        <v>NER</v>
      </c>
      <c r="B908" s="14" t="str">
        <f aca="false">Country_Data!$E$134</f>
        <v>EMDC</v>
      </c>
      <c r="C908" s="35" t="s">
        <v>466</v>
      </c>
      <c r="D908" s="37" t="n">
        <f aca="false">IF(Country_Data!$BZ$134="","",Country_Data!$BZ$134)</f>
        <v>1.71693372698927</v>
      </c>
      <c r="E908" s="40" t="n">
        <f aca="false">Country_Data!$BW$134</f>
        <v>55.862</v>
      </c>
      <c r="F908" s="41" t="n">
        <f aca="false">Country_Data!$BX$134</f>
        <v>0.355626364970821</v>
      </c>
      <c r="G908" s="42" t="n">
        <f aca="false">IF(D908="","",D908/SUMIFS($D$5:$D$1369,$B$5:$B$1369,B908,$C$5:$C$1369,C908))</f>
        <v>0.000196008820663408</v>
      </c>
      <c r="H908" s="42" t="n">
        <f aca="false">E908/SUMIFS($E$5:$E$1369,$B$5:$B$1369,B908,$C$5:$C$1369,C908)</f>
        <v>0.000691944657804989</v>
      </c>
      <c r="I908" s="43" t="n">
        <f aca="false">IF(G908="",H908,p_beta_alloc*G908+(1-p_beta_alloc)*H908)*F908^p_phi</f>
        <v>0.000264762938523453</v>
      </c>
      <c r="J908" s="16" t="n">
        <f aca="false">INDEX(Sector_Params!$C$16:$E$16,MATCH(B908,Sector_Params!$C$15:$E$15,0))*I908/SUMIFS($I$5:$I$1369,$B$5:$B$1369,B908,$C$5:$C$1369,C908)</f>
        <v>0.25608542645909</v>
      </c>
      <c r="K908" s="28" t="n">
        <f aca="false">INDEX(Sector_Params!$F$5:$H$5,MATCH(B908,Sector_Params!$C$15:$E$15,0))</f>
        <v>0.24</v>
      </c>
      <c r="L908" s="16" t="n">
        <f aca="false">J908*K908</f>
        <v>0.0614605023501817</v>
      </c>
      <c r="M908" s="44" t="n">
        <f aca="false">Country_Data!$DW$134+Sector_Params!$E$5</f>
        <v>0.105</v>
      </c>
      <c r="N908" s="44" t="n">
        <f aca="false">Country_Data!$DX$134+Sector_Params!$E$5</f>
        <v>0.15</v>
      </c>
      <c r="O908" s="11" t="n">
        <f aca="false">IF(p_use_ibrd=1,p_r_ibrd,p_r_wb)</f>
        <v>0.06</v>
      </c>
      <c r="P908" s="45" t="n">
        <f aca="false">Sector_Params!$D$5</f>
        <v>25</v>
      </c>
      <c r="Q908" s="46" t="n">
        <f aca="false">M908/(1-(1+M908)^-P908)</f>
        <v>0.114429319813103</v>
      </c>
      <c r="R908" s="46" t="n">
        <f aca="false">N908/(1-(1+N908)^-P908)</f>
        <v>0.154699402320206</v>
      </c>
      <c r="S908" s="46" t="n">
        <f aca="false">O908/(1-(1+O908)^-P908)</f>
        <v>0.078226718212274</v>
      </c>
      <c r="T908" s="37" t="n">
        <f aca="false">IF(AND(p_eng=1,ISNUMBER(Country_Data!$CZ$134)),Country_Data!$CZ$134,Country_Data!$CM$134)*Sector_Params!$I$5</f>
        <v>0.238670301926286</v>
      </c>
      <c r="U908" s="37" t="n">
        <f aca="false">IF(AND(p_eng=1,ISNUMBER(Country_Data!$DA$134)),Country_Data!$DA$134,Country_Data!$CN$134)*Sector_Params!$J$5</f>
        <v>5.23424201321766E-005</v>
      </c>
      <c r="V908" s="37" t="n">
        <f aca="false">IF(AND(p_eng=1,ISNUMBER(Country_Data!$DB$134)),Country_Data!$DB$134,p_a)</f>
        <v>1.81861751356386</v>
      </c>
      <c r="W908" s="16" t="n">
        <f aca="false">T908*L908</f>
        <v>0.0146687966524591</v>
      </c>
      <c r="X908" s="16" t="n">
        <f aca="false">U908*L908</f>
        <v>3.21699143554784E-006</v>
      </c>
      <c r="Y908" s="16" t="n">
        <f aca="false">V908*L908</f>
        <v>0.111773145966473</v>
      </c>
      <c r="Z908" s="16" t="n">
        <f aca="false">Q908*L908</f>
        <v>0.00703288347930293</v>
      </c>
      <c r="AA908" s="16" t="n">
        <f aca="false">R908*L908</f>
        <v>0.00950790297987275</v>
      </c>
      <c r="AB908" s="16" t="n">
        <f aca="false">S908*L908</f>
        <v>0.00480785339853247</v>
      </c>
      <c r="AC908" s="16" t="n">
        <f aca="false">Z908-W908</f>
        <v>-0.00763591317315617</v>
      </c>
      <c r="AD908" s="16" t="n">
        <f aca="false">AA908-W908</f>
        <v>-0.00516089367258635</v>
      </c>
      <c r="AE908" s="16" t="n">
        <f aca="false">AB908-W908</f>
        <v>-0.00986094325392664</v>
      </c>
      <c r="AF908" s="16" t="n">
        <f aca="false">AE908-X908</f>
        <v>-0.00986416024536219</v>
      </c>
      <c r="AG908" s="16" t="n">
        <f aca="false">AF908-p_spc_lo*Y908/1000</f>
        <v>-0.0154528175436858</v>
      </c>
      <c r="AH908" s="16" t="n">
        <f aca="false">AF908-p_spc_hi*Y908/1000</f>
        <v>-0.0210414748420095</v>
      </c>
      <c r="AI908" s="16" t="n">
        <f aca="false">Q908*J908</f>
        <v>0.0293036811637622</v>
      </c>
      <c r="AJ908" s="16" t="n">
        <f aca="false">S908*J908</f>
        <v>0.0200327224938853</v>
      </c>
      <c r="AK908" s="16" t="n">
        <f aca="false">T908*J908</f>
        <v>0.0611199860519129</v>
      </c>
      <c r="AL908" s="16" t="n">
        <f aca="false">U908*J908</f>
        <v>1.34041309814493E-005</v>
      </c>
      <c r="AM908" s="16" t="n">
        <f aca="false">AI908-AJ908</f>
        <v>0.00927095866987694</v>
      </c>
      <c r="AN908" s="16" t="n">
        <f aca="false">J908*Country_Data!$EB$134</f>
        <v>0.312463923446983</v>
      </c>
      <c r="AO908" s="16" t="n">
        <f aca="false">L908*Country_Data!$EB$134</f>
        <v>0.074991341627276</v>
      </c>
    </row>
    <row r="909" customFormat="false" ht="15" hidden="false" customHeight="false" outlineLevel="0" collapsed="false">
      <c r="A909" s="14" t="str">
        <f aca="false">Country_Data!$A$134</f>
        <v>NER</v>
      </c>
      <c r="B909" s="14" t="str">
        <f aca="false">Country_Data!$E$134</f>
        <v>EMDC</v>
      </c>
      <c r="C909" s="35" t="s">
        <v>470</v>
      </c>
      <c r="D909" s="37" t="n">
        <f aca="false">IF(Country_Data!$BZ$134="","",Country_Data!$BZ$134)</f>
        <v>1.71693372698927</v>
      </c>
      <c r="E909" s="40" t="n">
        <f aca="false">Country_Data!$BW$134</f>
        <v>55.862</v>
      </c>
      <c r="F909" s="41" t="n">
        <f aca="false">Country_Data!$BX$134</f>
        <v>0.355626364970821</v>
      </c>
      <c r="G909" s="42" t="n">
        <f aca="false">IF(D909="","",D909/SUMIFS($D$5:$D$1369,$B$5:$B$1369,B909,$C$5:$C$1369,C909))</f>
        <v>0.000196008820663408</v>
      </c>
      <c r="H909" s="42" t="n">
        <f aca="false">E909/SUMIFS($E$5:$E$1369,$B$5:$B$1369,B909,$C$5:$C$1369,C909)</f>
        <v>0.000691944657804989</v>
      </c>
      <c r="I909" s="43" t="n">
        <f aca="false">IF(G909="",H909,p_beta_alloc*G909+(1-p_beta_alloc)*H909)*F909^p_phi</f>
        <v>0.000264762938523453</v>
      </c>
      <c r="J909" s="16" t="n">
        <f aca="false">INDEX(Sector_Params!$C$17:$E$17,MATCH(B909,Sector_Params!$C$15:$E$15,0))*I909/SUMIFS($I$5:$I$1369,$B$5:$B$1369,B909,$C$5:$C$1369,C909)</f>
        <v>0.175601435286233</v>
      </c>
      <c r="K909" s="28" t="n">
        <f aca="false">INDEX(Sector_Params!$F$6:$H$6,MATCH(B909,Sector_Params!$C$15:$E$15,0))</f>
        <v>0.24</v>
      </c>
      <c r="L909" s="16" t="n">
        <f aca="false">J909*K909</f>
        <v>0.042144344468696</v>
      </c>
      <c r="M909" s="44" t="n">
        <f aca="false">Country_Data!$DW$134+Sector_Params!$E$6</f>
        <v>0.105</v>
      </c>
      <c r="N909" s="44" t="n">
        <f aca="false">Country_Data!$DX$134+Sector_Params!$E$6</f>
        <v>0.15</v>
      </c>
      <c r="O909" s="11" t="n">
        <f aca="false">IF(p_use_ibrd=1,p_r_ibrd,p_r_wb)</f>
        <v>0.06</v>
      </c>
      <c r="P909" s="45" t="n">
        <f aca="false">Sector_Params!$D$6</f>
        <v>40</v>
      </c>
      <c r="Q909" s="46" t="n">
        <f aca="false">M909/(1-(1+M909)^-P909)</f>
        <v>0.10697140835497</v>
      </c>
      <c r="R909" s="46" t="n">
        <f aca="false">N909/(1-(1+N909)^-P909)</f>
        <v>0.150562085013545</v>
      </c>
      <c r="S909" s="46" t="n">
        <f aca="false">O909/(1-(1+O909)^-P909)</f>
        <v>0.0664615359206755</v>
      </c>
      <c r="T909" s="37" t="n">
        <f aca="false">p_grid_credit*IF(AND(p_eng=1,ISNUMBER(Country_Data!$CZ$134)),Country_Data!$CZ$134,Country_Data!$CM$134)*Sector_Params!$I$6</f>
        <v>0</v>
      </c>
      <c r="U909" s="37" t="n">
        <f aca="false">p_grid_credit*IF(AND(p_eng=1,ISNUMBER(Country_Data!$DA$134)),Country_Data!$DA$134,Country_Data!$CN$134)*Sector_Params!$J$6</f>
        <v>0</v>
      </c>
      <c r="V909" s="37" t="n">
        <f aca="false">p_grid_credit*IF(AND(p_eng=1,ISNUMBER(Country_Data!$DB$134)),Country_Data!$DB$134,p_a)</f>
        <v>0</v>
      </c>
      <c r="W909" s="16" t="n">
        <f aca="false">T909*L909</f>
        <v>0</v>
      </c>
      <c r="X909" s="16" t="n">
        <f aca="false">U909*L909</f>
        <v>0</v>
      </c>
      <c r="Y909" s="16" t="n">
        <f aca="false">V909*L909</f>
        <v>0</v>
      </c>
      <c r="Z909" s="16" t="n">
        <f aca="false">Q909*L909</f>
        <v>0.00450823988201342</v>
      </c>
      <c r="AA909" s="16" t="n">
        <f aca="false">R909*L909</f>
        <v>0.00634534037473594</v>
      </c>
      <c r="AB909" s="16" t="n">
        <f aca="false">S909*L909</f>
        <v>0.00280097786375956</v>
      </c>
      <c r="AC909" s="16" t="n">
        <f aca="false">Z909-W909</f>
        <v>0.00450823988201342</v>
      </c>
      <c r="AD909" s="16" t="n">
        <f aca="false">AA909-W909</f>
        <v>0.00634534037473594</v>
      </c>
      <c r="AE909" s="16" t="n">
        <f aca="false">AB909-W909</f>
        <v>0.00280097786375956</v>
      </c>
      <c r="AF909" s="16" t="n">
        <f aca="false">AE909-X909</f>
        <v>0.00280097786375956</v>
      </c>
      <c r="AG909" s="16" t="n">
        <f aca="false">AF909-p_spc_lo*Y909/1000</f>
        <v>0.00280097786375956</v>
      </c>
      <c r="AH909" s="16" t="n">
        <f aca="false">AF909-p_spc_hi*Y909/1000</f>
        <v>0.00280097786375956</v>
      </c>
      <c r="AI909" s="16" t="n">
        <f aca="false">Q909*J909</f>
        <v>0.0187843328417226</v>
      </c>
      <c r="AJ909" s="16" t="n">
        <f aca="false">S909*J909</f>
        <v>0.0116707410989982</v>
      </c>
      <c r="AK909" s="16" t="n">
        <f aca="false">T909*J909</f>
        <v>0</v>
      </c>
      <c r="AL909" s="16" t="n">
        <f aca="false">U909*J909</f>
        <v>0</v>
      </c>
      <c r="AM909" s="16" t="n">
        <f aca="false">AI909-AJ909</f>
        <v>0.0071135917427244</v>
      </c>
      <c r="AN909" s="16" t="n">
        <f aca="false">J909*Country_Data!$EB$134</f>
        <v>0.214260976077931</v>
      </c>
      <c r="AO909" s="16" t="n">
        <f aca="false">L909*Country_Data!$EB$134</f>
        <v>0.0514226342587035</v>
      </c>
    </row>
    <row r="910" customFormat="false" ht="15" hidden="false" customHeight="false" outlineLevel="0" collapsed="false">
      <c r="A910" s="14" t="str">
        <f aca="false">Country_Data!$A$134</f>
        <v>NER</v>
      </c>
      <c r="B910" s="14" t="str">
        <f aca="false">Country_Data!$E$134</f>
        <v>EMDC</v>
      </c>
      <c r="C910" s="35" t="s">
        <v>473</v>
      </c>
      <c r="D910" s="37" t="n">
        <f aca="false">IF(Country_Data!$CA$134="","",Country_Data!$CA$134)</f>
        <v>0.0207468544579675</v>
      </c>
      <c r="E910" s="40" t="n">
        <f aca="false">Country_Data!$BW$134</f>
        <v>55.862</v>
      </c>
      <c r="F910" s="41" t="n">
        <f aca="false">Country_Data!$BX$134</f>
        <v>0.355626364970821</v>
      </c>
      <c r="G910" s="42" t="n">
        <f aca="false">IF(D910="","",D910/SUMIFS($D$5:$D$1369,$B$5:$B$1369,B910,$C$5:$C$1369,C910))</f>
        <v>0.000479300609984286</v>
      </c>
      <c r="H910" s="42" t="n">
        <f aca="false">E910/SUMIFS($E$5:$E$1369,$B$5:$B$1369,B910,$C$5:$C$1369,C910)</f>
        <v>0.000691944657804989</v>
      </c>
      <c r="I910" s="43" t="n">
        <f aca="false">IF(G910="",H910,p_beta_alloc*G910+(1-p_beta_alloc)*H910)*F910^p_phi</f>
        <v>0.000349232641519083</v>
      </c>
      <c r="J910" s="16" t="n">
        <f aca="false">INDEX(Sector_Params!$C$18:$E$18,MATCH(B910,Sector_Params!$C$15:$E$15,0))*I910/SUMIFS($I$5:$I$1369,$B$5:$B$1369,B910,$C$5:$C$1369,C910)</f>
        <v>0.143002503433684</v>
      </c>
      <c r="K910" s="28" t="n">
        <f aca="false">INDEX(Sector_Params!$F$7:$H$7,MATCH(B910,Sector_Params!$C$15:$E$15,0))</f>
        <v>0.24</v>
      </c>
      <c r="L910" s="16" t="n">
        <f aca="false">J910*K910</f>
        <v>0.0343206008240843</v>
      </c>
      <c r="M910" s="44" t="n">
        <f aca="false">Country_Data!$DW$134+Sector_Params!$E$7</f>
        <v>0.105</v>
      </c>
      <c r="N910" s="44" t="n">
        <f aca="false">Country_Data!$DX$134+Sector_Params!$E$7</f>
        <v>0.15</v>
      </c>
      <c r="O910" s="11" t="n">
        <f aca="false">IF(p_use_ibrd=1,p_r_ibrd,p_r_wb)</f>
        <v>0.06</v>
      </c>
      <c r="P910" s="45" t="n">
        <f aca="false">Sector_Params!$D$7</f>
        <v>12</v>
      </c>
      <c r="Q910" s="46" t="n">
        <f aca="false">M910/(1-(1+M910)^-P910)</f>
        <v>0.150376745634766</v>
      </c>
      <c r="R910" s="46" t="n">
        <f aca="false">N910/(1-(1+N910)^-P910)</f>
        <v>0.18448077613084</v>
      </c>
      <c r="S910" s="46" t="n">
        <f aca="false">O910/(1-(1+O910)^-P910)</f>
        <v>0.119277029380664</v>
      </c>
      <c r="T910" s="37" t="n">
        <f aca="false">IF(AND(p_eng=1,ISNUMBER(Country_Data!$DE$134)),Country_Data!$DE$134,Country_Data!$CM$134)*Sector_Params!$I$7</f>
        <v>0.09665784</v>
      </c>
      <c r="U910" s="37" t="n">
        <f aca="false">IF(AND(p_eng=1,ISNUMBER(Country_Data!$DF$134)),Country_Data!$DF$134,Country_Data!$CN$134)*Sector_Params!$J$7</f>
        <v>1.215E-005</v>
      </c>
      <c r="V910" s="37" t="n">
        <f aca="false">IF(AND(p_eng=1,ISNUMBER(Country_Data!$DG$134)),Country_Data!$DG$134,p_a)</f>
        <v>0.106522815789474</v>
      </c>
      <c r="W910" s="16" t="n">
        <f aca="false">T910*L910</f>
        <v>0.0033173551431582</v>
      </c>
      <c r="X910" s="16" t="n">
        <f aca="false">U910*L910</f>
        <v>4.16995300012624E-007</v>
      </c>
      <c r="Y910" s="16" t="n">
        <f aca="false">V910*L910</f>
        <v>0.00365592703936798</v>
      </c>
      <c r="Z910" s="16" t="n">
        <f aca="false">Q910*L910</f>
        <v>0.00516102026015565</v>
      </c>
      <c r="AA910" s="16" t="n">
        <f aca="false">R910*L910</f>
        <v>0.0063314910773038</v>
      </c>
      <c r="AB910" s="16" t="n">
        <f aca="false">S910*L910</f>
        <v>0.00409365931285632</v>
      </c>
      <c r="AC910" s="16" t="n">
        <f aca="false">Z910-W910</f>
        <v>0.00184366511699745</v>
      </c>
      <c r="AD910" s="16" t="n">
        <f aca="false">AA910-W910</f>
        <v>0.00301413593414559</v>
      </c>
      <c r="AE910" s="16" t="n">
        <f aca="false">AB910-W910</f>
        <v>0.00077630416969812</v>
      </c>
      <c r="AF910" s="16" t="n">
        <f aca="false">AE910-X910</f>
        <v>0.000775887174398107</v>
      </c>
      <c r="AG910" s="16" t="n">
        <f aca="false">AF910-p_spc_lo*Y910/1000</f>
        <v>0.000593090822429708</v>
      </c>
      <c r="AH910" s="16" t="n">
        <f aca="false">AF910-p_spc_hi*Y910/1000</f>
        <v>0.000410294470461309</v>
      </c>
      <c r="AI910" s="16" t="n">
        <f aca="false">Q910*J910</f>
        <v>0.0215042510839819</v>
      </c>
      <c r="AJ910" s="16" t="n">
        <f aca="false">S910*J910</f>
        <v>0.017056913803568</v>
      </c>
      <c r="AK910" s="16" t="n">
        <f aca="false">T910*J910</f>
        <v>0.0138223130964925</v>
      </c>
      <c r="AL910" s="16" t="n">
        <f aca="false">U910*J910</f>
        <v>1.73748041671927E-006</v>
      </c>
      <c r="AM910" s="16" t="n">
        <f aca="false">AI910-AJ910</f>
        <v>0.00444733728041386</v>
      </c>
      <c r="AN910" s="16" t="n">
        <f aca="false">J910*Country_Data!$EB$134</f>
        <v>0.17448522511986</v>
      </c>
      <c r="AO910" s="16" t="n">
        <f aca="false">L910*Country_Data!$EB$134</f>
        <v>0.0418764540287664</v>
      </c>
    </row>
    <row r="911" customFormat="false" ht="15" hidden="false" customHeight="false" outlineLevel="0" collapsed="false">
      <c r="A911" s="14" t="str">
        <f aca="false">Country_Data!$A$134</f>
        <v>NER</v>
      </c>
      <c r="B911" s="14" t="str">
        <f aca="false">Country_Data!$E$134</f>
        <v>EMDC</v>
      </c>
      <c r="C911" s="35" t="s">
        <v>477</v>
      </c>
      <c r="D911" s="37" t="n">
        <f aca="false">IF(Country_Data!$CB$134="","",Country_Data!$CB$134)</f>
        <v>0.00776955931774556</v>
      </c>
      <c r="E911" s="40" t="n">
        <f aca="false">Country_Data!$BW$134</f>
        <v>55.862</v>
      </c>
      <c r="F911" s="41" t="n">
        <f aca="false">Country_Data!$BX$134</f>
        <v>0.355626364970821</v>
      </c>
      <c r="G911" s="42" t="n">
        <f aca="false">IF(D911="","",D911/SUMIFS($D$5:$D$1369,$B$5:$B$1369,B911,$C$5:$C$1369,C911))</f>
        <v>0.000244997863599099</v>
      </c>
      <c r="H911" s="42" t="n">
        <f aca="false">E911/SUMIFS($E$5:$E$1369,$B$5:$B$1369,B911,$C$5:$C$1369,C911)</f>
        <v>0.000691944657804989</v>
      </c>
      <c r="I911" s="43" t="n">
        <f aca="false">IF(G911="",H911,p_beta_alloc*G911+(1-p_beta_alloc)*H911)*F911^p_phi</f>
        <v>0.000279370103513084</v>
      </c>
      <c r="J911" s="16" t="n">
        <f aca="false">INDEX(Sector_Params!$C$19:$E$19,MATCH(B911,Sector_Params!$C$15:$E$15,0))*I911/SUMIFS($I$5:$I$1369,$B$5:$B$1369,B911,$C$5:$C$1369,C911)</f>
        <v>0.089918786908315</v>
      </c>
      <c r="K911" s="28" t="n">
        <f aca="false">INDEX(Sector_Params!$F$8:$H$8,MATCH(B911,Sector_Params!$C$15:$E$15,0))</f>
        <v>0.24</v>
      </c>
      <c r="L911" s="16" t="n">
        <f aca="false">J911*K911</f>
        <v>0.0215805088579956</v>
      </c>
      <c r="M911" s="44" t="n">
        <f aca="false">Country_Data!$DW$134+Sector_Params!$E$8</f>
        <v>0.105</v>
      </c>
      <c r="N911" s="44" t="n">
        <f aca="false">Country_Data!$DX$134+Sector_Params!$E$8</f>
        <v>0.15</v>
      </c>
      <c r="O911" s="11" t="n">
        <f aca="false">IF(p_use_ibrd=1,p_r_ibrd,p_r_wb)</f>
        <v>0.06</v>
      </c>
      <c r="P911" s="45" t="n">
        <f aca="false">Sector_Params!$D$8</f>
        <v>25</v>
      </c>
      <c r="Q911" s="46" t="n">
        <f aca="false">M911/(1-(1+M911)^-P911)</f>
        <v>0.114429319813103</v>
      </c>
      <c r="R911" s="46" t="n">
        <f aca="false">N911/(1-(1+N911)^-P911)</f>
        <v>0.154699402320206</v>
      </c>
      <c r="S911" s="46" t="n">
        <f aca="false">O911/(1-(1+O911)^-P911)</f>
        <v>0.078226718212274</v>
      </c>
      <c r="T911" s="37" t="n">
        <f aca="false">Country_Data!$CM$134*Sector_Params!$I$8</f>
        <v>0.199425946628359</v>
      </c>
      <c r="U911" s="37" t="n">
        <f aca="false">Country_Data!$CN$134*Sector_Params!$J$8</f>
        <v>0.03225</v>
      </c>
      <c r="V911" s="37" t="n">
        <f aca="false">p_a</f>
        <v>0.35</v>
      </c>
      <c r="W911" s="16" t="n">
        <f aca="false">T911*L911</f>
        <v>0.00430371340772746</v>
      </c>
      <c r="X911" s="16" t="n">
        <f aca="false">U911*L911</f>
        <v>0.000695971410670358</v>
      </c>
      <c r="Y911" s="16" t="n">
        <f aca="false">V911*L911</f>
        <v>0.00755317810029846</v>
      </c>
      <c r="Z911" s="16" t="n">
        <f aca="false">Q911*L911</f>
        <v>0.00246944294984109</v>
      </c>
      <c r="AA911" s="16" t="n">
        <f aca="false">R911*L911</f>
        <v>0.00333849182209784</v>
      </c>
      <c r="AB911" s="16" t="n">
        <f aca="false">S911*L911</f>
        <v>0.0016881723853119</v>
      </c>
      <c r="AC911" s="16" t="n">
        <f aca="false">Z911-W911</f>
        <v>-0.00183427045788638</v>
      </c>
      <c r="AD911" s="16" t="n">
        <f aca="false">AA911-W911</f>
        <v>-0.000965221585629624</v>
      </c>
      <c r="AE911" s="16" t="n">
        <f aca="false">AB911-W911</f>
        <v>-0.00261554102241556</v>
      </c>
      <c r="AF911" s="16" t="n">
        <f aca="false">AE911-X911</f>
        <v>-0.00331151243308592</v>
      </c>
      <c r="AG911" s="16" t="n">
        <f aca="false">AF911-p_spc_lo*Y911/1000</f>
        <v>-0.00368917133810084</v>
      </c>
      <c r="AH911" s="16" t="n">
        <f aca="false">AF911-p_spc_hi*Y911/1000</f>
        <v>-0.00406683024311576</v>
      </c>
      <c r="AI911" s="16" t="n">
        <f aca="false">Q911*J911</f>
        <v>0.0102893456243379</v>
      </c>
      <c r="AJ911" s="16" t="n">
        <f aca="false">S911*J911</f>
        <v>0.00703405160546626</v>
      </c>
      <c r="AK911" s="16" t="n">
        <f aca="false">T911*J911</f>
        <v>0.0179321391988644</v>
      </c>
      <c r="AL911" s="16" t="n">
        <f aca="false">U911*J911</f>
        <v>0.00289988087779316</v>
      </c>
      <c r="AM911" s="16" t="n">
        <f aca="false">AI911-AJ911</f>
        <v>0.0032552940188716</v>
      </c>
      <c r="AN911" s="16" t="n">
        <f aca="false">J911*Country_Data!$EB$134</f>
        <v>0.109714860925339</v>
      </c>
      <c r="AO911" s="16" t="n">
        <f aca="false">L911*Country_Data!$EB$134</f>
        <v>0.0263315666220814</v>
      </c>
    </row>
    <row r="912" customFormat="false" ht="15" hidden="false" customHeight="false" outlineLevel="0" collapsed="false">
      <c r="A912" s="14" t="str">
        <f aca="false">Country_Data!$A$134</f>
        <v>NER</v>
      </c>
      <c r="B912" s="14" t="str">
        <f aca="false">Country_Data!$E$134</f>
        <v>EMDC</v>
      </c>
      <c r="C912" s="35" t="s">
        <v>481</v>
      </c>
      <c r="D912" s="37" t="n">
        <f aca="false">IF(Country_Data!$CC$134="","",Country_Data!$CC$134)</f>
        <v>0.0053604869642786</v>
      </c>
      <c r="E912" s="40" t="n">
        <f aca="false">Country_Data!$BW$134</f>
        <v>55.862</v>
      </c>
      <c r="F912" s="41" t="n">
        <f aca="false">Country_Data!$BX$134</f>
        <v>0.355626364970821</v>
      </c>
      <c r="G912" s="42" t="n">
        <f aca="false">IF(D912="","",D912/SUMIFS($D$5:$D$1369,$B$5:$B$1369,B912,$C$5:$C$1369,C912))</f>
        <v>7.65704464602225E-005</v>
      </c>
      <c r="H912" s="42" t="n">
        <f aca="false">E912/SUMIFS($E$5:$E$1369,$B$5:$B$1369,B912,$C$5:$C$1369,C912)</f>
        <v>0.000691944657804989</v>
      </c>
      <c r="I912" s="43" t="n">
        <f aca="false">IF(G912="",H912,p_beta_alloc*G912+(1-p_beta_alloc)*H912)*F912^p_phi</f>
        <v>0.00022914974966468</v>
      </c>
      <c r="J912" s="16" t="n">
        <f aca="false">INDEX(Sector_Params!$C$20:$E$20,MATCH(B912,Sector_Params!$C$15:$E$15,0))*I912/SUMIFS($I$5:$I$1369,$B$5:$B$1369,B912,$C$5:$C$1369,C912)</f>
        <v>0.041824443859739</v>
      </c>
      <c r="K912" s="28" t="n">
        <f aca="false">INDEX(Sector_Params!$F$9:$H$9,MATCH(B912,Sector_Params!$C$15:$E$15,0))</f>
        <v>0.24</v>
      </c>
      <c r="L912" s="16" t="n">
        <f aca="false">J912*K912</f>
        <v>0.0100378665263374</v>
      </c>
      <c r="M912" s="44" t="n">
        <f aca="false">Country_Data!$DW$134+Sector_Params!$E$9</f>
        <v>0.105</v>
      </c>
      <c r="N912" s="44" t="n">
        <f aca="false">Country_Data!$DX$134+Sector_Params!$E$9</f>
        <v>0.15</v>
      </c>
      <c r="O912" s="11" t="n">
        <f aca="false">IF(p_use_ibrd=1,p_r_ibrd,p_r_wb)</f>
        <v>0.06</v>
      </c>
      <c r="P912" s="45" t="n">
        <f aca="false">Sector_Params!$D$9</f>
        <v>25</v>
      </c>
      <c r="Q912" s="46" t="n">
        <f aca="false">M912/(1-(1+M912)^-P912)</f>
        <v>0.114429319813103</v>
      </c>
      <c r="R912" s="46" t="n">
        <f aca="false">N912/(1-(1+N912)^-P912)</f>
        <v>0.154699402320206</v>
      </c>
      <c r="S912" s="46" t="n">
        <f aca="false">O912/(1-(1+O912)^-P912)</f>
        <v>0.078226718212274</v>
      </c>
      <c r="T912" s="37" t="n">
        <f aca="false">Country_Data!$CM$134*Sector_Params!$I$9</f>
        <v>0.199425946628359</v>
      </c>
      <c r="U912" s="37" t="n">
        <f aca="false">Country_Data!$CN$134*Sector_Params!$J$9</f>
        <v>0.03225</v>
      </c>
      <c r="V912" s="37" t="n">
        <f aca="false">p_a</f>
        <v>0.35</v>
      </c>
      <c r="W912" s="16" t="n">
        <f aca="false">T912*L912</f>
        <v>0.00200181103414395</v>
      </c>
      <c r="X912" s="16" t="n">
        <f aca="false">U912*L912</f>
        <v>0.00032372119547438</v>
      </c>
      <c r="Y912" s="16" t="n">
        <f aca="false">V912*L912</f>
        <v>0.00351325328421807</v>
      </c>
      <c r="Z912" s="16" t="n">
        <f aca="false">Q912*L912</f>
        <v>0.0011486262389835</v>
      </c>
      <c r="AA912" s="16" t="n">
        <f aca="false">R912*L912</f>
        <v>0.0015528519521944</v>
      </c>
      <c r="AB912" s="16" t="n">
        <f aca="false">S912*L912</f>
        <v>0.000785229356208209</v>
      </c>
      <c r="AC912" s="16" t="n">
        <f aca="false">Z912-W912</f>
        <v>-0.000853184795160445</v>
      </c>
      <c r="AD912" s="16" t="n">
        <f aca="false">AA912-W912</f>
        <v>-0.000448959081949552</v>
      </c>
      <c r="AE912" s="16" t="n">
        <f aca="false">AB912-W912</f>
        <v>-0.00121658167793574</v>
      </c>
      <c r="AF912" s="16" t="n">
        <f aca="false">AE912-X912</f>
        <v>-0.00154030287341012</v>
      </c>
      <c r="AG912" s="16" t="n">
        <f aca="false">AF912-p_spc_lo*Y912/1000</f>
        <v>-0.00171596553762102</v>
      </c>
      <c r="AH912" s="16" t="n">
        <f aca="false">AF912-p_spc_hi*Y912/1000</f>
        <v>-0.00189162820183192</v>
      </c>
      <c r="AI912" s="16" t="n">
        <f aca="false">Q912*J912</f>
        <v>0.00478594266243126</v>
      </c>
      <c r="AJ912" s="16" t="n">
        <f aca="false">S912*J912</f>
        <v>0.00327178898420087</v>
      </c>
      <c r="AK912" s="16" t="n">
        <f aca="false">T912*J912</f>
        <v>0.00834087930893311</v>
      </c>
      <c r="AL912" s="16" t="n">
        <f aca="false">U912*J912</f>
        <v>0.00134883831447658</v>
      </c>
      <c r="AM912" s="16" t="n">
        <f aca="false">AI912-AJ912</f>
        <v>0.00151415367823038</v>
      </c>
      <c r="AN912" s="16" t="n">
        <f aca="false">J912*Country_Data!$EB$134</f>
        <v>0.0510323059187823</v>
      </c>
      <c r="AO912" s="16" t="n">
        <f aca="false">L912*Country_Data!$EB$134</f>
        <v>0.0122477534205077</v>
      </c>
    </row>
    <row r="913" customFormat="false" ht="15" hidden="false" customHeight="false" outlineLevel="0" collapsed="false">
      <c r="A913" s="14" t="str">
        <f aca="false">Country_Data!$A$134</f>
        <v>NER</v>
      </c>
      <c r="B913" s="14" t="str">
        <f aca="false">Country_Data!$E$134</f>
        <v>EMDC</v>
      </c>
      <c r="C913" s="35" t="s">
        <v>484</v>
      </c>
      <c r="D913" s="37" t="n">
        <f aca="false">IF(Country_Data!$CD$134="","",Country_Data!$CD$134)</f>
        <v>0.0374165555637824</v>
      </c>
      <c r="E913" s="40" t="n">
        <f aca="false">Country_Data!$BW$134</f>
        <v>55.862</v>
      </c>
      <c r="F913" s="41" t="n">
        <f aca="false">Country_Data!$BX$134</f>
        <v>0.355626364970821</v>
      </c>
      <c r="G913" s="42" t="n">
        <f aca="false">IF(D913="","",D913/SUMIFS($D$5:$D$1369,$B$5:$B$1369,B913,$C$5:$C$1369,C913))</f>
        <v>0.000208947715259129</v>
      </c>
      <c r="H913" s="42" t="n">
        <f aca="false">E913/SUMIFS($E$5:$E$1369,$B$5:$B$1369,B913,$C$5:$C$1369,C913)</f>
        <v>0.000691944657804989</v>
      </c>
      <c r="I913" s="43" t="n">
        <f aca="false">IF(G913="",H913,p_beta_alloc*G913+(1-p_beta_alloc)*H913)*F913^p_phi</f>
        <v>0.000268620955680294</v>
      </c>
      <c r="J913" s="16" t="n">
        <f aca="false">INDEX(Sector_Params!$C$21:$E$21,MATCH(B913,Sector_Params!$C$15:$E$15,0))*I913/SUMIFS($I$5:$I$1369,$B$5:$B$1369,B913,$C$5:$C$1369,C913)</f>
        <v>0.0595773950894411</v>
      </c>
      <c r="K913" s="28" t="n">
        <f aca="false">INDEX(Sector_Params!$F$10:$H$10,MATCH(B913,Sector_Params!$C$15:$E$15,0))</f>
        <v>0.24</v>
      </c>
      <c r="L913" s="16" t="n">
        <f aca="false">J913*K913</f>
        <v>0.0142985748214659</v>
      </c>
      <c r="M913" s="44" t="n">
        <f aca="false">Country_Data!$DW$134+Sector_Params!$E$10</f>
        <v>0.105</v>
      </c>
      <c r="N913" s="44" t="n">
        <f aca="false">Country_Data!$DX$134+Sector_Params!$E$10</f>
        <v>0.15</v>
      </c>
      <c r="O913" s="11" t="n">
        <f aca="false">IF(p_use_ibrd=1,p_r_ibrd,p_r_wb)</f>
        <v>0.06</v>
      </c>
      <c r="P913" s="45" t="n">
        <f aca="false">Sector_Params!$D$10</f>
        <v>20</v>
      </c>
      <c r="Q913" s="46" t="n">
        <f aca="false">M913/(1-(1+M913)^-P913)</f>
        <v>0.121493265267016</v>
      </c>
      <c r="R913" s="46" t="n">
        <f aca="false">N913/(1-(1+N913)^-P913)</f>
        <v>0.159761470405744</v>
      </c>
      <c r="S913" s="46" t="n">
        <f aca="false">O913/(1-(1+O913)^-P913)</f>
        <v>0.0871845569768514</v>
      </c>
      <c r="T913" s="37" t="n">
        <f aca="false">0*Sector_Params!$I$10</f>
        <v>0</v>
      </c>
      <c r="U913" s="37" t="n">
        <f aca="false">0*Sector_Params!$J$10</f>
        <v>0</v>
      </c>
      <c r="V913" s="37" t="n">
        <f aca="false">1000*p_r_wb/(1-(1+p_r_wb)^-Sector_Params!$D$10)/p_cpt_fuel</f>
        <v>0.871845569768514</v>
      </c>
      <c r="W913" s="16" t="n">
        <f aca="false">T913*L913</f>
        <v>0</v>
      </c>
      <c r="X913" s="16" t="n">
        <f aca="false">U913*L913</f>
        <v>0</v>
      </c>
      <c r="Y913" s="16" t="n">
        <f aca="false">V913*L913</f>
        <v>0.0124661491120986</v>
      </c>
      <c r="Z913" s="16" t="n">
        <f aca="false">Q913*L913</f>
        <v>0.00173718054372463</v>
      </c>
      <c r="AA913" s="16" t="n">
        <f aca="false">R913*L913</f>
        <v>0.00228436133818393</v>
      </c>
      <c r="AB913" s="16" t="n">
        <f aca="false">S913*L913</f>
        <v>0.00124661491120986</v>
      </c>
      <c r="AC913" s="16" t="n">
        <f aca="false">Z913-W913</f>
        <v>0.00173718054372463</v>
      </c>
      <c r="AD913" s="16" t="n">
        <f aca="false">AA913-W913</f>
        <v>0.00228436133818393</v>
      </c>
      <c r="AE913" s="16" t="n">
        <f aca="false">AB913-W913</f>
        <v>0.00124661491120986</v>
      </c>
      <c r="AF913" s="16" t="n">
        <f aca="false">AE913-X913</f>
        <v>0.00124661491120986</v>
      </c>
      <c r="AG913" s="16" t="n">
        <f aca="false">AF913-p_spc_lo*Y913/1000</f>
        <v>0.000623307455604932</v>
      </c>
      <c r="AH913" s="16" t="n">
        <f aca="false">AF913-p_spc_hi*Y913/1000</f>
        <v>0</v>
      </c>
      <c r="AI913" s="16" t="n">
        <f aca="false">Q913*J913</f>
        <v>0.0072382522655193</v>
      </c>
      <c r="AJ913" s="16" t="n">
        <f aca="false">S913*J913</f>
        <v>0.00519422879670777</v>
      </c>
      <c r="AK913" s="16" t="n">
        <f aca="false">T913*J913</f>
        <v>0</v>
      </c>
      <c r="AL913" s="16" t="n">
        <f aca="false">U913*J913</f>
        <v>0</v>
      </c>
      <c r="AM913" s="16" t="n">
        <f aca="false">AI913-AJ913</f>
        <v>0.00204402346881153</v>
      </c>
      <c r="AN913" s="16" t="n">
        <f aca="false">J913*Country_Data!$EB$134</f>
        <v>0.0726936588145584</v>
      </c>
      <c r="AO913" s="16" t="n">
        <f aca="false">L913*Country_Data!$EB$134</f>
        <v>0.017446478115494</v>
      </c>
    </row>
    <row r="914" customFormat="false" ht="15" hidden="false" customHeight="false" outlineLevel="0" collapsed="false">
      <c r="A914" s="14" t="str">
        <f aca="false">Country_Data!$A$134</f>
        <v>NER</v>
      </c>
      <c r="B914" s="14" t="str">
        <f aca="false">Country_Data!$E$134</f>
        <v>EMDC</v>
      </c>
      <c r="C914" s="35" t="s">
        <v>488</v>
      </c>
      <c r="D914" s="37" t="n">
        <f aca="false">IF(Country_Data!$CE$134="","",Country_Data!$CE$134)</f>
        <v>43.317</v>
      </c>
      <c r="E914" s="40" t="n">
        <f aca="false">Country_Data!$BW$134</f>
        <v>55.862</v>
      </c>
      <c r="F914" s="41" t="n">
        <f aca="false">Country_Data!$BX$134</f>
        <v>0.355626364970821</v>
      </c>
      <c r="G914" s="42" t="n">
        <f aca="false">IF(D914="","",D914/SUMIFS($D$5:$D$1369,$B$5:$B$1369,B914,$C$5:$C$1369,C914))</f>
        <v>0.00354937803739888</v>
      </c>
      <c r="H914" s="42" t="n">
        <f aca="false">E914/SUMIFS($E$5:$E$1369,$B$5:$B$1369,B914,$C$5:$C$1369,C914)</f>
        <v>0.000691944657804989</v>
      </c>
      <c r="I914" s="43" t="n">
        <f aca="false">IF(G914="",H914,p_beta_alloc*G914+(1-p_beta_alloc)*H914)*F914^p_phi</f>
        <v>0.00126464402385733</v>
      </c>
      <c r="J914" s="16" t="n">
        <f aca="false">INDEX(Sector_Params!$C$22:$E$22,MATCH(B914,Sector_Params!$C$15:$E$15,0))*I914/SUMIFS($I$5:$I$1369,$B$5:$B$1369,B914,$C$5:$C$1369,C914)</f>
        <v>0.762338025692098</v>
      </c>
      <c r="K914" s="28" t="n">
        <f aca="false">INDEX(Sector_Params!$F$11:$H$11,MATCH(B914,Sector_Params!$C$15:$E$15,0))</f>
        <v>0.24</v>
      </c>
      <c r="L914" s="16" t="n">
        <f aca="false">J914*K914</f>
        <v>0.182961126166103</v>
      </c>
      <c r="M914" s="44" t="n">
        <f aca="false">Country_Data!$DW$134+Sector_Params!$E$11</f>
        <v>0.105</v>
      </c>
      <c r="N914" s="44" t="n">
        <f aca="false">Country_Data!$DX$134+Sector_Params!$E$11</f>
        <v>0.15</v>
      </c>
      <c r="O914" s="11" t="n">
        <f aca="false">IF(p_use_ibrd=1,p_r_ibrd,p_r_wb)</f>
        <v>0.06</v>
      </c>
      <c r="P914" s="45" t="n">
        <f aca="false">Sector_Params!$D$11</f>
        <v>30</v>
      </c>
      <c r="Q914" s="46" t="n">
        <f aca="false">M914/(1-(1+M914)^-P914)</f>
        <v>0.110528481529605</v>
      </c>
      <c r="R914" s="46" t="n">
        <f aca="false">N914/(1-(1+N914)^-P914)</f>
        <v>0.152300198192734</v>
      </c>
      <c r="S914" s="46" t="n">
        <f aca="false">O914/(1-(1+O914)^-P914)</f>
        <v>0.0726489114900472</v>
      </c>
      <c r="T914" s="37" t="n">
        <f aca="false">0*Sector_Params!$I$11</f>
        <v>0</v>
      </c>
      <c r="U914" s="37" t="n">
        <f aca="false">p_c*Sector_Params!$J$11</f>
        <v>0.129</v>
      </c>
      <c r="V914" s="37" t="n">
        <f aca="false">1000*p_r_wb/(1-(1+p_r_wb)^-Sector_Params!$D$11)/p_cpt_afolu</f>
        <v>1.45297822980094</v>
      </c>
      <c r="W914" s="16" t="n">
        <f aca="false">T914*L914</f>
        <v>0</v>
      </c>
      <c r="X914" s="16" t="n">
        <f aca="false">U914*L914</f>
        <v>0.0236019852754273</v>
      </c>
      <c r="Y914" s="16" t="n">
        <f aca="false">V914*L914</f>
        <v>0.265838533219212</v>
      </c>
      <c r="Z914" s="16" t="n">
        <f aca="false">Q914*L914</f>
        <v>0.0202224154540859</v>
      </c>
      <c r="AA914" s="16" t="n">
        <f aca="false">R914*L914</f>
        <v>0.0278650157766634</v>
      </c>
      <c r="AB914" s="16" t="n">
        <f aca="false">S914*L914</f>
        <v>0.0132919266609606</v>
      </c>
      <c r="AC914" s="16" t="n">
        <f aca="false">Z914-W914</f>
        <v>0.0202224154540859</v>
      </c>
      <c r="AD914" s="16" t="n">
        <f aca="false">AA914-W914</f>
        <v>0.0278650157766634</v>
      </c>
      <c r="AE914" s="16" t="n">
        <f aca="false">AB914-W914</f>
        <v>0.0132919266609606</v>
      </c>
      <c r="AF914" s="16" t="n">
        <f aca="false">AE914-X914</f>
        <v>-0.0103100586144667</v>
      </c>
      <c r="AG914" s="16" t="n">
        <f aca="false">AF914-p_spc_lo*Y914/1000</f>
        <v>-0.0236019852754273</v>
      </c>
      <c r="AH914" s="16" t="n">
        <f aca="false">AF914-p_spc_hi*Y914/1000</f>
        <v>-0.036893911936388</v>
      </c>
      <c r="AI914" s="16" t="n">
        <f aca="false">Q914*J914</f>
        <v>0.0842600643920247</v>
      </c>
      <c r="AJ914" s="16" t="n">
        <f aca="false">S914*J914</f>
        <v>0.0553830277540026</v>
      </c>
      <c r="AK914" s="16" t="n">
        <f aca="false">T914*J914</f>
        <v>0</v>
      </c>
      <c r="AL914" s="16" t="n">
        <f aca="false">U914*J914</f>
        <v>0.0983416053142806</v>
      </c>
      <c r="AM914" s="16" t="n">
        <f aca="false">AI914-AJ914</f>
        <v>0.0288770366380222</v>
      </c>
      <c r="AN914" s="16" t="n">
        <f aca="false">J914*Country_Data!$EB$134</f>
        <v>0.930170583286327</v>
      </c>
      <c r="AO914" s="16" t="n">
        <f aca="false">L914*Country_Data!$EB$134</f>
        <v>0.223240939988718</v>
      </c>
    </row>
    <row r="915" customFormat="false" ht="15" hidden="false" customHeight="false" outlineLevel="0" collapsed="false">
      <c r="A915" s="14" t="str">
        <f aca="false">Country_Data!$A$135</f>
        <v>NIC</v>
      </c>
      <c r="B915" s="14" t="str">
        <f aca="false">Country_Data!$E$135</f>
        <v>EMDC</v>
      </c>
      <c r="C915" s="35" t="s">
        <v>466</v>
      </c>
      <c r="D915" s="37" t="n">
        <f aca="false">IF(Country_Data!$BZ$135="","",Country_Data!$BZ$135)</f>
        <v>5.19164442963591</v>
      </c>
      <c r="E915" s="40" t="n">
        <f aca="false">Country_Data!$BW$135</f>
        <v>60.315</v>
      </c>
      <c r="F915" s="41" t="n">
        <f aca="false">Country_Data!$BX$135</f>
        <v>0.326568846887176</v>
      </c>
      <c r="G915" s="42" t="n">
        <f aca="false">IF(D915="","",D915/SUMIFS($D$5:$D$1369,$B$5:$B$1369,B915,$C$5:$C$1369,C915))</f>
        <v>0.000592689214476038</v>
      </c>
      <c r="H915" s="42" t="n">
        <f aca="false">E915/SUMIFS($E$5:$E$1369,$B$5:$B$1369,B915,$C$5:$C$1369,C915)</f>
        <v>0.000747102539033832</v>
      </c>
      <c r="I915" s="43" t="n">
        <f aca="false">IF(G915="",H915,p_beta_alloc*G915+(1-p_beta_alloc)*H915)*F915^p_phi</f>
        <v>0.000382820054779498</v>
      </c>
      <c r="J915" s="16" t="n">
        <f aca="false">INDEX(Sector_Params!$C$16:$E$16,MATCH(B915,Sector_Params!$C$15:$E$15,0))*I915/SUMIFS($I$5:$I$1369,$B$5:$B$1369,B915,$C$5:$C$1369,C915)</f>
        <v>0.370273262307882</v>
      </c>
      <c r="K915" s="28" t="n">
        <f aca="false">INDEX(Sector_Params!$F$5:$H$5,MATCH(B915,Sector_Params!$C$15:$E$15,0))</f>
        <v>0.24</v>
      </c>
      <c r="L915" s="16" t="n">
        <f aca="false">J915*K915</f>
        <v>0.0888655829538917</v>
      </c>
      <c r="M915" s="44" t="n">
        <f aca="false">Country_Data!$DW$135+Sector_Params!$E$5</f>
        <v>0.105</v>
      </c>
      <c r="N915" s="44" t="n">
        <f aca="false">Country_Data!$DX$135+Sector_Params!$E$5</f>
        <v>0.15</v>
      </c>
      <c r="O915" s="11" t="n">
        <f aca="false">IF(p_use_ibrd=1,p_r_ibrd,p_r_wb)</f>
        <v>0.06</v>
      </c>
      <c r="P915" s="45" t="n">
        <f aca="false">Sector_Params!$D$5</f>
        <v>25</v>
      </c>
      <c r="Q915" s="46" t="n">
        <f aca="false">M915/(1-(1+M915)^-P915)</f>
        <v>0.114429319813103</v>
      </c>
      <c r="R915" s="46" t="n">
        <f aca="false">N915/(1-(1+N915)^-P915)</f>
        <v>0.154699402320206</v>
      </c>
      <c r="S915" s="46" t="n">
        <f aca="false">O915/(1-(1+O915)^-P915)</f>
        <v>0.078226718212274</v>
      </c>
      <c r="T915" s="37" t="n">
        <f aca="false">IF(AND(p_eng=1,ISNUMBER(Country_Data!$CZ$135)),Country_Data!$CZ$135,Country_Data!$CM$135)*Sector_Params!$I$5</f>
        <v>0.107303275856281</v>
      </c>
      <c r="U915" s="37" t="n">
        <f aca="false">IF(AND(p_eng=1,ISNUMBER(Country_Data!$DA$135)),Country_Data!$DA$135,Country_Data!$CN$135)*Sector_Params!$J$5</f>
        <v>0.00735287948788</v>
      </c>
      <c r="V915" s="37" t="n">
        <f aca="false">IF(AND(p_eng=1,ISNUMBER(Country_Data!$DB$135)),Country_Data!$DB$135,p_a)</f>
        <v>0.703415325273437</v>
      </c>
      <c r="W915" s="16" t="n">
        <f aca="false">T915*L915</f>
        <v>0.00953556816183069</v>
      </c>
      <c r="X915" s="16" t="n">
        <f aca="false">U915*L915</f>
        <v>0.000653417922080169</v>
      </c>
      <c r="Y915" s="16" t="n">
        <f aca="false">V915*L915</f>
        <v>0.0625094129391253</v>
      </c>
      <c r="Z915" s="16" t="n">
        <f aca="false">Q915*L915</f>
        <v>0.0101688282122087</v>
      </c>
      <c r="AA915" s="16" t="n">
        <f aca="false">R915*L915</f>
        <v>0.0137474525698038</v>
      </c>
      <c r="AB915" s="16" t="n">
        <f aca="false">S915*L915</f>
        <v>0.00695166291650354</v>
      </c>
      <c r="AC915" s="16" t="n">
        <f aca="false">Z915-W915</f>
        <v>0.000633260050378051</v>
      </c>
      <c r="AD915" s="16" t="n">
        <f aca="false">AA915-W915</f>
        <v>0.00421188440797309</v>
      </c>
      <c r="AE915" s="16" t="n">
        <f aca="false">AB915-W915</f>
        <v>-0.00258390524532715</v>
      </c>
      <c r="AF915" s="16" t="n">
        <f aca="false">AE915-X915</f>
        <v>-0.00323732316740731</v>
      </c>
      <c r="AG915" s="16" t="n">
        <f aca="false">AF915-p_spc_lo*Y915/1000</f>
        <v>-0.00636279381436358</v>
      </c>
      <c r="AH915" s="16" t="n">
        <f aca="false">AF915-p_spc_hi*Y915/1000</f>
        <v>-0.00948826446131985</v>
      </c>
      <c r="AI915" s="16" t="n">
        <f aca="false">Q915*J915</f>
        <v>0.0423701175508697</v>
      </c>
      <c r="AJ915" s="16" t="n">
        <f aca="false">S915*J915</f>
        <v>0.0289652621520981</v>
      </c>
      <c r="AK915" s="16" t="n">
        <f aca="false">T915*J915</f>
        <v>0.0397315340076279</v>
      </c>
      <c r="AL915" s="16" t="n">
        <f aca="false">U915*J915</f>
        <v>0.00272257467533404</v>
      </c>
      <c r="AM915" s="16" t="n">
        <f aca="false">AI915-AJ915</f>
        <v>0.0134048553987717</v>
      </c>
      <c r="AN915" s="16" t="n">
        <f aca="false">J915*Country_Data!$EB$135</f>
        <v>0.425053416183569</v>
      </c>
      <c r="AO915" s="16" t="n">
        <f aca="false">L915*Country_Data!$EB$135</f>
        <v>0.102012819884057</v>
      </c>
    </row>
    <row r="916" customFormat="false" ht="15" hidden="false" customHeight="false" outlineLevel="0" collapsed="false">
      <c r="A916" s="14" t="str">
        <f aca="false">Country_Data!$A$135</f>
        <v>NIC</v>
      </c>
      <c r="B916" s="14" t="str">
        <f aca="false">Country_Data!$E$135</f>
        <v>EMDC</v>
      </c>
      <c r="C916" s="35" t="s">
        <v>470</v>
      </c>
      <c r="D916" s="37" t="n">
        <f aca="false">IF(Country_Data!$BZ$135="","",Country_Data!$BZ$135)</f>
        <v>5.19164442963591</v>
      </c>
      <c r="E916" s="40" t="n">
        <f aca="false">Country_Data!$BW$135</f>
        <v>60.315</v>
      </c>
      <c r="F916" s="41" t="n">
        <f aca="false">Country_Data!$BX$135</f>
        <v>0.326568846887176</v>
      </c>
      <c r="G916" s="42" t="n">
        <f aca="false">IF(D916="","",D916/SUMIFS($D$5:$D$1369,$B$5:$B$1369,B916,$C$5:$C$1369,C916))</f>
        <v>0.000592689214476038</v>
      </c>
      <c r="H916" s="42" t="n">
        <f aca="false">E916/SUMIFS($E$5:$E$1369,$B$5:$B$1369,B916,$C$5:$C$1369,C916)</f>
        <v>0.000747102539033832</v>
      </c>
      <c r="I916" s="43" t="n">
        <f aca="false">IF(G916="",H916,p_beta_alloc*G916+(1-p_beta_alloc)*H916)*F916^p_phi</f>
        <v>0.000382820054779498</v>
      </c>
      <c r="J916" s="16" t="n">
        <f aca="false">INDEX(Sector_Params!$C$17:$E$17,MATCH(B916,Sector_Params!$C$15:$E$15,0))*I916/SUMIFS($I$5:$I$1369,$B$5:$B$1369,B916,$C$5:$C$1369,C916)</f>
        <v>0.253901665582548</v>
      </c>
      <c r="K916" s="28" t="n">
        <f aca="false">INDEX(Sector_Params!$F$6:$H$6,MATCH(B916,Sector_Params!$C$15:$E$15,0))</f>
        <v>0.24</v>
      </c>
      <c r="L916" s="16" t="n">
        <f aca="false">J916*K916</f>
        <v>0.0609363997398115</v>
      </c>
      <c r="M916" s="44" t="n">
        <f aca="false">Country_Data!$DW$135+Sector_Params!$E$6</f>
        <v>0.105</v>
      </c>
      <c r="N916" s="44" t="n">
        <f aca="false">Country_Data!$DX$135+Sector_Params!$E$6</f>
        <v>0.15</v>
      </c>
      <c r="O916" s="11" t="n">
        <f aca="false">IF(p_use_ibrd=1,p_r_ibrd,p_r_wb)</f>
        <v>0.06</v>
      </c>
      <c r="P916" s="45" t="n">
        <f aca="false">Sector_Params!$D$6</f>
        <v>40</v>
      </c>
      <c r="Q916" s="46" t="n">
        <f aca="false">M916/(1-(1+M916)^-P916)</f>
        <v>0.10697140835497</v>
      </c>
      <c r="R916" s="46" t="n">
        <f aca="false">N916/(1-(1+N916)^-P916)</f>
        <v>0.150562085013545</v>
      </c>
      <c r="S916" s="46" t="n">
        <f aca="false">O916/(1-(1+O916)^-P916)</f>
        <v>0.0664615359206755</v>
      </c>
      <c r="T916" s="37" t="n">
        <f aca="false">p_grid_credit*IF(AND(p_eng=1,ISNUMBER(Country_Data!$CZ$135)),Country_Data!$CZ$135,Country_Data!$CM$135)*Sector_Params!$I$6</f>
        <v>0</v>
      </c>
      <c r="U916" s="37" t="n">
        <f aca="false">p_grid_credit*IF(AND(p_eng=1,ISNUMBER(Country_Data!$DA$135)),Country_Data!$DA$135,Country_Data!$CN$135)*Sector_Params!$J$6</f>
        <v>0</v>
      </c>
      <c r="V916" s="37" t="n">
        <f aca="false">p_grid_credit*IF(AND(p_eng=1,ISNUMBER(Country_Data!$DB$135)),Country_Data!$DB$135,p_a)</f>
        <v>0</v>
      </c>
      <c r="W916" s="16" t="n">
        <f aca="false">T916*L916</f>
        <v>0</v>
      </c>
      <c r="X916" s="16" t="n">
        <f aca="false">U916*L916</f>
        <v>0</v>
      </c>
      <c r="Y916" s="16" t="n">
        <f aca="false">V916*L916</f>
        <v>0</v>
      </c>
      <c r="Z916" s="16" t="n">
        <f aca="false">Q916*L916</f>
        <v>0.00651845250024908</v>
      </c>
      <c r="AA916" s="16" t="n">
        <f aca="false">R916*L916</f>
        <v>0.00917471139804485</v>
      </c>
      <c r="AB916" s="16" t="n">
        <f aca="false">S916*L916</f>
        <v>0.00404992672018412</v>
      </c>
      <c r="AC916" s="16" t="n">
        <f aca="false">Z916-W916</f>
        <v>0.00651845250024908</v>
      </c>
      <c r="AD916" s="16" t="n">
        <f aca="false">AA916-W916</f>
        <v>0.00917471139804485</v>
      </c>
      <c r="AE916" s="16" t="n">
        <f aca="false">AB916-W916</f>
        <v>0.00404992672018412</v>
      </c>
      <c r="AF916" s="16" t="n">
        <f aca="false">AE916-X916</f>
        <v>0.00404992672018412</v>
      </c>
      <c r="AG916" s="16" t="n">
        <f aca="false">AF916-p_spc_lo*Y916/1000</f>
        <v>0.00404992672018412</v>
      </c>
      <c r="AH916" s="16" t="n">
        <f aca="false">AF916-p_spc_hi*Y916/1000</f>
        <v>0.00404992672018412</v>
      </c>
      <c r="AI916" s="16" t="n">
        <f aca="false">Q916*J916</f>
        <v>0.0271602187510378</v>
      </c>
      <c r="AJ916" s="16" t="n">
        <f aca="false">S916*J916</f>
        <v>0.0168746946674338</v>
      </c>
      <c r="AK916" s="16" t="n">
        <f aca="false">T916*J916</f>
        <v>0</v>
      </c>
      <c r="AL916" s="16" t="n">
        <f aca="false">U916*J916</f>
        <v>0</v>
      </c>
      <c r="AM916" s="16" t="n">
        <f aca="false">AI916-AJ916</f>
        <v>0.010285524083604</v>
      </c>
      <c r="AN916" s="16" t="n">
        <f aca="false">J916*Country_Data!$EB$135</f>
        <v>0.291465199668733</v>
      </c>
      <c r="AO916" s="16" t="n">
        <f aca="false">L916*Country_Data!$EB$135</f>
        <v>0.0699516479204959</v>
      </c>
    </row>
    <row r="917" customFormat="false" ht="15" hidden="false" customHeight="false" outlineLevel="0" collapsed="false">
      <c r="A917" s="14" t="str">
        <f aca="false">Country_Data!$A$135</f>
        <v>NIC</v>
      </c>
      <c r="B917" s="14" t="str">
        <f aca="false">Country_Data!$E$135</f>
        <v>EMDC</v>
      </c>
      <c r="C917" s="35" t="s">
        <v>473</v>
      </c>
      <c r="D917" s="37" t="n">
        <f aca="false">IF(Country_Data!$CA$135="","",Country_Data!$CA$135)</f>
        <v>0.045715677372699</v>
      </c>
      <c r="E917" s="40" t="n">
        <f aca="false">Country_Data!$BW$135</f>
        <v>60.315</v>
      </c>
      <c r="F917" s="41" t="n">
        <f aca="false">Country_Data!$BX$135</f>
        <v>0.326568846887176</v>
      </c>
      <c r="G917" s="42" t="n">
        <f aca="false">IF(D917="","",D917/SUMIFS($D$5:$D$1369,$B$5:$B$1369,B917,$C$5:$C$1369,C917))</f>
        <v>0.00105613851463467</v>
      </c>
      <c r="H917" s="42" t="n">
        <f aca="false">E917/SUMIFS($E$5:$E$1369,$B$5:$B$1369,B917,$C$5:$C$1369,C917)</f>
        <v>0.000747102539033832</v>
      </c>
      <c r="I917" s="43" t="n">
        <f aca="false">IF(G917="",H917,p_beta_alloc*G917+(1-p_beta_alloc)*H917)*F917^p_phi</f>
        <v>0.000515241892732645</v>
      </c>
      <c r="J917" s="16" t="n">
        <f aca="false">INDEX(Sector_Params!$C$18:$E$18,MATCH(B917,Sector_Params!$C$15:$E$15,0))*I917/SUMIFS($I$5:$I$1369,$B$5:$B$1369,B917,$C$5:$C$1369,C917)</f>
        <v>0.210979363825165</v>
      </c>
      <c r="K917" s="28" t="n">
        <f aca="false">INDEX(Sector_Params!$F$7:$H$7,MATCH(B917,Sector_Params!$C$15:$E$15,0))</f>
        <v>0.24</v>
      </c>
      <c r="L917" s="16" t="n">
        <f aca="false">J917*K917</f>
        <v>0.0506350473180397</v>
      </c>
      <c r="M917" s="44" t="n">
        <f aca="false">Country_Data!$DW$135+Sector_Params!$E$7</f>
        <v>0.105</v>
      </c>
      <c r="N917" s="44" t="n">
        <f aca="false">Country_Data!$DX$135+Sector_Params!$E$7</f>
        <v>0.15</v>
      </c>
      <c r="O917" s="11" t="n">
        <f aca="false">IF(p_use_ibrd=1,p_r_ibrd,p_r_wb)</f>
        <v>0.06</v>
      </c>
      <c r="P917" s="45" t="n">
        <f aca="false">Sector_Params!$D$7</f>
        <v>12</v>
      </c>
      <c r="Q917" s="46" t="n">
        <f aca="false">M917/(1-(1+M917)^-P917)</f>
        <v>0.150376745634766</v>
      </c>
      <c r="R917" s="46" t="n">
        <f aca="false">N917/(1-(1+N917)^-P917)</f>
        <v>0.18448077613084</v>
      </c>
      <c r="S917" s="46" t="n">
        <f aca="false">O917/(1-(1+O917)^-P917)</f>
        <v>0.119277029380664</v>
      </c>
      <c r="T917" s="37" t="n">
        <f aca="false">IF(AND(p_eng=1,ISNUMBER(Country_Data!$DE$135)),Country_Data!$DE$135,Country_Data!$CM$135)*Sector_Params!$I$7</f>
        <v>0.091260495</v>
      </c>
      <c r="U917" s="37" t="n">
        <f aca="false">IF(AND(p_eng=1,ISNUMBER(Country_Data!$DF$135)),Country_Data!$DF$135,Country_Data!$CN$135)*Sector_Params!$J$7</f>
        <v>0.00154125</v>
      </c>
      <c r="V917" s="37" t="n">
        <f aca="false">IF(AND(p_eng=1,ISNUMBER(Country_Data!$DG$135)),Country_Data!$DG$135,p_a)</f>
        <v>0.368206287610619</v>
      </c>
      <c r="W917" s="16" t="n">
        <f aca="false">T917*L917</f>
        <v>0.00462097948259272</v>
      </c>
      <c r="X917" s="16" t="n">
        <f aca="false">U917*L917</f>
        <v>7.80412666789286E-005</v>
      </c>
      <c r="Y917" s="16" t="n">
        <f aca="false">V917*L917</f>
        <v>0.0186441427959634</v>
      </c>
      <c r="Z917" s="16" t="n">
        <f aca="false">Q917*L917</f>
        <v>0.00761433363074918</v>
      </c>
      <c r="AA917" s="16" t="n">
        <f aca="false">R917*L917</f>
        <v>0.00934119282865374</v>
      </c>
      <c r="AB917" s="16" t="n">
        <f aca="false">S917*L917</f>
        <v>0.00603959802664511</v>
      </c>
      <c r="AC917" s="16" t="n">
        <f aca="false">Z917-W917</f>
        <v>0.00299335414815645</v>
      </c>
      <c r="AD917" s="16" t="n">
        <f aca="false">AA917-W917</f>
        <v>0.00472021334606102</v>
      </c>
      <c r="AE917" s="16" t="n">
        <f aca="false">AB917-W917</f>
        <v>0.00141861854405238</v>
      </c>
      <c r="AF917" s="16" t="n">
        <f aca="false">AE917-X917</f>
        <v>0.00134057727737345</v>
      </c>
      <c r="AG917" s="16" t="n">
        <f aca="false">AF917-p_spc_lo*Y917/1000</f>
        <v>0.000408370137575283</v>
      </c>
      <c r="AH917" s="16" t="n">
        <f aca="false">AF917-p_spc_hi*Y917/1000</f>
        <v>-0.000523837002222889</v>
      </c>
      <c r="AI917" s="16" t="n">
        <f aca="false">Q917*J917</f>
        <v>0.0317263901281216</v>
      </c>
      <c r="AJ917" s="16" t="n">
        <f aca="false">S917*J917</f>
        <v>0.0251649917776879</v>
      </c>
      <c r="AK917" s="16" t="n">
        <f aca="false">T917*J917</f>
        <v>0.0192540811774697</v>
      </c>
      <c r="AL917" s="16" t="n">
        <f aca="false">U917*J917</f>
        <v>0.000325171944495536</v>
      </c>
      <c r="AM917" s="16" t="n">
        <f aca="false">AI917-AJ917</f>
        <v>0.00656139835043363</v>
      </c>
      <c r="AN917" s="16" t="n">
        <f aca="false">J917*Country_Data!$EB$135</f>
        <v>0.242192749158203</v>
      </c>
      <c r="AO917" s="16" t="n">
        <f aca="false">L917*Country_Data!$EB$135</f>
        <v>0.0581262597979688</v>
      </c>
    </row>
    <row r="918" customFormat="false" ht="15" hidden="false" customHeight="false" outlineLevel="0" collapsed="false">
      <c r="A918" s="14" t="str">
        <f aca="false">Country_Data!$A$135</f>
        <v>NIC</v>
      </c>
      <c r="B918" s="14" t="str">
        <f aca="false">Country_Data!$E$135</f>
        <v>EMDC</v>
      </c>
      <c r="C918" s="35" t="s">
        <v>477</v>
      </c>
      <c r="D918" s="37" t="n">
        <f aca="false">IF(Country_Data!$CB$135="","",Country_Data!$CB$135)</f>
        <v>0.0130229380414985</v>
      </c>
      <c r="E918" s="40" t="n">
        <f aca="false">Country_Data!$BW$135</f>
        <v>60.315</v>
      </c>
      <c r="F918" s="41" t="n">
        <f aca="false">Country_Data!$BX$135</f>
        <v>0.326568846887176</v>
      </c>
      <c r="G918" s="42" t="n">
        <f aca="false">IF(D918="","",D918/SUMIFS($D$5:$D$1369,$B$5:$B$1369,B918,$C$5:$C$1369,C918))</f>
        <v>0.000410652891298905</v>
      </c>
      <c r="H918" s="42" t="n">
        <f aca="false">E918/SUMIFS($E$5:$E$1369,$B$5:$B$1369,B918,$C$5:$C$1369,C918)</f>
        <v>0.000747102539033832</v>
      </c>
      <c r="I918" s="43" t="n">
        <f aca="false">IF(G918="",H918,p_beta_alloc*G918+(1-p_beta_alloc)*H918)*F918^p_phi</f>
        <v>0.000330806631777029</v>
      </c>
      <c r="J918" s="16" t="n">
        <f aca="false">INDEX(Sector_Params!$C$19:$E$19,MATCH(B918,Sector_Params!$C$15:$E$15,0))*I918/SUMIFS($I$5:$I$1369,$B$5:$B$1369,B918,$C$5:$C$1369,C918)</f>
        <v>0.106474281451605</v>
      </c>
      <c r="K918" s="28" t="n">
        <f aca="false">INDEX(Sector_Params!$F$8:$H$8,MATCH(B918,Sector_Params!$C$15:$E$15,0))</f>
        <v>0.24</v>
      </c>
      <c r="L918" s="16" t="n">
        <f aca="false">J918*K918</f>
        <v>0.0255538275483851</v>
      </c>
      <c r="M918" s="44" t="n">
        <f aca="false">Country_Data!$DW$135+Sector_Params!$E$8</f>
        <v>0.105</v>
      </c>
      <c r="N918" s="44" t="n">
        <f aca="false">Country_Data!$DX$135+Sector_Params!$E$8</f>
        <v>0.15</v>
      </c>
      <c r="O918" s="11" t="n">
        <f aca="false">IF(p_use_ibrd=1,p_r_ibrd,p_r_wb)</f>
        <v>0.06</v>
      </c>
      <c r="P918" s="45" t="n">
        <f aca="false">Sector_Params!$D$8</f>
        <v>25</v>
      </c>
      <c r="Q918" s="46" t="n">
        <f aca="false">M918/(1-(1+M918)^-P918)</f>
        <v>0.114429319813103</v>
      </c>
      <c r="R918" s="46" t="n">
        <f aca="false">N918/(1-(1+N918)^-P918)</f>
        <v>0.154699402320206</v>
      </c>
      <c r="S918" s="46" t="n">
        <f aca="false">O918/(1-(1+O918)^-P918)</f>
        <v>0.078226718212274</v>
      </c>
      <c r="T918" s="37" t="n">
        <f aca="false">Country_Data!$CM$135*Sector_Params!$I$8</f>
        <v>0.186508974040157</v>
      </c>
      <c r="U918" s="37" t="n">
        <f aca="false">Country_Data!$CN$135*Sector_Params!$J$8</f>
        <v>0.03225</v>
      </c>
      <c r="V918" s="37" t="n">
        <f aca="false">p_a</f>
        <v>0.35</v>
      </c>
      <c r="W918" s="16" t="n">
        <f aca="false">T918*L918</f>
        <v>0.00476601815884842</v>
      </c>
      <c r="X918" s="16" t="n">
        <f aca="false">U918*L918</f>
        <v>0.000824110938435421</v>
      </c>
      <c r="Y918" s="16" t="n">
        <f aca="false">V918*L918</f>
        <v>0.0089438396419348</v>
      </c>
      <c r="Z918" s="16" t="n">
        <f aca="false">Q918*L918</f>
        <v>0.00292410710498305</v>
      </c>
      <c r="AA918" s="16" t="n">
        <f aca="false">R918*L918</f>
        <v>0.00395316184872881</v>
      </c>
      <c r="AB918" s="16" t="n">
        <f aca="false">S918*L918</f>
        <v>0.00199899206687257</v>
      </c>
      <c r="AC918" s="16" t="n">
        <f aca="false">Z918-W918</f>
        <v>-0.00184191105386537</v>
      </c>
      <c r="AD918" s="16" t="n">
        <f aca="false">AA918-W918</f>
        <v>-0.000812856310119612</v>
      </c>
      <c r="AE918" s="16" t="n">
        <f aca="false">AB918-W918</f>
        <v>-0.00276702609197585</v>
      </c>
      <c r="AF918" s="16" t="n">
        <f aca="false">AE918-X918</f>
        <v>-0.00359113703041127</v>
      </c>
      <c r="AG918" s="16" t="n">
        <f aca="false">AF918-p_spc_lo*Y918/1000</f>
        <v>-0.00403832901250801</v>
      </c>
      <c r="AH918" s="16" t="n">
        <f aca="false">AF918-p_spc_hi*Y918/1000</f>
        <v>-0.00448552099460475</v>
      </c>
      <c r="AI918" s="16" t="n">
        <f aca="false">Q918*J918</f>
        <v>0.0121837796040961</v>
      </c>
      <c r="AJ918" s="16" t="n">
        <f aca="false">S918*J918</f>
        <v>0.00832913361196903</v>
      </c>
      <c r="AK918" s="16" t="n">
        <f aca="false">T918*J918</f>
        <v>0.0198584089952018</v>
      </c>
      <c r="AL918" s="16" t="n">
        <f aca="false">U918*J918</f>
        <v>0.00343379557681425</v>
      </c>
      <c r="AM918" s="16" t="n">
        <f aca="false">AI918-AJ918</f>
        <v>0.00385464599212702</v>
      </c>
      <c r="AN918" s="16" t="n">
        <f aca="false">J918*Country_Data!$EB$135</f>
        <v>0.122226640899239</v>
      </c>
      <c r="AO918" s="16" t="n">
        <f aca="false">L918*Country_Data!$EB$135</f>
        <v>0.0293343938158175</v>
      </c>
    </row>
    <row r="919" customFormat="false" ht="15" hidden="false" customHeight="false" outlineLevel="0" collapsed="false">
      <c r="A919" s="14" t="str">
        <f aca="false">Country_Data!$A$135</f>
        <v>NIC</v>
      </c>
      <c r="B919" s="14" t="str">
        <f aca="false">Country_Data!$E$135</f>
        <v>EMDC</v>
      </c>
      <c r="C919" s="35" t="s">
        <v>481</v>
      </c>
      <c r="D919" s="37" t="n">
        <f aca="false">IF(Country_Data!$CC$135="","",Country_Data!$CC$135)</f>
        <v>0.0286353945064522</v>
      </c>
      <c r="E919" s="40" t="n">
        <f aca="false">Country_Data!$BW$135</f>
        <v>60.315</v>
      </c>
      <c r="F919" s="41" t="n">
        <f aca="false">Country_Data!$BX$135</f>
        <v>0.326568846887176</v>
      </c>
      <c r="G919" s="42" t="n">
        <f aca="false">IF(D919="","",D919/SUMIFS($D$5:$D$1369,$B$5:$B$1369,B919,$C$5:$C$1369,C919))</f>
        <v>0.000409034656092802</v>
      </c>
      <c r="H919" s="42" t="n">
        <f aca="false">E919/SUMIFS($E$5:$E$1369,$B$5:$B$1369,B919,$C$5:$C$1369,C919)</f>
        <v>0.000747102539033832</v>
      </c>
      <c r="I919" s="43" t="n">
        <f aca="false">IF(G919="",H919,p_beta_alloc*G919+(1-p_beta_alloc)*H919)*F919^p_phi</f>
        <v>0.00033034425179251</v>
      </c>
      <c r="J919" s="16" t="n">
        <f aca="false">INDEX(Sector_Params!$C$20:$E$20,MATCH(B919,Sector_Params!$C$15:$E$15,0))*I919/SUMIFS($I$5:$I$1369,$B$5:$B$1369,B919,$C$5:$C$1369,C919)</f>
        <v>0.0602944783212779</v>
      </c>
      <c r="K919" s="28" t="n">
        <f aca="false">INDEX(Sector_Params!$F$9:$H$9,MATCH(B919,Sector_Params!$C$15:$E$15,0))</f>
        <v>0.24</v>
      </c>
      <c r="L919" s="16" t="n">
        <f aca="false">J919*K919</f>
        <v>0.0144706747971067</v>
      </c>
      <c r="M919" s="44" t="n">
        <f aca="false">Country_Data!$DW$135+Sector_Params!$E$9</f>
        <v>0.105</v>
      </c>
      <c r="N919" s="44" t="n">
        <f aca="false">Country_Data!$DX$135+Sector_Params!$E$9</f>
        <v>0.15</v>
      </c>
      <c r="O919" s="11" t="n">
        <f aca="false">IF(p_use_ibrd=1,p_r_ibrd,p_r_wb)</f>
        <v>0.06</v>
      </c>
      <c r="P919" s="45" t="n">
        <f aca="false">Sector_Params!$D$9</f>
        <v>25</v>
      </c>
      <c r="Q919" s="46" t="n">
        <f aca="false">M919/(1-(1+M919)^-P919)</f>
        <v>0.114429319813103</v>
      </c>
      <c r="R919" s="46" t="n">
        <f aca="false">N919/(1-(1+N919)^-P919)</f>
        <v>0.154699402320206</v>
      </c>
      <c r="S919" s="46" t="n">
        <f aca="false">O919/(1-(1+O919)^-P919)</f>
        <v>0.078226718212274</v>
      </c>
      <c r="T919" s="37" t="n">
        <f aca="false">Country_Data!$CM$135*Sector_Params!$I$9</f>
        <v>0.186508974040157</v>
      </c>
      <c r="U919" s="37" t="n">
        <f aca="false">Country_Data!$CN$135*Sector_Params!$J$9</f>
        <v>0.03225</v>
      </c>
      <c r="V919" s="37" t="n">
        <f aca="false">p_a</f>
        <v>0.35</v>
      </c>
      <c r="W919" s="16" t="n">
        <f aca="false">T919*L919</f>
        <v>0.00269891071007713</v>
      </c>
      <c r="X919" s="16" t="n">
        <f aca="false">U919*L919</f>
        <v>0.000466679262206691</v>
      </c>
      <c r="Y919" s="16" t="n">
        <f aca="false">V919*L919</f>
        <v>0.00506473617898734</v>
      </c>
      <c r="Z919" s="16" t="n">
        <f aca="false">Q919*L919</f>
        <v>0.00165586947426954</v>
      </c>
      <c r="AA919" s="16" t="n">
        <f aca="false">R919*L919</f>
        <v>0.00223860474228248</v>
      </c>
      <c r="AB919" s="16" t="n">
        <f aca="false">S919*L919</f>
        <v>0.00113199339969472</v>
      </c>
      <c r="AC919" s="16" t="n">
        <f aca="false">Z919-W919</f>
        <v>-0.00104304123580759</v>
      </c>
      <c r="AD919" s="16" t="n">
        <f aca="false">AA919-W919</f>
        <v>-0.00046030596779465</v>
      </c>
      <c r="AE919" s="16" t="n">
        <f aca="false">AB919-W919</f>
        <v>-0.00156691731038241</v>
      </c>
      <c r="AF919" s="16" t="n">
        <f aca="false">AE919-X919</f>
        <v>-0.0020335965725891</v>
      </c>
      <c r="AG919" s="16" t="n">
        <f aca="false">AF919-p_spc_lo*Y919/1000</f>
        <v>-0.00228683338153847</v>
      </c>
      <c r="AH919" s="16" t="n">
        <f aca="false">AF919-p_spc_hi*Y919/1000</f>
        <v>-0.00254007019048784</v>
      </c>
      <c r="AI919" s="16" t="n">
        <f aca="false">Q919*J919</f>
        <v>0.00689945614278973</v>
      </c>
      <c r="AJ919" s="16" t="n">
        <f aca="false">S919*J919</f>
        <v>0.00471663916539467</v>
      </c>
      <c r="AK919" s="16" t="n">
        <f aca="false">T919*J919</f>
        <v>0.011245461291988</v>
      </c>
      <c r="AL919" s="16" t="n">
        <f aca="false">U919*J919</f>
        <v>0.00194449692586121</v>
      </c>
      <c r="AM919" s="16" t="n">
        <f aca="false">AI919-AJ919</f>
        <v>0.00218281697739507</v>
      </c>
      <c r="AN919" s="16" t="n">
        <f aca="false">J919*Country_Data!$EB$135</f>
        <v>0.0692147573057957</v>
      </c>
      <c r="AO919" s="16" t="n">
        <f aca="false">L919*Country_Data!$EB$135</f>
        <v>0.016611541753391</v>
      </c>
    </row>
    <row r="920" customFormat="false" ht="15" hidden="false" customHeight="false" outlineLevel="0" collapsed="false">
      <c r="A920" s="14" t="str">
        <f aca="false">Country_Data!$A$135</f>
        <v>NIC</v>
      </c>
      <c r="B920" s="14" t="str">
        <f aca="false">Country_Data!$E$135</f>
        <v>EMDC</v>
      </c>
      <c r="C920" s="35" t="s">
        <v>484</v>
      </c>
      <c r="D920" s="37" t="n">
        <f aca="false">IF(Country_Data!$CD$135="","",Country_Data!$CD$135)</f>
        <v>0.0692923473162241</v>
      </c>
      <c r="E920" s="40" t="n">
        <f aca="false">Country_Data!$BW$135</f>
        <v>60.315</v>
      </c>
      <c r="F920" s="41" t="n">
        <f aca="false">Country_Data!$BX$135</f>
        <v>0.326568846887176</v>
      </c>
      <c r="G920" s="42" t="n">
        <f aca="false">IF(D920="","",D920/SUMIFS($D$5:$D$1369,$B$5:$B$1369,B920,$C$5:$C$1369,C920))</f>
        <v>0.000386953781247615</v>
      </c>
      <c r="H920" s="42" t="n">
        <f aca="false">E920/SUMIFS($E$5:$E$1369,$B$5:$B$1369,B920,$C$5:$C$1369,C920)</f>
        <v>0.000747102539033832</v>
      </c>
      <c r="I920" s="43" t="n">
        <f aca="false">IF(G920="",H920,p_beta_alloc*G920+(1-p_beta_alloc)*H920)*F920^p_phi</f>
        <v>0.000324035061057704</v>
      </c>
      <c r="J920" s="16" t="n">
        <f aca="false">INDEX(Sector_Params!$C$21:$E$21,MATCH(B920,Sector_Params!$C$15:$E$15,0))*I920/SUMIFS($I$5:$I$1369,$B$5:$B$1369,B920,$C$5:$C$1369,C920)</f>
        <v>0.0718676798933086</v>
      </c>
      <c r="K920" s="28" t="n">
        <f aca="false">INDEX(Sector_Params!$F$10:$H$10,MATCH(B920,Sector_Params!$C$15:$E$15,0))</f>
        <v>0.24</v>
      </c>
      <c r="L920" s="16" t="n">
        <f aca="false">J920*K920</f>
        <v>0.0172482431743941</v>
      </c>
      <c r="M920" s="44" t="n">
        <f aca="false">Country_Data!$DW$135+Sector_Params!$E$10</f>
        <v>0.105</v>
      </c>
      <c r="N920" s="44" t="n">
        <f aca="false">Country_Data!$DX$135+Sector_Params!$E$10</f>
        <v>0.15</v>
      </c>
      <c r="O920" s="11" t="n">
        <f aca="false">IF(p_use_ibrd=1,p_r_ibrd,p_r_wb)</f>
        <v>0.06</v>
      </c>
      <c r="P920" s="45" t="n">
        <f aca="false">Sector_Params!$D$10</f>
        <v>20</v>
      </c>
      <c r="Q920" s="46" t="n">
        <f aca="false">M920/(1-(1+M920)^-P920)</f>
        <v>0.121493265267016</v>
      </c>
      <c r="R920" s="46" t="n">
        <f aca="false">N920/(1-(1+N920)^-P920)</f>
        <v>0.159761470405744</v>
      </c>
      <c r="S920" s="46" t="n">
        <f aca="false">O920/(1-(1+O920)^-P920)</f>
        <v>0.0871845569768514</v>
      </c>
      <c r="T920" s="37" t="n">
        <f aca="false">0*Sector_Params!$I$10</f>
        <v>0</v>
      </c>
      <c r="U920" s="37" t="n">
        <f aca="false">0*Sector_Params!$J$10</f>
        <v>0</v>
      </c>
      <c r="V920" s="37" t="n">
        <f aca="false">1000*p_r_wb/(1-(1+p_r_wb)^-Sector_Params!$D$10)/p_cpt_fuel</f>
        <v>0.871845569768514</v>
      </c>
      <c r="W920" s="16" t="n">
        <f aca="false">T920*L920</f>
        <v>0</v>
      </c>
      <c r="X920" s="16" t="n">
        <f aca="false">U920*L920</f>
        <v>0</v>
      </c>
      <c r="Y920" s="16" t="n">
        <f aca="false">V920*L920</f>
        <v>0.0150378043978855</v>
      </c>
      <c r="Z920" s="16" t="n">
        <f aca="false">Q920*L920</f>
        <v>0.00209554538337666</v>
      </c>
      <c r="AA920" s="16" t="n">
        <f aca="false">R920*L920</f>
        <v>0.00275560469145703</v>
      </c>
      <c r="AB920" s="16" t="n">
        <f aca="false">S920*L920</f>
        <v>0.00150378043978855</v>
      </c>
      <c r="AC920" s="16" t="n">
        <f aca="false">Z920-W920</f>
        <v>0.00209554538337666</v>
      </c>
      <c r="AD920" s="16" t="n">
        <f aca="false">AA920-W920</f>
        <v>0.00275560469145703</v>
      </c>
      <c r="AE920" s="16" t="n">
        <f aca="false">AB920-W920</f>
        <v>0.00150378043978855</v>
      </c>
      <c r="AF920" s="16" t="n">
        <f aca="false">AE920-X920</f>
        <v>0.00150378043978855</v>
      </c>
      <c r="AG920" s="16" t="n">
        <f aca="false">AF920-p_spc_lo*Y920/1000</f>
        <v>0.000751890219894273</v>
      </c>
      <c r="AH920" s="16" t="n">
        <f aca="false">AF920-p_spc_hi*Y920/1000</f>
        <v>0</v>
      </c>
      <c r="AI920" s="16" t="n">
        <f aca="false">Q920*J920</f>
        <v>0.00873143909740274</v>
      </c>
      <c r="AJ920" s="16" t="n">
        <f aca="false">S920*J920</f>
        <v>0.00626575183245228</v>
      </c>
      <c r="AK920" s="16" t="n">
        <f aca="false">T920*J920</f>
        <v>0</v>
      </c>
      <c r="AL920" s="16" t="n">
        <f aca="false">U920*J920</f>
        <v>0</v>
      </c>
      <c r="AM920" s="16" t="n">
        <f aca="false">AI920-AJ920</f>
        <v>0.00246568726495046</v>
      </c>
      <c r="AN920" s="16" t="n">
        <f aca="false">J920*Country_Data!$EB$135</f>
        <v>0.0825001585624556</v>
      </c>
      <c r="AO920" s="16" t="n">
        <f aca="false">L920*Country_Data!$EB$135</f>
        <v>0.0198000380549893</v>
      </c>
    </row>
    <row r="921" customFormat="false" ht="15" hidden="false" customHeight="false" outlineLevel="0" collapsed="false">
      <c r="A921" s="14" t="str">
        <f aca="false">Country_Data!$A$135</f>
        <v>NIC</v>
      </c>
      <c r="B921" s="14" t="str">
        <f aca="false">Country_Data!$E$135</f>
        <v>EMDC</v>
      </c>
      <c r="C921" s="35" t="s">
        <v>488</v>
      </c>
      <c r="D921" s="37" t="n">
        <f aca="false">IF(Country_Data!$CE$135="","",Country_Data!$CE$135)</f>
        <v>34.635</v>
      </c>
      <c r="E921" s="40" t="n">
        <f aca="false">Country_Data!$BW$135</f>
        <v>60.315</v>
      </c>
      <c r="F921" s="41" t="n">
        <f aca="false">Country_Data!$BX$135</f>
        <v>0.326568846887176</v>
      </c>
      <c r="G921" s="42" t="n">
        <f aca="false">IF(D921="","",D921/SUMIFS($D$5:$D$1369,$B$5:$B$1369,B921,$C$5:$C$1369,C921))</f>
        <v>0.00283797835319413</v>
      </c>
      <c r="H921" s="42" t="n">
        <f aca="false">E921/SUMIFS($E$5:$E$1369,$B$5:$B$1369,B921,$C$5:$C$1369,C921)</f>
        <v>0.000747102539033832</v>
      </c>
      <c r="I921" s="43" t="n">
        <f aca="false">IF(G921="",H921,p_beta_alloc*G921+(1-p_beta_alloc)*H921)*F921^p_phi</f>
        <v>0.00102436879459531</v>
      </c>
      <c r="J921" s="16" t="n">
        <f aca="false">INDEX(Sector_Params!$C$22:$E$22,MATCH(B921,Sector_Params!$C$15:$E$15,0))*I921/SUMIFS($I$5:$I$1369,$B$5:$B$1369,B921,$C$5:$C$1369,C921)</f>
        <v>0.617498102011733</v>
      </c>
      <c r="K921" s="28" t="n">
        <f aca="false">INDEX(Sector_Params!$F$11:$H$11,MATCH(B921,Sector_Params!$C$15:$E$15,0))</f>
        <v>0.24</v>
      </c>
      <c r="L921" s="16" t="n">
        <f aca="false">J921*K921</f>
        <v>0.148199544482816</v>
      </c>
      <c r="M921" s="44" t="n">
        <f aca="false">Country_Data!$DW$135+Sector_Params!$E$11</f>
        <v>0.105</v>
      </c>
      <c r="N921" s="44" t="n">
        <f aca="false">Country_Data!$DX$135+Sector_Params!$E$11</f>
        <v>0.15</v>
      </c>
      <c r="O921" s="11" t="n">
        <f aca="false">IF(p_use_ibrd=1,p_r_ibrd,p_r_wb)</f>
        <v>0.06</v>
      </c>
      <c r="P921" s="45" t="n">
        <f aca="false">Sector_Params!$D$11</f>
        <v>30</v>
      </c>
      <c r="Q921" s="46" t="n">
        <f aca="false">M921/(1-(1+M921)^-P921)</f>
        <v>0.110528481529605</v>
      </c>
      <c r="R921" s="46" t="n">
        <f aca="false">N921/(1-(1+N921)^-P921)</f>
        <v>0.152300198192734</v>
      </c>
      <c r="S921" s="46" t="n">
        <f aca="false">O921/(1-(1+O921)^-P921)</f>
        <v>0.0726489114900472</v>
      </c>
      <c r="T921" s="37" t="n">
        <f aca="false">0*Sector_Params!$I$11</f>
        <v>0</v>
      </c>
      <c r="U921" s="37" t="n">
        <f aca="false">p_c*Sector_Params!$J$11</f>
        <v>0.129</v>
      </c>
      <c r="V921" s="37" t="n">
        <f aca="false">1000*p_r_wb/(1-(1+p_r_wb)^-Sector_Params!$D$11)/p_cpt_afolu</f>
        <v>1.45297822980094</v>
      </c>
      <c r="W921" s="16" t="n">
        <f aca="false">T921*L921</f>
        <v>0</v>
      </c>
      <c r="X921" s="16" t="n">
        <f aca="false">U921*L921</f>
        <v>0.0191177412382832</v>
      </c>
      <c r="Y921" s="16" t="n">
        <f aca="false">V921*L921</f>
        <v>0.215330711799948</v>
      </c>
      <c r="Z921" s="16" t="n">
        <f aca="false">Q921*L921</f>
        <v>0.0163802706150648</v>
      </c>
      <c r="AA921" s="16" t="n">
        <f aca="false">R921*L921</f>
        <v>0.0225708199968058</v>
      </c>
      <c r="AB921" s="16" t="n">
        <f aca="false">S921*L921</f>
        <v>0.0107665355899974</v>
      </c>
      <c r="AC921" s="16" t="n">
        <f aca="false">Z921-W921</f>
        <v>0.0163802706150648</v>
      </c>
      <c r="AD921" s="16" t="n">
        <f aca="false">AA921-W921</f>
        <v>0.0225708199968058</v>
      </c>
      <c r="AE921" s="16" t="n">
        <f aca="false">AB921-W921</f>
        <v>0.0107665355899974</v>
      </c>
      <c r="AF921" s="16" t="n">
        <f aca="false">AE921-X921</f>
        <v>-0.00835120564828584</v>
      </c>
      <c r="AG921" s="16" t="n">
        <f aca="false">AF921-p_spc_lo*Y921/1000</f>
        <v>-0.0191177412382832</v>
      </c>
      <c r="AH921" s="16" t="n">
        <f aca="false">AF921-p_spc_hi*Y921/1000</f>
        <v>-0.0298842768282806</v>
      </c>
      <c r="AI921" s="16" t="n">
        <f aca="false">Q921*J921</f>
        <v>0.06825112756277</v>
      </c>
      <c r="AJ921" s="16" t="n">
        <f aca="false">S921*J921</f>
        <v>0.0448605649583225</v>
      </c>
      <c r="AK921" s="16" t="n">
        <f aca="false">T921*J921</f>
        <v>0</v>
      </c>
      <c r="AL921" s="16" t="n">
        <f aca="false">U921*J921</f>
        <v>0.0796572551595135</v>
      </c>
      <c r="AM921" s="16" t="n">
        <f aca="false">AI921-AJ921</f>
        <v>0.0233905626044475</v>
      </c>
      <c r="AN921" s="16" t="n">
        <f aca="false">J921*Country_Data!$EB$135</f>
        <v>0.70885398559703</v>
      </c>
      <c r="AO921" s="16" t="n">
        <f aca="false">L921*Country_Data!$EB$135</f>
        <v>0.170124956543287</v>
      </c>
    </row>
    <row r="922" customFormat="false" ht="15" hidden="false" customHeight="false" outlineLevel="0" collapsed="false">
      <c r="A922" s="14" t="str">
        <f aca="false">Country_Data!$A$136</f>
        <v>BWA</v>
      </c>
      <c r="B922" s="14" t="str">
        <f aca="false">Country_Data!$E$136</f>
        <v>EMDC</v>
      </c>
      <c r="C922" s="35" t="s">
        <v>466</v>
      </c>
      <c r="D922" s="37" t="n">
        <f aca="false">IF(Country_Data!$BZ$136="","",Country_Data!$BZ$136)</f>
        <v>4.51660273186467</v>
      </c>
      <c r="E922" s="40" t="n">
        <f aca="false">Country_Data!$BW$136</f>
        <v>51.855</v>
      </c>
      <c r="F922" s="41" t="n">
        <f aca="false">Country_Data!$BX$136</f>
        <v>0.37327162279433</v>
      </c>
      <c r="G922" s="42" t="n">
        <f aca="false">IF(D922="","",D922/SUMIFS($D$5:$D$1369,$B$5:$B$1369,B922,$C$5:$C$1369,C922))</f>
        <v>0.00051562501275476</v>
      </c>
      <c r="H922" s="42" t="n">
        <f aca="false">E922/SUMIFS($E$5:$E$1369,$B$5:$B$1369,B922,$C$5:$C$1369,C922)</f>
        <v>0.000642311235374274</v>
      </c>
      <c r="I922" s="43" t="n">
        <f aca="false">IF(G922="",H922,p_beta_alloc*G922+(1-p_beta_alloc)*H922)*F922^p_phi</f>
        <v>0.000353726128735097</v>
      </c>
      <c r="J922" s="16" t="n">
        <f aca="false">INDEX(Sector_Params!$C$16:$E$16,MATCH(B922,Sector_Params!$C$15:$E$15,0))*I922/SUMIFS($I$5:$I$1369,$B$5:$B$1369,B922,$C$5:$C$1369,C922)</f>
        <v>0.342132879443119</v>
      </c>
      <c r="K922" s="28" t="n">
        <f aca="false">INDEX(Sector_Params!$F$5:$H$5,MATCH(B922,Sector_Params!$C$15:$E$15,0))</f>
        <v>0.24</v>
      </c>
      <c r="L922" s="16" t="n">
        <f aca="false">J922*K922</f>
        <v>0.0821118910663486</v>
      </c>
      <c r="M922" s="44" t="n">
        <f aca="false">Country_Data!$DW$136+Sector_Params!$E$5</f>
        <v>0.105</v>
      </c>
      <c r="N922" s="44" t="n">
        <f aca="false">Country_Data!$DX$136+Sector_Params!$E$5</f>
        <v>0.15</v>
      </c>
      <c r="O922" s="11" t="n">
        <f aca="false">IF(p_use_ibrd=1,p_r_ibrd,p_r_wb)</f>
        <v>0.06</v>
      </c>
      <c r="P922" s="45" t="n">
        <f aca="false">Sector_Params!$D$5</f>
        <v>25</v>
      </c>
      <c r="Q922" s="46" t="n">
        <f aca="false">M922/(1-(1+M922)^-P922)</f>
        <v>0.114429319813103</v>
      </c>
      <c r="R922" s="46" t="n">
        <f aca="false">N922/(1-(1+N922)^-P922)</f>
        <v>0.154699402320206</v>
      </c>
      <c r="S922" s="46" t="n">
        <f aca="false">O922/(1-(1+O922)^-P922)</f>
        <v>0.078226718212274</v>
      </c>
      <c r="T922" s="37" t="n">
        <f aca="false">IF(AND(p_eng=1,ISNUMBER(Country_Data!$CZ$136)),Country_Data!$CZ$136,Country_Data!$CM$136)*Sector_Params!$I$5</f>
        <v>0.0360688363127608</v>
      </c>
      <c r="U922" s="37" t="n">
        <f aca="false">IF(AND(p_eng=1,ISNUMBER(Country_Data!$DA$136)),Country_Data!$DA$136,Country_Data!$CN$136)*Sector_Params!$J$5</f>
        <v>0.0414246555890611</v>
      </c>
      <c r="V922" s="37" t="n">
        <f aca="false">IF(AND(p_eng=1,ISNUMBER(Country_Data!$DB$136)),Country_Data!$DB$136,p_a)</f>
        <v>2.16620024368627</v>
      </c>
      <c r="W922" s="16" t="n">
        <f aca="false">T922*L922</f>
        <v>0.00296168035820337</v>
      </c>
      <c r="X922" s="16" t="n">
        <f aca="false">U922*L922</f>
        <v>0.00340145680718999</v>
      </c>
      <c r="Y922" s="16" t="n">
        <f aca="false">V922*L922</f>
        <v>0.177870798437465</v>
      </c>
      <c r="Z922" s="16" t="n">
        <f aca="false">Q922*L922</f>
        <v>0.0093960078432899</v>
      </c>
      <c r="AA922" s="16" t="n">
        <f aca="false">R922*L922</f>
        <v>0.012702660471346</v>
      </c>
      <c r="AB922" s="16" t="n">
        <f aca="false">S922*L922</f>
        <v>0.00642334376432418</v>
      </c>
      <c r="AC922" s="16" t="n">
        <f aca="false">Z922-W922</f>
        <v>0.00643432748508653</v>
      </c>
      <c r="AD922" s="16" t="n">
        <f aca="false">AA922-W922</f>
        <v>0.00974098011314265</v>
      </c>
      <c r="AE922" s="16" t="n">
        <f aca="false">AB922-W922</f>
        <v>0.00346166340612081</v>
      </c>
      <c r="AF922" s="16" t="n">
        <f aca="false">AE922-X922</f>
        <v>6.02065989308187E-005</v>
      </c>
      <c r="AG922" s="16" t="n">
        <f aca="false">AF922-p_spc_lo*Y922/1000</f>
        <v>-0.00883333332294243</v>
      </c>
      <c r="AH922" s="16" t="n">
        <f aca="false">AF922-p_spc_hi*Y922/1000</f>
        <v>-0.0177268732448157</v>
      </c>
      <c r="AI922" s="16" t="n">
        <f aca="false">Q922*J922</f>
        <v>0.0391500326803746</v>
      </c>
      <c r="AJ922" s="16" t="n">
        <f aca="false">S922*J922</f>
        <v>0.0267639323513508</v>
      </c>
      <c r="AK922" s="16" t="n">
        <f aca="false">T922*J922</f>
        <v>0.0123403348258474</v>
      </c>
      <c r="AL922" s="16" t="n">
        <f aca="false">U922*J922</f>
        <v>0.014172736696625</v>
      </c>
      <c r="AM922" s="16" t="n">
        <f aca="false">AI922-AJ922</f>
        <v>0.0123861003290238</v>
      </c>
      <c r="AN922" s="16" t="n">
        <f aca="false">J922*Country_Data!$EB$136</f>
        <v>0.403617628792317</v>
      </c>
      <c r="AO922" s="16" t="n">
        <f aca="false">L922*Country_Data!$EB$136</f>
        <v>0.0968682309101561</v>
      </c>
    </row>
    <row r="923" customFormat="false" ht="15" hidden="false" customHeight="false" outlineLevel="0" collapsed="false">
      <c r="A923" s="14" t="str">
        <f aca="false">Country_Data!$A$136</f>
        <v>BWA</v>
      </c>
      <c r="B923" s="14" t="str">
        <f aca="false">Country_Data!$E$136</f>
        <v>EMDC</v>
      </c>
      <c r="C923" s="35" t="s">
        <v>470</v>
      </c>
      <c r="D923" s="37" t="n">
        <f aca="false">IF(Country_Data!$BZ$136="","",Country_Data!$BZ$136)</f>
        <v>4.51660273186467</v>
      </c>
      <c r="E923" s="40" t="n">
        <f aca="false">Country_Data!$BW$136</f>
        <v>51.855</v>
      </c>
      <c r="F923" s="41" t="n">
        <f aca="false">Country_Data!$BX$136</f>
        <v>0.37327162279433</v>
      </c>
      <c r="G923" s="42" t="n">
        <f aca="false">IF(D923="","",D923/SUMIFS($D$5:$D$1369,$B$5:$B$1369,B923,$C$5:$C$1369,C923))</f>
        <v>0.00051562501275476</v>
      </c>
      <c r="H923" s="42" t="n">
        <f aca="false">E923/SUMIFS($E$5:$E$1369,$B$5:$B$1369,B923,$C$5:$C$1369,C923)</f>
        <v>0.000642311235374274</v>
      </c>
      <c r="I923" s="43" t="n">
        <f aca="false">IF(G923="",H923,p_beta_alloc*G923+(1-p_beta_alloc)*H923)*F923^p_phi</f>
        <v>0.000353726128735097</v>
      </c>
      <c r="J923" s="16" t="n">
        <f aca="false">INDEX(Sector_Params!$C$17:$E$17,MATCH(B923,Sector_Params!$C$15:$E$15,0))*I923/SUMIFS($I$5:$I$1369,$B$5:$B$1369,B923,$C$5:$C$1369,C923)</f>
        <v>0.23460540304671</v>
      </c>
      <c r="K923" s="28" t="n">
        <f aca="false">INDEX(Sector_Params!$F$6:$H$6,MATCH(B923,Sector_Params!$C$15:$E$15,0))</f>
        <v>0.24</v>
      </c>
      <c r="L923" s="16" t="n">
        <f aca="false">J923*K923</f>
        <v>0.0563052967312105</v>
      </c>
      <c r="M923" s="44" t="n">
        <f aca="false">Country_Data!$DW$136+Sector_Params!$E$6</f>
        <v>0.105</v>
      </c>
      <c r="N923" s="44" t="n">
        <f aca="false">Country_Data!$DX$136+Sector_Params!$E$6</f>
        <v>0.15</v>
      </c>
      <c r="O923" s="11" t="n">
        <f aca="false">IF(p_use_ibrd=1,p_r_ibrd,p_r_wb)</f>
        <v>0.06</v>
      </c>
      <c r="P923" s="45" t="n">
        <f aca="false">Sector_Params!$D$6</f>
        <v>40</v>
      </c>
      <c r="Q923" s="46" t="n">
        <f aca="false">M923/(1-(1+M923)^-P923)</f>
        <v>0.10697140835497</v>
      </c>
      <c r="R923" s="46" t="n">
        <f aca="false">N923/(1-(1+N923)^-P923)</f>
        <v>0.150562085013545</v>
      </c>
      <c r="S923" s="46" t="n">
        <f aca="false">O923/(1-(1+O923)^-P923)</f>
        <v>0.0664615359206755</v>
      </c>
      <c r="T923" s="37" t="n">
        <f aca="false">p_grid_credit*IF(AND(p_eng=1,ISNUMBER(Country_Data!$CZ$136)),Country_Data!$CZ$136,Country_Data!$CM$136)*Sector_Params!$I$6</f>
        <v>0</v>
      </c>
      <c r="U923" s="37" t="n">
        <f aca="false">p_grid_credit*IF(AND(p_eng=1,ISNUMBER(Country_Data!$DA$136)),Country_Data!$DA$136,Country_Data!$CN$136)*Sector_Params!$J$6</f>
        <v>0</v>
      </c>
      <c r="V923" s="37" t="n">
        <f aca="false">p_grid_credit*IF(AND(p_eng=1,ISNUMBER(Country_Data!$DB$136)),Country_Data!$DB$136,p_a)</f>
        <v>0</v>
      </c>
      <c r="W923" s="16" t="n">
        <f aca="false">T923*L923</f>
        <v>0</v>
      </c>
      <c r="X923" s="16" t="n">
        <f aca="false">U923*L923</f>
        <v>0</v>
      </c>
      <c r="Y923" s="16" t="n">
        <f aca="false">V923*L923</f>
        <v>0</v>
      </c>
      <c r="Z923" s="16" t="n">
        <f aca="false">Q923*L923</f>
        <v>0.00602305688918209</v>
      </c>
      <c r="AA923" s="16" t="n">
        <f aca="false">R923*L923</f>
        <v>0.00847744287315739</v>
      </c>
      <c r="AB923" s="16" t="n">
        <f aca="false">S923*L923</f>
        <v>0.00374213650122564</v>
      </c>
      <c r="AC923" s="16" t="n">
        <f aca="false">Z923-W923</f>
        <v>0.00602305688918209</v>
      </c>
      <c r="AD923" s="16" t="n">
        <f aca="false">AA923-W923</f>
        <v>0.00847744287315739</v>
      </c>
      <c r="AE923" s="16" t="n">
        <f aca="false">AB923-W923</f>
        <v>0.00374213650122564</v>
      </c>
      <c r="AF923" s="16" t="n">
        <f aca="false">AE923-X923</f>
        <v>0.00374213650122564</v>
      </c>
      <c r="AG923" s="16" t="n">
        <f aca="false">AF923-p_spc_lo*Y923/1000</f>
        <v>0.00374213650122564</v>
      </c>
      <c r="AH923" s="16" t="n">
        <f aca="false">AF923-p_spc_hi*Y923/1000</f>
        <v>0.00374213650122564</v>
      </c>
      <c r="AI923" s="16" t="n">
        <f aca="false">Q923*J923</f>
        <v>0.025096070371592</v>
      </c>
      <c r="AJ923" s="16" t="n">
        <f aca="false">S923*J923</f>
        <v>0.0155922354217735</v>
      </c>
      <c r="AK923" s="16" t="n">
        <f aca="false">T923*J923</f>
        <v>0</v>
      </c>
      <c r="AL923" s="16" t="n">
        <f aca="false">U923*J923</f>
        <v>0</v>
      </c>
      <c r="AM923" s="16" t="n">
        <f aca="false">AI923-AJ923</f>
        <v>0.00950383494981856</v>
      </c>
      <c r="AN923" s="16" t="n">
        <f aca="false">J923*Country_Data!$EB$136</f>
        <v>0.276766374029018</v>
      </c>
      <c r="AO923" s="16" t="n">
        <f aca="false">L923*Country_Data!$EB$136</f>
        <v>0.0664239297669642</v>
      </c>
    </row>
    <row r="924" customFormat="false" ht="15" hidden="false" customHeight="false" outlineLevel="0" collapsed="false">
      <c r="A924" s="14" t="str">
        <f aca="false">Country_Data!$A$136</f>
        <v>BWA</v>
      </c>
      <c r="B924" s="14" t="str">
        <f aca="false">Country_Data!$E$136</f>
        <v>EMDC</v>
      </c>
      <c r="C924" s="35" t="s">
        <v>473</v>
      </c>
      <c r="D924" s="37" t="n">
        <f aca="false">IF(Country_Data!$CA$136="","",Country_Data!$CA$136)</f>
        <v>0.0456842021999284</v>
      </c>
      <c r="E924" s="40" t="n">
        <f aca="false">Country_Data!$BW$136</f>
        <v>51.855</v>
      </c>
      <c r="F924" s="41" t="n">
        <f aca="false">Country_Data!$BX$136</f>
        <v>0.37327162279433</v>
      </c>
      <c r="G924" s="42" t="n">
        <f aca="false">IF(D924="","",D924/SUMIFS($D$5:$D$1369,$B$5:$B$1369,B924,$C$5:$C$1369,C924))</f>
        <v>0.00105541136490993</v>
      </c>
      <c r="H924" s="42" t="n">
        <f aca="false">E924/SUMIFS($E$5:$E$1369,$B$5:$B$1369,B924,$C$5:$C$1369,C924)</f>
        <v>0.000642311235374274</v>
      </c>
      <c r="I924" s="43" t="n">
        <f aca="false">IF(G924="",H924,p_beta_alloc*G924+(1-p_beta_alloc)*H924)*F924^p_phi</f>
        <v>0.000518619953417067</v>
      </c>
      <c r="J924" s="16" t="n">
        <f aca="false">INDEX(Sector_Params!$C$18:$E$18,MATCH(B924,Sector_Params!$C$15:$E$15,0))*I924/SUMIFS($I$5:$I$1369,$B$5:$B$1369,B924,$C$5:$C$1369,C924)</f>
        <v>0.212362599746418</v>
      </c>
      <c r="K924" s="28" t="n">
        <f aca="false">INDEX(Sector_Params!$F$7:$H$7,MATCH(B924,Sector_Params!$C$15:$E$15,0))</f>
        <v>0.24</v>
      </c>
      <c r="L924" s="16" t="n">
        <f aca="false">J924*K924</f>
        <v>0.0509670239391404</v>
      </c>
      <c r="M924" s="44" t="n">
        <f aca="false">Country_Data!$DW$136+Sector_Params!$E$7</f>
        <v>0.105</v>
      </c>
      <c r="N924" s="44" t="n">
        <f aca="false">Country_Data!$DX$136+Sector_Params!$E$7</f>
        <v>0.15</v>
      </c>
      <c r="O924" s="11" t="n">
        <f aca="false">IF(p_use_ibrd=1,p_r_ibrd,p_r_wb)</f>
        <v>0.06</v>
      </c>
      <c r="P924" s="45" t="n">
        <f aca="false">Sector_Params!$D$7</f>
        <v>12</v>
      </c>
      <c r="Q924" s="46" t="n">
        <f aca="false">M924/(1-(1+M924)^-P924)</f>
        <v>0.150376745634766</v>
      </c>
      <c r="R924" s="46" t="n">
        <f aca="false">N924/(1-(1+N924)^-P924)</f>
        <v>0.18448077613084</v>
      </c>
      <c r="S924" s="46" t="n">
        <f aca="false">O924/(1-(1+O924)^-P924)</f>
        <v>0.119277029380664</v>
      </c>
      <c r="T924" s="37" t="n">
        <f aca="false">IF(AND(p_eng=1,ISNUMBER(Country_Data!$DE$136)),Country_Data!$DE$136,Country_Data!$CM$136)*Sector_Params!$I$7</f>
        <v>0.14613444</v>
      </c>
      <c r="U924" s="37" t="n">
        <f aca="false">IF(AND(p_eng=1,ISNUMBER(Country_Data!$DF$136)),Country_Data!$DF$136,Country_Data!$CN$136)*Sector_Params!$J$7</f>
        <v>0.010197675</v>
      </c>
      <c r="V924" s="37" t="n">
        <f aca="false">IF(AND(p_eng=1,ISNUMBER(Country_Data!$DG$136)),Country_Data!$DG$136,p_a)</f>
        <v>0.0249621297376094</v>
      </c>
      <c r="W924" s="16" t="n">
        <f aca="false">T924*L924</f>
        <v>0.00744803750181288</v>
      </c>
      <c r="X924" s="16" t="n">
        <f aca="false">U924*L924</f>
        <v>0.000519745145848574</v>
      </c>
      <c r="Y924" s="16" t="n">
        <f aca="false">V924*L924</f>
        <v>0.00127224546390867</v>
      </c>
      <c r="Z924" s="16" t="n">
        <f aca="false">Q924*L924</f>
        <v>0.00766425519465713</v>
      </c>
      <c r="AA924" s="16" t="n">
        <f aca="false">R924*L924</f>
        <v>0.0094024361333717</v>
      </c>
      <c r="AB924" s="16" t="n">
        <f aca="false">S924*L924</f>
        <v>0.00607919521183383</v>
      </c>
      <c r="AC924" s="16" t="n">
        <f aca="false">Z924-W924</f>
        <v>0.000216217692844255</v>
      </c>
      <c r="AD924" s="16" t="n">
        <f aca="false">AA924-W924</f>
        <v>0.00195439863155882</v>
      </c>
      <c r="AE924" s="16" t="n">
        <f aca="false">AB924-W924</f>
        <v>-0.00136884228997904</v>
      </c>
      <c r="AF924" s="16" t="n">
        <f aca="false">AE924-X924</f>
        <v>-0.00188858743582762</v>
      </c>
      <c r="AG924" s="16" t="n">
        <f aca="false">AF924-p_spc_lo*Y924/1000</f>
        <v>-0.00195219970902305</v>
      </c>
      <c r="AH924" s="16" t="n">
        <f aca="false">AF924-p_spc_hi*Y924/1000</f>
        <v>-0.00201581198221849</v>
      </c>
      <c r="AI924" s="16" t="n">
        <f aca="false">Q924*J924</f>
        <v>0.0319343966444047</v>
      </c>
      <c r="AJ924" s="16" t="n">
        <f aca="false">S924*J924</f>
        <v>0.0253299800493076</v>
      </c>
      <c r="AK924" s="16" t="n">
        <f aca="false">T924*J924</f>
        <v>0.031033489590887</v>
      </c>
      <c r="AL924" s="16" t="n">
        <f aca="false">U924*J924</f>
        <v>0.00216560477436906</v>
      </c>
      <c r="AM924" s="16" t="n">
        <f aca="false">AI924-AJ924</f>
        <v>0.00660441659509708</v>
      </c>
      <c r="AN924" s="16" t="n">
        <f aca="false">J924*Country_Data!$EB$136</f>
        <v>0.250526313324036</v>
      </c>
      <c r="AO924" s="16" t="n">
        <f aca="false">L924*Country_Data!$EB$136</f>
        <v>0.0601263151977685</v>
      </c>
    </row>
    <row r="925" customFormat="false" ht="15" hidden="false" customHeight="false" outlineLevel="0" collapsed="false">
      <c r="A925" s="14" t="str">
        <f aca="false">Country_Data!$A$136</f>
        <v>BWA</v>
      </c>
      <c r="B925" s="14" t="str">
        <f aca="false">Country_Data!$E$136</f>
        <v>EMDC</v>
      </c>
      <c r="C925" s="35" t="s">
        <v>477</v>
      </c>
      <c r="D925" s="37" t="n">
        <f aca="false">IF(Country_Data!$CB$136="","",Country_Data!$CB$136)</f>
        <v>0.00771690485067789</v>
      </c>
      <c r="E925" s="40" t="n">
        <f aca="false">Country_Data!$BW$136</f>
        <v>51.855</v>
      </c>
      <c r="F925" s="41" t="n">
        <f aca="false">Country_Data!$BX$136</f>
        <v>0.37327162279433</v>
      </c>
      <c r="G925" s="42" t="n">
        <f aca="false">IF(D925="","",D925/SUMIFS($D$5:$D$1369,$B$5:$B$1369,B925,$C$5:$C$1369,C925))</f>
        <v>0.000243337507919586</v>
      </c>
      <c r="H925" s="42" t="n">
        <f aca="false">E925/SUMIFS($E$5:$E$1369,$B$5:$B$1369,B925,$C$5:$C$1369,C925)</f>
        <v>0.000642311235374274</v>
      </c>
      <c r="I925" s="43" t="n">
        <f aca="false">IF(G925="",H925,p_beta_alloc*G925+(1-p_beta_alloc)*H925)*F925^p_phi</f>
        <v>0.000270547797333943</v>
      </c>
      <c r="J925" s="16" t="n">
        <f aca="false">INDEX(Sector_Params!$C$19:$E$19,MATCH(B925,Sector_Params!$C$15:$E$15,0))*I925/SUMIFS($I$5:$I$1369,$B$5:$B$1369,B925,$C$5:$C$1369,C925)</f>
        <v>0.0870792165341539</v>
      </c>
      <c r="K925" s="28" t="n">
        <f aca="false">INDEX(Sector_Params!$F$8:$H$8,MATCH(B925,Sector_Params!$C$15:$E$15,0))</f>
        <v>0.24</v>
      </c>
      <c r="L925" s="16" t="n">
        <f aca="false">J925*K925</f>
        <v>0.0208990119681969</v>
      </c>
      <c r="M925" s="44" t="n">
        <f aca="false">Country_Data!$DW$136+Sector_Params!$E$8</f>
        <v>0.105</v>
      </c>
      <c r="N925" s="44" t="n">
        <f aca="false">Country_Data!$DX$136+Sector_Params!$E$8</f>
        <v>0.15</v>
      </c>
      <c r="O925" s="11" t="n">
        <f aca="false">IF(p_use_ibrd=1,p_r_ibrd,p_r_wb)</f>
        <v>0.06</v>
      </c>
      <c r="P925" s="45" t="n">
        <f aca="false">Sector_Params!$D$8</f>
        <v>25</v>
      </c>
      <c r="Q925" s="46" t="n">
        <f aca="false">M925/(1-(1+M925)^-P925)</f>
        <v>0.114429319813103</v>
      </c>
      <c r="R925" s="46" t="n">
        <f aca="false">N925/(1-(1+N925)^-P925)</f>
        <v>0.154699402320206</v>
      </c>
      <c r="S925" s="46" t="n">
        <f aca="false">O925/(1-(1+O925)^-P925)</f>
        <v>0.078226718212274</v>
      </c>
      <c r="T925" s="37" t="n">
        <f aca="false">Country_Data!$CM$136*Sector_Params!$I$8</f>
        <v>0.113932124624395</v>
      </c>
      <c r="U925" s="37" t="n">
        <f aca="false">Country_Data!$CN$136*Sector_Params!$J$8</f>
        <v>0.0465412821153403</v>
      </c>
      <c r="V925" s="37" t="n">
        <f aca="false">p_a</f>
        <v>0.35</v>
      </c>
      <c r="W925" s="16" t="n">
        <f aca="false">T925*L925</f>
        <v>0.00238106883608734</v>
      </c>
      <c r="X925" s="16" t="n">
        <f aca="false">U925*L925</f>
        <v>0.000972666811943728</v>
      </c>
      <c r="Y925" s="16" t="n">
        <f aca="false">V925*L925</f>
        <v>0.00731465418886893</v>
      </c>
      <c r="Z925" s="16" t="n">
        <f aca="false">Q925*L925</f>
        <v>0.00239145972428668</v>
      </c>
      <c r="AA925" s="16" t="n">
        <f aca="false">R925*L925</f>
        <v>0.00323306466056291</v>
      </c>
      <c r="AB925" s="16" t="n">
        <f aca="false">S925*L925</f>
        <v>0.00163486112015108</v>
      </c>
      <c r="AC925" s="16" t="n">
        <f aca="false">Z925-W925</f>
        <v>1.03908881993434E-005</v>
      </c>
      <c r="AD925" s="16" t="n">
        <f aca="false">AA925-W925</f>
        <v>0.00085199582447557</v>
      </c>
      <c r="AE925" s="16" t="n">
        <f aca="false">AB925-W925</f>
        <v>-0.000746207715936255</v>
      </c>
      <c r="AF925" s="16" t="n">
        <f aca="false">AE925-X925</f>
        <v>-0.00171887452787998</v>
      </c>
      <c r="AG925" s="16" t="n">
        <f aca="false">AF925-p_spc_lo*Y925/1000</f>
        <v>-0.00208460723732343</v>
      </c>
      <c r="AH925" s="16" t="n">
        <f aca="false">AF925-p_spc_hi*Y925/1000</f>
        <v>-0.00245033994676688</v>
      </c>
      <c r="AI925" s="16" t="n">
        <f aca="false">Q925*J925</f>
        <v>0.00996441551786117</v>
      </c>
      <c r="AJ925" s="16" t="n">
        <f aca="false">S925*J925</f>
        <v>0.00681192133396284</v>
      </c>
      <c r="AK925" s="16" t="n">
        <f aca="false">T925*J925</f>
        <v>0.00992112015036391</v>
      </c>
      <c r="AL925" s="16" t="n">
        <f aca="false">U925*J925</f>
        <v>0.00405277838309887</v>
      </c>
      <c r="AM925" s="16" t="n">
        <f aca="false">AI925-AJ925</f>
        <v>0.00315249418389833</v>
      </c>
      <c r="AN925" s="16" t="n">
        <f aca="false">J925*Country_Data!$EB$136</f>
        <v>0.102728235157683</v>
      </c>
      <c r="AO925" s="16" t="n">
        <f aca="false">L925*Country_Data!$EB$136</f>
        <v>0.0246547764378439</v>
      </c>
    </row>
    <row r="926" customFormat="false" ht="15" hidden="false" customHeight="false" outlineLevel="0" collapsed="false">
      <c r="A926" s="14" t="str">
        <f aca="false">Country_Data!$A$136</f>
        <v>BWA</v>
      </c>
      <c r="B926" s="14" t="str">
        <f aca="false">Country_Data!$E$136</f>
        <v>EMDC</v>
      </c>
      <c r="C926" s="35" t="s">
        <v>481</v>
      </c>
      <c r="D926" s="37" t="n">
        <f aca="false">IF(Country_Data!$CC$136="","",Country_Data!$CC$136)</f>
        <v>0.012231869660822</v>
      </c>
      <c r="E926" s="40" t="n">
        <f aca="false">Country_Data!$BW$136</f>
        <v>51.855</v>
      </c>
      <c r="F926" s="41" t="n">
        <f aca="false">Country_Data!$BX$136</f>
        <v>0.37327162279433</v>
      </c>
      <c r="G926" s="42" t="n">
        <f aca="false">IF(D926="","",D926/SUMIFS($D$5:$D$1369,$B$5:$B$1369,B926,$C$5:$C$1369,C926))</f>
        <v>0.000174722880069243</v>
      </c>
      <c r="H926" s="42" t="n">
        <f aca="false">E926/SUMIFS($E$5:$E$1369,$B$5:$B$1369,B926,$C$5:$C$1369,C926)</f>
        <v>0.000642311235374274</v>
      </c>
      <c r="I926" s="43" t="n">
        <f aca="false">IF(G926="",H926,p_beta_alloc*G926+(1-p_beta_alloc)*H926)*F926^p_phi</f>
        <v>0.000249587414822974</v>
      </c>
      <c r="J926" s="16" t="n">
        <f aca="false">INDEX(Sector_Params!$C$20:$E$20,MATCH(B926,Sector_Params!$C$15:$E$15,0))*I926/SUMIFS($I$5:$I$1369,$B$5:$B$1369,B926,$C$5:$C$1369,C926)</f>
        <v>0.0455547293184316</v>
      </c>
      <c r="K926" s="28" t="n">
        <f aca="false">INDEX(Sector_Params!$F$9:$H$9,MATCH(B926,Sector_Params!$C$15:$E$15,0))</f>
        <v>0.24</v>
      </c>
      <c r="L926" s="16" t="n">
        <f aca="false">J926*K926</f>
        <v>0.0109331350364236</v>
      </c>
      <c r="M926" s="44" t="n">
        <f aca="false">Country_Data!$DW$136+Sector_Params!$E$9</f>
        <v>0.105</v>
      </c>
      <c r="N926" s="44" t="n">
        <f aca="false">Country_Data!$DX$136+Sector_Params!$E$9</f>
        <v>0.15</v>
      </c>
      <c r="O926" s="11" t="n">
        <f aca="false">IF(p_use_ibrd=1,p_r_ibrd,p_r_wb)</f>
        <v>0.06</v>
      </c>
      <c r="P926" s="45" t="n">
        <f aca="false">Sector_Params!$D$9</f>
        <v>25</v>
      </c>
      <c r="Q926" s="46" t="n">
        <f aca="false">M926/(1-(1+M926)^-P926)</f>
        <v>0.114429319813103</v>
      </c>
      <c r="R926" s="46" t="n">
        <f aca="false">N926/(1-(1+N926)^-P926)</f>
        <v>0.154699402320206</v>
      </c>
      <c r="S926" s="46" t="n">
        <f aca="false">O926/(1-(1+O926)^-P926)</f>
        <v>0.078226718212274</v>
      </c>
      <c r="T926" s="37" t="n">
        <f aca="false">Country_Data!$CM$136*Sector_Params!$I$9</f>
        <v>0.113932124624395</v>
      </c>
      <c r="U926" s="37" t="n">
        <f aca="false">Country_Data!$CN$136*Sector_Params!$J$9</f>
        <v>0.0465412821153403</v>
      </c>
      <c r="V926" s="37" t="n">
        <f aca="false">p_a</f>
        <v>0.35</v>
      </c>
      <c r="W926" s="16" t="n">
        <f aca="false">T926*L926</f>
        <v>0.00124563530350515</v>
      </c>
      <c r="X926" s="16" t="n">
        <f aca="false">U926*L926</f>
        <v>0.000508842122135301</v>
      </c>
      <c r="Y926" s="16" t="n">
        <f aca="false">V926*L926</f>
        <v>0.00382659726274825</v>
      </c>
      <c r="Z926" s="16" t="n">
        <f aca="false">Q926*L926</f>
        <v>0.00125107120564276</v>
      </c>
      <c r="AA926" s="16" t="n">
        <f aca="false">R926*L926</f>
        <v>0.00169134945562084</v>
      </c>
      <c r="AB926" s="16" t="n">
        <f aca="false">S926*L926</f>
        <v>0.000855263273671046</v>
      </c>
      <c r="AC926" s="16" t="n">
        <f aca="false">Z926-W926</f>
        <v>5.43590213760749E-006</v>
      </c>
      <c r="AD926" s="16" t="n">
        <f aca="false">AA926-W926</f>
        <v>0.000445714152115685</v>
      </c>
      <c r="AE926" s="16" t="n">
        <f aca="false">AB926-W926</f>
        <v>-0.000390372029834104</v>
      </c>
      <c r="AF926" s="16" t="n">
        <f aca="false">AE926-X926</f>
        <v>-0.000899214151969405</v>
      </c>
      <c r="AG926" s="16" t="n">
        <f aca="false">AF926-p_spc_lo*Y926/1000</f>
        <v>-0.00109054401510682</v>
      </c>
      <c r="AH926" s="16" t="n">
        <f aca="false">AF926-p_spc_hi*Y926/1000</f>
        <v>-0.00128187387824423</v>
      </c>
      <c r="AI926" s="16" t="n">
        <f aca="false">Q926*J926</f>
        <v>0.00521279669017816</v>
      </c>
      <c r="AJ926" s="16" t="n">
        <f aca="false">S926*J926</f>
        <v>0.00356359697362936</v>
      </c>
      <c r="AK926" s="16" t="n">
        <f aca="false">T926*J926</f>
        <v>0.00519014709793813</v>
      </c>
      <c r="AL926" s="16" t="n">
        <f aca="false">U926*J926</f>
        <v>0.00212017550889709</v>
      </c>
      <c r="AM926" s="16" t="n">
        <f aca="false">AI926-AJ926</f>
        <v>0.0016491997165488</v>
      </c>
      <c r="AN926" s="16" t="n">
        <f aca="false">J926*Country_Data!$EB$136</f>
        <v>0.0537413763263816</v>
      </c>
      <c r="AO926" s="16" t="n">
        <f aca="false">L926*Country_Data!$EB$136</f>
        <v>0.0128979303183316</v>
      </c>
    </row>
    <row r="927" customFormat="false" ht="15" hidden="false" customHeight="false" outlineLevel="0" collapsed="false">
      <c r="A927" s="14" t="str">
        <f aca="false">Country_Data!$A$136</f>
        <v>BWA</v>
      </c>
      <c r="B927" s="14" t="str">
        <f aca="false">Country_Data!$E$136</f>
        <v>EMDC</v>
      </c>
      <c r="C927" s="35" t="s">
        <v>484</v>
      </c>
      <c r="D927" s="37" t="n">
        <f aca="false">IF(Country_Data!$CD$136="","",Country_Data!$CD$136)</f>
        <v>0.0929575286941706</v>
      </c>
      <c r="E927" s="40" t="n">
        <f aca="false">Country_Data!$BW$136</f>
        <v>51.855</v>
      </c>
      <c r="F927" s="41" t="n">
        <f aca="false">Country_Data!$BX$136</f>
        <v>0.37327162279433</v>
      </c>
      <c r="G927" s="42" t="n">
        <f aca="false">IF(D927="","",D927/SUMIFS($D$5:$D$1369,$B$5:$B$1369,B927,$C$5:$C$1369,C927))</f>
        <v>0.000519108799410248</v>
      </c>
      <c r="H927" s="42" t="n">
        <f aca="false">E927/SUMIFS($E$5:$E$1369,$B$5:$B$1369,B927,$C$5:$C$1369,C927)</f>
        <v>0.000642311235374274</v>
      </c>
      <c r="I927" s="43" t="n">
        <f aca="false">IF(G927="",H927,p_beta_alloc*G927+(1-p_beta_alloc)*H927)*F927^p_phi</f>
        <v>0.000354790355171548</v>
      </c>
      <c r="J927" s="16" t="n">
        <f aca="false">INDEX(Sector_Params!$C$21:$E$21,MATCH(B927,Sector_Params!$C$15:$E$15,0))*I927/SUMIFS($I$5:$I$1369,$B$5:$B$1369,B927,$C$5:$C$1369,C927)</f>
        <v>0.0786888912313147</v>
      </c>
      <c r="K927" s="28" t="n">
        <f aca="false">INDEX(Sector_Params!$F$10:$H$10,MATCH(B927,Sector_Params!$C$15:$E$15,0))</f>
        <v>0.24</v>
      </c>
      <c r="L927" s="16" t="n">
        <f aca="false">J927*K927</f>
        <v>0.0188853338955155</v>
      </c>
      <c r="M927" s="44" t="n">
        <f aca="false">Country_Data!$DW$136+Sector_Params!$E$10</f>
        <v>0.105</v>
      </c>
      <c r="N927" s="44" t="n">
        <f aca="false">Country_Data!$DX$136+Sector_Params!$E$10</f>
        <v>0.15</v>
      </c>
      <c r="O927" s="11" t="n">
        <f aca="false">IF(p_use_ibrd=1,p_r_ibrd,p_r_wb)</f>
        <v>0.06</v>
      </c>
      <c r="P927" s="45" t="n">
        <f aca="false">Sector_Params!$D$10</f>
        <v>20</v>
      </c>
      <c r="Q927" s="46" t="n">
        <f aca="false">M927/(1-(1+M927)^-P927)</f>
        <v>0.121493265267016</v>
      </c>
      <c r="R927" s="46" t="n">
        <f aca="false">N927/(1-(1+N927)^-P927)</f>
        <v>0.159761470405744</v>
      </c>
      <c r="S927" s="46" t="n">
        <f aca="false">O927/(1-(1+O927)^-P927)</f>
        <v>0.0871845569768514</v>
      </c>
      <c r="T927" s="37" t="n">
        <f aca="false">0*Sector_Params!$I$10</f>
        <v>0</v>
      </c>
      <c r="U927" s="37" t="n">
        <f aca="false">0*Sector_Params!$J$10</f>
        <v>0</v>
      </c>
      <c r="V927" s="37" t="n">
        <f aca="false">1000*p_r_wb/(1-(1+p_r_wb)^-Sector_Params!$D$10)/p_cpt_fuel</f>
        <v>0.871845569768514</v>
      </c>
      <c r="W927" s="16" t="n">
        <f aca="false">T927*L927</f>
        <v>0</v>
      </c>
      <c r="X927" s="16" t="n">
        <f aca="false">U927*L927</f>
        <v>0</v>
      </c>
      <c r="Y927" s="16" t="n">
        <f aca="false">V927*L927</f>
        <v>0.0164650946904044</v>
      </c>
      <c r="Z927" s="16" t="n">
        <f aca="false">Q927*L927</f>
        <v>0.00229444088062404</v>
      </c>
      <c r="AA927" s="16" t="n">
        <f aca="false">R927*L927</f>
        <v>0.00301714871225099</v>
      </c>
      <c r="AB927" s="16" t="n">
        <f aca="false">S927*L927</f>
        <v>0.00164650946904044</v>
      </c>
      <c r="AC927" s="16" t="n">
        <f aca="false">Z927-W927</f>
        <v>0.00229444088062404</v>
      </c>
      <c r="AD927" s="16" t="n">
        <f aca="false">AA927-W927</f>
        <v>0.00301714871225099</v>
      </c>
      <c r="AE927" s="16" t="n">
        <f aca="false">AB927-W927</f>
        <v>0.00164650946904044</v>
      </c>
      <c r="AF927" s="16" t="n">
        <f aca="false">AE927-X927</f>
        <v>0.00164650946904044</v>
      </c>
      <c r="AG927" s="16" t="n">
        <f aca="false">AF927-p_spc_lo*Y927/1000</f>
        <v>0.000823254734520218</v>
      </c>
      <c r="AH927" s="16" t="n">
        <f aca="false">AF927-p_spc_hi*Y927/1000</f>
        <v>0</v>
      </c>
      <c r="AI927" s="16" t="n">
        <f aca="false">Q927*J927</f>
        <v>0.0095601703359335</v>
      </c>
      <c r="AJ927" s="16" t="n">
        <f aca="false">S927*J927</f>
        <v>0.00686045612100182</v>
      </c>
      <c r="AK927" s="16" t="n">
        <f aca="false">T927*J927</f>
        <v>0</v>
      </c>
      <c r="AL927" s="16" t="n">
        <f aca="false">U927*J927</f>
        <v>0</v>
      </c>
      <c r="AM927" s="16" t="n">
        <f aca="false">AI927-AJ927</f>
        <v>0.00269971421493168</v>
      </c>
      <c r="AN927" s="16" t="n">
        <f aca="false">J927*Country_Data!$EB$136</f>
        <v>0.0928300832786814</v>
      </c>
      <c r="AO927" s="16" t="n">
        <f aca="false">L927*Country_Data!$EB$136</f>
        <v>0.0222792199868835</v>
      </c>
    </row>
    <row r="928" customFormat="false" ht="15" hidden="false" customHeight="false" outlineLevel="0" collapsed="false">
      <c r="A928" s="14" t="str">
        <f aca="false">Country_Data!$A$136</f>
        <v>BWA</v>
      </c>
      <c r="B928" s="14" t="str">
        <f aca="false">Country_Data!$E$136</f>
        <v>EMDC</v>
      </c>
      <c r="C928" s="35" t="s">
        <v>488</v>
      </c>
      <c r="D928" s="37" t="n">
        <f aca="false">IF(Country_Data!$CE$136="","",Country_Data!$CE$136)</f>
        <v>43.907</v>
      </c>
      <c r="E928" s="40" t="n">
        <f aca="false">Country_Data!$BW$136</f>
        <v>51.855</v>
      </c>
      <c r="F928" s="41" t="n">
        <f aca="false">Country_Data!$BX$136</f>
        <v>0.37327162279433</v>
      </c>
      <c r="G928" s="42" t="n">
        <f aca="false">IF(D928="","",D928/SUMIFS($D$5:$D$1369,$B$5:$B$1369,B928,$C$5:$C$1369,C928))</f>
        <v>0.00359772240663186</v>
      </c>
      <c r="H928" s="42" t="n">
        <f aca="false">E928/SUMIFS($E$5:$E$1369,$B$5:$B$1369,B928,$C$5:$C$1369,C928)</f>
        <v>0.000642311235374274</v>
      </c>
      <c r="I928" s="43" t="n">
        <f aca="false">IF(G928="",H928,p_beta_alloc*G928+(1-p_beta_alloc)*H928)*F928^p_phi</f>
        <v>0.00129524461153778</v>
      </c>
      <c r="J928" s="16" t="n">
        <f aca="false">INDEX(Sector_Params!$C$22:$E$22,MATCH(B928,Sector_Params!$C$15:$E$15,0))*I928/SUMIFS($I$5:$I$1369,$B$5:$B$1369,B928,$C$5:$C$1369,C928)</f>
        <v>0.780784316630301</v>
      </c>
      <c r="K928" s="28" t="n">
        <f aca="false">INDEX(Sector_Params!$F$11:$H$11,MATCH(B928,Sector_Params!$C$15:$E$15,0))</f>
        <v>0.24</v>
      </c>
      <c r="L928" s="16" t="n">
        <f aca="false">J928*K928</f>
        <v>0.187388235991272</v>
      </c>
      <c r="M928" s="44" t="n">
        <f aca="false">Country_Data!$DW$136+Sector_Params!$E$11</f>
        <v>0.105</v>
      </c>
      <c r="N928" s="44" t="n">
        <f aca="false">Country_Data!$DX$136+Sector_Params!$E$11</f>
        <v>0.15</v>
      </c>
      <c r="O928" s="11" t="n">
        <f aca="false">IF(p_use_ibrd=1,p_r_ibrd,p_r_wb)</f>
        <v>0.06</v>
      </c>
      <c r="P928" s="45" t="n">
        <f aca="false">Sector_Params!$D$11</f>
        <v>30</v>
      </c>
      <c r="Q928" s="46" t="n">
        <f aca="false">M928/(1-(1+M928)^-P928)</f>
        <v>0.110528481529605</v>
      </c>
      <c r="R928" s="46" t="n">
        <f aca="false">N928/(1-(1+N928)^-P928)</f>
        <v>0.152300198192734</v>
      </c>
      <c r="S928" s="46" t="n">
        <f aca="false">O928/(1-(1+O928)^-P928)</f>
        <v>0.0726489114900472</v>
      </c>
      <c r="T928" s="37" t="n">
        <f aca="false">0*Sector_Params!$I$11</f>
        <v>0</v>
      </c>
      <c r="U928" s="37" t="n">
        <f aca="false">p_c*Sector_Params!$J$11</f>
        <v>0.129</v>
      </c>
      <c r="V928" s="37" t="n">
        <f aca="false">1000*p_r_wb/(1-(1+p_r_wb)^-Sector_Params!$D$11)/p_cpt_afolu</f>
        <v>1.45297822980094</v>
      </c>
      <c r="W928" s="16" t="n">
        <f aca="false">T928*L928</f>
        <v>0</v>
      </c>
      <c r="X928" s="16" t="n">
        <f aca="false">U928*L928</f>
        <v>0.0241730824428741</v>
      </c>
      <c r="Y928" s="16" t="n">
        <f aca="false">V928*L928</f>
        <v>0.27227102741612</v>
      </c>
      <c r="Z928" s="16" t="n">
        <f aca="false">Q928*L928</f>
        <v>0.0207117371806266</v>
      </c>
      <c r="AA928" s="16" t="n">
        <f aca="false">R928*L928</f>
        <v>0.0285392654804576</v>
      </c>
      <c r="AB928" s="16" t="n">
        <f aca="false">S928*L928</f>
        <v>0.013613551370806</v>
      </c>
      <c r="AC928" s="16" t="n">
        <f aca="false">Z928-W928</f>
        <v>0.0207117371806266</v>
      </c>
      <c r="AD928" s="16" t="n">
        <f aca="false">AA928-W928</f>
        <v>0.0285392654804576</v>
      </c>
      <c r="AE928" s="16" t="n">
        <f aca="false">AB928-W928</f>
        <v>0.013613551370806</v>
      </c>
      <c r="AF928" s="16" t="n">
        <f aca="false">AE928-X928</f>
        <v>-0.0105595310720681</v>
      </c>
      <c r="AG928" s="16" t="n">
        <f aca="false">AF928-p_spc_lo*Y928/1000</f>
        <v>-0.0241730824428741</v>
      </c>
      <c r="AH928" s="16" t="n">
        <f aca="false">AF928-p_spc_hi*Y928/1000</f>
        <v>-0.0377866338136801</v>
      </c>
      <c r="AI928" s="16" t="n">
        <f aca="false">Q928*J928</f>
        <v>0.0862989049192776</v>
      </c>
      <c r="AJ928" s="16" t="n">
        <f aca="false">S928*J928</f>
        <v>0.0567231307116917</v>
      </c>
      <c r="AK928" s="16" t="n">
        <f aca="false">T928*J928</f>
        <v>0</v>
      </c>
      <c r="AL928" s="16" t="n">
        <f aca="false">U928*J928</f>
        <v>0.100721176845309</v>
      </c>
      <c r="AM928" s="16" t="n">
        <f aca="false">AI928-AJ928</f>
        <v>0.0295757742075859</v>
      </c>
      <c r="AN928" s="16" t="n">
        <f aca="false">J928*Country_Data!$EB$136</f>
        <v>0.92109917932908</v>
      </c>
      <c r="AO928" s="16" t="n">
        <f aca="false">L928*Country_Data!$EB$136</f>
        <v>0.221063803038979</v>
      </c>
    </row>
    <row r="929" customFormat="false" ht="15" hidden="false" customHeight="false" outlineLevel="0" collapsed="false">
      <c r="A929" s="14" t="str">
        <f aca="false">Country_Data!$A$137</f>
        <v>MDA</v>
      </c>
      <c r="B929" s="14" t="str">
        <f aca="false">Country_Data!$E$137</f>
        <v>EMDC</v>
      </c>
      <c r="C929" s="35" t="s">
        <v>466</v>
      </c>
      <c r="D929" s="37" t="n">
        <f aca="false">IF(Country_Data!$BZ$137="","",Country_Data!$BZ$137)</f>
        <v>4.7093158736521</v>
      </c>
      <c r="E929" s="40" t="n">
        <f aca="false">Country_Data!$BW$137</f>
        <v>44.872</v>
      </c>
      <c r="F929" s="41" t="n">
        <f aca="false">Country_Data!$BX$137</f>
        <v>0.405776430736317</v>
      </c>
      <c r="G929" s="42" t="n">
        <f aca="false">IF(D929="","",D929/SUMIFS($D$5:$D$1369,$B$5:$B$1369,B929,$C$5:$C$1369,C929))</f>
        <v>0.000537625556546472</v>
      </c>
      <c r="H929" s="42" t="n">
        <f aca="false">E929/SUMIFS($E$5:$E$1369,$B$5:$B$1369,B929,$C$5:$C$1369,C929)</f>
        <v>0.000555815056478921</v>
      </c>
      <c r="I929" s="43" t="n">
        <f aca="false">IF(G929="",H929,p_beta_alloc*G929+(1-p_beta_alloc)*H929)*F929^p_phi</f>
        <v>0.000348264024036529</v>
      </c>
      <c r="J929" s="16" t="n">
        <f aca="false">INDEX(Sector_Params!$C$16:$E$16,MATCH(B929,Sector_Params!$C$15:$E$15,0))*I929/SUMIFS($I$5:$I$1369,$B$5:$B$1369,B929,$C$5:$C$1369,C929)</f>
        <v>0.336849793302371</v>
      </c>
      <c r="K929" s="28" t="n">
        <f aca="false">INDEX(Sector_Params!$F$5:$H$5,MATCH(B929,Sector_Params!$C$15:$E$15,0))</f>
        <v>0.24</v>
      </c>
      <c r="L929" s="16" t="n">
        <f aca="false">J929*K929</f>
        <v>0.0808439503925692</v>
      </c>
      <c r="M929" s="44" t="n">
        <f aca="false">Country_Data!$DW$137+Sector_Params!$E$5</f>
        <v>0.105</v>
      </c>
      <c r="N929" s="44" t="n">
        <f aca="false">Country_Data!$DX$137+Sector_Params!$E$5</f>
        <v>0.15</v>
      </c>
      <c r="O929" s="11" t="n">
        <f aca="false">IF(p_use_ibrd=1,p_r_ibrd,p_r_wb)</f>
        <v>0.06</v>
      </c>
      <c r="P929" s="45" t="n">
        <f aca="false">Sector_Params!$D$5</f>
        <v>25</v>
      </c>
      <c r="Q929" s="46" t="n">
        <f aca="false">M929/(1-(1+M929)^-P929)</f>
        <v>0.114429319813103</v>
      </c>
      <c r="R929" s="46" t="n">
        <f aca="false">N929/(1-(1+N929)^-P929)</f>
        <v>0.154699402320206</v>
      </c>
      <c r="S929" s="46" t="n">
        <f aca="false">O929/(1-(1+O929)^-P929)</f>
        <v>0.078226718212274</v>
      </c>
      <c r="T929" s="37" t="n">
        <f aca="false">IF(AND(p_eng=1,ISNUMBER(Country_Data!$CZ$137)),Country_Data!$CZ$137,Country_Data!$CM$137)*Sector_Params!$I$5</f>
        <v>0.233001888319215</v>
      </c>
      <c r="U929" s="37" t="n">
        <f aca="false">IF(AND(p_eng=1,ISNUMBER(Country_Data!$DA$137)),Country_Data!$DA$137,Country_Data!$CN$137)*Sector_Params!$J$5</f>
        <v>0.00317033190282576</v>
      </c>
      <c r="V929" s="37" t="n">
        <f aca="false">IF(AND(p_eng=1,ISNUMBER(Country_Data!$DB$137)),Country_Data!$DB$137,p_a)</f>
        <v>0.762197523103637</v>
      </c>
      <c r="W929" s="16" t="n">
        <f aca="false">T929*L929</f>
        <v>0.0188367931006535</v>
      </c>
      <c r="X929" s="16" t="n">
        <f aca="false">U929*L929</f>
        <v>0.000256302155080025</v>
      </c>
      <c r="Y929" s="16" t="n">
        <f aca="false">V929*L929</f>
        <v>0.0616190587471295</v>
      </c>
      <c r="Z929" s="16" t="n">
        <f aca="false">Q929*L929</f>
        <v>0.00925091825442596</v>
      </c>
      <c r="AA929" s="16" t="n">
        <f aca="false">R929*L929</f>
        <v>0.0125065108069349</v>
      </c>
      <c r="AB929" s="16" t="n">
        <f aca="false">S929*L929</f>
        <v>0.00632415692652656</v>
      </c>
      <c r="AC929" s="16" t="n">
        <f aca="false">Z929-W929</f>
        <v>-0.00958587484622759</v>
      </c>
      <c r="AD929" s="16" t="n">
        <f aca="false">AA929-W929</f>
        <v>-0.00633028229371867</v>
      </c>
      <c r="AE929" s="16" t="n">
        <f aca="false">AB929-W929</f>
        <v>-0.012512636174127</v>
      </c>
      <c r="AF929" s="16" t="n">
        <f aca="false">AE929-X929</f>
        <v>-0.012768938329207</v>
      </c>
      <c r="AG929" s="16" t="n">
        <f aca="false">AF929-p_spc_lo*Y929/1000</f>
        <v>-0.0158498912665635</v>
      </c>
      <c r="AH929" s="16" t="n">
        <f aca="false">AF929-p_spc_hi*Y929/1000</f>
        <v>-0.01893084420392</v>
      </c>
      <c r="AI929" s="16" t="n">
        <f aca="false">Q929*J929</f>
        <v>0.0385454927267748</v>
      </c>
      <c r="AJ929" s="16" t="n">
        <f aca="false">S929*J929</f>
        <v>0.0263506538605273</v>
      </c>
      <c r="AK929" s="16" t="n">
        <f aca="false">T929*J929</f>
        <v>0.0784866379193898</v>
      </c>
      <c r="AL929" s="16" t="n">
        <f aca="false">U929*J929</f>
        <v>0.00106792564616677</v>
      </c>
      <c r="AM929" s="16" t="n">
        <f aca="false">AI929-AJ929</f>
        <v>0.0121948388662475</v>
      </c>
      <c r="AN929" s="16" t="n">
        <f aca="false">J929*Country_Data!$EB$137</f>
        <v>0.411008972603049</v>
      </c>
      <c r="AO929" s="16" t="n">
        <f aca="false">L929*Country_Data!$EB$137</f>
        <v>0.0986421534247317</v>
      </c>
    </row>
    <row r="930" customFormat="false" ht="15" hidden="false" customHeight="false" outlineLevel="0" collapsed="false">
      <c r="A930" s="14" t="str">
        <f aca="false">Country_Data!$A$137</f>
        <v>MDA</v>
      </c>
      <c r="B930" s="14" t="str">
        <f aca="false">Country_Data!$E$137</f>
        <v>EMDC</v>
      </c>
      <c r="C930" s="35" t="s">
        <v>470</v>
      </c>
      <c r="D930" s="37" t="n">
        <f aca="false">IF(Country_Data!$BZ$137="","",Country_Data!$BZ$137)</f>
        <v>4.7093158736521</v>
      </c>
      <c r="E930" s="40" t="n">
        <f aca="false">Country_Data!$BW$137</f>
        <v>44.872</v>
      </c>
      <c r="F930" s="41" t="n">
        <f aca="false">Country_Data!$BX$137</f>
        <v>0.405776430736317</v>
      </c>
      <c r="G930" s="42" t="n">
        <f aca="false">IF(D930="","",D930/SUMIFS($D$5:$D$1369,$B$5:$B$1369,B930,$C$5:$C$1369,C930))</f>
        <v>0.000537625556546472</v>
      </c>
      <c r="H930" s="42" t="n">
        <f aca="false">E930/SUMIFS($E$5:$E$1369,$B$5:$B$1369,B930,$C$5:$C$1369,C930)</f>
        <v>0.000555815056478921</v>
      </c>
      <c r="I930" s="43" t="n">
        <f aca="false">IF(G930="",H930,p_beta_alloc*G930+(1-p_beta_alloc)*H930)*F930^p_phi</f>
        <v>0.000348264024036529</v>
      </c>
      <c r="J930" s="16" t="n">
        <f aca="false">INDEX(Sector_Params!$C$17:$E$17,MATCH(B930,Sector_Params!$C$15:$E$15,0))*I930/SUMIFS($I$5:$I$1369,$B$5:$B$1369,B930,$C$5:$C$1369,C930)</f>
        <v>0.23098271540734</v>
      </c>
      <c r="K930" s="28" t="n">
        <f aca="false">INDEX(Sector_Params!$F$6:$H$6,MATCH(B930,Sector_Params!$C$15:$E$15,0))</f>
        <v>0.24</v>
      </c>
      <c r="L930" s="16" t="n">
        <f aca="false">J930*K930</f>
        <v>0.0554358516977617</v>
      </c>
      <c r="M930" s="44" t="n">
        <f aca="false">Country_Data!$DW$137+Sector_Params!$E$6</f>
        <v>0.105</v>
      </c>
      <c r="N930" s="44" t="n">
        <f aca="false">Country_Data!$DX$137+Sector_Params!$E$6</f>
        <v>0.15</v>
      </c>
      <c r="O930" s="11" t="n">
        <f aca="false">IF(p_use_ibrd=1,p_r_ibrd,p_r_wb)</f>
        <v>0.06</v>
      </c>
      <c r="P930" s="45" t="n">
        <f aca="false">Sector_Params!$D$6</f>
        <v>40</v>
      </c>
      <c r="Q930" s="46" t="n">
        <f aca="false">M930/(1-(1+M930)^-P930)</f>
        <v>0.10697140835497</v>
      </c>
      <c r="R930" s="46" t="n">
        <f aca="false">N930/(1-(1+N930)^-P930)</f>
        <v>0.150562085013545</v>
      </c>
      <c r="S930" s="46" t="n">
        <f aca="false">O930/(1-(1+O930)^-P930)</f>
        <v>0.0664615359206755</v>
      </c>
      <c r="T930" s="37" t="n">
        <f aca="false">p_grid_credit*IF(AND(p_eng=1,ISNUMBER(Country_Data!$CZ$137)),Country_Data!$CZ$137,Country_Data!$CM$137)*Sector_Params!$I$6</f>
        <v>0</v>
      </c>
      <c r="U930" s="37" t="n">
        <f aca="false">p_grid_credit*IF(AND(p_eng=1,ISNUMBER(Country_Data!$DA$137)),Country_Data!$DA$137,Country_Data!$CN$137)*Sector_Params!$J$6</f>
        <v>0</v>
      </c>
      <c r="V930" s="37" t="n">
        <f aca="false">p_grid_credit*IF(AND(p_eng=1,ISNUMBER(Country_Data!$DB$137)),Country_Data!$DB$137,p_a)</f>
        <v>0</v>
      </c>
      <c r="W930" s="16" t="n">
        <f aca="false">T930*L930</f>
        <v>0</v>
      </c>
      <c r="X930" s="16" t="n">
        <f aca="false">U930*L930</f>
        <v>0</v>
      </c>
      <c r="Y930" s="16" t="n">
        <f aca="false">V930*L930</f>
        <v>0</v>
      </c>
      <c r="Z930" s="16" t="n">
        <f aca="false">Q930*L930</f>
        <v>0.00593005112946684</v>
      </c>
      <c r="AA930" s="16" t="n">
        <f aca="false">R930*L930</f>
        <v>0.00834653741611667</v>
      </c>
      <c r="AB930" s="16" t="n">
        <f aca="false">S930*L930</f>
        <v>0.00368435184890403</v>
      </c>
      <c r="AC930" s="16" t="n">
        <f aca="false">Z930-W930</f>
        <v>0.00593005112946684</v>
      </c>
      <c r="AD930" s="16" t="n">
        <f aca="false">AA930-W930</f>
        <v>0.00834653741611667</v>
      </c>
      <c r="AE930" s="16" t="n">
        <f aca="false">AB930-W930</f>
        <v>0.00368435184890403</v>
      </c>
      <c r="AF930" s="16" t="n">
        <f aca="false">AE930-X930</f>
        <v>0.00368435184890403</v>
      </c>
      <c r="AG930" s="16" t="n">
        <f aca="false">AF930-p_spc_lo*Y930/1000</f>
        <v>0.00368435184890403</v>
      </c>
      <c r="AH930" s="16" t="n">
        <f aca="false">AF930-p_spc_hi*Y930/1000</f>
        <v>0.00368435184890403</v>
      </c>
      <c r="AI930" s="16" t="n">
        <f aca="false">Q930*J930</f>
        <v>0.0247085463727785</v>
      </c>
      <c r="AJ930" s="16" t="n">
        <f aca="false">S930*J930</f>
        <v>0.0153514660371001</v>
      </c>
      <c r="AK930" s="16" t="n">
        <f aca="false">T930*J930</f>
        <v>0</v>
      </c>
      <c r="AL930" s="16" t="n">
        <f aca="false">U930*J930</f>
        <v>0</v>
      </c>
      <c r="AM930" s="16" t="n">
        <f aca="false">AI930-AJ930</f>
        <v>0.00935708033567839</v>
      </c>
      <c r="AN930" s="16" t="n">
        <f aca="false">J930*Country_Data!$EB$137</f>
        <v>0.281834724070662</v>
      </c>
      <c r="AO930" s="16" t="n">
        <f aca="false">L930*Country_Data!$EB$137</f>
        <v>0.0676403337769588</v>
      </c>
    </row>
    <row r="931" customFormat="false" ht="15" hidden="false" customHeight="false" outlineLevel="0" collapsed="false">
      <c r="A931" s="14" t="str">
        <f aca="false">Country_Data!$A$137</f>
        <v>MDA</v>
      </c>
      <c r="B931" s="14" t="str">
        <f aca="false">Country_Data!$E$137</f>
        <v>EMDC</v>
      </c>
      <c r="C931" s="35" t="s">
        <v>473</v>
      </c>
      <c r="D931" s="37" t="n">
        <f aca="false">IF(Country_Data!$CA$137="","",Country_Data!$CA$137)</f>
        <v>0.0370974538058271</v>
      </c>
      <c r="E931" s="40" t="n">
        <f aca="false">Country_Data!$BW$137</f>
        <v>44.872</v>
      </c>
      <c r="F931" s="41" t="n">
        <f aca="false">Country_Data!$BX$137</f>
        <v>0.405776430736317</v>
      </c>
      <c r="G931" s="42" t="n">
        <f aca="false">IF(D931="","",D931/SUMIFS($D$5:$D$1369,$B$5:$B$1369,B931,$C$5:$C$1369,C931))</f>
        <v>0.000857037498094963</v>
      </c>
      <c r="H931" s="42" t="n">
        <f aca="false">E931/SUMIFS($E$5:$E$1369,$B$5:$B$1369,B931,$C$5:$C$1369,C931)</f>
        <v>0.000555815056478921</v>
      </c>
      <c r="I931" s="43" t="n">
        <f aca="false">IF(G931="",H931,p_beta_alloc*G931+(1-p_beta_alloc)*H931)*F931^p_phi</f>
        <v>0.000449997658916995</v>
      </c>
      <c r="J931" s="16" t="n">
        <f aca="false">INDEX(Sector_Params!$C$18:$E$18,MATCH(B931,Sector_Params!$C$15:$E$15,0))*I931/SUMIFS($I$5:$I$1369,$B$5:$B$1369,B931,$C$5:$C$1369,C931)</f>
        <v>0.184263393835456</v>
      </c>
      <c r="K931" s="28" t="n">
        <f aca="false">INDEX(Sector_Params!$F$7:$H$7,MATCH(B931,Sector_Params!$C$15:$E$15,0))</f>
        <v>0.24</v>
      </c>
      <c r="L931" s="16" t="n">
        <f aca="false">J931*K931</f>
        <v>0.0442232145205096</v>
      </c>
      <c r="M931" s="44" t="n">
        <f aca="false">Country_Data!$DW$137+Sector_Params!$E$7</f>
        <v>0.105</v>
      </c>
      <c r="N931" s="44" t="n">
        <f aca="false">Country_Data!$DX$137+Sector_Params!$E$7</f>
        <v>0.15</v>
      </c>
      <c r="O931" s="11" t="n">
        <f aca="false">IF(p_use_ibrd=1,p_r_ibrd,p_r_wb)</f>
        <v>0.06</v>
      </c>
      <c r="P931" s="45" t="n">
        <f aca="false">Sector_Params!$D$7</f>
        <v>12</v>
      </c>
      <c r="Q931" s="46" t="n">
        <f aca="false">M931/(1-(1+M931)^-P931)</f>
        <v>0.150376745634766</v>
      </c>
      <c r="R931" s="46" t="n">
        <f aca="false">N931/(1-(1+N931)^-P931)</f>
        <v>0.18448077613084</v>
      </c>
      <c r="S931" s="46" t="n">
        <f aca="false">O931/(1-(1+O931)^-P931)</f>
        <v>0.119277029380664</v>
      </c>
      <c r="T931" s="37" t="n">
        <f aca="false">IF(AND(p_eng=1,ISNUMBER(Country_Data!$DE$137)),Country_Data!$DE$137,Country_Data!$CM$137)*Sector_Params!$I$7</f>
        <v>0.141885225</v>
      </c>
      <c r="U931" s="37" t="n">
        <f aca="false">IF(AND(p_eng=1,ISNUMBER(Country_Data!$DF$137)),Country_Data!$DF$137,Country_Data!$CN$137)*Sector_Params!$J$7</f>
        <v>0.017229825</v>
      </c>
      <c r="V931" s="37" t="n">
        <f aca="false">IF(AND(p_eng=1,ISNUMBER(Country_Data!$DG$137)),Country_Data!$DG$137,p_a)</f>
        <v>0.354412977508651</v>
      </c>
      <c r="W931" s="16" t="n">
        <f aca="false">T931*L931</f>
        <v>0.00627462074246577</v>
      </c>
      <c r="X931" s="16" t="n">
        <f aca="false">U931*L931</f>
        <v>0.000761958247125839</v>
      </c>
      <c r="Y931" s="16" t="n">
        <f aca="false">V931*L931</f>
        <v>0.0156732811332176</v>
      </c>
      <c r="Z931" s="16" t="n">
        <f aca="false">Q931*L931</f>
        <v>0.00665014308110234</v>
      </c>
      <c r="AA931" s="16" t="n">
        <f aca="false">R931*L931</f>
        <v>0.00815833293774422</v>
      </c>
      <c r="AB931" s="16" t="n">
        <f aca="false">S931*L931</f>
        <v>0.00527481365767021</v>
      </c>
      <c r="AC931" s="16" t="n">
        <f aca="false">Z931-W931</f>
        <v>0.000375522338636578</v>
      </c>
      <c r="AD931" s="16" t="n">
        <f aca="false">AA931-W931</f>
        <v>0.00188371219527845</v>
      </c>
      <c r="AE931" s="16" t="n">
        <f aca="false">AB931-W931</f>
        <v>-0.000999807084795561</v>
      </c>
      <c r="AF931" s="16" t="n">
        <f aca="false">AE931-X931</f>
        <v>-0.0017617653319214</v>
      </c>
      <c r="AG931" s="16" t="n">
        <f aca="false">AF931-p_spc_lo*Y931/1000</f>
        <v>-0.00254542938858228</v>
      </c>
      <c r="AH931" s="16" t="n">
        <f aca="false">AF931-p_spc_hi*Y931/1000</f>
        <v>-0.00332909344524316</v>
      </c>
      <c r="AI931" s="16" t="n">
        <f aca="false">Q931*J931</f>
        <v>0.0277089295045931</v>
      </c>
      <c r="AJ931" s="16" t="n">
        <f aca="false">S931*J931</f>
        <v>0.0219783902402925</v>
      </c>
      <c r="AK931" s="16" t="n">
        <f aca="false">T931*J931</f>
        <v>0.0261442530936074</v>
      </c>
      <c r="AL931" s="16" t="n">
        <f aca="false">U931*J931</f>
        <v>0.003174826029691</v>
      </c>
      <c r="AM931" s="16" t="n">
        <f aca="false">AI931-AJ931</f>
        <v>0.00573053926430057</v>
      </c>
      <c r="AN931" s="16" t="n">
        <f aca="false">J931*Country_Data!$EB$137</f>
        <v>0.224829908447293</v>
      </c>
      <c r="AO931" s="16" t="n">
        <f aca="false">L931*Country_Data!$EB$137</f>
        <v>0.0539591780273504</v>
      </c>
    </row>
    <row r="932" customFormat="false" ht="15" hidden="false" customHeight="false" outlineLevel="0" collapsed="false">
      <c r="A932" s="14" t="str">
        <f aca="false">Country_Data!$A$137</f>
        <v>MDA</v>
      </c>
      <c r="B932" s="14" t="str">
        <f aca="false">Country_Data!$E$137</f>
        <v>EMDC</v>
      </c>
      <c r="C932" s="35" t="s">
        <v>477</v>
      </c>
      <c r="D932" s="37" t="n">
        <f aca="false">IF(Country_Data!$CB$137="","",Country_Data!$CB$137)</f>
        <v>0.0400822369222036</v>
      </c>
      <c r="E932" s="40" t="n">
        <f aca="false">Country_Data!$BW$137</f>
        <v>44.872</v>
      </c>
      <c r="F932" s="41" t="n">
        <f aca="false">Country_Data!$BX$137</f>
        <v>0.405776430736317</v>
      </c>
      <c r="G932" s="42" t="n">
        <f aca="false">IF(D932="","",D932/SUMIFS($D$5:$D$1369,$B$5:$B$1369,B932,$C$5:$C$1369,C932))</f>
        <v>0.00126391498058119</v>
      </c>
      <c r="H932" s="42" t="n">
        <f aca="false">E932/SUMIFS($E$5:$E$1369,$B$5:$B$1369,B932,$C$5:$C$1369,C932)</f>
        <v>0.000555815056478921</v>
      </c>
      <c r="I932" s="43" t="n">
        <f aca="false">IF(G932="",H932,p_beta_alloc*G932+(1-p_beta_alloc)*H932)*F932^p_phi</f>
        <v>0.000579589323660855</v>
      </c>
      <c r="J932" s="16" t="n">
        <f aca="false">INDEX(Sector_Params!$C$19:$E$19,MATCH(B932,Sector_Params!$C$15:$E$15,0))*I932/SUMIFS($I$5:$I$1369,$B$5:$B$1369,B932,$C$5:$C$1369,C932)</f>
        <v>0.186548124631933</v>
      </c>
      <c r="K932" s="28" t="n">
        <f aca="false">INDEX(Sector_Params!$F$8:$H$8,MATCH(B932,Sector_Params!$C$15:$E$15,0))</f>
        <v>0.24</v>
      </c>
      <c r="L932" s="16" t="n">
        <f aca="false">J932*K932</f>
        <v>0.0447715499116639</v>
      </c>
      <c r="M932" s="44" t="n">
        <f aca="false">Country_Data!$DW$137+Sector_Params!$E$8</f>
        <v>0.105</v>
      </c>
      <c r="N932" s="44" t="n">
        <f aca="false">Country_Data!$DX$137+Sector_Params!$E$8</f>
        <v>0.15</v>
      </c>
      <c r="O932" s="11" t="n">
        <f aca="false">IF(p_use_ibrd=1,p_r_ibrd,p_r_wb)</f>
        <v>0.06</v>
      </c>
      <c r="P932" s="45" t="n">
        <f aca="false">Sector_Params!$D$8</f>
        <v>25</v>
      </c>
      <c r="Q932" s="46" t="n">
        <f aca="false">M932/(1-(1+M932)^-P932)</f>
        <v>0.114429319813103</v>
      </c>
      <c r="R932" s="46" t="n">
        <f aca="false">N932/(1-(1+N932)^-P932)</f>
        <v>0.154699402320206</v>
      </c>
      <c r="S932" s="46" t="n">
        <f aca="false">O932/(1-(1+O932)^-P932)</f>
        <v>0.078226718212274</v>
      </c>
      <c r="T932" s="37" t="n">
        <f aca="false">Country_Data!$CM$137*Sector_Params!$I$8</f>
        <v>0.283607659252207</v>
      </c>
      <c r="U932" s="37" t="n">
        <f aca="false">Country_Data!$CN$137*Sector_Params!$J$8</f>
        <v>0.0928865223810014</v>
      </c>
      <c r="V932" s="37" t="n">
        <f aca="false">p_a</f>
        <v>0.35</v>
      </c>
      <c r="W932" s="16" t="n">
        <f aca="false">T932*L932</f>
        <v>0.0126975544715404</v>
      </c>
      <c r="X932" s="16" t="n">
        <f aca="false">U932*L932</f>
        <v>0.00415867357290189</v>
      </c>
      <c r="Y932" s="16" t="n">
        <f aca="false">V932*L932</f>
        <v>0.0156700424690824</v>
      </c>
      <c r="Z932" s="16" t="n">
        <f aca="false">Q932*L932</f>
        <v>0.00512317800337011</v>
      </c>
      <c r="AA932" s="16" t="n">
        <f aca="false">R932*L932</f>
        <v>0.0069261320122837</v>
      </c>
      <c r="AB932" s="16" t="n">
        <f aca="false">S932*L932</f>
        <v>0.00350233141886649</v>
      </c>
      <c r="AC932" s="16" t="n">
        <f aca="false">Z932-W932</f>
        <v>-0.00757437646817026</v>
      </c>
      <c r="AD932" s="16" t="n">
        <f aca="false">AA932-W932</f>
        <v>-0.00577142245925667</v>
      </c>
      <c r="AE932" s="16" t="n">
        <f aca="false">AB932-W932</f>
        <v>-0.00919522305267388</v>
      </c>
      <c r="AF932" s="16" t="n">
        <f aca="false">AE932-X932</f>
        <v>-0.0133538966255758</v>
      </c>
      <c r="AG932" s="16" t="n">
        <f aca="false">AF932-p_spc_lo*Y932/1000</f>
        <v>-0.0141373987490299</v>
      </c>
      <c r="AH932" s="16" t="n">
        <f aca="false">AF932-p_spc_hi*Y932/1000</f>
        <v>-0.014920900872484</v>
      </c>
      <c r="AI932" s="16" t="n">
        <f aca="false">Q932*J932</f>
        <v>0.0213465750140421</v>
      </c>
      <c r="AJ932" s="16" t="n">
        <f aca="false">S932*J932</f>
        <v>0.0145930475786104</v>
      </c>
      <c r="AK932" s="16" t="n">
        <f aca="false">T932*J932</f>
        <v>0.0529064769647515</v>
      </c>
      <c r="AL932" s="16" t="n">
        <f aca="false">U932*J932</f>
        <v>0.0173278065537579</v>
      </c>
      <c r="AM932" s="16" t="n">
        <f aca="false">AI932-AJ932</f>
        <v>0.00675352743543173</v>
      </c>
      <c r="AN932" s="16" t="n">
        <f aca="false">J932*Country_Data!$EB$137</f>
        <v>0.227617634240824</v>
      </c>
      <c r="AO932" s="16" t="n">
        <f aca="false">L932*Country_Data!$EB$137</f>
        <v>0.0546282322177977</v>
      </c>
    </row>
    <row r="933" customFormat="false" ht="15" hidden="false" customHeight="false" outlineLevel="0" collapsed="false">
      <c r="A933" s="14" t="str">
        <f aca="false">Country_Data!$A$137</f>
        <v>MDA</v>
      </c>
      <c r="B933" s="14" t="str">
        <f aca="false">Country_Data!$E$137</f>
        <v>EMDC</v>
      </c>
      <c r="C933" s="35" t="s">
        <v>481</v>
      </c>
      <c r="D933" s="37" t="n">
        <f aca="false">IF(Country_Data!$CC$137="","",Country_Data!$CC$137)</f>
        <v>0.0377723611040336</v>
      </c>
      <c r="E933" s="40" t="n">
        <f aca="false">Country_Data!$BW$137</f>
        <v>44.872</v>
      </c>
      <c r="F933" s="41" t="n">
        <f aca="false">Country_Data!$BX$137</f>
        <v>0.405776430736317</v>
      </c>
      <c r="G933" s="42" t="n">
        <f aca="false">IF(D933="","",D933/SUMIFS($D$5:$D$1369,$B$5:$B$1369,B933,$C$5:$C$1369,C933))</f>
        <v>0.000539549218730695</v>
      </c>
      <c r="H933" s="42" t="n">
        <f aca="false">E933/SUMIFS($E$5:$E$1369,$B$5:$B$1369,B933,$C$5:$C$1369,C933)</f>
        <v>0.000555815056478921</v>
      </c>
      <c r="I933" s="43" t="n">
        <f aca="false">IF(G933="",H933,p_beta_alloc*G933+(1-p_beta_alloc)*H933)*F933^p_phi</f>
        <v>0.000348876716052158</v>
      </c>
      <c r="J933" s="16" t="n">
        <f aca="false">INDEX(Sector_Params!$C$20:$E$20,MATCH(B933,Sector_Params!$C$15:$E$15,0))*I933/SUMIFS($I$5:$I$1369,$B$5:$B$1369,B933,$C$5:$C$1369,C933)</f>
        <v>0.0636770262496282</v>
      </c>
      <c r="K933" s="28" t="n">
        <f aca="false">INDEX(Sector_Params!$F$9:$H$9,MATCH(B933,Sector_Params!$C$15:$E$15,0))</f>
        <v>0.24</v>
      </c>
      <c r="L933" s="16" t="n">
        <f aca="false">J933*K933</f>
        <v>0.0152824862999108</v>
      </c>
      <c r="M933" s="44" t="n">
        <f aca="false">Country_Data!$DW$137+Sector_Params!$E$9</f>
        <v>0.105</v>
      </c>
      <c r="N933" s="44" t="n">
        <f aca="false">Country_Data!$DX$137+Sector_Params!$E$9</f>
        <v>0.15</v>
      </c>
      <c r="O933" s="11" t="n">
        <f aca="false">IF(p_use_ibrd=1,p_r_ibrd,p_r_wb)</f>
        <v>0.06</v>
      </c>
      <c r="P933" s="45" t="n">
        <f aca="false">Sector_Params!$D$9</f>
        <v>25</v>
      </c>
      <c r="Q933" s="46" t="n">
        <f aca="false">M933/(1-(1+M933)^-P933)</f>
        <v>0.114429319813103</v>
      </c>
      <c r="R933" s="46" t="n">
        <f aca="false">N933/(1-(1+N933)^-P933)</f>
        <v>0.154699402320206</v>
      </c>
      <c r="S933" s="46" t="n">
        <f aca="false">O933/(1-(1+O933)^-P933)</f>
        <v>0.078226718212274</v>
      </c>
      <c r="T933" s="37" t="n">
        <f aca="false">Country_Data!$CM$137*Sector_Params!$I$9</f>
        <v>0.283607659252207</v>
      </c>
      <c r="U933" s="37" t="n">
        <f aca="false">Country_Data!$CN$137*Sector_Params!$J$9</f>
        <v>0.0928865223810014</v>
      </c>
      <c r="V933" s="37" t="n">
        <f aca="false">p_a</f>
        <v>0.35</v>
      </c>
      <c r="W933" s="16" t="n">
        <f aca="false">T933*L933</f>
        <v>0.00433423016707162</v>
      </c>
      <c r="X933" s="16" t="n">
        <f aca="false">U933*L933</f>
        <v>0.00141953700573401</v>
      </c>
      <c r="Y933" s="16" t="n">
        <f aca="false">V933*L933</f>
        <v>0.00534887020496877</v>
      </c>
      <c r="Z933" s="16" t="n">
        <f aca="false">Q933*L933</f>
        <v>0.00174876451235186</v>
      </c>
      <c r="AA933" s="16" t="n">
        <f aca="false">R933*L933</f>
        <v>0.00236419149656294</v>
      </c>
      <c r="AB933" s="16" t="n">
        <f aca="false">S933*L933</f>
        <v>0.00119549874936606</v>
      </c>
      <c r="AC933" s="16" t="n">
        <f aca="false">Z933-W933</f>
        <v>-0.00258546565471976</v>
      </c>
      <c r="AD933" s="16" t="n">
        <f aca="false">AA933-W933</f>
        <v>-0.00197003867050868</v>
      </c>
      <c r="AE933" s="16" t="n">
        <f aca="false">AB933-W933</f>
        <v>-0.00313873141770556</v>
      </c>
      <c r="AF933" s="16" t="n">
        <f aca="false">AE933-X933</f>
        <v>-0.00455826842343957</v>
      </c>
      <c r="AG933" s="16" t="n">
        <f aca="false">AF933-p_spc_lo*Y933/1000</f>
        <v>-0.00482571193368801</v>
      </c>
      <c r="AH933" s="16" t="n">
        <f aca="false">AF933-p_spc_hi*Y933/1000</f>
        <v>-0.00509315544393645</v>
      </c>
      <c r="AI933" s="16" t="n">
        <f aca="false">Q933*J933</f>
        <v>0.00728651880146608</v>
      </c>
      <c r="AJ933" s="16" t="n">
        <f aca="false">S933*J933</f>
        <v>0.00498124478902523</v>
      </c>
      <c r="AK933" s="16" t="n">
        <f aca="false">T933*J933</f>
        <v>0.0180592923627984</v>
      </c>
      <c r="AL933" s="16" t="n">
        <f aca="false">U933*J933</f>
        <v>0.0059147375238917</v>
      </c>
      <c r="AM933" s="16" t="n">
        <f aca="false">AI933-AJ933</f>
        <v>0.00230527401244084</v>
      </c>
      <c r="AN933" s="16" t="n">
        <f aca="false">J933*Country_Data!$EB$137</f>
        <v>0.0776958444317168</v>
      </c>
      <c r="AO933" s="16" t="n">
        <f aca="false">L933*Country_Data!$EB$137</f>
        <v>0.018647002663612</v>
      </c>
    </row>
    <row r="934" customFormat="false" ht="15" hidden="false" customHeight="false" outlineLevel="0" collapsed="false">
      <c r="A934" s="14" t="str">
        <f aca="false">Country_Data!$A$137</f>
        <v>MDA</v>
      </c>
      <c r="B934" s="14" t="str">
        <f aca="false">Country_Data!$E$137</f>
        <v>EMDC</v>
      </c>
      <c r="C934" s="35" t="s">
        <v>484</v>
      </c>
      <c r="D934" s="37" t="n">
        <f aca="false">IF(Country_Data!$CD$137="","",Country_Data!$CD$137)</f>
        <v>0.151395440405769</v>
      </c>
      <c r="E934" s="40" t="n">
        <f aca="false">Country_Data!$BW$137</f>
        <v>44.872</v>
      </c>
      <c r="F934" s="41" t="n">
        <f aca="false">Country_Data!$BX$137</f>
        <v>0.405776430736317</v>
      </c>
      <c r="G934" s="42" t="n">
        <f aca="false">IF(D934="","",D934/SUMIFS($D$5:$D$1369,$B$5:$B$1369,B934,$C$5:$C$1369,C934))</f>
        <v>0.000845447446906503</v>
      </c>
      <c r="H934" s="42" t="n">
        <f aca="false">E934/SUMIFS($E$5:$E$1369,$B$5:$B$1369,B934,$C$5:$C$1369,C934)</f>
        <v>0.000555815056478921</v>
      </c>
      <c r="I934" s="43" t="n">
        <f aca="false">IF(G934="",H934,p_beta_alloc*G934+(1-p_beta_alloc)*H934)*F934^p_phi</f>
        <v>0.000446306193813542</v>
      </c>
      <c r="J934" s="16" t="n">
        <f aca="false">INDEX(Sector_Params!$C$21:$E$21,MATCH(B934,Sector_Params!$C$15:$E$15,0))*I934/SUMIFS($I$5:$I$1369,$B$5:$B$1369,B934,$C$5:$C$1369,C934)</f>
        <v>0.0989861731835266</v>
      </c>
      <c r="K934" s="28" t="n">
        <f aca="false">INDEX(Sector_Params!$F$10:$H$10,MATCH(B934,Sector_Params!$C$15:$E$15,0))</f>
        <v>0.24</v>
      </c>
      <c r="L934" s="16" t="n">
        <f aca="false">J934*K934</f>
        <v>0.0237566815640464</v>
      </c>
      <c r="M934" s="44" t="n">
        <f aca="false">Country_Data!$DW$137+Sector_Params!$E$10</f>
        <v>0.105</v>
      </c>
      <c r="N934" s="44" t="n">
        <f aca="false">Country_Data!$DX$137+Sector_Params!$E$10</f>
        <v>0.15</v>
      </c>
      <c r="O934" s="11" t="n">
        <f aca="false">IF(p_use_ibrd=1,p_r_ibrd,p_r_wb)</f>
        <v>0.06</v>
      </c>
      <c r="P934" s="45" t="n">
        <f aca="false">Sector_Params!$D$10</f>
        <v>20</v>
      </c>
      <c r="Q934" s="46" t="n">
        <f aca="false">M934/(1-(1+M934)^-P934)</f>
        <v>0.121493265267016</v>
      </c>
      <c r="R934" s="46" t="n">
        <f aca="false">N934/(1-(1+N934)^-P934)</f>
        <v>0.159761470405744</v>
      </c>
      <c r="S934" s="46" t="n">
        <f aca="false">O934/(1-(1+O934)^-P934)</f>
        <v>0.0871845569768514</v>
      </c>
      <c r="T934" s="37" t="n">
        <f aca="false">0*Sector_Params!$I$10</f>
        <v>0</v>
      </c>
      <c r="U934" s="37" t="n">
        <f aca="false">0*Sector_Params!$J$10</f>
        <v>0</v>
      </c>
      <c r="V934" s="37" t="n">
        <f aca="false">1000*p_r_wb/(1-(1+p_r_wb)^-Sector_Params!$D$10)/p_cpt_fuel</f>
        <v>0.871845569768514</v>
      </c>
      <c r="W934" s="16" t="n">
        <f aca="false">T934*L934</f>
        <v>0</v>
      </c>
      <c r="X934" s="16" t="n">
        <f aca="false">U934*L934</f>
        <v>0</v>
      </c>
      <c r="Y934" s="16" t="n">
        <f aca="false">V934*L934</f>
        <v>0.0207121575740152</v>
      </c>
      <c r="Z934" s="16" t="n">
        <f aca="false">Q934*L934</f>
        <v>0.00288627681512472</v>
      </c>
      <c r="AA934" s="16" t="n">
        <f aca="false">R934*L934</f>
        <v>0.00379540237863308</v>
      </c>
      <c r="AB934" s="16" t="n">
        <f aca="false">S934*L934</f>
        <v>0.00207121575740152</v>
      </c>
      <c r="AC934" s="16" t="n">
        <f aca="false">Z934-W934</f>
        <v>0.00288627681512472</v>
      </c>
      <c r="AD934" s="16" t="n">
        <f aca="false">AA934-W934</f>
        <v>0.00379540237863308</v>
      </c>
      <c r="AE934" s="16" t="n">
        <f aca="false">AB934-W934</f>
        <v>0.00207121575740152</v>
      </c>
      <c r="AF934" s="16" t="n">
        <f aca="false">AE934-X934</f>
        <v>0.00207121575740152</v>
      </c>
      <c r="AG934" s="16" t="n">
        <f aca="false">AF934-p_spc_lo*Y934/1000</f>
        <v>0.00103560787870076</v>
      </c>
      <c r="AH934" s="16" t="n">
        <f aca="false">AF934-p_spc_hi*Y934/1000</f>
        <v>0</v>
      </c>
      <c r="AI934" s="16" t="n">
        <f aca="false">Q934*J934</f>
        <v>0.012026153396353</v>
      </c>
      <c r="AJ934" s="16" t="n">
        <f aca="false">S934*J934</f>
        <v>0.00863006565583966</v>
      </c>
      <c r="AK934" s="16" t="n">
        <f aca="false">T934*J934</f>
        <v>0</v>
      </c>
      <c r="AL934" s="16" t="n">
        <f aca="false">U934*J934</f>
        <v>0</v>
      </c>
      <c r="AM934" s="16" t="n">
        <f aca="false">AI934-AJ934</f>
        <v>0.00339608774051335</v>
      </c>
      <c r="AN934" s="16" t="n">
        <f aca="false">J934*Country_Data!$EB$137</f>
        <v>0.120778477977419</v>
      </c>
      <c r="AO934" s="16" t="n">
        <f aca="false">L934*Country_Data!$EB$137</f>
        <v>0.0289868347145806</v>
      </c>
    </row>
    <row r="935" customFormat="false" ht="15" hidden="false" customHeight="false" outlineLevel="0" collapsed="false">
      <c r="A935" s="14" t="str">
        <f aca="false">Country_Data!$A$137</f>
        <v>MDA</v>
      </c>
      <c r="B935" s="14" t="str">
        <f aca="false">Country_Data!$E$137</f>
        <v>EMDC</v>
      </c>
      <c r="C935" s="35" t="s">
        <v>488</v>
      </c>
      <c r="D935" s="37" t="n">
        <f aca="false">IF(Country_Data!$CE$137="","",Country_Data!$CE$137)</f>
        <v>4.071</v>
      </c>
      <c r="E935" s="40" t="n">
        <f aca="false">Country_Data!$BW$137</f>
        <v>44.872</v>
      </c>
      <c r="F935" s="41" t="n">
        <f aca="false">Country_Data!$BX$137</f>
        <v>0.405776430736317</v>
      </c>
      <c r="G935" s="42" t="n">
        <f aca="false">IF(D935="","",D935/SUMIFS($D$5:$D$1369,$B$5:$B$1369,B935,$C$5:$C$1369,C935))</f>
        <v>0.000333576147707617</v>
      </c>
      <c r="H935" s="42" t="n">
        <f aca="false">E935/SUMIFS($E$5:$E$1369,$B$5:$B$1369,B935,$C$5:$C$1369,C935)</f>
        <v>0.000555815056478921</v>
      </c>
      <c r="I935" s="43" t="n">
        <f aca="false">IF(G935="",H935,p_beta_alloc*G935+(1-p_beta_alloc)*H935)*F935^p_phi</f>
        <v>0.000283273692254474</v>
      </c>
      <c r="J935" s="16" t="n">
        <f aca="false">INDEX(Sector_Params!$C$22:$E$22,MATCH(B935,Sector_Params!$C$15:$E$15,0))*I935/SUMIFS($I$5:$I$1369,$B$5:$B$1369,B935,$C$5:$C$1369,C935)</f>
        <v>0.170759757852735</v>
      </c>
      <c r="K935" s="28" t="n">
        <f aca="false">INDEX(Sector_Params!$F$11:$H$11,MATCH(B935,Sector_Params!$C$15:$E$15,0))</f>
        <v>0.24</v>
      </c>
      <c r="L935" s="16" t="n">
        <f aca="false">J935*K935</f>
        <v>0.0409823418846565</v>
      </c>
      <c r="M935" s="44" t="n">
        <f aca="false">Country_Data!$DW$137+Sector_Params!$E$11</f>
        <v>0.105</v>
      </c>
      <c r="N935" s="44" t="n">
        <f aca="false">Country_Data!$DX$137+Sector_Params!$E$11</f>
        <v>0.15</v>
      </c>
      <c r="O935" s="11" t="n">
        <f aca="false">IF(p_use_ibrd=1,p_r_ibrd,p_r_wb)</f>
        <v>0.06</v>
      </c>
      <c r="P935" s="45" t="n">
        <f aca="false">Sector_Params!$D$11</f>
        <v>30</v>
      </c>
      <c r="Q935" s="46" t="n">
        <f aca="false">M935/(1-(1+M935)^-P935)</f>
        <v>0.110528481529605</v>
      </c>
      <c r="R935" s="46" t="n">
        <f aca="false">N935/(1-(1+N935)^-P935)</f>
        <v>0.152300198192734</v>
      </c>
      <c r="S935" s="46" t="n">
        <f aca="false">O935/(1-(1+O935)^-P935)</f>
        <v>0.0726489114900472</v>
      </c>
      <c r="T935" s="37" t="n">
        <f aca="false">0*Sector_Params!$I$11</f>
        <v>0</v>
      </c>
      <c r="U935" s="37" t="n">
        <f aca="false">p_c*Sector_Params!$J$11</f>
        <v>0.129</v>
      </c>
      <c r="V935" s="37" t="n">
        <f aca="false">1000*p_r_wb/(1-(1+p_r_wb)^-Sector_Params!$D$11)/p_cpt_afolu</f>
        <v>1.45297822980094</v>
      </c>
      <c r="W935" s="16" t="n">
        <f aca="false">T935*L935</f>
        <v>0</v>
      </c>
      <c r="X935" s="16" t="n">
        <f aca="false">U935*L935</f>
        <v>0.00528672210312068</v>
      </c>
      <c r="Y935" s="16" t="n">
        <f aca="false">V935*L935</f>
        <v>0.0595464505646652</v>
      </c>
      <c r="Z935" s="16" t="n">
        <f aca="false">Q935*L935</f>
        <v>0.00452971601803822</v>
      </c>
      <c r="AA935" s="16" t="n">
        <f aca="false">R935*L935</f>
        <v>0.00624161879143557</v>
      </c>
      <c r="AB935" s="16" t="n">
        <f aca="false">S935*L935</f>
        <v>0.00297732252823326</v>
      </c>
      <c r="AC935" s="16" t="n">
        <f aca="false">Z935-W935</f>
        <v>0.00452971601803822</v>
      </c>
      <c r="AD935" s="16" t="n">
        <f aca="false">AA935-W935</f>
        <v>0.00624161879143557</v>
      </c>
      <c r="AE935" s="16" t="n">
        <f aca="false">AB935-W935</f>
        <v>0.00297732252823326</v>
      </c>
      <c r="AF935" s="16" t="n">
        <f aca="false">AE935-X935</f>
        <v>-0.00230939957488742</v>
      </c>
      <c r="AG935" s="16" t="n">
        <f aca="false">AF935-p_spc_lo*Y935/1000</f>
        <v>-0.00528672210312068</v>
      </c>
      <c r="AH935" s="16" t="n">
        <f aca="false">AF935-p_spc_hi*Y935/1000</f>
        <v>-0.00826404463135394</v>
      </c>
      <c r="AI935" s="16" t="n">
        <f aca="false">Q935*J935</f>
        <v>0.0188738167418259</v>
      </c>
      <c r="AJ935" s="16" t="n">
        <f aca="false">S935*J935</f>
        <v>0.0124055105343053</v>
      </c>
      <c r="AK935" s="16" t="n">
        <f aca="false">T935*J935</f>
        <v>0</v>
      </c>
      <c r="AL935" s="16" t="n">
        <f aca="false">U935*J935</f>
        <v>0.0220280087630029</v>
      </c>
      <c r="AM935" s="16" t="n">
        <f aca="false">AI935-AJ935</f>
        <v>0.00646830620752064</v>
      </c>
      <c r="AN935" s="16" t="n">
        <f aca="false">J935*Country_Data!$EB$137</f>
        <v>0.208353378961399</v>
      </c>
      <c r="AO935" s="16" t="n">
        <f aca="false">L935*Country_Data!$EB$137</f>
        <v>0.0500048109507359</v>
      </c>
    </row>
    <row r="936" customFormat="false" ht="15" hidden="false" customHeight="false" outlineLevel="0" collapsed="false">
      <c r="A936" s="14" t="str">
        <f aca="false">Country_Data!$A$138</f>
        <v>KGZ</v>
      </c>
      <c r="B936" s="14" t="str">
        <f aca="false">Country_Data!$E$138</f>
        <v>EMDC</v>
      </c>
      <c r="C936" s="35" t="s">
        <v>466</v>
      </c>
      <c r="D936" s="37" t="n">
        <f aca="false">IF(Country_Data!$BZ$138="","",Country_Data!$BZ$138)</f>
        <v>15.0545322487581</v>
      </c>
      <c r="E936" s="40" t="n">
        <f aca="false">Country_Data!$BW$138</f>
        <v>59.277</v>
      </c>
      <c r="F936" s="41" t="n">
        <f aca="false">Country_Data!$BX$138</f>
        <v>0.306611333232114</v>
      </c>
      <c r="G936" s="42" t="n">
        <f aca="false">IF(D936="","",D936/SUMIFS($D$5:$D$1369,$B$5:$B$1369,B936,$C$5:$C$1369,C936))</f>
        <v>0.00171865754940509</v>
      </c>
      <c r="H936" s="42" t="n">
        <f aca="false">E936/SUMIFS($E$5:$E$1369,$B$5:$B$1369,B936,$C$5:$C$1369,C936)</f>
        <v>0.000734245166315319</v>
      </c>
      <c r="I936" s="43" t="n">
        <f aca="false">IF(G936="",H936,p_beta_alloc*G936+(1-p_beta_alloc)*H936)*F936^p_phi</f>
        <v>0.000679116731182913</v>
      </c>
      <c r="J936" s="16" t="n">
        <f aca="false">INDEX(Sector_Params!$C$16:$E$16,MATCH(B936,Sector_Params!$C$15:$E$15,0))*I936/SUMIFS($I$5:$I$1369,$B$5:$B$1369,B936,$C$5:$C$1369,C936)</f>
        <v>0.656858919493653</v>
      </c>
      <c r="K936" s="28" t="n">
        <f aca="false">INDEX(Sector_Params!$F$5:$H$5,MATCH(B936,Sector_Params!$C$15:$E$15,0))</f>
        <v>0.24</v>
      </c>
      <c r="L936" s="16" t="n">
        <f aca="false">J936*K936</f>
        <v>0.157646140678477</v>
      </c>
      <c r="M936" s="44" t="n">
        <f aca="false">Country_Data!$DW$138+Sector_Params!$E$5</f>
        <v>0.105</v>
      </c>
      <c r="N936" s="44" t="n">
        <f aca="false">Country_Data!$DX$138+Sector_Params!$E$5</f>
        <v>0.15</v>
      </c>
      <c r="O936" s="11" t="n">
        <f aca="false">IF(p_use_ibrd=1,p_r_ibrd,p_r_wb)</f>
        <v>0.06</v>
      </c>
      <c r="P936" s="45" t="n">
        <f aca="false">Sector_Params!$D$5</f>
        <v>25</v>
      </c>
      <c r="Q936" s="46" t="n">
        <f aca="false">M936/(1-(1+M936)^-P936)</f>
        <v>0.114429319813103</v>
      </c>
      <c r="R936" s="46" t="n">
        <f aca="false">N936/(1-(1+N936)^-P936)</f>
        <v>0.154699402320206</v>
      </c>
      <c r="S936" s="46" t="n">
        <f aca="false">O936/(1-(1+O936)^-P936)</f>
        <v>0.078226718212274</v>
      </c>
      <c r="T936" s="37" t="n">
        <f aca="false">IF(AND(p_eng=1,ISNUMBER(Country_Data!$CZ$138)),Country_Data!$CZ$138,Country_Data!$CM$138)*Sector_Params!$I$5</f>
        <v>-0.00704682863430115</v>
      </c>
      <c r="U936" s="37" t="n">
        <f aca="false">IF(AND(p_eng=1,ISNUMBER(Country_Data!$DA$138)),Country_Data!$DA$138,Country_Data!$CN$138)*Sector_Params!$J$5</f>
        <v>0.00358132601209992</v>
      </c>
      <c r="V936" s="37" t="n">
        <f aca="false">IF(AND(p_eng=1,ISNUMBER(Country_Data!$DB$138)),Country_Data!$DB$138,p_a)</f>
        <v>0.228809300387144</v>
      </c>
      <c r="W936" s="16" t="n">
        <f aca="false">T936*L936</f>
        <v>-0.00111090533822016</v>
      </c>
      <c r="X936" s="16" t="n">
        <f aca="false">U936*L936</f>
        <v>0.000564582224318992</v>
      </c>
      <c r="Y936" s="16" t="n">
        <f aca="false">V936*L936</f>
        <v>0.0360709031573756</v>
      </c>
      <c r="Z936" s="16" t="n">
        <f aca="false">Q936*L936</f>
        <v>0.0180393406489989</v>
      </c>
      <c r="AA936" s="16" t="n">
        <f aca="false">R936*L936</f>
        <v>0.0243877637410475</v>
      </c>
      <c r="AB936" s="16" t="n">
        <f aca="false">S936*L936</f>
        <v>0.0123321402241077</v>
      </c>
      <c r="AC936" s="16" t="n">
        <f aca="false">Z936-W936</f>
        <v>0.0191502459872191</v>
      </c>
      <c r="AD936" s="16" t="n">
        <f aca="false">AA936-W936</f>
        <v>0.0254986690792677</v>
      </c>
      <c r="AE936" s="16" t="n">
        <f aca="false">AB936-W936</f>
        <v>0.0134430455623279</v>
      </c>
      <c r="AF936" s="16" t="n">
        <f aca="false">AE936-X936</f>
        <v>0.0128784633380089</v>
      </c>
      <c r="AG936" s="16" t="n">
        <f aca="false">AF936-p_spc_lo*Y936/1000</f>
        <v>0.0110749181801401</v>
      </c>
      <c r="AH936" s="16" t="n">
        <f aca="false">AF936-p_spc_hi*Y936/1000</f>
        <v>0.00927137302227131</v>
      </c>
      <c r="AI936" s="16" t="n">
        <f aca="false">Q936*J936</f>
        <v>0.0751639193708287</v>
      </c>
      <c r="AJ936" s="16" t="n">
        <f aca="false">S936*J936</f>
        <v>0.0513839176004488</v>
      </c>
      <c r="AK936" s="16" t="n">
        <f aca="false">T936*J936</f>
        <v>-0.00462877224258399</v>
      </c>
      <c r="AL936" s="16" t="n">
        <f aca="false">U936*J936</f>
        <v>0.00235242593466247</v>
      </c>
      <c r="AM936" s="16" t="n">
        <f aca="false">AI936-AJ936</f>
        <v>0.02378000177038</v>
      </c>
      <c r="AN936" s="16" t="n">
        <f aca="false">J936*Country_Data!$EB$138</f>
        <v>0.7515895935975</v>
      </c>
      <c r="AO936" s="16" t="n">
        <f aca="false">L936*Country_Data!$EB$138</f>
        <v>0.1803815024634</v>
      </c>
    </row>
    <row r="937" customFormat="false" ht="15" hidden="false" customHeight="false" outlineLevel="0" collapsed="false">
      <c r="A937" s="14" t="str">
        <f aca="false">Country_Data!$A$138</f>
        <v>KGZ</v>
      </c>
      <c r="B937" s="14" t="str">
        <f aca="false">Country_Data!$E$138</f>
        <v>EMDC</v>
      </c>
      <c r="C937" s="35" t="s">
        <v>470</v>
      </c>
      <c r="D937" s="37" t="n">
        <f aca="false">IF(Country_Data!$BZ$138="","",Country_Data!$BZ$138)</f>
        <v>15.0545322487581</v>
      </c>
      <c r="E937" s="40" t="n">
        <f aca="false">Country_Data!$BW$138</f>
        <v>59.277</v>
      </c>
      <c r="F937" s="41" t="n">
        <f aca="false">Country_Data!$BX$138</f>
        <v>0.306611333232114</v>
      </c>
      <c r="G937" s="42" t="n">
        <f aca="false">IF(D937="","",D937/SUMIFS($D$5:$D$1369,$B$5:$B$1369,B937,$C$5:$C$1369,C937))</f>
        <v>0.00171865754940509</v>
      </c>
      <c r="H937" s="42" t="n">
        <f aca="false">E937/SUMIFS($E$5:$E$1369,$B$5:$B$1369,B937,$C$5:$C$1369,C937)</f>
        <v>0.000734245166315319</v>
      </c>
      <c r="I937" s="43" t="n">
        <f aca="false">IF(G937="",H937,p_beta_alloc*G937+(1-p_beta_alloc)*H937)*F937^p_phi</f>
        <v>0.000679116731182913</v>
      </c>
      <c r="J937" s="16" t="n">
        <f aca="false">INDEX(Sector_Params!$C$17:$E$17,MATCH(B937,Sector_Params!$C$15:$E$15,0))*I937/SUMIFS($I$5:$I$1369,$B$5:$B$1369,B937,$C$5:$C$1369,C937)</f>
        <v>0.450417544795648</v>
      </c>
      <c r="K937" s="28" t="n">
        <f aca="false">INDEX(Sector_Params!$F$6:$H$6,MATCH(B937,Sector_Params!$C$15:$E$15,0))</f>
        <v>0.24</v>
      </c>
      <c r="L937" s="16" t="n">
        <f aca="false">J937*K937</f>
        <v>0.108100210750956</v>
      </c>
      <c r="M937" s="44" t="n">
        <f aca="false">Country_Data!$DW$138+Sector_Params!$E$6</f>
        <v>0.105</v>
      </c>
      <c r="N937" s="44" t="n">
        <f aca="false">Country_Data!$DX$138+Sector_Params!$E$6</f>
        <v>0.15</v>
      </c>
      <c r="O937" s="11" t="n">
        <f aca="false">IF(p_use_ibrd=1,p_r_ibrd,p_r_wb)</f>
        <v>0.06</v>
      </c>
      <c r="P937" s="45" t="n">
        <f aca="false">Sector_Params!$D$6</f>
        <v>40</v>
      </c>
      <c r="Q937" s="46" t="n">
        <f aca="false">M937/(1-(1+M937)^-P937)</f>
        <v>0.10697140835497</v>
      </c>
      <c r="R937" s="46" t="n">
        <f aca="false">N937/(1-(1+N937)^-P937)</f>
        <v>0.150562085013545</v>
      </c>
      <c r="S937" s="46" t="n">
        <f aca="false">O937/(1-(1+O937)^-P937)</f>
        <v>0.0664615359206755</v>
      </c>
      <c r="T937" s="37" t="n">
        <f aca="false">p_grid_credit*IF(AND(p_eng=1,ISNUMBER(Country_Data!$CZ$138)),Country_Data!$CZ$138,Country_Data!$CM$138)*Sector_Params!$I$6</f>
        <v>-0</v>
      </c>
      <c r="U937" s="37" t="n">
        <f aca="false">p_grid_credit*IF(AND(p_eng=1,ISNUMBER(Country_Data!$DA$138)),Country_Data!$DA$138,Country_Data!$CN$138)*Sector_Params!$J$6</f>
        <v>0</v>
      </c>
      <c r="V937" s="37" t="n">
        <f aca="false">p_grid_credit*IF(AND(p_eng=1,ISNUMBER(Country_Data!$DB$138)),Country_Data!$DB$138,p_a)</f>
        <v>0</v>
      </c>
      <c r="W937" s="16" t="n">
        <f aca="false">T937*L937</f>
        <v>-0</v>
      </c>
      <c r="X937" s="16" t="n">
        <f aca="false">U937*L937</f>
        <v>0</v>
      </c>
      <c r="Y937" s="16" t="n">
        <f aca="false">V937*L937</f>
        <v>0</v>
      </c>
      <c r="Z937" s="16" t="n">
        <f aca="false">Q937*L937</f>
        <v>0.0115636317874988</v>
      </c>
      <c r="AA937" s="16" t="n">
        <f aca="false">R937*L937</f>
        <v>0.0162757931210675</v>
      </c>
      <c r="AB937" s="16" t="n">
        <f aca="false">S937*L937</f>
        <v>0.00718450603985722</v>
      </c>
      <c r="AC937" s="16" t="n">
        <f aca="false">Z937-W937</f>
        <v>0.0115636317874988</v>
      </c>
      <c r="AD937" s="16" t="n">
        <f aca="false">AA937-W937</f>
        <v>0.0162757931210675</v>
      </c>
      <c r="AE937" s="16" t="n">
        <f aca="false">AB937-W937</f>
        <v>0.00718450603985722</v>
      </c>
      <c r="AF937" s="16" t="n">
        <f aca="false">AE937-X937</f>
        <v>0.00718450603985722</v>
      </c>
      <c r="AG937" s="16" t="n">
        <f aca="false">AF937-p_spc_lo*Y937/1000</f>
        <v>0.00718450603985722</v>
      </c>
      <c r="AH937" s="16" t="n">
        <f aca="false">AF937-p_spc_hi*Y937/1000</f>
        <v>0.00718450603985722</v>
      </c>
      <c r="AI937" s="16" t="n">
        <f aca="false">Q937*J937</f>
        <v>0.0481817991145784</v>
      </c>
      <c r="AJ937" s="16" t="n">
        <f aca="false">S937*J937</f>
        <v>0.0299354418327384</v>
      </c>
      <c r="AK937" s="16" t="n">
        <f aca="false">T937*J937</f>
        <v>-0</v>
      </c>
      <c r="AL937" s="16" t="n">
        <f aca="false">U937*J937</f>
        <v>0</v>
      </c>
      <c r="AM937" s="16" t="n">
        <f aca="false">AI937-AJ937</f>
        <v>0.01824635728184</v>
      </c>
      <c r="AN937" s="16" t="n">
        <f aca="false">J937*Country_Data!$EB$138</f>
        <v>0.515375721324</v>
      </c>
      <c r="AO937" s="16" t="n">
        <f aca="false">L937*Country_Data!$EB$138</f>
        <v>0.12369017311776</v>
      </c>
    </row>
    <row r="938" customFormat="false" ht="15" hidden="false" customHeight="false" outlineLevel="0" collapsed="false">
      <c r="A938" s="14" t="str">
        <f aca="false">Country_Data!$A$138</f>
        <v>KGZ</v>
      </c>
      <c r="B938" s="14" t="str">
        <f aca="false">Country_Data!$E$138</f>
        <v>EMDC</v>
      </c>
      <c r="C938" s="35" t="s">
        <v>473</v>
      </c>
      <c r="D938" s="37" t="n">
        <f aca="false">IF(Country_Data!$CA$138="","",Country_Data!$CA$138)</f>
        <v>0.0563313924470218</v>
      </c>
      <c r="E938" s="40" t="n">
        <f aca="false">Country_Data!$BW$138</f>
        <v>59.277</v>
      </c>
      <c r="F938" s="41" t="n">
        <f aca="false">Country_Data!$BX$138</f>
        <v>0.306611333232114</v>
      </c>
      <c r="G938" s="42" t="n">
        <f aca="false">IF(D938="","",D938/SUMIFS($D$5:$D$1369,$B$5:$B$1369,B938,$C$5:$C$1369,C938))</f>
        <v>0.00130138623258877</v>
      </c>
      <c r="H938" s="42" t="n">
        <f aca="false">E938/SUMIFS($E$5:$E$1369,$B$5:$B$1369,B938,$C$5:$C$1369,C938)</f>
        <v>0.000734245166315319</v>
      </c>
      <c r="I938" s="43" t="n">
        <f aca="false">IF(G938="",H938,p_beta_alloc*G938+(1-p_beta_alloc)*H938)*F938^p_phi</f>
        <v>0.000563589959217371</v>
      </c>
      <c r="J938" s="16" t="n">
        <f aca="false">INDEX(Sector_Params!$C$18:$E$18,MATCH(B938,Sector_Params!$C$15:$E$15,0))*I938/SUMIFS($I$5:$I$1369,$B$5:$B$1369,B938,$C$5:$C$1369,C938)</f>
        <v>0.230776753076697</v>
      </c>
      <c r="K938" s="28" t="n">
        <f aca="false">INDEX(Sector_Params!$F$7:$H$7,MATCH(B938,Sector_Params!$C$15:$E$15,0))</f>
        <v>0.24</v>
      </c>
      <c r="L938" s="16" t="n">
        <f aca="false">J938*K938</f>
        <v>0.0553864207384074</v>
      </c>
      <c r="M938" s="44" t="n">
        <f aca="false">Country_Data!$DW$138+Sector_Params!$E$7</f>
        <v>0.105</v>
      </c>
      <c r="N938" s="44" t="n">
        <f aca="false">Country_Data!$DX$138+Sector_Params!$E$7</f>
        <v>0.15</v>
      </c>
      <c r="O938" s="11" t="n">
        <f aca="false">IF(p_use_ibrd=1,p_r_ibrd,p_r_wb)</f>
        <v>0.06</v>
      </c>
      <c r="P938" s="45" t="n">
        <f aca="false">Sector_Params!$D$7</f>
        <v>12</v>
      </c>
      <c r="Q938" s="46" t="n">
        <f aca="false">M938/(1-(1+M938)^-P938)</f>
        <v>0.150376745634766</v>
      </c>
      <c r="R938" s="46" t="n">
        <f aca="false">N938/(1-(1+N938)^-P938)</f>
        <v>0.18448077613084</v>
      </c>
      <c r="S938" s="46" t="n">
        <f aca="false">O938/(1-(1+O938)^-P938)</f>
        <v>0.119277029380664</v>
      </c>
      <c r="T938" s="37" t="n">
        <f aca="false">IF(AND(p_eng=1,ISNUMBER(Country_Data!$DE$138)),Country_Data!$DE$138,Country_Data!$CM$138)*Sector_Params!$I$7</f>
        <v>0.12312864</v>
      </c>
      <c r="U938" s="37" t="n">
        <f aca="false">IF(AND(p_eng=1,ISNUMBER(Country_Data!$DF$138)),Country_Data!$DF$138,Country_Data!$CN$138)*Sector_Params!$J$7</f>
        <v>0.0137916</v>
      </c>
      <c r="V938" s="37" t="n">
        <f aca="false">IF(AND(p_eng=1,ISNUMBER(Country_Data!$DG$138)),Country_Data!$DG$138,p_a)</f>
        <v>0.47957313538364</v>
      </c>
      <c r="W938" s="16" t="n">
        <f aca="false">T938*L938</f>
        <v>0.0068196546599879</v>
      </c>
      <c r="X938" s="16" t="n">
        <f aca="false">U938*L938</f>
        <v>0.000763867360255819</v>
      </c>
      <c r="Y938" s="16" t="n">
        <f aca="false">V938*L938</f>
        <v>0.0265618394511955</v>
      </c>
      <c r="Z938" s="16" t="n">
        <f aca="false">Q938*L938</f>
        <v>0.0083288297029996</v>
      </c>
      <c r="AA938" s="16" t="n">
        <f aca="false">R938*L938</f>
        <v>0.0102177298849306</v>
      </c>
      <c r="AB938" s="16" t="n">
        <f aca="false">S938*L938</f>
        <v>0.00660632773370481</v>
      </c>
      <c r="AC938" s="16" t="n">
        <f aca="false">Z938-W938</f>
        <v>0.0015091750430117</v>
      </c>
      <c r="AD938" s="16" t="n">
        <f aca="false">AA938-W938</f>
        <v>0.00339807522494272</v>
      </c>
      <c r="AE938" s="16" t="n">
        <f aca="false">AB938-W938</f>
        <v>-0.000213326926283086</v>
      </c>
      <c r="AF938" s="16" t="n">
        <f aca="false">AE938-X938</f>
        <v>-0.000977194286538906</v>
      </c>
      <c r="AG938" s="16" t="n">
        <f aca="false">AF938-p_spc_lo*Y938/1000</f>
        <v>-0.00230528625909868</v>
      </c>
      <c r="AH938" s="16" t="n">
        <f aca="false">AF938-p_spc_hi*Y938/1000</f>
        <v>-0.00363337823165845</v>
      </c>
      <c r="AI938" s="16" t="n">
        <f aca="false">Q938*J938</f>
        <v>0.0347034570958317</v>
      </c>
      <c r="AJ938" s="16" t="n">
        <f aca="false">S938*J938</f>
        <v>0.0275263655571034</v>
      </c>
      <c r="AK938" s="16" t="n">
        <f aca="false">T938*J938</f>
        <v>0.0284152277499496</v>
      </c>
      <c r="AL938" s="16" t="n">
        <f aca="false">U938*J938</f>
        <v>0.00318278066773258</v>
      </c>
      <c r="AM938" s="16" t="n">
        <f aca="false">AI938-AJ938</f>
        <v>0.00717709153872829</v>
      </c>
      <c r="AN938" s="16" t="n">
        <f aca="false">J938*Country_Data!$EB$138</f>
        <v>0.264058842636058</v>
      </c>
      <c r="AO938" s="16" t="n">
        <f aca="false">L938*Country_Data!$EB$138</f>
        <v>0.0633741222326539</v>
      </c>
    </row>
    <row r="939" customFormat="false" ht="15" hidden="false" customHeight="false" outlineLevel="0" collapsed="false">
      <c r="A939" s="14" t="str">
        <f aca="false">Country_Data!$A$138</f>
        <v>KGZ</v>
      </c>
      <c r="B939" s="14" t="str">
        <f aca="false">Country_Data!$E$138</f>
        <v>EMDC</v>
      </c>
      <c r="C939" s="35" t="s">
        <v>477</v>
      </c>
      <c r="D939" s="37" t="n">
        <f aca="false">IF(Country_Data!$CB$138="","",Country_Data!$CB$138)</f>
        <v>0.0693908957032296</v>
      </c>
      <c r="E939" s="40" t="n">
        <f aca="false">Country_Data!$BW$138</f>
        <v>59.277</v>
      </c>
      <c r="F939" s="41" t="n">
        <f aca="false">Country_Data!$BX$138</f>
        <v>0.306611333232114</v>
      </c>
      <c r="G939" s="42" t="n">
        <f aca="false">IF(D939="","",D939/SUMIFS($D$5:$D$1369,$B$5:$B$1369,B939,$C$5:$C$1369,C939))</f>
        <v>0.00218810623682221</v>
      </c>
      <c r="H939" s="42" t="n">
        <f aca="false">E939/SUMIFS($E$5:$E$1369,$B$5:$B$1369,B939,$C$5:$C$1369,C939)</f>
        <v>0.000734245166315319</v>
      </c>
      <c r="I939" s="43" t="n">
        <f aca="false">IF(G939="",H939,p_beta_alloc*G939+(1-p_beta_alloc)*H939)*F939^p_phi</f>
        <v>0.00080908945941775</v>
      </c>
      <c r="J939" s="16" t="n">
        <f aca="false">INDEX(Sector_Params!$C$19:$E$19,MATCH(B939,Sector_Params!$C$15:$E$15,0))*I939/SUMIFS($I$5:$I$1369,$B$5:$B$1369,B939,$C$5:$C$1369,C939)</f>
        <v>0.260415634229599</v>
      </c>
      <c r="K939" s="28" t="n">
        <f aca="false">INDEX(Sector_Params!$F$8:$H$8,MATCH(B939,Sector_Params!$C$15:$E$15,0))</f>
        <v>0.24</v>
      </c>
      <c r="L939" s="16" t="n">
        <f aca="false">J939*K939</f>
        <v>0.0624997522151037</v>
      </c>
      <c r="M939" s="44" t="n">
        <f aca="false">Country_Data!$DW$138+Sector_Params!$E$8</f>
        <v>0.105</v>
      </c>
      <c r="N939" s="44" t="n">
        <f aca="false">Country_Data!$DX$138+Sector_Params!$E$8</f>
        <v>0.15</v>
      </c>
      <c r="O939" s="11" t="n">
        <f aca="false">IF(p_use_ibrd=1,p_r_ibrd,p_r_wb)</f>
        <v>0.06</v>
      </c>
      <c r="P939" s="45" t="n">
        <f aca="false">Sector_Params!$D$8</f>
        <v>25</v>
      </c>
      <c r="Q939" s="46" t="n">
        <f aca="false">M939/(1-(1+M939)^-P939)</f>
        <v>0.114429319813103</v>
      </c>
      <c r="R939" s="46" t="n">
        <f aca="false">N939/(1-(1+N939)^-P939)</f>
        <v>0.154699402320206</v>
      </c>
      <c r="S939" s="46" t="n">
        <f aca="false">O939/(1-(1+O939)^-P939)</f>
        <v>0.078226718212274</v>
      </c>
      <c r="T939" s="37" t="n">
        <f aca="false">Country_Data!$CM$138*Sector_Params!$I$8</f>
        <v>0.12493435283165</v>
      </c>
      <c r="U939" s="37" t="n">
        <f aca="false">Country_Data!$CN$138*Sector_Params!$J$8</f>
        <v>0.129733622588431</v>
      </c>
      <c r="V939" s="37" t="n">
        <f aca="false">p_a</f>
        <v>0.35</v>
      </c>
      <c r="W939" s="16" t="n">
        <f aca="false">T939*L939</f>
        <v>0.00780836609513245</v>
      </c>
      <c r="X939" s="16" t="n">
        <f aca="false">U939*L939</f>
        <v>0.00810831926574473</v>
      </c>
      <c r="Y939" s="16" t="n">
        <f aca="false">V939*L939</f>
        <v>0.0218749132752863</v>
      </c>
      <c r="Z939" s="16" t="n">
        <f aca="false">Q939*L939</f>
        <v>0.00715180413446181</v>
      </c>
      <c r="AA939" s="16" t="n">
        <f aca="false">R939*L939</f>
        <v>0.00966867431283754</v>
      </c>
      <c r="AB939" s="16" t="n">
        <f aca="false">S939*L939</f>
        <v>0.00488915050486786</v>
      </c>
      <c r="AC939" s="16" t="n">
        <f aca="false">Z939-W939</f>
        <v>-0.000656561960670639</v>
      </c>
      <c r="AD939" s="16" t="n">
        <f aca="false">AA939-W939</f>
        <v>0.00186030821770509</v>
      </c>
      <c r="AE939" s="16" t="n">
        <f aca="false">AB939-W939</f>
        <v>-0.00291921559026459</v>
      </c>
      <c r="AF939" s="16" t="n">
        <f aca="false">AE939-X939</f>
        <v>-0.0110275348560093</v>
      </c>
      <c r="AG939" s="16" t="n">
        <f aca="false">AF939-p_spc_lo*Y939/1000</f>
        <v>-0.0121212805197736</v>
      </c>
      <c r="AH939" s="16" t="n">
        <f aca="false">AF939-p_spc_hi*Y939/1000</f>
        <v>-0.0132150261835379</v>
      </c>
      <c r="AI939" s="16" t="n">
        <f aca="false">Q939*J939</f>
        <v>0.0297991838935909</v>
      </c>
      <c r="AJ939" s="16" t="n">
        <f aca="false">S939*J939</f>
        <v>0.0203714604369494</v>
      </c>
      <c r="AK939" s="16" t="n">
        <f aca="false">T939*J939</f>
        <v>0.0325348587297185</v>
      </c>
      <c r="AL939" s="16" t="n">
        <f aca="false">U939*J939</f>
        <v>0.0337846636072697</v>
      </c>
      <c r="AM939" s="16" t="n">
        <f aca="false">AI939-AJ939</f>
        <v>0.00942772345664147</v>
      </c>
      <c r="AN939" s="16" t="n">
        <f aca="false">J939*Country_Data!$EB$138</f>
        <v>0.297972174676316</v>
      </c>
      <c r="AO939" s="16" t="n">
        <f aca="false">L939*Country_Data!$EB$138</f>
        <v>0.0715133219223159</v>
      </c>
    </row>
    <row r="940" customFormat="false" ht="15" hidden="false" customHeight="false" outlineLevel="0" collapsed="false">
      <c r="A940" s="14" t="str">
        <f aca="false">Country_Data!$A$138</f>
        <v>KGZ</v>
      </c>
      <c r="B940" s="14" t="str">
        <f aca="false">Country_Data!$E$138</f>
        <v>EMDC</v>
      </c>
      <c r="C940" s="35" t="s">
        <v>481</v>
      </c>
      <c r="D940" s="37" t="n">
        <f aca="false">IF(Country_Data!$CC$138="","",Country_Data!$CC$138)</f>
        <v>0.0231118401462999</v>
      </c>
      <c r="E940" s="40" t="n">
        <f aca="false">Country_Data!$BW$138</f>
        <v>59.277</v>
      </c>
      <c r="F940" s="41" t="n">
        <f aca="false">Country_Data!$BX$138</f>
        <v>0.306611333232114</v>
      </c>
      <c r="G940" s="42" t="n">
        <f aca="false">IF(D940="","",D940/SUMIFS($D$5:$D$1369,$B$5:$B$1369,B940,$C$5:$C$1369,C940))</f>
        <v>0.000330134916904444</v>
      </c>
      <c r="H940" s="42" t="n">
        <f aca="false">E940/SUMIFS($E$5:$E$1369,$B$5:$B$1369,B940,$C$5:$C$1369,C940)</f>
        <v>0.000734245166315319</v>
      </c>
      <c r="I940" s="43" t="n">
        <f aca="false">IF(G940="",H940,p_beta_alloc*G940+(1-p_beta_alloc)*H940)*F940^p_phi</f>
        <v>0.00029468691041834</v>
      </c>
      <c r="J940" s="16" t="n">
        <f aca="false">INDEX(Sector_Params!$C$20:$E$20,MATCH(B940,Sector_Params!$C$15:$E$15,0))*I940/SUMIFS($I$5:$I$1369,$B$5:$B$1369,B940,$C$5:$C$1369,C940)</f>
        <v>0.0537862954641121</v>
      </c>
      <c r="K940" s="28" t="n">
        <f aca="false">INDEX(Sector_Params!$F$9:$H$9,MATCH(B940,Sector_Params!$C$15:$E$15,0))</f>
        <v>0.24</v>
      </c>
      <c r="L940" s="16" t="n">
        <f aca="false">J940*K940</f>
        <v>0.0129087109113869</v>
      </c>
      <c r="M940" s="44" t="n">
        <f aca="false">Country_Data!$DW$138+Sector_Params!$E$9</f>
        <v>0.105</v>
      </c>
      <c r="N940" s="44" t="n">
        <f aca="false">Country_Data!$DX$138+Sector_Params!$E$9</f>
        <v>0.15</v>
      </c>
      <c r="O940" s="11" t="n">
        <f aca="false">IF(p_use_ibrd=1,p_r_ibrd,p_r_wb)</f>
        <v>0.06</v>
      </c>
      <c r="P940" s="45" t="n">
        <f aca="false">Sector_Params!$D$9</f>
        <v>25</v>
      </c>
      <c r="Q940" s="46" t="n">
        <f aca="false">M940/(1-(1+M940)^-P940)</f>
        <v>0.114429319813103</v>
      </c>
      <c r="R940" s="46" t="n">
        <f aca="false">N940/(1-(1+N940)^-P940)</f>
        <v>0.154699402320206</v>
      </c>
      <c r="S940" s="46" t="n">
        <f aca="false">O940/(1-(1+O940)^-P940)</f>
        <v>0.078226718212274</v>
      </c>
      <c r="T940" s="37" t="n">
        <f aca="false">Country_Data!$CM$138*Sector_Params!$I$9</f>
        <v>0.12493435283165</v>
      </c>
      <c r="U940" s="37" t="n">
        <f aca="false">Country_Data!$CN$138*Sector_Params!$J$9</f>
        <v>0.129733622588431</v>
      </c>
      <c r="V940" s="37" t="n">
        <f aca="false">p_a</f>
        <v>0.35</v>
      </c>
      <c r="W940" s="16" t="n">
        <f aca="false">T940*L940</f>
        <v>0.00161274144360498</v>
      </c>
      <c r="X940" s="16" t="n">
        <f aca="false">U940*L940</f>
        <v>0.00167469382948103</v>
      </c>
      <c r="Y940" s="16" t="n">
        <f aca="false">V940*L940</f>
        <v>0.00451804881898541</v>
      </c>
      <c r="Z940" s="16" t="n">
        <f aca="false">Q940*L940</f>
        <v>0.00147713500925399</v>
      </c>
      <c r="AA940" s="16" t="n">
        <f aca="false">R940*L940</f>
        <v>0.00199696986271588</v>
      </c>
      <c r="AB940" s="16" t="n">
        <f aca="false">S940*L940</f>
        <v>0.00100980609094877</v>
      </c>
      <c r="AC940" s="16" t="n">
        <f aca="false">Z940-W940</f>
        <v>-0.000135606434350991</v>
      </c>
      <c r="AD940" s="16" t="n">
        <f aca="false">AA940-W940</f>
        <v>0.000384228419110902</v>
      </c>
      <c r="AE940" s="16" t="n">
        <f aca="false">AB940-W940</f>
        <v>-0.000602935352656209</v>
      </c>
      <c r="AF940" s="16" t="n">
        <f aca="false">AE940-X940</f>
        <v>-0.00227762918213724</v>
      </c>
      <c r="AG940" s="16" t="n">
        <f aca="false">AF940-p_spc_lo*Y940/1000</f>
        <v>-0.00250353162308651</v>
      </c>
      <c r="AH940" s="16" t="n">
        <f aca="false">AF940-p_spc_hi*Y940/1000</f>
        <v>-0.00272943406403578</v>
      </c>
      <c r="AI940" s="16" t="n">
        <f aca="false">Q940*J940</f>
        <v>0.00615472920522495</v>
      </c>
      <c r="AJ940" s="16" t="n">
        <f aca="false">S940*J940</f>
        <v>0.0042075253789532</v>
      </c>
      <c r="AK940" s="16" t="n">
        <f aca="false">T940*J940</f>
        <v>0.00671975601502074</v>
      </c>
      <c r="AL940" s="16" t="n">
        <f aca="false">U940*J940</f>
        <v>0.00697789095617096</v>
      </c>
      <c r="AM940" s="16" t="n">
        <f aca="false">AI940-AJ940</f>
        <v>0.00194720382627174</v>
      </c>
      <c r="AN940" s="16" t="n">
        <f aca="false">J940*Country_Data!$EB$138</f>
        <v>0.0615432305922697</v>
      </c>
      <c r="AO940" s="16" t="n">
        <f aca="false">L940*Country_Data!$EB$138</f>
        <v>0.0147703753421447</v>
      </c>
    </row>
    <row r="941" customFormat="false" ht="15" hidden="false" customHeight="false" outlineLevel="0" collapsed="false">
      <c r="A941" s="14" t="str">
        <f aca="false">Country_Data!$A$138</f>
        <v>KGZ</v>
      </c>
      <c r="B941" s="14" t="str">
        <f aca="false">Country_Data!$E$138</f>
        <v>EMDC</v>
      </c>
      <c r="C941" s="35" t="s">
        <v>484</v>
      </c>
      <c r="D941" s="37" t="n">
        <f aca="false">IF(Country_Data!$CD$138="","",Country_Data!$CD$138)</f>
        <v>0.123254742026315</v>
      </c>
      <c r="E941" s="40" t="n">
        <f aca="false">Country_Data!$BW$138</f>
        <v>59.277</v>
      </c>
      <c r="F941" s="41" t="n">
        <f aca="false">Country_Data!$BX$138</f>
        <v>0.306611333232114</v>
      </c>
      <c r="G941" s="42" t="n">
        <f aca="false">IF(D941="","",D941/SUMIFS($D$5:$D$1369,$B$5:$B$1369,B941,$C$5:$C$1369,C941))</f>
        <v>0.000688299506814586</v>
      </c>
      <c r="H941" s="42" t="n">
        <f aca="false">E941/SUMIFS($E$5:$E$1369,$B$5:$B$1369,B941,$C$5:$C$1369,C941)</f>
        <v>0.000734245166315319</v>
      </c>
      <c r="I941" s="43" t="n">
        <f aca="false">IF(G941="",H941,p_beta_alloc*G941+(1-p_beta_alloc)*H941)*F941^p_phi</f>
        <v>0.000393849247337115</v>
      </c>
      <c r="J941" s="16" t="n">
        <f aca="false">INDEX(Sector_Params!$C$21:$E$21,MATCH(B941,Sector_Params!$C$15:$E$15,0))*I941/SUMIFS($I$5:$I$1369,$B$5:$B$1369,B941,$C$5:$C$1369,C941)</f>
        <v>0.0873517561385239</v>
      </c>
      <c r="K941" s="28" t="n">
        <f aca="false">INDEX(Sector_Params!$F$10:$H$10,MATCH(B941,Sector_Params!$C$15:$E$15,0))</f>
        <v>0.24</v>
      </c>
      <c r="L941" s="16" t="n">
        <f aca="false">J941*K941</f>
        <v>0.0209644214732457</v>
      </c>
      <c r="M941" s="44" t="n">
        <f aca="false">Country_Data!$DW$138+Sector_Params!$E$10</f>
        <v>0.105</v>
      </c>
      <c r="N941" s="44" t="n">
        <f aca="false">Country_Data!$DX$138+Sector_Params!$E$10</f>
        <v>0.15</v>
      </c>
      <c r="O941" s="11" t="n">
        <f aca="false">IF(p_use_ibrd=1,p_r_ibrd,p_r_wb)</f>
        <v>0.06</v>
      </c>
      <c r="P941" s="45" t="n">
        <f aca="false">Sector_Params!$D$10</f>
        <v>20</v>
      </c>
      <c r="Q941" s="46" t="n">
        <f aca="false">M941/(1-(1+M941)^-P941)</f>
        <v>0.121493265267016</v>
      </c>
      <c r="R941" s="46" t="n">
        <f aca="false">N941/(1-(1+N941)^-P941)</f>
        <v>0.159761470405744</v>
      </c>
      <c r="S941" s="46" t="n">
        <f aca="false">O941/(1-(1+O941)^-P941)</f>
        <v>0.0871845569768514</v>
      </c>
      <c r="T941" s="37" t="n">
        <f aca="false">0*Sector_Params!$I$10</f>
        <v>0</v>
      </c>
      <c r="U941" s="37" t="n">
        <f aca="false">0*Sector_Params!$J$10</f>
        <v>0</v>
      </c>
      <c r="V941" s="37" t="n">
        <f aca="false">1000*p_r_wb/(1-(1+p_r_wb)^-Sector_Params!$D$10)/p_cpt_fuel</f>
        <v>0.871845569768514</v>
      </c>
      <c r="W941" s="16" t="n">
        <f aca="false">T941*L941</f>
        <v>0</v>
      </c>
      <c r="X941" s="16" t="n">
        <f aca="false">U941*L941</f>
        <v>0</v>
      </c>
      <c r="Y941" s="16" t="n">
        <f aca="false">V941*L941</f>
        <v>0.0182777379842092</v>
      </c>
      <c r="Z941" s="16" t="n">
        <f aca="false">Q941*L941</f>
        <v>0.00254703601921857</v>
      </c>
      <c r="AA941" s="16" t="n">
        <f aca="false">R941*L941</f>
        <v>0.00334930680077149</v>
      </c>
      <c r="AB941" s="16" t="n">
        <f aca="false">S941*L941</f>
        <v>0.00182777379842092</v>
      </c>
      <c r="AC941" s="16" t="n">
        <f aca="false">Z941-W941</f>
        <v>0.00254703601921857</v>
      </c>
      <c r="AD941" s="16" t="n">
        <f aca="false">AA941-W941</f>
        <v>0.00334930680077149</v>
      </c>
      <c r="AE941" s="16" t="n">
        <f aca="false">AB941-W941</f>
        <v>0.00182777379842092</v>
      </c>
      <c r="AF941" s="16" t="n">
        <f aca="false">AE941-X941</f>
        <v>0.00182777379842092</v>
      </c>
      <c r="AG941" s="16" t="n">
        <f aca="false">AF941-p_spc_lo*Y941/1000</f>
        <v>0.00091388689921046</v>
      </c>
      <c r="AH941" s="16" t="n">
        <f aca="false">AF941-p_spc_hi*Y941/1000</f>
        <v>0</v>
      </c>
      <c r="AI941" s="16" t="n">
        <f aca="false">Q941*J941</f>
        <v>0.0106126500800774</v>
      </c>
      <c r="AJ941" s="16" t="n">
        <f aca="false">S941*J941</f>
        <v>0.00761572416008716</v>
      </c>
      <c r="AK941" s="16" t="n">
        <f aca="false">T941*J941</f>
        <v>0</v>
      </c>
      <c r="AL941" s="16" t="n">
        <f aca="false">U941*J941</f>
        <v>0</v>
      </c>
      <c r="AM941" s="16" t="n">
        <f aca="false">AI941-AJ941</f>
        <v>0.00299692591999023</v>
      </c>
      <c r="AN941" s="16" t="n">
        <f aca="false">J941*Country_Data!$EB$138</f>
        <v>0.0999494243707464</v>
      </c>
      <c r="AO941" s="16" t="n">
        <f aca="false">L941*Country_Data!$EB$138</f>
        <v>0.0239878618489791</v>
      </c>
    </row>
    <row r="942" customFormat="false" ht="15" hidden="false" customHeight="false" outlineLevel="0" collapsed="false">
      <c r="A942" s="14" t="str">
        <f aca="false">Country_Data!$A$138</f>
        <v>KGZ</v>
      </c>
      <c r="B942" s="14" t="str">
        <f aca="false">Country_Data!$E$138</f>
        <v>EMDC</v>
      </c>
      <c r="C942" s="35" t="s">
        <v>488</v>
      </c>
      <c r="D942" s="37" t="n">
        <f aca="false">IF(Country_Data!$CE$138="","",Country_Data!$CE$138)</f>
        <v>11.86</v>
      </c>
      <c r="E942" s="40" t="n">
        <f aca="false">Country_Data!$BW$138</f>
        <v>59.277</v>
      </c>
      <c r="F942" s="41" t="n">
        <f aca="false">Country_Data!$BX$138</f>
        <v>0.306611333232114</v>
      </c>
      <c r="G942" s="42" t="n">
        <f aca="false">IF(D942="","",D942/SUMIFS($D$5:$D$1369,$B$5:$B$1369,B942,$C$5:$C$1369,C942))</f>
        <v>0.000971803761191926</v>
      </c>
      <c r="H942" s="42" t="n">
        <f aca="false">E942/SUMIFS($E$5:$E$1369,$B$5:$B$1369,B942,$C$5:$C$1369,C942)</f>
        <v>0.000734245166315319</v>
      </c>
      <c r="I942" s="43" t="n">
        <f aca="false">IF(G942="",H942,p_beta_alloc*G942+(1-p_beta_alloc)*H942)*F942^p_phi</f>
        <v>0.000472340938538428</v>
      </c>
      <c r="J942" s="16" t="n">
        <f aca="false">INDEX(Sector_Params!$C$22:$E$22,MATCH(B942,Sector_Params!$C$15:$E$15,0))*I942/SUMIFS($I$5:$I$1369,$B$5:$B$1369,B942,$C$5:$C$1369,C942)</f>
        <v>0.284731079850151</v>
      </c>
      <c r="K942" s="28" t="n">
        <f aca="false">INDEX(Sector_Params!$F$11:$H$11,MATCH(B942,Sector_Params!$C$15:$E$15,0))</f>
        <v>0.24</v>
      </c>
      <c r="L942" s="16" t="n">
        <f aca="false">J942*K942</f>
        <v>0.0683354591640363</v>
      </c>
      <c r="M942" s="44" t="n">
        <f aca="false">Country_Data!$DW$138+Sector_Params!$E$11</f>
        <v>0.105</v>
      </c>
      <c r="N942" s="44" t="n">
        <f aca="false">Country_Data!$DX$138+Sector_Params!$E$11</f>
        <v>0.15</v>
      </c>
      <c r="O942" s="11" t="n">
        <f aca="false">IF(p_use_ibrd=1,p_r_ibrd,p_r_wb)</f>
        <v>0.06</v>
      </c>
      <c r="P942" s="45" t="n">
        <f aca="false">Sector_Params!$D$11</f>
        <v>30</v>
      </c>
      <c r="Q942" s="46" t="n">
        <f aca="false">M942/(1-(1+M942)^-P942)</f>
        <v>0.110528481529605</v>
      </c>
      <c r="R942" s="46" t="n">
        <f aca="false">N942/(1-(1+N942)^-P942)</f>
        <v>0.152300198192734</v>
      </c>
      <c r="S942" s="46" t="n">
        <f aca="false">O942/(1-(1+O942)^-P942)</f>
        <v>0.0726489114900472</v>
      </c>
      <c r="T942" s="37" t="n">
        <f aca="false">0*Sector_Params!$I$11</f>
        <v>0</v>
      </c>
      <c r="U942" s="37" t="n">
        <f aca="false">p_c*Sector_Params!$J$11</f>
        <v>0.129</v>
      </c>
      <c r="V942" s="37" t="n">
        <f aca="false">1000*p_r_wb/(1-(1+p_r_wb)^-Sector_Params!$D$11)/p_cpt_afolu</f>
        <v>1.45297822980094</v>
      </c>
      <c r="W942" s="16" t="n">
        <f aca="false">T942*L942</f>
        <v>0</v>
      </c>
      <c r="X942" s="16" t="n">
        <f aca="false">U942*L942</f>
        <v>0.00881527423216068</v>
      </c>
      <c r="Y942" s="16" t="n">
        <f aca="false">V942*L942</f>
        <v>0.0992899344887961</v>
      </c>
      <c r="Z942" s="16" t="n">
        <f aca="false">Q942*L942</f>
        <v>0.00755301453602927</v>
      </c>
      <c r="AA942" s="16" t="n">
        <f aca="false">R942*L942</f>
        <v>0.0104075039742742</v>
      </c>
      <c r="AB942" s="16" t="n">
        <f aca="false">S942*L942</f>
        <v>0.00496449672443981</v>
      </c>
      <c r="AC942" s="16" t="n">
        <f aca="false">Z942-W942</f>
        <v>0.00755301453602927</v>
      </c>
      <c r="AD942" s="16" t="n">
        <f aca="false">AA942-W942</f>
        <v>0.0104075039742742</v>
      </c>
      <c r="AE942" s="16" t="n">
        <f aca="false">AB942-W942</f>
        <v>0.00496449672443981</v>
      </c>
      <c r="AF942" s="16" t="n">
        <f aca="false">AE942-X942</f>
        <v>-0.00385077750772087</v>
      </c>
      <c r="AG942" s="16" t="n">
        <f aca="false">AF942-p_spc_lo*Y942/1000</f>
        <v>-0.00881527423216068</v>
      </c>
      <c r="AH942" s="16" t="n">
        <f aca="false">AF942-p_spc_hi*Y942/1000</f>
        <v>-0.0137797709566005</v>
      </c>
      <c r="AI942" s="16" t="n">
        <f aca="false">Q942*J942</f>
        <v>0.031470893900122</v>
      </c>
      <c r="AJ942" s="16" t="n">
        <f aca="false">S942*J942</f>
        <v>0.0206854030184992</v>
      </c>
      <c r="AK942" s="16" t="n">
        <f aca="false">T942*J942</f>
        <v>0</v>
      </c>
      <c r="AL942" s="16" t="n">
        <f aca="false">U942*J942</f>
        <v>0.0367303093006695</v>
      </c>
      <c r="AM942" s="16" t="n">
        <f aca="false">AI942-AJ942</f>
        <v>0.0107854908816228</v>
      </c>
      <c r="AN942" s="16" t="n">
        <f aca="false">J942*Country_Data!$EB$138</f>
        <v>0.325794337624459</v>
      </c>
      <c r="AO942" s="16" t="n">
        <f aca="false">L942*Country_Data!$EB$138</f>
        <v>0.0781906410298701</v>
      </c>
    </row>
    <row r="943" customFormat="false" ht="15" hidden="false" customHeight="false" outlineLevel="0" collapsed="false">
      <c r="A943" s="14" t="str">
        <f aca="false">Country_Data!$A$139</f>
        <v>AFG</v>
      </c>
      <c r="B943" s="14" t="str">
        <f aca="false">Country_Data!$E$139</f>
        <v>EMDC</v>
      </c>
      <c r="C943" s="35" t="s">
        <v>466</v>
      </c>
      <c r="D943" s="37" t="n">
        <f aca="false">IF(Country_Data!$BZ$139="","",Country_Data!$BZ$139)</f>
        <v>5.53406595664564</v>
      </c>
      <c r="E943" s="40" t="n">
        <f aca="false">Country_Data!$BW$139</f>
        <v>95.368</v>
      </c>
      <c r="F943" s="41" t="n">
        <f aca="false">Country_Data!$BX$139</f>
        <v>0.186823672510695</v>
      </c>
      <c r="G943" s="42" t="n">
        <f aca="false">IF(D943="","",D943/SUMIFS($D$5:$D$1369,$B$5:$B$1369,B943,$C$5:$C$1369,C943))</f>
        <v>0.000631780787216376</v>
      </c>
      <c r="H943" s="42" t="n">
        <f aca="false">E943/SUMIFS($E$5:$E$1369,$B$5:$B$1369,B943,$C$5:$C$1369,C943)</f>
        <v>0.0011812927952015</v>
      </c>
      <c r="I943" s="43" t="n">
        <f aca="false">IF(G943="",H943,p_beta_alloc*G943+(1-p_beta_alloc)*H943)*F943^p_phi</f>
        <v>0.000391833340661518</v>
      </c>
      <c r="J943" s="16" t="n">
        <f aca="false">INDEX(Sector_Params!$C$16:$E$16,MATCH(B943,Sector_Params!$C$15:$E$15,0))*I943/SUMIFS($I$5:$I$1369,$B$5:$B$1369,B943,$C$5:$C$1369,C943)</f>
        <v>0.37899114091947</v>
      </c>
      <c r="K943" s="28" t="n">
        <f aca="false">INDEX(Sector_Params!$F$5:$H$5,MATCH(B943,Sector_Params!$C$15:$E$15,0))</f>
        <v>0.24</v>
      </c>
      <c r="L943" s="16" t="n">
        <f aca="false">J943*K943</f>
        <v>0.0909578738206728</v>
      </c>
      <c r="M943" s="44" t="n">
        <f aca="false">Country_Data!$DW$139+Sector_Params!$E$5</f>
        <v>0.105</v>
      </c>
      <c r="N943" s="44" t="n">
        <f aca="false">Country_Data!$DX$139+Sector_Params!$E$5</f>
        <v>0.15</v>
      </c>
      <c r="O943" s="11" t="n">
        <f aca="false">IF(p_use_ibrd=1,p_r_ibrd,p_r_wb)</f>
        <v>0.06</v>
      </c>
      <c r="P943" s="45" t="n">
        <f aca="false">Sector_Params!$D$5</f>
        <v>25</v>
      </c>
      <c r="Q943" s="46" t="n">
        <f aca="false">M943/(1-(1+M943)^-P943)</f>
        <v>0.114429319813103</v>
      </c>
      <c r="R943" s="46" t="n">
        <f aca="false">N943/(1-(1+N943)^-P943)</f>
        <v>0.154699402320206</v>
      </c>
      <c r="S943" s="46" t="n">
        <f aca="false">O943/(1-(1+O943)^-P943)</f>
        <v>0.078226718212274</v>
      </c>
      <c r="T943" s="37" t="n">
        <f aca="false">IF(AND(p_eng=1,ISNUMBER(Country_Data!$CZ$139)),Country_Data!$CZ$139,Country_Data!$CM$139)*Sector_Params!$I$5</f>
        <v>0.0227272279540501</v>
      </c>
      <c r="U943" s="37" t="n">
        <f aca="false">IF(AND(p_eng=1,ISNUMBER(Country_Data!$DA$139)),Country_Data!$DA$139,Country_Data!$CN$139)*Sector_Params!$J$5</f>
        <v>0.0021159398296623</v>
      </c>
      <c r="V943" s="37" t="n">
        <f aca="false">IF(AND(p_eng=1,ISNUMBER(Country_Data!$DB$139)),Country_Data!$DB$139,p_a)</f>
        <v>0.254885142715723</v>
      </c>
      <c r="W943" s="16" t="n">
        <f aca="false">T943*L943</f>
        <v>0.00206722033253816</v>
      </c>
      <c r="X943" s="16" t="n">
        <f aca="false">U943*L943</f>
        <v>0.00019246138803856</v>
      </c>
      <c r="Y943" s="16" t="n">
        <f aca="false">V943*L943</f>
        <v>0.0231838106499009</v>
      </c>
      <c r="Z943" s="16" t="n">
        <f aca="false">Q943*L943</f>
        <v>0.0104082476329457</v>
      </c>
      <c r="AA943" s="16" t="n">
        <f aca="false">R943*L943</f>
        <v>0.0140711287163748</v>
      </c>
      <c r="AB943" s="16" t="n">
        <f aca="false">S943*L943</f>
        <v>0.00711533596455734</v>
      </c>
      <c r="AC943" s="16" t="n">
        <f aca="false">Z943-W943</f>
        <v>0.00834102730040751</v>
      </c>
      <c r="AD943" s="16" t="n">
        <f aca="false">AA943-W943</f>
        <v>0.0120039083838367</v>
      </c>
      <c r="AE943" s="16" t="n">
        <f aca="false">AB943-W943</f>
        <v>0.00504811563201918</v>
      </c>
      <c r="AF943" s="16" t="n">
        <f aca="false">AE943-X943</f>
        <v>0.00485565424398062</v>
      </c>
      <c r="AG943" s="16" t="n">
        <f aca="false">AF943-p_spc_lo*Y943/1000</f>
        <v>0.00369646371148558</v>
      </c>
      <c r="AH943" s="16" t="n">
        <f aca="false">AF943-p_spc_hi*Y943/1000</f>
        <v>0.00253727317899053</v>
      </c>
      <c r="AI943" s="16" t="n">
        <f aca="false">Q943*J943</f>
        <v>0.0433676984706069</v>
      </c>
      <c r="AJ943" s="16" t="n">
        <f aca="false">S943*J943</f>
        <v>0.0296472331856556</v>
      </c>
      <c r="AK943" s="16" t="n">
        <f aca="false">T943*J943</f>
        <v>0.00861341805224232</v>
      </c>
      <c r="AL943" s="16" t="n">
        <f aca="false">U943*J943</f>
        <v>0.000801922450160666</v>
      </c>
      <c r="AM943" s="16" t="n">
        <f aca="false">AI943-AJ943</f>
        <v>0.0137204652849514</v>
      </c>
      <c r="AN943" s="16" t="n">
        <f aca="false">J943*Country_Data!$EB$139</f>
        <v>0.462427950238175</v>
      </c>
      <c r="AO943" s="16" t="n">
        <f aca="false">L943*Country_Data!$EB$139</f>
        <v>0.110982708057162</v>
      </c>
    </row>
    <row r="944" customFormat="false" ht="15" hidden="false" customHeight="false" outlineLevel="0" collapsed="false">
      <c r="A944" s="14" t="str">
        <f aca="false">Country_Data!$A$139</f>
        <v>AFG</v>
      </c>
      <c r="B944" s="14" t="str">
        <f aca="false">Country_Data!$E$139</f>
        <v>EMDC</v>
      </c>
      <c r="C944" s="35" t="s">
        <v>470</v>
      </c>
      <c r="D944" s="37" t="n">
        <f aca="false">IF(Country_Data!$BZ$139="","",Country_Data!$BZ$139)</f>
        <v>5.53406595664564</v>
      </c>
      <c r="E944" s="40" t="n">
        <f aca="false">Country_Data!$BW$139</f>
        <v>95.368</v>
      </c>
      <c r="F944" s="41" t="n">
        <f aca="false">Country_Data!$BX$139</f>
        <v>0.186823672510695</v>
      </c>
      <c r="G944" s="42" t="n">
        <f aca="false">IF(D944="","",D944/SUMIFS($D$5:$D$1369,$B$5:$B$1369,B944,$C$5:$C$1369,C944))</f>
        <v>0.000631780787216376</v>
      </c>
      <c r="H944" s="42" t="n">
        <f aca="false">E944/SUMIFS($E$5:$E$1369,$B$5:$B$1369,B944,$C$5:$C$1369,C944)</f>
        <v>0.0011812927952015</v>
      </c>
      <c r="I944" s="43" t="n">
        <f aca="false">IF(G944="",H944,p_beta_alloc*G944+(1-p_beta_alloc)*H944)*F944^p_phi</f>
        <v>0.000391833340661518</v>
      </c>
      <c r="J944" s="16" t="n">
        <f aca="false">INDEX(Sector_Params!$C$17:$E$17,MATCH(B944,Sector_Params!$C$15:$E$15,0))*I944/SUMIFS($I$5:$I$1369,$B$5:$B$1369,B944,$C$5:$C$1369,C944)</f>
        <v>0.259879639487637</v>
      </c>
      <c r="K944" s="28" t="n">
        <f aca="false">INDEX(Sector_Params!$F$6:$H$6,MATCH(B944,Sector_Params!$C$15:$E$15,0))</f>
        <v>0.24</v>
      </c>
      <c r="L944" s="16" t="n">
        <f aca="false">J944*K944</f>
        <v>0.0623711134770328</v>
      </c>
      <c r="M944" s="44" t="n">
        <f aca="false">Country_Data!$DW$139+Sector_Params!$E$6</f>
        <v>0.105</v>
      </c>
      <c r="N944" s="44" t="n">
        <f aca="false">Country_Data!$DX$139+Sector_Params!$E$6</f>
        <v>0.15</v>
      </c>
      <c r="O944" s="11" t="n">
        <f aca="false">IF(p_use_ibrd=1,p_r_ibrd,p_r_wb)</f>
        <v>0.06</v>
      </c>
      <c r="P944" s="45" t="n">
        <f aca="false">Sector_Params!$D$6</f>
        <v>40</v>
      </c>
      <c r="Q944" s="46" t="n">
        <f aca="false">M944/(1-(1+M944)^-P944)</f>
        <v>0.10697140835497</v>
      </c>
      <c r="R944" s="46" t="n">
        <f aca="false">N944/(1-(1+N944)^-P944)</f>
        <v>0.150562085013545</v>
      </c>
      <c r="S944" s="46" t="n">
        <f aca="false">O944/(1-(1+O944)^-P944)</f>
        <v>0.0664615359206755</v>
      </c>
      <c r="T944" s="37" t="n">
        <f aca="false">p_grid_credit*IF(AND(p_eng=1,ISNUMBER(Country_Data!$CZ$139)),Country_Data!$CZ$139,Country_Data!$CM$139)*Sector_Params!$I$6</f>
        <v>0</v>
      </c>
      <c r="U944" s="37" t="n">
        <f aca="false">p_grid_credit*IF(AND(p_eng=1,ISNUMBER(Country_Data!$DA$139)),Country_Data!$DA$139,Country_Data!$CN$139)*Sector_Params!$J$6</f>
        <v>0</v>
      </c>
      <c r="V944" s="37" t="n">
        <f aca="false">p_grid_credit*IF(AND(p_eng=1,ISNUMBER(Country_Data!$DB$139)),Country_Data!$DB$139,p_a)</f>
        <v>0</v>
      </c>
      <c r="W944" s="16" t="n">
        <f aca="false">T944*L944</f>
        <v>0</v>
      </c>
      <c r="X944" s="16" t="n">
        <f aca="false">U944*L944</f>
        <v>0</v>
      </c>
      <c r="Y944" s="16" t="n">
        <f aca="false">V944*L944</f>
        <v>0</v>
      </c>
      <c r="Z944" s="16" t="n">
        <f aca="false">Q944*L944</f>
        <v>0.00667192584930587</v>
      </c>
      <c r="AA944" s="16" t="n">
        <f aca="false">R944*L944</f>
        <v>0.00939072488971847</v>
      </c>
      <c r="AB944" s="16" t="n">
        <f aca="false">S944*L944</f>
        <v>0.00414527999876634</v>
      </c>
      <c r="AC944" s="16" t="n">
        <f aca="false">Z944-W944</f>
        <v>0.00667192584930587</v>
      </c>
      <c r="AD944" s="16" t="n">
        <f aca="false">AA944-W944</f>
        <v>0.00939072488971847</v>
      </c>
      <c r="AE944" s="16" t="n">
        <f aca="false">AB944-W944</f>
        <v>0.00414527999876634</v>
      </c>
      <c r="AF944" s="16" t="n">
        <f aca="false">AE944-X944</f>
        <v>0.00414527999876634</v>
      </c>
      <c r="AG944" s="16" t="n">
        <f aca="false">AF944-p_spc_lo*Y944/1000</f>
        <v>0.00414527999876634</v>
      </c>
      <c r="AH944" s="16" t="n">
        <f aca="false">AF944-p_spc_hi*Y944/1000</f>
        <v>0.00414527999876634</v>
      </c>
      <c r="AI944" s="16" t="n">
        <f aca="false">Q944*J944</f>
        <v>0.0277996910387744</v>
      </c>
      <c r="AJ944" s="16" t="n">
        <f aca="false">S944*J944</f>
        <v>0.0172719999948598</v>
      </c>
      <c r="AK944" s="16" t="n">
        <f aca="false">T944*J944</f>
        <v>0</v>
      </c>
      <c r="AL944" s="16" t="n">
        <f aca="false">U944*J944</f>
        <v>0</v>
      </c>
      <c r="AM944" s="16" t="n">
        <f aca="false">AI944-AJ944</f>
        <v>0.0105276910439147</v>
      </c>
      <c r="AN944" s="16" t="n">
        <f aca="false">J944*Country_Data!$EB$139</f>
        <v>0.317093451591891</v>
      </c>
      <c r="AO944" s="16" t="n">
        <f aca="false">L944*Country_Data!$EB$139</f>
        <v>0.0761024283820539</v>
      </c>
    </row>
    <row r="945" customFormat="false" ht="15" hidden="false" customHeight="false" outlineLevel="0" collapsed="false">
      <c r="A945" s="14" t="str">
        <f aca="false">Country_Data!$A$139</f>
        <v>AFG</v>
      </c>
      <c r="B945" s="14" t="str">
        <f aca="false">Country_Data!$E$139</f>
        <v>EMDC</v>
      </c>
      <c r="C945" s="35" t="s">
        <v>473</v>
      </c>
      <c r="D945" s="37" t="n">
        <f aca="false">IF(Country_Data!$CA$139="","",Country_Data!$CA$139)</f>
        <v>0.0653924276843136</v>
      </c>
      <c r="E945" s="40" t="n">
        <f aca="false">Country_Data!$BW$139</f>
        <v>95.368</v>
      </c>
      <c r="F945" s="41" t="n">
        <f aca="false">Country_Data!$BX$139</f>
        <v>0.186823672510695</v>
      </c>
      <c r="G945" s="42" t="n">
        <f aca="false">IF(D945="","",D945/SUMIFS($D$5:$D$1369,$B$5:$B$1369,B945,$C$5:$C$1369,C945))</f>
        <v>0.00151071722901147</v>
      </c>
      <c r="H945" s="42" t="n">
        <f aca="false">E945/SUMIFS($E$5:$E$1369,$B$5:$B$1369,B945,$C$5:$C$1369,C945)</f>
        <v>0.0011812927952015</v>
      </c>
      <c r="I945" s="43" t="n">
        <f aca="false">IF(G945="",H945,p_beta_alloc*G945+(1-p_beta_alloc)*H945)*F945^p_phi</f>
        <v>0.000581785147117402</v>
      </c>
      <c r="J945" s="16" t="n">
        <f aca="false">INDEX(Sector_Params!$C$18:$E$18,MATCH(B945,Sector_Params!$C$15:$E$15,0))*I945/SUMIFS($I$5:$I$1369,$B$5:$B$1369,B945,$C$5:$C$1369,C945)</f>
        <v>0.23822725200152</v>
      </c>
      <c r="K945" s="28" t="n">
        <f aca="false">INDEX(Sector_Params!$F$7:$H$7,MATCH(B945,Sector_Params!$C$15:$E$15,0))</f>
        <v>0.24</v>
      </c>
      <c r="L945" s="16" t="n">
        <f aca="false">J945*K945</f>
        <v>0.0571745404803647</v>
      </c>
      <c r="M945" s="44" t="n">
        <f aca="false">Country_Data!$DW$139+Sector_Params!$E$7</f>
        <v>0.105</v>
      </c>
      <c r="N945" s="44" t="n">
        <f aca="false">Country_Data!$DX$139+Sector_Params!$E$7</f>
        <v>0.15</v>
      </c>
      <c r="O945" s="11" t="n">
        <f aca="false">IF(p_use_ibrd=1,p_r_ibrd,p_r_wb)</f>
        <v>0.06</v>
      </c>
      <c r="P945" s="45" t="n">
        <f aca="false">Sector_Params!$D$7</f>
        <v>12</v>
      </c>
      <c r="Q945" s="46" t="n">
        <f aca="false">M945/(1-(1+M945)^-P945)</f>
        <v>0.150376745634766</v>
      </c>
      <c r="R945" s="46" t="n">
        <f aca="false">N945/(1-(1+N945)^-P945)</f>
        <v>0.18448077613084</v>
      </c>
      <c r="S945" s="46" t="n">
        <f aca="false">O945/(1-(1+O945)^-P945)</f>
        <v>0.119277029380664</v>
      </c>
      <c r="T945" s="37" t="n">
        <f aca="false">IF(AND(p_eng=1,ISNUMBER(Country_Data!$DE$139)),Country_Data!$DE$139,Country_Data!$CM$139)*Sector_Params!$I$7</f>
        <v>0.12154464</v>
      </c>
      <c r="U945" s="37" t="n">
        <f aca="false">IF(AND(p_eng=1,ISNUMBER(Country_Data!$DF$139)),Country_Data!$DF$139,Country_Data!$CN$139)*Sector_Params!$J$7</f>
        <v>0.0013302</v>
      </c>
      <c r="V945" s="37" t="n">
        <f aca="false">IF(AND(p_eng=1,ISNUMBER(Country_Data!$DG$139)),Country_Data!$DG$139,p_a)</f>
        <v>0.473454409090909</v>
      </c>
      <c r="W945" s="16" t="n">
        <f aca="false">T945*L945</f>
        <v>0.00694925893985135</v>
      </c>
      <c r="X945" s="16" t="n">
        <f aca="false">U945*L945</f>
        <v>7.60535737469811E-005</v>
      </c>
      <c r="Y945" s="16" t="n">
        <f aca="false">V945*L945</f>
        <v>0.0270695382781753</v>
      </c>
      <c r="Z945" s="16" t="n">
        <f aca="false">Q945*L945</f>
        <v>0.00859772133060042</v>
      </c>
      <c r="AA945" s="16" t="n">
        <f aca="false">R945*L945</f>
        <v>0.0105476036027418</v>
      </c>
      <c r="AB945" s="16" t="n">
        <f aca="false">S945*L945</f>
        <v>0.0068196093447024</v>
      </c>
      <c r="AC945" s="16" t="n">
        <f aca="false">Z945-W945</f>
        <v>0.00164846239074906</v>
      </c>
      <c r="AD945" s="16" t="n">
        <f aca="false">AA945-W945</f>
        <v>0.00359834466289043</v>
      </c>
      <c r="AE945" s="16" t="n">
        <f aca="false">AB945-W945</f>
        <v>-0.000129649595148957</v>
      </c>
      <c r="AF945" s="16" t="n">
        <f aca="false">AE945-X945</f>
        <v>-0.000205703168895938</v>
      </c>
      <c r="AG945" s="16" t="n">
        <f aca="false">AF945-p_spc_lo*Y945/1000</f>
        <v>-0.0015591800828047</v>
      </c>
      <c r="AH945" s="16" t="n">
        <f aca="false">AF945-p_spc_hi*Y945/1000</f>
        <v>-0.00291265699671347</v>
      </c>
      <c r="AI945" s="16" t="n">
        <f aca="false">Q945*J945</f>
        <v>0.0358238388775017</v>
      </c>
      <c r="AJ945" s="16" t="n">
        <f aca="false">S945*J945</f>
        <v>0.02841503893626</v>
      </c>
      <c r="AK945" s="16" t="n">
        <f aca="false">T945*J945</f>
        <v>0.028955245582714</v>
      </c>
      <c r="AL945" s="16" t="n">
        <f aca="false">U945*J945</f>
        <v>0.000316889890612421</v>
      </c>
      <c r="AM945" s="16" t="n">
        <f aca="false">AI945-AJ945</f>
        <v>0.00740879994124175</v>
      </c>
      <c r="AN945" s="16" t="n">
        <f aca="false">J945*Country_Data!$EB$139</f>
        <v>0.290674181899529</v>
      </c>
      <c r="AO945" s="16" t="n">
        <f aca="false">L945*Country_Data!$EB$139</f>
        <v>0.0697618036558868</v>
      </c>
    </row>
    <row r="946" customFormat="false" ht="15" hidden="false" customHeight="false" outlineLevel="0" collapsed="false">
      <c r="A946" s="14" t="str">
        <f aca="false">Country_Data!$A$139</f>
        <v>AFG</v>
      </c>
      <c r="B946" s="14" t="str">
        <f aca="false">Country_Data!$E$139</f>
        <v>EMDC</v>
      </c>
      <c r="C946" s="35" t="s">
        <v>477</v>
      </c>
      <c r="D946" s="37" t="n">
        <f aca="false">IF(Country_Data!$CB$139="","",Country_Data!$CB$139)</f>
        <v>0.0434119086011759</v>
      </c>
      <c r="E946" s="40" t="n">
        <f aca="false">Country_Data!$BW$139</f>
        <v>95.368</v>
      </c>
      <c r="F946" s="41" t="n">
        <f aca="false">Country_Data!$BX$139</f>
        <v>0.186823672510695</v>
      </c>
      <c r="G946" s="42" t="n">
        <f aca="false">IF(D946="","",D946/SUMIFS($D$5:$D$1369,$B$5:$B$1369,B946,$C$5:$C$1369,C946))</f>
        <v>0.00136890966747051</v>
      </c>
      <c r="H946" s="42" t="n">
        <f aca="false">E946/SUMIFS($E$5:$E$1369,$B$5:$B$1369,B946,$C$5:$C$1369,C946)</f>
        <v>0.0011812927952015</v>
      </c>
      <c r="I946" s="43" t="n">
        <f aca="false">IF(G946="",H946,p_beta_alloc*G946+(1-p_beta_alloc)*H946)*F946^p_phi</f>
        <v>0.000551138332168195</v>
      </c>
      <c r="J946" s="16" t="n">
        <f aca="false">INDEX(Sector_Params!$C$19:$E$19,MATCH(B946,Sector_Params!$C$15:$E$15,0))*I946/SUMIFS($I$5:$I$1369,$B$5:$B$1369,B946,$C$5:$C$1369,C946)</f>
        <v>0.177390814636381</v>
      </c>
      <c r="K946" s="28" t="n">
        <f aca="false">INDEX(Sector_Params!$F$8:$H$8,MATCH(B946,Sector_Params!$C$15:$E$15,0))</f>
        <v>0.24</v>
      </c>
      <c r="L946" s="16" t="n">
        <f aca="false">J946*K946</f>
        <v>0.0425737955127314</v>
      </c>
      <c r="M946" s="44" t="n">
        <f aca="false">Country_Data!$DW$139+Sector_Params!$E$8</f>
        <v>0.105</v>
      </c>
      <c r="N946" s="44" t="n">
        <f aca="false">Country_Data!$DX$139+Sector_Params!$E$8</f>
        <v>0.15</v>
      </c>
      <c r="O946" s="11" t="n">
        <f aca="false">IF(p_use_ibrd=1,p_r_ibrd,p_r_wb)</f>
        <v>0.06</v>
      </c>
      <c r="P946" s="45" t="n">
        <f aca="false">Sector_Params!$D$8</f>
        <v>25</v>
      </c>
      <c r="Q946" s="46" t="n">
        <f aca="false">M946/(1-(1+M946)^-P946)</f>
        <v>0.114429319813103</v>
      </c>
      <c r="R946" s="46" t="n">
        <f aca="false">N946/(1-(1+N946)^-P946)</f>
        <v>0.154699402320206</v>
      </c>
      <c r="S946" s="46" t="n">
        <f aca="false">O946/(1-(1+O946)^-P946)</f>
        <v>0.078226718212274</v>
      </c>
      <c r="T946" s="37" t="n">
        <f aca="false">Country_Data!$CM$139*Sector_Params!$I$8</f>
        <v>0.338733017085714</v>
      </c>
      <c r="U946" s="37" t="n">
        <f aca="false">Country_Data!$CN$139*Sector_Params!$J$8</f>
        <v>0.03225</v>
      </c>
      <c r="V946" s="37" t="n">
        <f aca="false">p_a</f>
        <v>0.35</v>
      </c>
      <c r="W946" s="16" t="n">
        <f aca="false">T946*L946</f>
        <v>0.0144211502028177</v>
      </c>
      <c r="X946" s="16" t="n">
        <f aca="false">U946*L946</f>
        <v>0.00137300490528559</v>
      </c>
      <c r="Y946" s="16" t="n">
        <f aca="false">V946*L946</f>
        <v>0.014900828429456</v>
      </c>
      <c r="Z946" s="16" t="n">
        <f aca="false">Q946*L946</f>
        <v>0.004871690462384</v>
      </c>
      <c r="AA946" s="16" t="n">
        <f aca="false">R946*L946</f>
        <v>0.00658614072032223</v>
      </c>
      <c r="AB946" s="16" t="n">
        <f aca="false">S946*L946</f>
        <v>0.00333040830480141</v>
      </c>
      <c r="AC946" s="16" t="n">
        <f aca="false">Z946-W946</f>
        <v>-0.00954945974043371</v>
      </c>
      <c r="AD946" s="16" t="n">
        <f aca="false">AA946-W946</f>
        <v>-0.00783500948249549</v>
      </c>
      <c r="AE946" s="16" t="n">
        <f aca="false">AB946-W946</f>
        <v>-0.0110907418980163</v>
      </c>
      <c r="AF946" s="16" t="n">
        <f aca="false">AE946-X946</f>
        <v>-0.0124637468033019</v>
      </c>
      <c r="AG946" s="16" t="n">
        <f aca="false">AF946-p_spc_lo*Y946/1000</f>
        <v>-0.0132087882247747</v>
      </c>
      <c r="AH946" s="16" t="n">
        <f aca="false">AF946-p_spc_hi*Y946/1000</f>
        <v>-0.0139538296462475</v>
      </c>
      <c r="AI946" s="16" t="n">
        <f aca="false">Q946*J946</f>
        <v>0.0202987102599333</v>
      </c>
      <c r="AJ946" s="16" t="n">
        <f aca="false">S946*J946</f>
        <v>0.0138767012700059</v>
      </c>
      <c r="AK946" s="16" t="n">
        <f aca="false">T946*J946</f>
        <v>0.0600881258450738</v>
      </c>
      <c r="AL946" s="16" t="n">
        <f aca="false">U946*J946</f>
        <v>0.00572085377202328</v>
      </c>
      <c r="AM946" s="16" t="n">
        <f aca="false">AI946-AJ946</f>
        <v>0.00642200898992747</v>
      </c>
      <c r="AN946" s="16" t="n">
        <f aca="false">J946*Country_Data!$EB$139</f>
        <v>0.216444296308266</v>
      </c>
      <c r="AO946" s="16" t="n">
        <f aca="false">L946*Country_Data!$EB$139</f>
        <v>0.0519466311139839</v>
      </c>
    </row>
    <row r="947" customFormat="false" ht="15" hidden="false" customHeight="false" outlineLevel="0" collapsed="false">
      <c r="A947" s="14" t="str">
        <f aca="false">Country_Data!$A$139</f>
        <v>AFG</v>
      </c>
      <c r="B947" s="14" t="str">
        <f aca="false">Country_Data!$E$139</f>
        <v>EMDC</v>
      </c>
      <c r="C947" s="35" t="s">
        <v>481</v>
      </c>
      <c r="D947" s="37" t="n">
        <f aca="false">IF(Country_Data!$CC$139="","",Country_Data!$CC$139)</f>
        <v>0.0486269219235165</v>
      </c>
      <c r="E947" s="40" t="n">
        <f aca="false">Country_Data!$BW$139</f>
        <v>95.368</v>
      </c>
      <c r="F947" s="41" t="n">
        <f aca="false">Country_Data!$BX$139</f>
        <v>0.186823672510695</v>
      </c>
      <c r="G947" s="42" t="n">
        <f aca="false">IF(D947="","",D947/SUMIFS($D$5:$D$1369,$B$5:$B$1369,B947,$C$5:$C$1369,C947))</f>
        <v>0.000694598297968461</v>
      </c>
      <c r="H947" s="42" t="n">
        <f aca="false">E947/SUMIFS($E$5:$E$1369,$B$5:$B$1369,B947,$C$5:$C$1369,C947)</f>
        <v>0.0011812927952015</v>
      </c>
      <c r="I947" s="43" t="n">
        <f aca="false">IF(G947="",H947,p_beta_alloc*G947+(1-p_beta_alloc)*H947)*F947^p_phi</f>
        <v>0.000405409179683564</v>
      </c>
      <c r="J947" s="16" t="n">
        <f aca="false">INDEX(Sector_Params!$C$20:$E$20,MATCH(B947,Sector_Params!$C$15:$E$15,0))*I947/SUMIFS($I$5:$I$1369,$B$5:$B$1369,B947,$C$5:$C$1369,C947)</f>
        <v>0.0739953392954179</v>
      </c>
      <c r="K947" s="28" t="n">
        <f aca="false">INDEX(Sector_Params!$F$9:$H$9,MATCH(B947,Sector_Params!$C$15:$E$15,0))</f>
        <v>0.24</v>
      </c>
      <c r="L947" s="16" t="n">
        <f aca="false">J947*K947</f>
        <v>0.0177588814309003</v>
      </c>
      <c r="M947" s="44" t="n">
        <f aca="false">Country_Data!$DW$139+Sector_Params!$E$9</f>
        <v>0.105</v>
      </c>
      <c r="N947" s="44" t="n">
        <f aca="false">Country_Data!$DX$139+Sector_Params!$E$9</f>
        <v>0.15</v>
      </c>
      <c r="O947" s="11" t="n">
        <f aca="false">IF(p_use_ibrd=1,p_r_ibrd,p_r_wb)</f>
        <v>0.06</v>
      </c>
      <c r="P947" s="45" t="n">
        <f aca="false">Sector_Params!$D$9</f>
        <v>25</v>
      </c>
      <c r="Q947" s="46" t="n">
        <f aca="false">M947/(1-(1+M947)^-P947)</f>
        <v>0.114429319813103</v>
      </c>
      <c r="R947" s="46" t="n">
        <f aca="false">N947/(1-(1+N947)^-P947)</f>
        <v>0.154699402320206</v>
      </c>
      <c r="S947" s="46" t="n">
        <f aca="false">O947/(1-(1+O947)^-P947)</f>
        <v>0.078226718212274</v>
      </c>
      <c r="T947" s="37" t="n">
        <f aca="false">Country_Data!$CM$139*Sector_Params!$I$9</f>
        <v>0.338733017085714</v>
      </c>
      <c r="U947" s="37" t="n">
        <f aca="false">Country_Data!$CN$139*Sector_Params!$J$9</f>
        <v>0.03225</v>
      </c>
      <c r="V947" s="37" t="n">
        <f aca="false">p_a</f>
        <v>0.35</v>
      </c>
      <c r="W947" s="16" t="n">
        <f aca="false">T947*L947</f>
        <v>0.00601551948715631</v>
      </c>
      <c r="X947" s="16" t="n">
        <f aca="false">U947*L947</f>
        <v>0.000572723926146534</v>
      </c>
      <c r="Y947" s="16" t="n">
        <f aca="false">V947*L947</f>
        <v>0.0062156085008151</v>
      </c>
      <c r="Z947" s="16" t="n">
        <f aca="false">Q947*L947</f>
        <v>0.00203213672277947</v>
      </c>
      <c r="AA947" s="16" t="n">
        <f aca="false">R947*L947</f>
        <v>0.00274728834323569</v>
      </c>
      <c r="AB947" s="16" t="n">
        <f aca="false">S947*L947</f>
        <v>0.00138921901346022</v>
      </c>
      <c r="AC947" s="16" t="n">
        <f aca="false">Z947-W947</f>
        <v>-0.00398338276437684</v>
      </c>
      <c r="AD947" s="16" t="n">
        <f aca="false">AA947-W947</f>
        <v>-0.00326823114392062</v>
      </c>
      <c r="AE947" s="16" t="n">
        <f aca="false">AB947-W947</f>
        <v>-0.00462630047369609</v>
      </c>
      <c r="AF947" s="16" t="n">
        <f aca="false">AE947-X947</f>
        <v>-0.00519902439984262</v>
      </c>
      <c r="AG947" s="16" t="n">
        <f aca="false">AF947-p_spc_lo*Y947/1000</f>
        <v>-0.00550980482488338</v>
      </c>
      <c r="AH947" s="16" t="n">
        <f aca="false">AF947-p_spc_hi*Y947/1000</f>
        <v>-0.00582058524992413</v>
      </c>
      <c r="AI947" s="16" t="n">
        <f aca="false">Q947*J947</f>
        <v>0.00846723634491446</v>
      </c>
      <c r="AJ947" s="16" t="n">
        <f aca="false">S947*J947</f>
        <v>0.00578841255608425</v>
      </c>
      <c r="AK947" s="16" t="n">
        <f aca="false">T947*J947</f>
        <v>0.0250646645298179</v>
      </c>
      <c r="AL947" s="16" t="n">
        <f aca="false">U947*J947</f>
        <v>0.00238634969227723</v>
      </c>
      <c r="AM947" s="16" t="n">
        <f aca="false">AI947-AJ947</f>
        <v>0.00267882378883021</v>
      </c>
      <c r="AN947" s="16" t="n">
        <f aca="false">J947*Country_Data!$EB$139</f>
        <v>0.090285786086037</v>
      </c>
      <c r="AO947" s="16" t="n">
        <f aca="false">L947*Country_Data!$EB$139</f>
        <v>0.0216685886606489</v>
      </c>
    </row>
    <row r="948" customFormat="false" ht="15" hidden="false" customHeight="false" outlineLevel="0" collapsed="false">
      <c r="A948" s="14" t="str">
        <f aca="false">Country_Data!$A$139</f>
        <v>AFG</v>
      </c>
      <c r="B948" s="14" t="str">
        <f aca="false">Country_Data!$E$139</f>
        <v>EMDC</v>
      </c>
      <c r="C948" s="35" t="s">
        <v>484</v>
      </c>
      <c r="D948" s="37" t="n">
        <f aca="false">IF(Country_Data!$CD$139="","",Country_Data!$CD$139)</f>
        <v>0.138896249154474</v>
      </c>
      <c r="E948" s="40" t="n">
        <f aca="false">Country_Data!$BW$139</f>
        <v>95.368</v>
      </c>
      <c r="F948" s="41" t="n">
        <f aca="false">Country_Data!$BX$139</f>
        <v>0.186823672510695</v>
      </c>
      <c r="G948" s="42" t="n">
        <f aca="false">IF(D948="","",D948/SUMIFS($D$5:$D$1369,$B$5:$B$1369,B948,$C$5:$C$1369,C948))</f>
        <v>0.000775647396763112</v>
      </c>
      <c r="H948" s="42" t="n">
        <f aca="false">E948/SUMIFS($E$5:$E$1369,$B$5:$B$1369,B948,$C$5:$C$1369,C948)</f>
        <v>0.0011812927952015</v>
      </c>
      <c r="I948" s="43" t="n">
        <f aca="false">IF(G948="",H948,p_beta_alloc*G948+(1-p_beta_alloc)*H948)*F948^p_phi</f>
        <v>0.000422925147841879</v>
      </c>
      <c r="J948" s="16" t="n">
        <f aca="false">INDEX(Sector_Params!$C$21:$E$21,MATCH(B948,Sector_Params!$C$15:$E$15,0))*I948/SUMIFS($I$5:$I$1369,$B$5:$B$1369,B948,$C$5:$C$1369,C948)</f>
        <v>0.0938004950597543</v>
      </c>
      <c r="K948" s="28" t="n">
        <f aca="false">INDEX(Sector_Params!$F$10:$H$10,MATCH(B948,Sector_Params!$C$15:$E$15,0))</f>
        <v>0.24</v>
      </c>
      <c r="L948" s="16" t="n">
        <f aca="false">J948*K948</f>
        <v>0.022512118814341</v>
      </c>
      <c r="M948" s="44" t="n">
        <f aca="false">Country_Data!$DW$139+Sector_Params!$E$10</f>
        <v>0.105</v>
      </c>
      <c r="N948" s="44" t="n">
        <f aca="false">Country_Data!$DX$139+Sector_Params!$E$10</f>
        <v>0.15</v>
      </c>
      <c r="O948" s="11" t="n">
        <f aca="false">IF(p_use_ibrd=1,p_r_ibrd,p_r_wb)</f>
        <v>0.06</v>
      </c>
      <c r="P948" s="45" t="n">
        <f aca="false">Sector_Params!$D$10</f>
        <v>20</v>
      </c>
      <c r="Q948" s="46" t="n">
        <f aca="false">M948/(1-(1+M948)^-P948)</f>
        <v>0.121493265267016</v>
      </c>
      <c r="R948" s="46" t="n">
        <f aca="false">N948/(1-(1+N948)^-P948)</f>
        <v>0.159761470405744</v>
      </c>
      <c r="S948" s="46" t="n">
        <f aca="false">O948/(1-(1+O948)^-P948)</f>
        <v>0.0871845569768514</v>
      </c>
      <c r="T948" s="37" t="n">
        <f aca="false">0*Sector_Params!$I$10</f>
        <v>0</v>
      </c>
      <c r="U948" s="37" t="n">
        <f aca="false">0*Sector_Params!$J$10</f>
        <v>0</v>
      </c>
      <c r="V948" s="37" t="n">
        <f aca="false">1000*p_r_wb/(1-(1+p_r_wb)^-Sector_Params!$D$10)/p_cpt_fuel</f>
        <v>0.871845569768514</v>
      </c>
      <c r="W948" s="16" t="n">
        <f aca="false">T948*L948</f>
        <v>0</v>
      </c>
      <c r="X948" s="16" t="n">
        <f aca="false">U948*L948</f>
        <v>0</v>
      </c>
      <c r="Y948" s="16" t="n">
        <f aca="false">V948*L948</f>
        <v>0.0196270910543856</v>
      </c>
      <c r="Z948" s="16" t="n">
        <f aca="false">Q948*L948</f>
        <v>0.00273507082283332</v>
      </c>
      <c r="AA948" s="16" t="n">
        <f aca="false">R948*L948</f>
        <v>0.00359656920372793</v>
      </c>
      <c r="AB948" s="16" t="n">
        <f aca="false">S948*L948</f>
        <v>0.00196270910543856</v>
      </c>
      <c r="AC948" s="16" t="n">
        <f aca="false">Z948-W948</f>
        <v>0.00273507082283332</v>
      </c>
      <c r="AD948" s="16" t="n">
        <f aca="false">AA948-W948</f>
        <v>0.00359656920372793</v>
      </c>
      <c r="AE948" s="16" t="n">
        <f aca="false">AB948-W948</f>
        <v>0.00196270910543856</v>
      </c>
      <c r="AF948" s="16" t="n">
        <f aca="false">AE948-X948</f>
        <v>0.00196270910543856</v>
      </c>
      <c r="AG948" s="16" t="n">
        <f aca="false">AF948-p_spc_lo*Y948/1000</f>
        <v>0.000981354552719282</v>
      </c>
      <c r="AH948" s="16" t="n">
        <f aca="false">AF948-p_spc_hi*Y948/1000</f>
        <v>0</v>
      </c>
      <c r="AI948" s="16" t="n">
        <f aca="false">Q948*J948</f>
        <v>0.0113961284284722</v>
      </c>
      <c r="AJ948" s="16" t="n">
        <f aca="false">S948*J948</f>
        <v>0.00817795460599402</v>
      </c>
      <c r="AK948" s="16" t="n">
        <f aca="false">T948*J948</f>
        <v>0</v>
      </c>
      <c r="AL948" s="16" t="n">
        <f aca="false">U948*J948</f>
        <v>0</v>
      </c>
      <c r="AM948" s="16" t="n">
        <f aca="false">AI948-AJ948</f>
        <v>0.00321817382247815</v>
      </c>
      <c r="AN948" s="16" t="n">
        <f aca="false">J948*Country_Data!$EB$139</f>
        <v>0.114451146685313</v>
      </c>
      <c r="AO948" s="16" t="n">
        <f aca="false">L948*Country_Data!$EB$139</f>
        <v>0.027468275204475</v>
      </c>
    </row>
    <row r="949" customFormat="false" ht="15" hidden="false" customHeight="false" outlineLevel="0" collapsed="false">
      <c r="A949" s="14" t="str">
        <f aca="false">Country_Data!$A$139</f>
        <v>AFG</v>
      </c>
      <c r="B949" s="14" t="str">
        <f aca="false">Country_Data!$E$139</f>
        <v>EMDC</v>
      </c>
      <c r="C949" s="35" t="s">
        <v>488</v>
      </c>
      <c r="D949" s="37" t="n">
        <f aca="false">IF(Country_Data!$CE$139="","",Country_Data!$CE$139)</f>
        <v>23.969</v>
      </c>
      <c r="E949" s="40" t="n">
        <f aca="false">Country_Data!$BW$139</f>
        <v>95.368</v>
      </c>
      <c r="F949" s="41" t="n">
        <f aca="false">Country_Data!$BX$139</f>
        <v>0.186823672510695</v>
      </c>
      <c r="G949" s="42" t="n">
        <f aca="false">IF(D949="","",D949/SUMIFS($D$5:$D$1369,$B$5:$B$1369,B949,$C$5:$C$1369,C949))</f>
        <v>0.00196401048499235</v>
      </c>
      <c r="H949" s="42" t="n">
        <f aca="false">E949/SUMIFS($E$5:$E$1369,$B$5:$B$1369,B949,$C$5:$C$1369,C949)</f>
        <v>0.0011812927952015</v>
      </c>
      <c r="I949" s="43" t="n">
        <f aca="false">IF(G949="",H949,p_beta_alloc*G949+(1-p_beta_alloc)*H949)*F949^p_phi</f>
        <v>0.000679748854995967</v>
      </c>
      <c r="J949" s="16" t="n">
        <f aca="false">INDEX(Sector_Params!$C$22:$E$22,MATCH(B949,Sector_Params!$C$15:$E$15,0))*I949/SUMIFS($I$5:$I$1369,$B$5:$B$1369,B949,$C$5:$C$1369,C949)</f>
        <v>0.40975831167376</v>
      </c>
      <c r="K949" s="28" t="n">
        <f aca="false">INDEX(Sector_Params!$F$11:$H$11,MATCH(B949,Sector_Params!$C$15:$E$15,0))</f>
        <v>0.24</v>
      </c>
      <c r="L949" s="16" t="n">
        <f aca="false">J949*K949</f>
        <v>0.0983419948017024</v>
      </c>
      <c r="M949" s="44" t="n">
        <f aca="false">Country_Data!$DW$139+Sector_Params!$E$11</f>
        <v>0.105</v>
      </c>
      <c r="N949" s="44" t="n">
        <f aca="false">Country_Data!$DX$139+Sector_Params!$E$11</f>
        <v>0.15</v>
      </c>
      <c r="O949" s="11" t="n">
        <f aca="false">IF(p_use_ibrd=1,p_r_ibrd,p_r_wb)</f>
        <v>0.06</v>
      </c>
      <c r="P949" s="45" t="n">
        <f aca="false">Sector_Params!$D$11</f>
        <v>30</v>
      </c>
      <c r="Q949" s="46" t="n">
        <f aca="false">M949/(1-(1+M949)^-P949)</f>
        <v>0.110528481529605</v>
      </c>
      <c r="R949" s="46" t="n">
        <f aca="false">N949/(1-(1+N949)^-P949)</f>
        <v>0.152300198192734</v>
      </c>
      <c r="S949" s="46" t="n">
        <f aca="false">O949/(1-(1+O949)^-P949)</f>
        <v>0.0726489114900472</v>
      </c>
      <c r="T949" s="37" t="n">
        <f aca="false">0*Sector_Params!$I$11</f>
        <v>0</v>
      </c>
      <c r="U949" s="37" t="n">
        <f aca="false">p_c*Sector_Params!$J$11</f>
        <v>0.129</v>
      </c>
      <c r="V949" s="37" t="n">
        <f aca="false">1000*p_r_wb/(1-(1+p_r_wb)^-Sector_Params!$D$11)/p_cpt_afolu</f>
        <v>1.45297822980094</v>
      </c>
      <c r="W949" s="16" t="n">
        <f aca="false">T949*L949</f>
        <v>0</v>
      </c>
      <c r="X949" s="16" t="n">
        <f aca="false">U949*L949</f>
        <v>0.0126861173294196</v>
      </c>
      <c r="Y949" s="16" t="n">
        <f aca="false">V949*L949</f>
        <v>0.142888777522071</v>
      </c>
      <c r="Z949" s="16" t="n">
        <f aca="false">Q949*L949</f>
        <v>0.0108695913560245</v>
      </c>
      <c r="AA949" s="16" t="n">
        <f aca="false">R949*L949</f>
        <v>0.0149775052989681</v>
      </c>
      <c r="AB949" s="16" t="n">
        <f aca="false">S949*L949</f>
        <v>0.00714443887610356</v>
      </c>
      <c r="AC949" s="16" t="n">
        <f aca="false">Z949-W949</f>
        <v>0.0108695913560245</v>
      </c>
      <c r="AD949" s="16" t="n">
        <f aca="false">AA949-W949</f>
        <v>0.0149775052989681</v>
      </c>
      <c r="AE949" s="16" t="n">
        <f aca="false">AB949-W949</f>
        <v>0.00714443887610356</v>
      </c>
      <c r="AF949" s="16" t="n">
        <f aca="false">AE949-X949</f>
        <v>-0.00554167845331605</v>
      </c>
      <c r="AG949" s="16" t="n">
        <f aca="false">AF949-p_spc_lo*Y949/1000</f>
        <v>-0.0126861173294196</v>
      </c>
      <c r="AH949" s="16" t="n">
        <f aca="false">AF949-p_spc_hi*Y949/1000</f>
        <v>-0.0198305562055232</v>
      </c>
      <c r="AI949" s="16" t="n">
        <f aca="false">Q949*J949</f>
        <v>0.0452899639834354</v>
      </c>
      <c r="AJ949" s="16" t="n">
        <f aca="false">S949*J949</f>
        <v>0.0297684953170982</v>
      </c>
      <c r="AK949" s="16" t="n">
        <f aca="false">T949*J949</f>
        <v>0</v>
      </c>
      <c r="AL949" s="16" t="n">
        <f aca="false">U949*J949</f>
        <v>0.052858822205915</v>
      </c>
      <c r="AM949" s="16" t="n">
        <f aca="false">AI949-AJ949</f>
        <v>0.0155214686663372</v>
      </c>
      <c r="AN949" s="16" t="n">
        <f aca="false">J949*Country_Data!$EB$139</f>
        <v>0.499968668662401</v>
      </c>
      <c r="AO949" s="16" t="n">
        <f aca="false">L949*Country_Data!$EB$139</f>
        <v>0.119992480478976</v>
      </c>
    </row>
    <row r="950" customFormat="false" ht="15" hidden="false" customHeight="false" outlineLevel="0" collapsed="false">
      <c r="A950" s="14" t="str">
        <f aca="false">Country_Data!$A$140</f>
        <v>MDG</v>
      </c>
      <c r="B950" s="14" t="str">
        <f aca="false">Country_Data!$E$140</f>
        <v>EMDC</v>
      </c>
      <c r="C950" s="35" t="s">
        <v>466</v>
      </c>
      <c r="D950" s="37" t="n">
        <f aca="false">IF(Country_Data!$BZ$140="","",Country_Data!$BZ$140)</f>
        <v>3.10191215228723</v>
      </c>
      <c r="E950" s="40" t="n">
        <f aca="false">Country_Data!$BW$140</f>
        <v>60.371</v>
      </c>
      <c r="F950" s="41" t="n">
        <f aca="false">Country_Data!$BX$140</f>
        <v>0.291414752116082</v>
      </c>
      <c r="G950" s="42" t="n">
        <f aca="false">IF(D950="","",D950/SUMIFS($D$5:$D$1369,$B$5:$B$1369,B950,$C$5:$C$1369,C950))</f>
        <v>0.000354120915218712</v>
      </c>
      <c r="H950" s="42" t="n">
        <f aca="false">E950/SUMIFS($E$5:$E$1369,$B$5:$B$1369,B950,$C$5:$C$1369,C950)</f>
        <v>0.000747796193053328</v>
      </c>
      <c r="I950" s="43" t="n">
        <f aca="false">IF(G950="",H950,p_beta_alloc*G950+(1-p_beta_alloc)*H950)*F950^p_phi</f>
        <v>0.000297423100602672</v>
      </c>
      <c r="J950" s="16" t="n">
        <f aca="false">INDEX(Sector_Params!$C$16:$E$16,MATCH(B950,Sector_Params!$C$15:$E$15,0))*I950/SUMIFS($I$5:$I$1369,$B$5:$B$1369,B950,$C$5:$C$1369,C950)</f>
        <v>0.287675163228608</v>
      </c>
      <c r="K950" s="28" t="n">
        <f aca="false">INDEX(Sector_Params!$F$5:$H$5,MATCH(B950,Sector_Params!$C$15:$E$15,0))</f>
        <v>0.24</v>
      </c>
      <c r="L950" s="16" t="n">
        <f aca="false">J950*K950</f>
        <v>0.0690420391748659</v>
      </c>
      <c r="M950" s="44" t="n">
        <f aca="false">Country_Data!$DW$140+Sector_Params!$E$5</f>
        <v>0.105</v>
      </c>
      <c r="N950" s="44" t="n">
        <f aca="false">Country_Data!$DX$140+Sector_Params!$E$5</f>
        <v>0.15</v>
      </c>
      <c r="O950" s="11" t="n">
        <f aca="false">IF(p_use_ibrd=1,p_r_ibrd,p_r_wb)</f>
        <v>0.06</v>
      </c>
      <c r="P950" s="45" t="n">
        <f aca="false">Sector_Params!$D$5</f>
        <v>25</v>
      </c>
      <c r="Q950" s="46" t="n">
        <f aca="false">M950/(1-(1+M950)^-P950)</f>
        <v>0.114429319813103</v>
      </c>
      <c r="R950" s="46" t="n">
        <f aca="false">N950/(1-(1+N950)^-P950)</f>
        <v>0.154699402320206</v>
      </c>
      <c r="S950" s="46" t="n">
        <f aca="false">O950/(1-(1+O950)^-P950)</f>
        <v>0.078226718212274</v>
      </c>
      <c r="T950" s="37" t="n">
        <f aca="false">IF(AND(p_eng=1,ISNUMBER(Country_Data!$CZ$140)),Country_Data!$CZ$140,Country_Data!$CM$140)*Sector_Params!$I$5</f>
        <v>0.124267129189044</v>
      </c>
      <c r="U950" s="37" t="n">
        <f aca="false">IF(AND(p_eng=1,ISNUMBER(Country_Data!$DA$140)),Country_Data!$DA$140,Country_Data!$CN$140)*Sector_Params!$J$5</f>
        <v>0.00404533980749501</v>
      </c>
      <c r="V950" s="37" t="n">
        <f aca="false">IF(AND(p_eng=1,ISNUMBER(Country_Data!$DB$140)),Country_Data!$DB$140,p_a)</f>
        <v>1.1406341513746</v>
      </c>
      <c r="W950" s="16" t="n">
        <f aca="false">T950*L950</f>
        <v>0.00857965600161807</v>
      </c>
      <c r="X950" s="16" t="n">
        <f aca="false">U950*L950</f>
        <v>0.000279298509464715</v>
      </c>
      <c r="Y950" s="16" t="n">
        <f aca="false">V950*L950</f>
        <v>0.0787517077633954</v>
      </c>
      <c r="Z950" s="16" t="n">
        <f aca="false">Q950*L950</f>
        <v>0.00790043358128954</v>
      </c>
      <c r="AA950" s="16" t="n">
        <f aca="false">R950*L950</f>
        <v>0.01068076219532</v>
      </c>
      <c r="AB950" s="16" t="n">
        <f aca="false">S950*L950</f>
        <v>0.00540093214333301</v>
      </c>
      <c r="AC950" s="16" t="n">
        <f aca="false">Z950-W950</f>
        <v>-0.000679222420328527</v>
      </c>
      <c r="AD950" s="16" t="n">
        <f aca="false">AA950-W950</f>
        <v>0.00210110619370197</v>
      </c>
      <c r="AE950" s="16" t="n">
        <f aca="false">AB950-W950</f>
        <v>-0.00317872385828505</v>
      </c>
      <c r="AF950" s="16" t="n">
        <f aca="false">AE950-X950</f>
        <v>-0.00345802236774977</v>
      </c>
      <c r="AG950" s="16" t="n">
        <f aca="false">AF950-p_spc_lo*Y950/1000</f>
        <v>-0.00739560775591954</v>
      </c>
      <c r="AH950" s="16" t="n">
        <f aca="false">AF950-p_spc_hi*Y950/1000</f>
        <v>-0.0113331931440893</v>
      </c>
      <c r="AI950" s="16" t="n">
        <f aca="false">Q950*J950</f>
        <v>0.0329184732553731</v>
      </c>
      <c r="AJ950" s="16" t="n">
        <f aca="false">S950*J950</f>
        <v>0.0225038839305542</v>
      </c>
      <c r="AK950" s="16" t="n">
        <f aca="false">T950*J950</f>
        <v>0.0357485666734086</v>
      </c>
      <c r="AL950" s="16" t="n">
        <f aca="false">U950*J950</f>
        <v>0.00116374378943631</v>
      </c>
      <c r="AM950" s="16" t="n">
        <f aca="false">AI950-AJ950</f>
        <v>0.0104145893248189</v>
      </c>
      <c r="AN950" s="16" t="n">
        <f aca="false">J950*Country_Data!$EB$140</f>
        <v>0.36438854008957</v>
      </c>
      <c r="AO950" s="16" t="n">
        <f aca="false">L950*Country_Data!$EB$140</f>
        <v>0.0874532496214968</v>
      </c>
    </row>
    <row r="951" customFormat="false" ht="15" hidden="false" customHeight="false" outlineLevel="0" collapsed="false">
      <c r="A951" s="14" t="str">
        <f aca="false">Country_Data!$A$140</f>
        <v>MDG</v>
      </c>
      <c r="B951" s="14" t="str">
        <f aca="false">Country_Data!$E$140</f>
        <v>EMDC</v>
      </c>
      <c r="C951" s="35" t="s">
        <v>470</v>
      </c>
      <c r="D951" s="37" t="n">
        <f aca="false">IF(Country_Data!$BZ$140="","",Country_Data!$BZ$140)</f>
        <v>3.10191215228723</v>
      </c>
      <c r="E951" s="40" t="n">
        <f aca="false">Country_Data!$BW$140</f>
        <v>60.371</v>
      </c>
      <c r="F951" s="41" t="n">
        <f aca="false">Country_Data!$BX$140</f>
        <v>0.291414752116082</v>
      </c>
      <c r="G951" s="42" t="n">
        <f aca="false">IF(D951="","",D951/SUMIFS($D$5:$D$1369,$B$5:$B$1369,B951,$C$5:$C$1369,C951))</f>
        <v>0.000354120915218712</v>
      </c>
      <c r="H951" s="42" t="n">
        <f aca="false">E951/SUMIFS($E$5:$E$1369,$B$5:$B$1369,B951,$C$5:$C$1369,C951)</f>
        <v>0.000747796193053328</v>
      </c>
      <c r="I951" s="43" t="n">
        <f aca="false">IF(G951="",H951,p_beta_alloc*G951+(1-p_beta_alloc)*H951)*F951^p_phi</f>
        <v>0.000297423100602672</v>
      </c>
      <c r="J951" s="16" t="n">
        <f aca="false">INDEX(Sector_Params!$C$17:$E$17,MATCH(B951,Sector_Params!$C$15:$E$15,0))*I951/SUMIFS($I$5:$I$1369,$B$5:$B$1369,B951,$C$5:$C$1369,C951)</f>
        <v>0.197262969071045</v>
      </c>
      <c r="K951" s="28" t="n">
        <f aca="false">INDEX(Sector_Params!$F$6:$H$6,MATCH(B951,Sector_Params!$C$15:$E$15,0))</f>
        <v>0.24</v>
      </c>
      <c r="L951" s="16" t="n">
        <f aca="false">J951*K951</f>
        <v>0.0473431125770509</v>
      </c>
      <c r="M951" s="44" t="n">
        <f aca="false">Country_Data!$DW$140+Sector_Params!$E$6</f>
        <v>0.105</v>
      </c>
      <c r="N951" s="44" t="n">
        <f aca="false">Country_Data!$DX$140+Sector_Params!$E$6</f>
        <v>0.15</v>
      </c>
      <c r="O951" s="11" t="n">
        <f aca="false">IF(p_use_ibrd=1,p_r_ibrd,p_r_wb)</f>
        <v>0.06</v>
      </c>
      <c r="P951" s="45" t="n">
        <f aca="false">Sector_Params!$D$6</f>
        <v>40</v>
      </c>
      <c r="Q951" s="46" t="n">
        <f aca="false">M951/(1-(1+M951)^-P951)</f>
        <v>0.10697140835497</v>
      </c>
      <c r="R951" s="46" t="n">
        <f aca="false">N951/(1-(1+N951)^-P951)</f>
        <v>0.150562085013545</v>
      </c>
      <c r="S951" s="46" t="n">
        <f aca="false">O951/(1-(1+O951)^-P951)</f>
        <v>0.0664615359206755</v>
      </c>
      <c r="T951" s="37" t="n">
        <f aca="false">p_grid_credit*IF(AND(p_eng=1,ISNUMBER(Country_Data!$CZ$140)),Country_Data!$CZ$140,Country_Data!$CM$140)*Sector_Params!$I$6</f>
        <v>0</v>
      </c>
      <c r="U951" s="37" t="n">
        <f aca="false">p_grid_credit*IF(AND(p_eng=1,ISNUMBER(Country_Data!$DA$140)),Country_Data!$DA$140,Country_Data!$CN$140)*Sector_Params!$J$6</f>
        <v>0</v>
      </c>
      <c r="V951" s="37" t="n">
        <f aca="false">p_grid_credit*IF(AND(p_eng=1,ISNUMBER(Country_Data!$DB$140)),Country_Data!$DB$140,p_a)</f>
        <v>0</v>
      </c>
      <c r="W951" s="16" t="n">
        <f aca="false">T951*L951</f>
        <v>0</v>
      </c>
      <c r="X951" s="16" t="n">
        <f aca="false">U951*L951</f>
        <v>0</v>
      </c>
      <c r="Y951" s="16" t="n">
        <f aca="false">V951*L951</f>
        <v>0</v>
      </c>
      <c r="Z951" s="16" t="n">
        <f aca="false">Q951*L951</f>
        <v>0.00506435942827504</v>
      </c>
      <c r="AA951" s="16" t="n">
        <f aca="false">R951*L951</f>
        <v>0.00712807774063177</v>
      </c>
      <c r="AB951" s="16" t="n">
        <f aca="false">S951*L951</f>
        <v>0.00314649597713625</v>
      </c>
      <c r="AC951" s="16" t="n">
        <f aca="false">Z951-W951</f>
        <v>0.00506435942827504</v>
      </c>
      <c r="AD951" s="16" t="n">
        <f aca="false">AA951-W951</f>
        <v>0.00712807774063177</v>
      </c>
      <c r="AE951" s="16" t="n">
        <f aca="false">AB951-W951</f>
        <v>0.00314649597713625</v>
      </c>
      <c r="AF951" s="16" t="n">
        <f aca="false">AE951-X951</f>
        <v>0.00314649597713625</v>
      </c>
      <c r="AG951" s="16" t="n">
        <f aca="false">AF951-p_spc_lo*Y951/1000</f>
        <v>0.00314649597713625</v>
      </c>
      <c r="AH951" s="16" t="n">
        <f aca="false">AF951-p_spc_hi*Y951/1000</f>
        <v>0.00314649597713625</v>
      </c>
      <c r="AI951" s="16" t="n">
        <f aca="false">Q951*J951</f>
        <v>0.0211014976178127</v>
      </c>
      <c r="AJ951" s="16" t="n">
        <f aca="false">S951*J951</f>
        <v>0.0131103999047344</v>
      </c>
      <c r="AK951" s="16" t="n">
        <f aca="false">T951*J951</f>
        <v>0</v>
      </c>
      <c r="AL951" s="16" t="n">
        <f aca="false">U951*J951</f>
        <v>0</v>
      </c>
      <c r="AM951" s="16" t="n">
        <f aca="false">AI951-AJ951</f>
        <v>0.0079910977130783</v>
      </c>
      <c r="AN951" s="16" t="n">
        <f aca="false">J951*Country_Data!$EB$140</f>
        <v>0.249866427489991</v>
      </c>
      <c r="AO951" s="16" t="n">
        <f aca="false">L951*Country_Data!$EB$140</f>
        <v>0.0599679425975978</v>
      </c>
    </row>
    <row r="952" customFormat="false" ht="15" hidden="false" customHeight="false" outlineLevel="0" collapsed="false">
      <c r="A952" s="14" t="str">
        <f aca="false">Country_Data!$A$140</f>
        <v>MDG</v>
      </c>
      <c r="B952" s="14" t="str">
        <f aca="false">Country_Data!$E$140</f>
        <v>EMDC</v>
      </c>
      <c r="C952" s="35" t="s">
        <v>473</v>
      </c>
      <c r="D952" s="37" t="n">
        <f aca="false">IF(Country_Data!$CA$140="","",Country_Data!$CA$140)</f>
        <v>0.0273043856971986</v>
      </c>
      <c r="E952" s="40" t="n">
        <f aca="false">Country_Data!$BW$140</f>
        <v>60.371</v>
      </c>
      <c r="F952" s="41" t="n">
        <f aca="false">Country_Data!$BX$140</f>
        <v>0.291414752116082</v>
      </c>
      <c r="G952" s="42" t="n">
        <f aca="false">IF(D952="","",D952/SUMIFS($D$5:$D$1369,$B$5:$B$1369,B952,$C$5:$C$1369,C952))</f>
        <v>0.000630794839112954</v>
      </c>
      <c r="H952" s="42" t="n">
        <f aca="false">E952/SUMIFS($E$5:$E$1369,$B$5:$B$1369,B952,$C$5:$C$1369,C952)</f>
        <v>0.000747796193053328</v>
      </c>
      <c r="I952" s="43" t="n">
        <f aca="false">IF(G952="",H952,p_beta_alloc*G952+(1-p_beta_alloc)*H952)*F952^p_phi</f>
        <v>0.000372101327923758</v>
      </c>
      <c r="J952" s="16" t="n">
        <f aca="false">INDEX(Sector_Params!$C$18:$E$18,MATCH(B952,Sector_Params!$C$15:$E$15,0))*I952/SUMIFS($I$5:$I$1369,$B$5:$B$1369,B952,$C$5:$C$1369,C952)</f>
        <v>0.152366689415508</v>
      </c>
      <c r="K952" s="28" t="n">
        <f aca="false">INDEX(Sector_Params!$F$7:$H$7,MATCH(B952,Sector_Params!$C$15:$E$15,0))</f>
        <v>0.24</v>
      </c>
      <c r="L952" s="16" t="n">
        <f aca="false">J952*K952</f>
        <v>0.036568005459722</v>
      </c>
      <c r="M952" s="44" t="n">
        <f aca="false">Country_Data!$DW$140+Sector_Params!$E$7</f>
        <v>0.105</v>
      </c>
      <c r="N952" s="44" t="n">
        <f aca="false">Country_Data!$DX$140+Sector_Params!$E$7</f>
        <v>0.15</v>
      </c>
      <c r="O952" s="11" t="n">
        <f aca="false">IF(p_use_ibrd=1,p_r_ibrd,p_r_wb)</f>
        <v>0.06</v>
      </c>
      <c r="P952" s="45" t="n">
        <f aca="false">Sector_Params!$D$7</f>
        <v>12</v>
      </c>
      <c r="Q952" s="46" t="n">
        <f aca="false">M952/(1-(1+M952)^-P952)</f>
        <v>0.150376745634766</v>
      </c>
      <c r="R952" s="46" t="n">
        <f aca="false">N952/(1-(1+N952)^-P952)</f>
        <v>0.18448077613084</v>
      </c>
      <c r="S952" s="46" t="n">
        <f aca="false">O952/(1-(1+O952)^-P952)</f>
        <v>0.119277029380664</v>
      </c>
      <c r="T952" s="37" t="n">
        <f aca="false">IF(AND(p_eng=1,ISNUMBER(Country_Data!$DE$140)),Country_Data!$DE$140,Country_Data!$CM$140)*Sector_Params!$I$7</f>
        <v>0.10631988</v>
      </c>
      <c r="U952" s="37" t="n">
        <f aca="false">IF(AND(p_eng=1,ISNUMBER(Country_Data!$DF$140)),Country_Data!$DF$140,Country_Data!$CN$140)*Sector_Params!$J$7</f>
        <v>6.7275E-005</v>
      </c>
      <c r="V952" s="37" t="n">
        <f aca="false">IF(AND(p_eng=1,ISNUMBER(Country_Data!$DG$140)),Country_Data!$DG$140,p_a)</f>
        <v>0.265612388888889</v>
      </c>
      <c r="W952" s="16" t="n">
        <f aca="false">T952*L952</f>
        <v>0.00388790595231699</v>
      </c>
      <c r="X952" s="16" t="n">
        <f aca="false">U952*L952</f>
        <v>2.4601125673028E-006</v>
      </c>
      <c r="Y952" s="16" t="n">
        <f aca="false">V952*L952</f>
        <v>0.00971291528705869</v>
      </c>
      <c r="Z952" s="16" t="n">
        <f aca="false">Q952*L952</f>
        <v>0.00549897765538734</v>
      </c>
      <c r="AA952" s="16" t="n">
        <f aca="false">R952*L952</f>
        <v>0.00674609402876629</v>
      </c>
      <c r="AB952" s="16" t="n">
        <f aca="false">S952*L952</f>
        <v>0.00436172306161153</v>
      </c>
      <c r="AC952" s="16" t="n">
        <f aca="false">Z952-W952</f>
        <v>0.00161107170307035</v>
      </c>
      <c r="AD952" s="16" t="n">
        <f aca="false">AA952-W952</f>
        <v>0.00285818807644931</v>
      </c>
      <c r="AE952" s="16" t="n">
        <f aca="false">AB952-W952</f>
        <v>0.000473817109294538</v>
      </c>
      <c r="AF952" s="16" t="n">
        <f aca="false">AE952-X952</f>
        <v>0.000471356996727236</v>
      </c>
      <c r="AG952" s="16" t="n">
        <f aca="false">AF952-p_spc_lo*Y952/1000</f>
        <v>-1.42887676256991E-005</v>
      </c>
      <c r="AH952" s="16" t="n">
        <f aca="false">AF952-p_spc_hi*Y952/1000</f>
        <v>-0.000499934531978634</v>
      </c>
      <c r="AI952" s="16" t="n">
        <f aca="false">Q952*J952</f>
        <v>0.0229124068974472</v>
      </c>
      <c r="AJ952" s="16" t="n">
        <f aca="false">S952*J952</f>
        <v>0.018173846090048</v>
      </c>
      <c r="AK952" s="16" t="n">
        <f aca="false">T952*J952</f>
        <v>0.0161996081346541</v>
      </c>
      <c r="AL952" s="16" t="n">
        <f aca="false">U952*J952</f>
        <v>1.02504690304283E-005</v>
      </c>
      <c r="AM952" s="16" t="n">
        <f aca="false">AI952-AJ952</f>
        <v>0.00473856080739922</v>
      </c>
      <c r="AN952" s="16" t="n">
        <f aca="false">J952*Country_Data!$EB$140</f>
        <v>0.192997806592977</v>
      </c>
      <c r="AO952" s="16" t="n">
        <f aca="false">L952*Country_Data!$EB$140</f>
        <v>0.0463194735823145</v>
      </c>
    </row>
    <row r="953" customFormat="false" ht="15" hidden="false" customHeight="false" outlineLevel="0" collapsed="false">
      <c r="A953" s="14" t="str">
        <f aca="false">Country_Data!$A$140</f>
        <v>MDG</v>
      </c>
      <c r="B953" s="14" t="str">
        <f aca="false">Country_Data!$E$140</f>
        <v>EMDC</v>
      </c>
      <c r="C953" s="35" t="s">
        <v>477</v>
      </c>
      <c r="D953" s="37" t="n">
        <f aca="false">IF(Country_Data!$CB$140="","",Country_Data!$CB$140)</f>
        <v>0.006055614474714</v>
      </c>
      <c r="E953" s="40" t="n">
        <f aca="false">Country_Data!$BW$140</f>
        <v>60.371</v>
      </c>
      <c r="F953" s="41" t="n">
        <f aca="false">Country_Data!$BX$140</f>
        <v>0.291414752116082</v>
      </c>
      <c r="G953" s="42" t="n">
        <f aca="false">IF(D953="","",D953/SUMIFS($D$5:$D$1369,$B$5:$B$1369,B953,$C$5:$C$1369,C953))</f>
        <v>0.000190951963735724</v>
      </c>
      <c r="H953" s="42" t="n">
        <f aca="false">E953/SUMIFS($E$5:$E$1369,$B$5:$B$1369,B953,$C$5:$C$1369,C953)</f>
        <v>0.000747796193053328</v>
      </c>
      <c r="I953" s="43" t="n">
        <f aca="false">IF(G953="",H953,p_beta_alloc*G953+(1-p_beta_alloc)*H953)*F953^p_phi</f>
        <v>0.00025338147976945</v>
      </c>
      <c r="J953" s="16" t="n">
        <f aca="false">INDEX(Sector_Params!$C$19:$E$19,MATCH(B953,Sector_Params!$C$15:$E$15,0))*I953/SUMIFS($I$5:$I$1369,$B$5:$B$1369,B953,$C$5:$C$1369,C953)</f>
        <v>0.0815540209900651</v>
      </c>
      <c r="K953" s="28" t="n">
        <f aca="false">INDEX(Sector_Params!$F$8:$H$8,MATCH(B953,Sector_Params!$C$15:$E$15,0))</f>
        <v>0.24</v>
      </c>
      <c r="L953" s="16" t="n">
        <f aca="false">J953*K953</f>
        <v>0.0195729650376156</v>
      </c>
      <c r="M953" s="44" t="n">
        <f aca="false">Country_Data!$DW$140+Sector_Params!$E$8</f>
        <v>0.105</v>
      </c>
      <c r="N953" s="44" t="n">
        <f aca="false">Country_Data!$DX$140+Sector_Params!$E$8</f>
        <v>0.15</v>
      </c>
      <c r="O953" s="11" t="n">
        <f aca="false">IF(p_use_ibrd=1,p_r_ibrd,p_r_wb)</f>
        <v>0.06</v>
      </c>
      <c r="P953" s="45" t="n">
        <f aca="false">Sector_Params!$D$8</f>
        <v>25</v>
      </c>
      <c r="Q953" s="46" t="n">
        <f aca="false">M953/(1-(1+M953)^-P953)</f>
        <v>0.114429319813103</v>
      </c>
      <c r="R953" s="46" t="n">
        <f aca="false">N953/(1-(1+N953)^-P953)</f>
        <v>0.154699402320206</v>
      </c>
      <c r="S953" s="46" t="n">
        <f aca="false">O953/(1-(1+O953)^-P953)</f>
        <v>0.078226718212274</v>
      </c>
      <c r="T953" s="37" t="n">
        <f aca="false">Country_Data!$CM$140*Sector_Params!$I$8</f>
        <v>0.172743818854815</v>
      </c>
      <c r="U953" s="37" t="n">
        <f aca="false">Country_Data!$CN$140*Sector_Params!$J$8</f>
        <v>0.03225</v>
      </c>
      <c r="V953" s="37" t="n">
        <f aca="false">p_a</f>
        <v>0.35</v>
      </c>
      <c r="W953" s="16" t="n">
        <f aca="false">T953*L953</f>
        <v>0.00338110872690949</v>
      </c>
      <c r="X953" s="16" t="n">
        <f aca="false">U953*L953</f>
        <v>0.000631228122463104</v>
      </c>
      <c r="Y953" s="16" t="n">
        <f aca="false">V953*L953</f>
        <v>0.00685053776316546</v>
      </c>
      <c r="Z953" s="16" t="n">
        <f aca="false">Q953*L953</f>
        <v>0.00223972107598001</v>
      </c>
      <c r="AA953" s="16" t="n">
        <f aca="false">R953*L953</f>
        <v>0.00302792599295343</v>
      </c>
      <c r="AB953" s="16" t="n">
        <f aca="false">S953*L953</f>
        <v>0.00153112882057625</v>
      </c>
      <c r="AC953" s="16" t="n">
        <f aca="false">Z953-W953</f>
        <v>-0.00114138765092948</v>
      </c>
      <c r="AD953" s="16" t="n">
        <f aca="false">AA953-W953</f>
        <v>-0.000353182733956057</v>
      </c>
      <c r="AE953" s="16" t="n">
        <f aca="false">AB953-W953</f>
        <v>-0.00184997990633324</v>
      </c>
      <c r="AF953" s="16" t="n">
        <f aca="false">AE953-X953</f>
        <v>-0.00248120802879635</v>
      </c>
      <c r="AG953" s="16" t="n">
        <f aca="false">AF953-p_spc_lo*Y953/1000</f>
        <v>-0.00282373491695462</v>
      </c>
      <c r="AH953" s="16" t="n">
        <f aca="false">AF953-p_spc_hi*Y953/1000</f>
        <v>-0.00316626180511289</v>
      </c>
      <c r="AI953" s="16" t="n">
        <f aca="false">Q953*J953</f>
        <v>0.0093321711499167</v>
      </c>
      <c r="AJ953" s="16" t="n">
        <f aca="false">S953*J953</f>
        <v>0.00637970341906769</v>
      </c>
      <c r="AK953" s="16" t="n">
        <f aca="false">T953*J953</f>
        <v>0.0140879530287895</v>
      </c>
      <c r="AL953" s="16" t="n">
        <f aca="false">U953*J953</f>
        <v>0.0026301171769296</v>
      </c>
      <c r="AM953" s="16" t="n">
        <f aca="false">AI953-AJ953</f>
        <v>0.002952467730849</v>
      </c>
      <c r="AN953" s="16" t="n">
        <f aca="false">J953*Country_Data!$EB$140</f>
        <v>0.103301759920749</v>
      </c>
      <c r="AO953" s="16" t="n">
        <f aca="false">L953*Country_Data!$EB$140</f>
        <v>0.0247924223809798</v>
      </c>
    </row>
    <row r="954" customFormat="false" ht="15" hidden="false" customHeight="false" outlineLevel="0" collapsed="false">
      <c r="A954" s="14" t="str">
        <f aca="false">Country_Data!$A$140</f>
        <v>MDG</v>
      </c>
      <c r="B954" s="14" t="str">
        <f aca="false">Country_Data!$E$140</f>
        <v>EMDC</v>
      </c>
      <c r="C954" s="35" t="s">
        <v>481</v>
      </c>
      <c r="D954" s="37" t="n">
        <f aca="false">IF(Country_Data!$CC$140="","",Country_Data!$CC$140)</f>
        <v>0.0155570829234186</v>
      </c>
      <c r="E954" s="40" t="n">
        <f aca="false">Country_Data!$BW$140</f>
        <v>60.371</v>
      </c>
      <c r="F954" s="41" t="n">
        <f aca="false">Country_Data!$BX$140</f>
        <v>0.291414752116082</v>
      </c>
      <c r="G954" s="42" t="n">
        <f aca="false">IF(D954="","",D954/SUMIFS($D$5:$D$1369,$B$5:$B$1369,B954,$C$5:$C$1369,C954))</f>
        <v>0.000222221002122178</v>
      </c>
      <c r="H954" s="42" t="n">
        <f aca="false">E954/SUMIFS($E$5:$E$1369,$B$5:$B$1369,B954,$C$5:$C$1369,C954)</f>
        <v>0.000747796193053328</v>
      </c>
      <c r="I954" s="43" t="n">
        <f aca="false">IF(G954="",H954,p_beta_alloc*G954+(1-p_beta_alloc)*H954)*F954^p_phi</f>
        <v>0.000261821437984045</v>
      </c>
      <c r="J954" s="16" t="n">
        <f aca="false">INDEX(Sector_Params!$C$20:$E$20,MATCH(B954,Sector_Params!$C$15:$E$15,0))*I954/SUMIFS($I$5:$I$1369,$B$5:$B$1369,B954,$C$5:$C$1369,C954)</f>
        <v>0.0477876849102562</v>
      </c>
      <c r="K954" s="28" t="n">
        <f aca="false">INDEX(Sector_Params!$F$9:$H$9,MATCH(B954,Sector_Params!$C$15:$E$15,0))</f>
        <v>0.24</v>
      </c>
      <c r="L954" s="16" t="n">
        <f aca="false">J954*K954</f>
        <v>0.0114690443784615</v>
      </c>
      <c r="M954" s="44" t="n">
        <f aca="false">Country_Data!$DW$140+Sector_Params!$E$9</f>
        <v>0.105</v>
      </c>
      <c r="N954" s="44" t="n">
        <f aca="false">Country_Data!$DX$140+Sector_Params!$E$9</f>
        <v>0.15</v>
      </c>
      <c r="O954" s="11" t="n">
        <f aca="false">IF(p_use_ibrd=1,p_r_ibrd,p_r_wb)</f>
        <v>0.06</v>
      </c>
      <c r="P954" s="45" t="n">
        <f aca="false">Sector_Params!$D$9</f>
        <v>25</v>
      </c>
      <c r="Q954" s="46" t="n">
        <f aca="false">M954/(1-(1+M954)^-P954)</f>
        <v>0.114429319813103</v>
      </c>
      <c r="R954" s="46" t="n">
        <f aca="false">N954/(1-(1+N954)^-P954)</f>
        <v>0.154699402320206</v>
      </c>
      <c r="S954" s="46" t="n">
        <f aca="false">O954/(1-(1+O954)^-P954)</f>
        <v>0.078226718212274</v>
      </c>
      <c r="T954" s="37" t="n">
        <f aca="false">Country_Data!$CM$140*Sector_Params!$I$9</f>
        <v>0.172743818854815</v>
      </c>
      <c r="U954" s="37" t="n">
        <f aca="false">Country_Data!$CN$140*Sector_Params!$J$9</f>
        <v>0.03225</v>
      </c>
      <c r="V954" s="37" t="n">
        <f aca="false">p_a</f>
        <v>0.35</v>
      </c>
      <c r="W954" s="16" t="n">
        <f aca="false">T954*L954</f>
        <v>0.00198120652455078</v>
      </c>
      <c r="X954" s="16" t="n">
        <f aca="false">U954*L954</f>
        <v>0.000369876681205383</v>
      </c>
      <c r="Y954" s="16" t="n">
        <f aca="false">V954*L954</f>
        <v>0.00401416553246152</v>
      </c>
      <c r="Z954" s="16" t="n">
        <f aca="false">Q954*L954</f>
        <v>0.00131239494713364</v>
      </c>
      <c r="AA954" s="16" t="n">
        <f aca="false">R954*L954</f>
        <v>0.00177425431053192</v>
      </c>
      <c r="AB954" s="16" t="n">
        <f aca="false">S954*L954</f>
        <v>0.000897185702757971</v>
      </c>
      <c r="AC954" s="16" t="n">
        <f aca="false">Z954-W954</f>
        <v>-0.000668811577417135</v>
      </c>
      <c r="AD954" s="16" t="n">
        <f aca="false">AA954-W954</f>
        <v>-0.000206952214018864</v>
      </c>
      <c r="AE954" s="16" t="n">
        <f aca="false">AB954-W954</f>
        <v>-0.00108402082179281</v>
      </c>
      <c r="AF954" s="16" t="n">
        <f aca="false">AE954-X954</f>
        <v>-0.00145389750299819</v>
      </c>
      <c r="AG954" s="16" t="n">
        <f aca="false">AF954-p_spc_lo*Y954/1000</f>
        <v>-0.00165460577962127</v>
      </c>
      <c r="AH954" s="16" t="n">
        <f aca="false">AF954-p_spc_hi*Y954/1000</f>
        <v>-0.00185531405624434</v>
      </c>
      <c r="AI954" s="16" t="n">
        <f aca="false">Q954*J954</f>
        <v>0.00546831227972352</v>
      </c>
      <c r="AJ954" s="16" t="n">
        <f aca="false">S954*J954</f>
        <v>0.00373827376149155</v>
      </c>
      <c r="AK954" s="16" t="n">
        <f aca="false">T954*J954</f>
        <v>0.00825502718562825</v>
      </c>
      <c r="AL954" s="16" t="n">
        <f aca="false">U954*J954</f>
        <v>0.00154115283835576</v>
      </c>
      <c r="AM954" s="16" t="n">
        <f aca="false">AI954-AJ954</f>
        <v>0.00173003851823197</v>
      </c>
      <c r="AN954" s="16" t="n">
        <f aca="false">J954*Country_Data!$EB$140</f>
        <v>0.0605310675529912</v>
      </c>
      <c r="AO954" s="16" t="n">
        <f aca="false">L954*Country_Data!$EB$140</f>
        <v>0.0145274562127179</v>
      </c>
    </row>
    <row r="955" customFormat="false" ht="15" hidden="false" customHeight="false" outlineLevel="0" collapsed="false">
      <c r="A955" s="14" t="str">
        <f aca="false">Country_Data!$A$140</f>
        <v>MDG</v>
      </c>
      <c r="B955" s="14" t="str">
        <f aca="false">Country_Data!$E$140</f>
        <v>EMDC</v>
      </c>
      <c r="C955" s="35" t="s">
        <v>484</v>
      </c>
      <c r="D955" s="37" t="n">
        <f aca="false">IF(Country_Data!$CD$140="","",Country_Data!$CD$140)</f>
        <v>0.0579602649333131</v>
      </c>
      <c r="E955" s="40" t="n">
        <f aca="false">Country_Data!$BW$140</f>
        <v>60.371</v>
      </c>
      <c r="F955" s="41" t="n">
        <f aca="false">Country_Data!$BX$140</f>
        <v>0.291414752116082</v>
      </c>
      <c r="G955" s="42" t="n">
        <f aca="false">IF(D955="","",D955/SUMIFS($D$5:$D$1369,$B$5:$B$1369,B955,$C$5:$C$1369,C955))</f>
        <v>0.000323671293392709</v>
      </c>
      <c r="H955" s="42" t="n">
        <f aca="false">E955/SUMIFS($E$5:$E$1369,$B$5:$B$1369,B955,$C$5:$C$1369,C955)</f>
        <v>0.000747796193053328</v>
      </c>
      <c r="I955" s="43" t="n">
        <f aca="false">IF(G955="",H955,p_beta_alloc*G955+(1-p_beta_alloc)*H955)*F955^p_phi</f>
        <v>0.000289204314572686</v>
      </c>
      <c r="J955" s="16" t="n">
        <f aca="false">INDEX(Sector_Params!$C$21:$E$21,MATCH(B955,Sector_Params!$C$15:$E$15,0))*I955/SUMIFS($I$5:$I$1369,$B$5:$B$1369,B955,$C$5:$C$1369,C955)</f>
        <v>0.0641425746819793</v>
      </c>
      <c r="K955" s="28" t="n">
        <f aca="false">INDEX(Sector_Params!$F$10:$H$10,MATCH(B955,Sector_Params!$C$15:$E$15,0))</f>
        <v>0.24</v>
      </c>
      <c r="L955" s="16" t="n">
        <f aca="false">J955*K955</f>
        <v>0.015394217923675</v>
      </c>
      <c r="M955" s="44" t="n">
        <f aca="false">Country_Data!$DW$140+Sector_Params!$E$10</f>
        <v>0.105</v>
      </c>
      <c r="N955" s="44" t="n">
        <f aca="false">Country_Data!$DX$140+Sector_Params!$E$10</f>
        <v>0.15</v>
      </c>
      <c r="O955" s="11" t="n">
        <f aca="false">IF(p_use_ibrd=1,p_r_ibrd,p_r_wb)</f>
        <v>0.06</v>
      </c>
      <c r="P955" s="45" t="n">
        <f aca="false">Sector_Params!$D$10</f>
        <v>20</v>
      </c>
      <c r="Q955" s="46" t="n">
        <f aca="false">M955/(1-(1+M955)^-P955)</f>
        <v>0.121493265267016</v>
      </c>
      <c r="R955" s="46" t="n">
        <f aca="false">N955/(1-(1+N955)^-P955)</f>
        <v>0.159761470405744</v>
      </c>
      <c r="S955" s="46" t="n">
        <f aca="false">O955/(1-(1+O955)^-P955)</f>
        <v>0.0871845569768514</v>
      </c>
      <c r="T955" s="37" t="n">
        <f aca="false">0*Sector_Params!$I$10</f>
        <v>0</v>
      </c>
      <c r="U955" s="37" t="n">
        <f aca="false">0*Sector_Params!$J$10</f>
        <v>0</v>
      </c>
      <c r="V955" s="37" t="n">
        <f aca="false">1000*p_r_wb/(1-(1+p_r_wb)^-Sector_Params!$D$10)/p_cpt_fuel</f>
        <v>0.871845569768514</v>
      </c>
      <c r="W955" s="16" t="n">
        <f aca="false">T955*L955</f>
        <v>0</v>
      </c>
      <c r="X955" s="16" t="n">
        <f aca="false">U955*L955</f>
        <v>0</v>
      </c>
      <c r="Y955" s="16" t="n">
        <f aca="false">V955*L955</f>
        <v>0.0134213806968071</v>
      </c>
      <c r="Z955" s="16" t="n">
        <f aca="false">Q955*L955</f>
        <v>0.00187029380177931</v>
      </c>
      <c r="AA955" s="16" t="n">
        <f aca="false">R955*L955</f>
        <v>0.00245940289123278</v>
      </c>
      <c r="AB955" s="16" t="n">
        <f aca="false">S955*L955</f>
        <v>0.00134213806968071</v>
      </c>
      <c r="AC955" s="16" t="n">
        <f aca="false">Z955-W955</f>
        <v>0.00187029380177931</v>
      </c>
      <c r="AD955" s="16" t="n">
        <f aca="false">AA955-W955</f>
        <v>0.00245940289123278</v>
      </c>
      <c r="AE955" s="16" t="n">
        <f aca="false">AB955-W955</f>
        <v>0.00134213806968071</v>
      </c>
      <c r="AF955" s="16" t="n">
        <f aca="false">AE955-X955</f>
        <v>0.00134213806968071</v>
      </c>
      <c r="AG955" s="16" t="n">
        <f aca="false">AF955-p_spc_lo*Y955/1000</f>
        <v>0.000671069034840356</v>
      </c>
      <c r="AH955" s="16" t="n">
        <f aca="false">AF955-p_spc_hi*Y955/1000</f>
        <v>0</v>
      </c>
      <c r="AI955" s="16" t="n">
        <f aca="false">Q955*J955</f>
        <v>0.00779289084074711</v>
      </c>
      <c r="AJ955" s="16" t="n">
        <f aca="false">S955*J955</f>
        <v>0.00559224195700297</v>
      </c>
      <c r="AK955" s="16" t="n">
        <f aca="false">T955*J955</f>
        <v>0</v>
      </c>
      <c r="AL955" s="16" t="n">
        <f aca="false">U955*J955</f>
        <v>0</v>
      </c>
      <c r="AM955" s="16" t="n">
        <f aca="false">AI955-AJ955</f>
        <v>0.00220064888374414</v>
      </c>
      <c r="AN955" s="16" t="n">
        <f aca="false">J955*Country_Data!$EB$140</f>
        <v>0.0812472612638404</v>
      </c>
      <c r="AO955" s="16" t="n">
        <f aca="false">L955*Country_Data!$EB$140</f>
        <v>0.0194993427033217</v>
      </c>
    </row>
    <row r="956" customFormat="false" ht="15" hidden="false" customHeight="false" outlineLevel="0" collapsed="false">
      <c r="A956" s="14" t="str">
        <f aca="false">Country_Data!$A$140</f>
        <v>MDG</v>
      </c>
      <c r="B956" s="14" t="str">
        <f aca="false">Country_Data!$E$140</f>
        <v>EMDC</v>
      </c>
      <c r="C956" s="35" t="s">
        <v>488</v>
      </c>
      <c r="D956" s="37" t="n">
        <f aca="false">IF(Country_Data!$CE$140="","",Country_Data!$CE$140)</f>
        <v>43.727</v>
      </c>
      <c r="E956" s="40" t="n">
        <f aca="false">Country_Data!$BW$140</f>
        <v>60.371</v>
      </c>
      <c r="F956" s="41" t="n">
        <f aca="false">Country_Data!$BX$140</f>
        <v>0.291414752116082</v>
      </c>
      <c r="G956" s="42" t="n">
        <f aca="false">IF(D956="","",D956/SUMIFS($D$5:$D$1369,$B$5:$B$1369,B956,$C$5:$C$1369,C956))</f>
        <v>0.00358297327703536</v>
      </c>
      <c r="H956" s="42" t="n">
        <f aca="false">E956/SUMIFS($E$5:$E$1369,$B$5:$B$1369,B956,$C$5:$C$1369,C956)</f>
        <v>0.000747796193053328</v>
      </c>
      <c r="I956" s="43" t="n">
        <f aca="false">IF(G956="",H956,p_beta_alloc*G956+(1-p_beta_alloc)*H956)*F956^p_phi</f>
        <v>0.00116893627852738</v>
      </c>
      <c r="J956" s="16" t="n">
        <f aca="false">INDEX(Sector_Params!$C$22:$E$22,MATCH(B956,Sector_Params!$C$15:$E$15,0))*I956/SUMIFS($I$5:$I$1369,$B$5:$B$1369,B956,$C$5:$C$1369,C956)</f>
        <v>0.704644593989685</v>
      </c>
      <c r="K956" s="28" t="n">
        <f aca="false">INDEX(Sector_Params!$F$11:$H$11,MATCH(B956,Sector_Params!$C$15:$E$15,0))</f>
        <v>0.24</v>
      </c>
      <c r="L956" s="16" t="n">
        <f aca="false">J956*K956</f>
        <v>0.169114702557524</v>
      </c>
      <c r="M956" s="44" t="n">
        <f aca="false">Country_Data!$DW$140+Sector_Params!$E$11</f>
        <v>0.105</v>
      </c>
      <c r="N956" s="44" t="n">
        <f aca="false">Country_Data!$DX$140+Sector_Params!$E$11</f>
        <v>0.15</v>
      </c>
      <c r="O956" s="11" t="n">
        <f aca="false">IF(p_use_ibrd=1,p_r_ibrd,p_r_wb)</f>
        <v>0.06</v>
      </c>
      <c r="P956" s="45" t="n">
        <f aca="false">Sector_Params!$D$11</f>
        <v>30</v>
      </c>
      <c r="Q956" s="46" t="n">
        <f aca="false">M956/(1-(1+M956)^-P956)</f>
        <v>0.110528481529605</v>
      </c>
      <c r="R956" s="46" t="n">
        <f aca="false">N956/(1-(1+N956)^-P956)</f>
        <v>0.152300198192734</v>
      </c>
      <c r="S956" s="46" t="n">
        <f aca="false">O956/(1-(1+O956)^-P956)</f>
        <v>0.0726489114900472</v>
      </c>
      <c r="T956" s="37" t="n">
        <f aca="false">0*Sector_Params!$I$11</f>
        <v>0</v>
      </c>
      <c r="U956" s="37" t="n">
        <f aca="false">p_c*Sector_Params!$J$11</f>
        <v>0.129</v>
      </c>
      <c r="V956" s="37" t="n">
        <f aca="false">1000*p_r_wb/(1-(1+p_r_wb)^-Sector_Params!$D$11)/p_cpt_afolu</f>
        <v>1.45297822980094</v>
      </c>
      <c r="W956" s="16" t="n">
        <f aca="false">T956*L956</f>
        <v>0</v>
      </c>
      <c r="X956" s="16" t="n">
        <f aca="false">U956*L956</f>
        <v>0.0218157966299206</v>
      </c>
      <c r="Y956" s="16" t="n">
        <f aca="false">V956*L956</f>
        <v>0.245719981155345</v>
      </c>
      <c r="Z956" s="16" t="n">
        <f aca="false">Q956*L956</f>
        <v>0.018691991278014</v>
      </c>
      <c r="AA956" s="16" t="n">
        <f aca="false">R956*L956</f>
        <v>0.0257562027168163</v>
      </c>
      <c r="AB956" s="16" t="n">
        <f aca="false">S956*L956</f>
        <v>0.0122859990577672</v>
      </c>
      <c r="AC956" s="16" t="n">
        <f aca="false">Z956-W956</f>
        <v>0.018691991278014</v>
      </c>
      <c r="AD956" s="16" t="n">
        <f aca="false">AA956-W956</f>
        <v>0.0257562027168163</v>
      </c>
      <c r="AE956" s="16" t="n">
        <f aca="false">AB956-W956</f>
        <v>0.0122859990577672</v>
      </c>
      <c r="AF956" s="16" t="n">
        <f aca="false">AE956-X956</f>
        <v>-0.0095297975721534</v>
      </c>
      <c r="AG956" s="16" t="n">
        <f aca="false">AF956-p_spc_lo*Y956/1000</f>
        <v>-0.0218157966299206</v>
      </c>
      <c r="AH956" s="16" t="n">
        <f aca="false">AF956-p_spc_hi*Y956/1000</f>
        <v>-0.0341017956876879</v>
      </c>
      <c r="AI956" s="16" t="n">
        <f aca="false">Q956*J956</f>
        <v>0.077883296991725</v>
      </c>
      <c r="AJ956" s="16" t="n">
        <f aca="false">S956*J956</f>
        <v>0.0511916627406969</v>
      </c>
      <c r="AK956" s="16" t="n">
        <f aca="false">T956*J956</f>
        <v>0</v>
      </c>
      <c r="AL956" s="16" t="n">
        <f aca="false">U956*J956</f>
        <v>0.0908991526246693</v>
      </c>
      <c r="AM956" s="16" t="n">
        <f aca="false">AI956-AJ956</f>
        <v>0.0266916342510281</v>
      </c>
      <c r="AN956" s="16" t="n">
        <f aca="false">J956*Country_Data!$EB$140</f>
        <v>0.892549819053601</v>
      </c>
      <c r="AO956" s="16" t="n">
        <f aca="false">L956*Country_Data!$EB$140</f>
        <v>0.214211956572864</v>
      </c>
    </row>
    <row r="957" customFormat="false" ht="15" hidden="false" customHeight="false" outlineLevel="0" collapsed="false">
      <c r="A957" s="14" t="str">
        <f aca="false">Country_Data!$A$141</f>
        <v>MKD</v>
      </c>
      <c r="B957" s="14" t="str">
        <f aca="false">Country_Data!$E$141</f>
        <v>EMDC</v>
      </c>
      <c r="C957" s="35" t="s">
        <v>466</v>
      </c>
      <c r="D957" s="37" t="n">
        <f aca="false">IF(Country_Data!$BZ$141="","",Country_Data!$BZ$141)</f>
        <v>8.09369578936791</v>
      </c>
      <c r="E957" s="40" t="n">
        <f aca="false">Country_Data!$BW$141</f>
        <v>50.782</v>
      </c>
      <c r="F957" s="41" t="n">
        <f aca="false">Country_Data!$BX$141</f>
        <v>0.333858453782836</v>
      </c>
      <c r="G957" s="42" t="n">
        <f aca="false">IF(D957="","",D957/SUMIFS($D$5:$D$1369,$B$5:$B$1369,B957,$C$5:$C$1369,C957))</f>
        <v>0.000923993594828084</v>
      </c>
      <c r="H957" s="42" t="n">
        <f aca="false">E957/SUMIFS($E$5:$E$1369,$B$5:$B$1369,B957,$C$5:$C$1369,C957)</f>
        <v>0.000629020328893576</v>
      </c>
      <c r="I957" s="43" t="n">
        <f aca="false">IF(G957="",H957,p_beta_alloc*G957+(1-p_beta_alloc)*H957)*F957^p_phi</f>
        <v>0.000448669494736197</v>
      </c>
      <c r="J957" s="16" t="n">
        <f aca="false">INDEX(Sector_Params!$C$16:$E$16,MATCH(B957,Sector_Params!$C$15:$E$15,0))*I957/SUMIFS($I$5:$I$1369,$B$5:$B$1369,B957,$C$5:$C$1369,C957)</f>
        <v>0.433964510061238</v>
      </c>
      <c r="K957" s="28" t="n">
        <f aca="false">INDEX(Sector_Params!$F$5:$H$5,MATCH(B957,Sector_Params!$C$15:$E$15,0))</f>
        <v>0.24</v>
      </c>
      <c r="L957" s="16" t="n">
        <f aca="false">J957*K957</f>
        <v>0.104151482414697</v>
      </c>
      <c r="M957" s="44" t="n">
        <f aca="false">Country_Data!$DW$141+Sector_Params!$E$5</f>
        <v>0.105</v>
      </c>
      <c r="N957" s="44" t="n">
        <f aca="false">Country_Data!$DX$141+Sector_Params!$E$5</f>
        <v>0.15</v>
      </c>
      <c r="O957" s="11" t="n">
        <f aca="false">IF(p_use_ibrd=1,p_r_ibrd,p_r_wb)</f>
        <v>0.06</v>
      </c>
      <c r="P957" s="45" t="n">
        <f aca="false">Sector_Params!$D$5</f>
        <v>25</v>
      </c>
      <c r="Q957" s="46" t="n">
        <f aca="false">M957/(1-(1+M957)^-P957)</f>
        <v>0.114429319813103</v>
      </c>
      <c r="R957" s="46" t="n">
        <f aca="false">N957/(1-(1+N957)^-P957)</f>
        <v>0.154699402320206</v>
      </c>
      <c r="S957" s="46" t="n">
        <f aca="false">O957/(1-(1+O957)^-P957)</f>
        <v>0.078226718212274</v>
      </c>
      <c r="T957" s="37" t="n">
        <f aca="false">IF(AND(p_eng=1,ISNUMBER(Country_Data!$CZ$141)),Country_Data!$CZ$141,Country_Data!$CM$141)*Sector_Params!$I$5</f>
        <v>0.048639337889959</v>
      </c>
      <c r="U957" s="37" t="n">
        <f aca="false">IF(AND(p_eng=1,ISNUMBER(Country_Data!$DA$141)),Country_Data!$DA$141,Country_Data!$CN$141)*Sector_Params!$J$5</f>
        <v>0.0237848106073828</v>
      </c>
      <c r="V957" s="37" t="n">
        <f aca="false">IF(AND(p_eng=1,ISNUMBER(Country_Data!$DB$141)),Country_Data!$DB$141,p_a)</f>
        <v>0.828138624259349</v>
      </c>
      <c r="W957" s="16" t="n">
        <f aca="false">T957*L957</f>
        <v>0.00506585914490857</v>
      </c>
      <c r="X957" s="16" t="n">
        <f aca="false">U957*L957</f>
        <v>0.00247722328371173</v>
      </c>
      <c r="Y957" s="16" t="n">
        <f aca="false">V957*L957</f>
        <v>0.086251865361479</v>
      </c>
      <c r="Z957" s="16" t="n">
        <f aca="false">Q957*L957</f>
        <v>0.0119179832902402</v>
      </c>
      <c r="AA957" s="16" t="n">
        <f aca="false">R957*L957</f>
        <v>0.0161121720803171</v>
      </c>
      <c r="AB957" s="16" t="n">
        <f aca="false">S957*L957</f>
        <v>0.00814742866624511</v>
      </c>
      <c r="AC957" s="16" t="n">
        <f aca="false">Z957-W957</f>
        <v>0.0068521241453316</v>
      </c>
      <c r="AD957" s="16" t="n">
        <f aca="false">AA957-W957</f>
        <v>0.0110463129354086</v>
      </c>
      <c r="AE957" s="16" t="n">
        <f aca="false">AB957-W957</f>
        <v>0.00308156952133654</v>
      </c>
      <c r="AF957" s="16" t="n">
        <f aca="false">AE957-X957</f>
        <v>0.000604346237624812</v>
      </c>
      <c r="AG957" s="16" t="n">
        <f aca="false">AF957-p_spc_lo*Y957/1000</f>
        <v>-0.00370824703044914</v>
      </c>
      <c r="AH957" s="16" t="n">
        <f aca="false">AF957-p_spc_hi*Y957/1000</f>
        <v>-0.00802084029852309</v>
      </c>
      <c r="AI957" s="16" t="n">
        <f aca="false">Q957*J957</f>
        <v>0.0496582637093341</v>
      </c>
      <c r="AJ957" s="16" t="n">
        <f aca="false">S957*J957</f>
        <v>0.033947619442688</v>
      </c>
      <c r="AK957" s="16" t="n">
        <f aca="false">T957*J957</f>
        <v>0.021107746437119</v>
      </c>
      <c r="AL957" s="16" t="n">
        <f aca="false">U957*J957</f>
        <v>0.0103217636821322</v>
      </c>
      <c r="AM957" s="16" t="n">
        <f aca="false">AI957-AJ957</f>
        <v>0.0157106442666461</v>
      </c>
      <c r="AN957" s="16" t="n">
        <f aca="false">J957*Country_Data!$EB$141</f>
        <v>0.529503983594099</v>
      </c>
      <c r="AO957" s="16" t="n">
        <f aca="false">L957*Country_Data!$EB$141</f>
        <v>0.127080956062584</v>
      </c>
    </row>
    <row r="958" customFormat="false" ht="15" hidden="false" customHeight="false" outlineLevel="0" collapsed="false">
      <c r="A958" s="14" t="str">
        <f aca="false">Country_Data!$A$141</f>
        <v>MKD</v>
      </c>
      <c r="B958" s="14" t="str">
        <f aca="false">Country_Data!$E$141</f>
        <v>EMDC</v>
      </c>
      <c r="C958" s="35" t="s">
        <v>470</v>
      </c>
      <c r="D958" s="37" t="n">
        <f aca="false">IF(Country_Data!$BZ$141="","",Country_Data!$BZ$141)</f>
        <v>8.09369578936791</v>
      </c>
      <c r="E958" s="40" t="n">
        <f aca="false">Country_Data!$BW$141</f>
        <v>50.782</v>
      </c>
      <c r="F958" s="41" t="n">
        <f aca="false">Country_Data!$BX$141</f>
        <v>0.333858453782836</v>
      </c>
      <c r="G958" s="42" t="n">
        <f aca="false">IF(D958="","",D958/SUMIFS($D$5:$D$1369,$B$5:$B$1369,B958,$C$5:$C$1369,C958))</f>
        <v>0.000923993594828084</v>
      </c>
      <c r="H958" s="42" t="n">
        <f aca="false">E958/SUMIFS($E$5:$E$1369,$B$5:$B$1369,B958,$C$5:$C$1369,C958)</f>
        <v>0.000629020328893576</v>
      </c>
      <c r="I958" s="43" t="n">
        <f aca="false">IF(G958="",H958,p_beta_alloc*G958+(1-p_beta_alloc)*H958)*F958^p_phi</f>
        <v>0.000448669494736197</v>
      </c>
      <c r="J958" s="16" t="n">
        <f aca="false">INDEX(Sector_Params!$C$17:$E$17,MATCH(B958,Sector_Params!$C$15:$E$15,0))*I958/SUMIFS($I$5:$I$1369,$B$5:$B$1369,B958,$C$5:$C$1369,C958)</f>
        <v>0.297575664041992</v>
      </c>
      <c r="K958" s="28" t="n">
        <f aca="false">INDEX(Sector_Params!$F$6:$H$6,MATCH(B958,Sector_Params!$C$15:$E$15,0))</f>
        <v>0.24</v>
      </c>
      <c r="L958" s="16" t="n">
        <f aca="false">J958*K958</f>
        <v>0.071418159370078</v>
      </c>
      <c r="M958" s="44" t="n">
        <f aca="false">Country_Data!$DW$141+Sector_Params!$E$6</f>
        <v>0.105</v>
      </c>
      <c r="N958" s="44" t="n">
        <f aca="false">Country_Data!$DX$141+Sector_Params!$E$6</f>
        <v>0.15</v>
      </c>
      <c r="O958" s="11" t="n">
        <f aca="false">IF(p_use_ibrd=1,p_r_ibrd,p_r_wb)</f>
        <v>0.06</v>
      </c>
      <c r="P958" s="45" t="n">
        <f aca="false">Sector_Params!$D$6</f>
        <v>40</v>
      </c>
      <c r="Q958" s="46" t="n">
        <f aca="false">M958/(1-(1+M958)^-P958)</f>
        <v>0.10697140835497</v>
      </c>
      <c r="R958" s="46" t="n">
        <f aca="false">N958/(1-(1+N958)^-P958)</f>
        <v>0.150562085013545</v>
      </c>
      <c r="S958" s="46" t="n">
        <f aca="false">O958/(1-(1+O958)^-P958)</f>
        <v>0.0664615359206755</v>
      </c>
      <c r="T958" s="37" t="n">
        <f aca="false">p_grid_credit*IF(AND(p_eng=1,ISNUMBER(Country_Data!$CZ$141)),Country_Data!$CZ$141,Country_Data!$CM$141)*Sector_Params!$I$6</f>
        <v>0</v>
      </c>
      <c r="U958" s="37" t="n">
        <f aca="false">p_grid_credit*IF(AND(p_eng=1,ISNUMBER(Country_Data!$DA$141)),Country_Data!$DA$141,Country_Data!$CN$141)*Sector_Params!$J$6</f>
        <v>0</v>
      </c>
      <c r="V958" s="37" t="n">
        <f aca="false">p_grid_credit*IF(AND(p_eng=1,ISNUMBER(Country_Data!$DB$141)),Country_Data!$DB$141,p_a)</f>
        <v>0</v>
      </c>
      <c r="W958" s="16" t="n">
        <f aca="false">T958*L958</f>
        <v>0</v>
      </c>
      <c r="X958" s="16" t="n">
        <f aca="false">U958*L958</f>
        <v>0</v>
      </c>
      <c r="Y958" s="16" t="n">
        <f aca="false">V958*L958</f>
        <v>0</v>
      </c>
      <c r="Z958" s="16" t="n">
        <f aca="false">Q958*L958</f>
        <v>0.00763970108993696</v>
      </c>
      <c r="AA958" s="16" t="n">
        <f aca="false">R958*L958</f>
        <v>0.0107528669825886</v>
      </c>
      <c r="AB958" s="16" t="n">
        <f aca="false">S958*L958</f>
        <v>0.00474656056436296</v>
      </c>
      <c r="AC958" s="16" t="n">
        <f aca="false">Z958-W958</f>
        <v>0.00763970108993696</v>
      </c>
      <c r="AD958" s="16" t="n">
        <f aca="false">AA958-W958</f>
        <v>0.0107528669825886</v>
      </c>
      <c r="AE958" s="16" t="n">
        <f aca="false">AB958-W958</f>
        <v>0.00474656056436296</v>
      </c>
      <c r="AF958" s="16" t="n">
        <f aca="false">AE958-X958</f>
        <v>0.00474656056436296</v>
      </c>
      <c r="AG958" s="16" t="n">
        <f aca="false">AF958-p_spc_lo*Y958/1000</f>
        <v>0.00474656056436296</v>
      </c>
      <c r="AH958" s="16" t="n">
        <f aca="false">AF958-p_spc_hi*Y958/1000</f>
        <v>0.00474656056436296</v>
      </c>
      <c r="AI958" s="16" t="n">
        <f aca="false">Q958*J958</f>
        <v>0.0318320878747373</v>
      </c>
      <c r="AJ958" s="16" t="n">
        <f aca="false">S958*J958</f>
        <v>0.0197773356848457</v>
      </c>
      <c r="AK958" s="16" t="n">
        <f aca="false">T958*J958</f>
        <v>0</v>
      </c>
      <c r="AL958" s="16" t="n">
        <f aca="false">U958*J958</f>
        <v>0</v>
      </c>
      <c r="AM958" s="16" t="n">
        <f aca="false">AI958-AJ958</f>
        <v>0.0120547521898917</v>
      </c>
      <c r="AN958" s="16" t="n">
        <f aca="false">J958*Country_Data!$EB$141</f>
        <v>0.363088445893097</v>
      </c>
      <c r="AO958" s="16" t="n">
        <f aca="false">L958*Country_Data!$EB$141</f>
        <v>0.0871412270143432</v>
      </c>
    </row>
    <row r="959" customFormat="false" ht="15" hidden="false" customHeight="false" outlineLevel="0" collapsed="false">
      <c r="A959" s="14" t="str">
        <f aca="false">Country_Data!$A$141</f>
        <v>MKD</v>
      </c>
      <c r="B959" s="14" t="str">
        <f aca="false">Country_Data!$E$141</f>
        <v>EMDC</v>
      </c>
      <c r="C959" s="35" t="s">
        <v>473</v>
      </c>
      <c r="D959" s="37" t="n">
        <f aca="false">IF(Country_Data!$CA$141="","",Country_Data!$CA$141)</f>
        <v>0.0437195136404786</v>
      </c>
      <c r="E959" s="40" t="n">
        <f aca="false">Country_Data!$BW$141</f>
        <v>50.782</v>
      </c>
      <c r="F959" s="41" t="n">
        <f aca="false">Country_Data!$BX$141</f>
        <v>0.333858453782836</v>
      </c>
      <c r="G959" s="42" t="n">
        <f aca="false">IF(D959="","",D959/SUMIFS($D$5:$D$1369,$B$5:$B$1369,B959,$C$5:$C$1369,C959))</f>
        <v>0.00101002248791746</v>
      </c>
      <c r="H959" s="42" t="n">
        <f aca="false">E959/SUMIFS($E$5:$E$1369,$B$5:$B$1369,B959,$C$5:$C$1369,C959)</f>
        <v>0.000629020328893576</v>
      </c>
      <c r="I959" s="43" t="n">
        <f aca="false">IF(G959="",H959,p_beta_alloc*G959+(1-p_beta_alloc)*H959)*F959^p_phi</f>
        <v>0.00047352345090848</v>
      </c>
      <c r="J959" s="16" t="n">
        <f aca="false">INDEX(Sector_Params!$C$18:$E$18,MATCH(B959,Sector_Params!$C$15:$E$15,0))*I959/SUMIFS($I$5:$I$1369,$B$5:$B$1369,B959,$C$5:$C$1369,C959)</f>
        <v>0.193896649007163</v>
      </c>
      <c r="K959" s="28" t="n">
        <f aca="false">INDEX(Sector_Params!$F$7:$H$7,MATCH(B959,Sector_Params!$C$15:$E$15,0))</f>
        <v>0.24</v>
      </c>
      <c r="L959" s="16" t="n">
        <f aca="false">J959*K959</f>
        <v>0.0465351957617191</v>
      </c>
      <c r="M959" s="44" t="n">
        <f aca="false">Country_Data!$DW$141+Sector_Params!$E$7</f>
        <v>0.105</v>
      </c>
      <c r="N959" s="44" t="n">
        <f aca="false">Country_Data!$DX$141+Sector_Params!$E$7</f>
        <v>0.15</v>
      </c>
      <c r="O959" s="11" t="n">
        <f aca="false">IF(p_use_ibrd=1,p_r_ibrd,p_r_wb)</f>
        <v>0.06</v>
      </c>
      <c r="P959" s="45" t="n">
        <f aca="false">Sector_Params!$D$7</f>
        <v>12</v>
      </c>
      <c r="Q959" s="46" t="n">
        <f aca="false">M959/(1-(1+M959)^-P959)</f>
        <v>0.150376745634766</v>
      </c>
      <c r="R959" s="46" t="n">
        <f aca="false">N959/(1-(1+N959)^-P959)</f>
        <v>0.18448077613084</v>
      </c>
      <c r="S959" s="46" t="n">
        <f aca="false">O959/(1-(1+O959)^-P959)</f>
        <v>0.119277029380664</v>
      </c>
      <c r="T959" s="37" t="n">
        <f aca="false">IF(AND(p_eng=1,ISNUMBER(Country_Data!$DE$141)),Country_Data!$DE$141,Country_Data!$CM$141)*Sector_Params!$I$7</f>
        <v>0.16642287</v>
      </c>
      <c r="U959" s="37" t="n">
        <f aca="false">IF(AND(p_eng=1,ISNUMBER(Country_Data!$DF$141)),Country_Data!$DF$141,Country_Data!$CN$141)*Sector_Params!$J$7</f>
        <v>0.00495045</v>
      </c>
      <c r="V959" s="37" t="n">
        <f aca="false">IF(AND(p_eng=1,ISNUMBER(Country_Data!$DG$141)),Country_Data!$DG$141,p_a)</f>
        <v>0.338939822535211</v>
      </c>
      <c r="W959" s="16" t="n">
        <f aca="false">T959*L959</f>
        <v>0.00774452083467713</v>
      </c>
      <c r="X959" s="16" t="n">
        <f aca="false">U959*L959</f>
        <v>0.000230370159858603</v>
      </c>
      <c r="Y959" s="16" t="n">
        <f aca="false">V959*L959</f>
        <v>0.0157726309931184</v>
      </c>
      <c r="Z959" s="16" t="n">
        <f aca="false">Q959*L959</f>
        <v>0.00699781129612407</v>
      </c>
      <c r="AA959" s="16" t="n">
        <f aca="false">R959*L959</f>
        <v>0.0085848490315225</v>
      </c>
      <c r="AB959" s="16" t="n">
        <f aca="false">S959*L959</f>
        <v>0.0055505799121055</v>
      </c>
      <c r="AC959" s="16" t="n">
        <f aca="false">Z959-W959</f>
        <v>-0.000746709538553068</v>
      </c>
      <c r="AD959" s="16" t="n">
        <f aca="false">AA959-W959</f>
        <v>0.000840328196845366</v>
      </c>
      <c r="AE959" s="16" t="n">
        <f aca="false">AB959-W959</f>
        <v>-0.00219394092257163</v>
      </c>
      <c r="AF959" s="16" t="n">
        <f aca="false">AE959-X959</f>
        <v>-0.00242431108243023</v>
      </c>
      <c r="AG959" s="16" t="n">
        <f aca="false">AF959-p_spc_lo*Y959/1000</f>
        <v>-0.00321294263208615</v>
      </c>
      <c r="AH959" s="16" t="n">
        <f aca="false">AF959-p_spc_hi*Y959/1000</f>
        <v>-0.00400157418174207</v>
      </c>
      <c r="AI959" s="16" t="n">
        <f aca="false">Q959*J959</f>
        <v>0.0291575470671836</v>
      </c>
      <c r="AJ959" s="16" t="n">
        <f aca="false">S959*J959</f>
        <v>0.0231274163004396</v>
      </c>
      <c r="AK959" s="16" t="n">
        <f aca="false">T959*J959</f>
        <v>0.0322688368111547</v>
      </c>
      <c r="AL959" s="16" t="n">
        <f aca="false">U959*J959</f>
        <v>0.00095987566607751</v>
      </c>
      <c r="AM959" s="16" t="n">
        <f aca="false">AI959-AJ959</f>
        <v>0.00603013076674401</v>
      </c>
      <c r="AN959" s="16" t="n">
        <f aca="false">J959*Country_Data!$EB$141</f>
        <v>0.236583973284709</v>
      </c>
      <c r="AO959" s="16" t="n">
        <f aca="false">L959*Country_Data!$EB$141</f>
        <v>0.0567801535883302</v>
      </c>
    </row>
    <row r="960" customFormat="false" ht="15" hidden="false" customHeight="false" outlineLevel="0" collapsed="false">
      <c r="A960" s="14" t="str">
        <f aca="false">Country_Data!$A$141</f>
        <v>MKD</v>
      </c>
      <c r="B960" s="14" t="str">
        <f aca="false">Country_Data!$E$141</f>
        <v>EMDC</v>
      </c>
      <c r="C960" s="35" t="s">
        <v>477</v>
      </c>
      <c r="D960" s="37" t="n">
        <f aca="false">IF(Country_Data!$CB$141="","",Country_Data!$CB$141)</f>
        <v>0.0197974644289451</v>
      </c>
      <c r="E960" s="40" t="n">
        <f aca="false">Country_Data!$BW$141</f>
        <v>50.782</v>
      </c>
      <c r="F960" s="41" t="n">
        <f aca="false">Country_Data!$BX$141</f>
        <v>0.333858453782836</v>
      </c>
      <c r="G960" s="42" t="n">
        <f aca="false">IF(D960="","",D960/SUMIFS($D$5:$D$1369,$B$5:$B$1369,B960,$C$5:$C$1369,C960))</f>
        <v>0.000624274336730091</v>
      </c>
      <c r="H960" s="42" t="n">
        <f aca="false">E960/SUMIFS($E$5:$E$1369,$B$5:$B$1369,B960,$C$5:$C$1369,C960)</f>
        <v>0.000629020328893576</v>
      </c>
      <c r="I960" s="43" t="n">
        <f aca="false">IF(G960="",H960,p_beta_alloc*G960+(1-p_beta_alloc)*H960)*F960^p_phi</f>
        <v>0.000362079873072486</v>
      </c>
      <c r="J960" s="16" t="n">
        <f aca="false">INDEX(Sector_Params!$C$19:$E$19,MATCH(B960,Sector_Params!$C$15:$E$15,0))*I960/SUMIFS($I$5:$I$1369,$B$5:$B$1369,B960,$C$5:$C$1369,C960)</f>
        <v>0.116539968096729</v>
      </c>
      <c r="K960" s="28" t="n">
        <f aca="false">INDEX(Sector_Params!$F$8:$H$8,MATCH(B960,Sector_Params!$C$15:$E$15,0))</f>
        <v>0.24</v>
      </c>
      <c r="L960" s="16" t="n">
        <f aca="false">J960*K960</f>
        <v>0.0279695923432149</v>
      </c>
      <c r="M960" s="44" t="n">
        <f aca="false">Country_Data!$DW$141+Sector_Params!$E$8</f>
        <v>0.105</v>
      </c>
      <c r="N960" s="44" t="n">
        <f aca="false">Country_Data!$DX$141+Sector_Params!$E$8</f>
        <v>0.15</v>
      </c>
      <c r="O960" s="11" t="n">
        <f aca="false">IF(p_use_ibrd=1,p_r_ibrd,p_r_wb)</f>
        <v>0.06</v>
      </c>
      <c r="P960" s="45" t="n">
        <f aca="false">Sector_Params!$D$8</f>
        <v>25</v>
      </c>
      <c r="Q960" s="46" t="n">
        <f aca="false">M960/(1-(1+M960)^-P960)</f>
        <v>0.114429319813103</v>
      </c>
      <c r="R960" s="46" t="n">
        <f aca="false">N960/(1-(1+N960)^-P960)</f>
        <v>0.154699402320206</v>
      </c>
      <c r="S960" s="46" t="n">
        <f aca="false">O960/(1-(1+O960)^-P960)</f>
        <v>0.078226718212274</v>
      </c>
      <c r="T960" s="37" t="n">
        <f aca="false">Country_Data!$CM$141*Sector_Params!$I$8</f>
        <v>0.138486986767687</v>
      </c>
      <c r="U960" s="37" t="n">
        <f aca="false">Country_Data!$CN$141*Sector_Params!$J$8</f>
        <v>0.0605832990763425</v>
      </c>
      <c r="V960" s="37" t="n">
        <f aca="false">p_a</f>
        <v>0.35</v>
      </c>
      <c r="W960" s="16" t="n">
        <f aca="false">T960*L960</f>
        <v>0.00387342456473241</v>
      </c>
      <c r="X960" s="16" t="n">
        <f aca="false">U960*L960</f>
        <v>0.00169449017797236</v>
      </c>
      <c r="Y960" s="16" t="n">
        <f aca="false">V960*L960</f>
        <v>0.0097893573201252</v>
      </c>
      <c r="Z960" s="16" t="n">
        <f aca="false">Q960*L960</f>
        <v>0.00320054142728386</v>
      </c>
      <c r="AA960" s="16" t="n">
        <f aca="false">R960*L960</f>
        <v>0.00432687921863516</v>
      </c>
      <c r="AB960" s="16" t="n">
        <f aca="false">S960*L960</f>
        <v>0.00218796941874484</v>
      </c>
      <c r="AC960" s="16" t="n">
        <f aca="false">Z960-W960</f>
        <v>-0.000672883137448546</v>
      </c>
      <c r="AD960" s="16" t="n">
        <f aca="false">AA960-W960</f>
        <v>0.000453454653902757</v>
      </c>
      <c r="AE960" s="16" t="n">
        <f aca="false">AB960-W960</f>
        <v>-0.00168545514598756</v>
      </c>
      <c r="AF960" s="16" t="n">
        <f aca="false">AE960-X960</f>
        <v>-0.00337994532395993</v>
      </c>
      <c r="AG960" s="16" t="n">
        <f aca="false">AF960-p_spc_lo*Y960/1000</f>
        <v>-0.00386941318996619</v>
      </c>
      <c r="AH960" s="16" t="n">
        <f aca="false">AF960-p_spc_hi*Y960/1000</f>
        <v>-0.00435888105597245</v>
      </c>
      <c r="AI960" s="16" t="n">
        <f aca="false">Q960*J960</f>
        <v>0.0133355892803494</v>
      </c>
      <c r="AJ960" s="16" t="n">
        <f aca="false">S960*J960</f>
        <v>0.00911653924477018</v>
      </c>
      <c r="AK960" s="16" t="n">
        <f aca="false">T960*J960</f>
        <v>0.0161392690197184</v>
      </c>
      <c r="AL960" s="16" t="n">
        <f aca="false">U960*J960</f>
        <v>0.00706037574155152</v>
      </c>
      <c r="AM960" s="16" t="n">
        <f aca="false">AI960-AJ960</f>
        <v>0.00421905003557923</v>
      </c>
      <c r="AN960" s="16" t="n">
        <f aca="false">J960*Country_Data!$EB$141</f>
        <v>0.142196829290117</v>
      </c>
      <c r="AO960" s="16" t="n">
        <f aca="false">L960*Country_Data!$EB$141</f>
        <v>0.0341272390296281</v>
      </c>
    </row>
    <row r="961" customFormat="false" ht="15" hidden="false" customHeight="false" outlineLevel="0" collapsed="false">
      <c r="A961" s="14" t="str">
        <f aca="false">Country_Data!$A$141</f>
        <v>MKD</v>
      </c>
      <c r="B961" s="14" t="str">
        <f aca="false">Country_Data!$E$141</f>
        <v>EMDC</v>
      </c>
      <c r="C961" s="35" t="s">
        <v>481</v>
      </c>
      <c r="D961" s="37" t="n">
        <f aca="false">IF(Country_Data!$CC$141="","",Country_Data!$CC$141)</f>
        <v>0.0327793015497266</v>
      </c>
      <c r="E961" s="40" t="n">
        <f aca="false">Country_Data!$BW$141</f>
        <v>50.782</v>
      </c>
      <c r="F961" s="41" t="n">
        <f aca="false">Country_Data!$BX$141</f>
        <v>0.333858453782836</v>
      </c>
      <c r="G961" s="42" t="n">
        <f aca="false">IF(D961="","",D961/SUMIFS($D$5:$D$1369,$B$5:$B$1369,B961,$C$5:$C$1369,C961))</f>
        <v>0.000468227191119492</v>
      </c>
      <c r="H961" s="42" t="n">
        <f aca="false">E961/SUMIFS($E$5:$E$1369,$B$5:$B$1369,B961,$C$5:$C$1369,C961)</f>
        <v>0.000629020328893576</v>
      </c>
      <c r="I961" s="43" t="n">
        <f aca="false">IF(G961="",H961,p_beta_alloc*G961+(1-p_beta_alloc)*H961)*F961^p_phi</f>
        <v>0.000316997473676895</v>
      </c>
      <c r="J961" s="16" t="n">
        <f aca="false">INDEX(Sector_Params!$C$20:$E$20,MATCH(B961,Sector_Params!$C$15:$E$15,0))*I961/SUMIFS($I$5:$I$1369,$B$5:$B$1369,B961,$C$5:$C$1369,C961)</f>
        <v>0.0578584225419381</v>
      </c>
      <c r="K961" s="28" t="n">
        <f aca="false">INDEX(Sector_Params!$F$9:$H$9,MATCH(B961,Sector_Params!$C$15:$E$15,0))</f>
        <v>0.24</v>
      </c>
      <c r="L961" s="16" t="n">
        <f aca="false">J961*K961</f>
        <v>0.0138860214100651</v>
      </c>
      <c r="M961" s="44" t="n">
        <f aca="false">Country_Data!$DW$141+Sector_Params!$E$9</f>
        <v>0.105</v>
      </c>
      <c r="N961" s="44" t="n">
        <f aca="false">Country_Data!$DX$141+Sector_Params!$E$9</f>
        <v>0.15</v>
      </c>
      <c r="O961" s="11" t="n">
        <f aca="false">IF(p_use_ibrd=1,p_r_ibrd,p_r_wb)</f>
        <v>0.06</v>
      </c>
      <c r="P961" s="45" t="n">
        <f aca="false">Sector_Params!$D$9</f>
        <v>25</v>
      </c>
      <c r="Q961" s="46" t="n">
        <f aca="false">M961/(1-(1+M961)^-P961)</f>
        <v>0.114429319813103</v>
      </c>
      <c r="R961" s="46" t="n">
        <f aca="false">N961/(1-(1+N961)^-P961)</f>
        <v>0.154699402320206</v>
      </c>
      <c r="S961" s="46" t="n">
        <f aca="false">O961/(1-(1+O961)^-P961)</f>
        <v>0.078226718212274</v>
      </c>
      <c r="T961" s="37" t="n">
        <f aca="false">Country_Data!$CM$141*Sector_Params!$I$9</f>
        <v>0.138486986767687</v>
      </c>
      <c r="U961" s="37" t="n">
        <f aca="false">Country_Data!$CN$141*Sector_Params!$J$9</f>
        <v>0.0605832990763425</v>
      </c>
      <c r="V961" s="37" t="n">
        <f aca="false">p_a</f>
        <v>0.35</v>
      </c>
      <c r="W961" s="16" t="n">
        <f aca="false">T961*L961</f>
        <v>0.00192303326327151</v>
      </c>
      <c r="X961" s="16" t="n">
        <f aca="false">U961*L961</f>
        <v>0.000841260988066471</v>
      </c>
      <c r="Y961" s="16" t="n">
        <f aca="false">V961*L961</f>
        <v>0.0048601074935228</v>
      </c>
      <c r="Z961" s="16" t="n">
        <f aca="false">Q961*L961</f>
        <v>0.00158896798486394</v>
      </c>
      <c r="AA961" s="16" t="n">
        <f aca="false">R961*L961</f>
        <v>0.00214815921274267</v>
      </c>
      <c r="AB961" s="16" t="n">
        <f aca="false">S961*L961</f>
        <v>0.00108625788393477</v>
      </c>
      <c r="AC961" s="16" t="n">
        <f aca="false">Z961-W961</f>
        <v>-0.00033406527840757</v>
      </c>
      <c r="AD961" s="16" t="n">
        <f aca="false">AA961-W961</f>
        <v>0.000225125949471154</v>
      </c>
      <c r="AE961" s="16" t="n">
        <f aca="false">AB961-W961</f>
        <v>-0.000836775379336745</v>
      </c>
      <c r="AF961" s="16" t="n">
        <f aca="false">AE961-X961</f>
        <v>-0.00167803636740322</v>
      </c>
      <c r="AG961" s="16" t="n">
        <f aca="false">AF961-p_spc_lo*Y961/1000</f>
        <v>-0.00192104174207936</v>
      </c>
      <c r="AH961" s="16" t="n">
        <f aca="false">AF961-p_spc_hi*Y961/1000</f>
        <v>-0.0021640471167555</v>
      </c>
      <c r="AI961" s="16" t="n">
        <f aca="false">Q961*J961</f>
        <v>0.0066206999369331</v>
      </c>
      <c r="AJ961" s="16" t="n">
        <f aca="false">S961*J961</f>
        <v>0.00452607451639487</v>
      </c>
      <c r="AK961" s="16" t="n">
        <f aca="false">T961*J961</f>
        <v>0.00801263859696464</v>
      </c>
      <c r="AL961" s="16" t="n">
        <f aca="false">U961*J961</f>
        <v>0.00350525411694363</v>
      </c>
      <c r="AM961" s="16" t="n">
        <f aca="false">AI961-AJ961</f>
        <v>0.00209462542053823</v>
      </c>
      <c r="AN961" s="16" t="n">
        <f aca="false">J961*Country_Data!$EB$141</f>
        <v>0.070596245799233</v>
      </c>
      <c r="AO961" s="16" t="n">
        <f aca="false">L961*Country_Data!$EB$141</f>
        <v>0.0169430989918159</v>
      </c>
    </row>
    <row r="962" customFormat="false" ht="15" hidden="false" customHeight="false" outlineLevel="0" collapsed="false">
      <c r="A962" s="14" t="str">
        <f aca="false">Country_Data!$A$141</f>
        <v>MKD</v>
      </c>
      <c r="B962" s="14" t="str">
        <f aca="false">Country_Data!$E$141</f>
        <v>EMDC</v>
      </c>
      <c r="C962" s="35" t="s">
        <v>484</v>
      </c>
      <c r="D962" s="37" t="n">
        <f aca="false">IF(Country_Data!$CD$141="","",Country_Data!$CD$141)</f>
        <v>0.100343338854924</v>
      </c>
      <c r="E962" s="40" t="n">
        <f aca="false">Country_Data!$BW$141</f>
        <v>50.782</v>
      </c>
      <c r="F962" s="41" t="n">
        <f aca="false">Country_Data!$BX$141</f>
        <v>0.333858453782836</v>
      </c>
      <c r="G962" s="42" t="n">
        <f aca="false">IF(D962="","",D962/SUMIFS($D$5:$D$1369,$B$5:$B$1369,B962,$C$5:$C$1369,C962))</f>
        <v>0.000560353861527106</v>
      </c>
      <c r="H962" s="42" t="n">
        <f aca="false">E962/SUMIFS($E$5:$E$1369,$B$5:$B$1369,B962,$C$5:$C$1369,C962)</f>
        <v>0.000629020328893576</v>
      </c>
      <c r="I962" s="43" t="n">
        <f aca="false">IF(G962="",H962,p_beta_alloc*G962+(1-p_beta_alloc)*H962)*F962^p_phi</f>
        <v>0.000343613092527535</v>
      </c>
      <c r="J962" s="16" t="n">
        <f aca="false">INDEX(Sector_Params!$C$21:$E$21,MATCH(B962,Sector_Params!$C$15:$E$15,0))*I962/SUMIFS($I$5:$I$1369,$B$5:$B$1369,B962,$C$5:$C$1369,C962)</f>
        <v>0.0762098880914652</v>
      </c>
      <c r="K962" s="28" t="n">
        <f aca="false">INDEX(Sector_Params!$F$10:$H$10,MATCH(B962,Sector_Params!$C$15:$E$15,0))</f>
        <v>0.24</v>
      </c>
      <c r="L962" s="16" t="n">
        <f aca="false">J962*K962</f>
        <v>0.0182903731419516</v>
      </c>
      <c r="M962" s="44" t="n">
        <f aca="false">Country_Data!$DW$141+Sector_Params!$E$10</f>
        <v>0.105</v>
      </c>
      <c r="N962" s="44" t="n">
        <f aca="false">Country_Data!$DX$141+Sector_Params!$E$10</f>
        <v>0.15</v>
      </c>
      <c r="O962" s="11" t="n">
        <f aca="false">IF(p_use_ibrd=1,p_r_ibrd,p_r_wb)</f>
        <v>0.06</v>
      </c>
      <c r="P962" s="45" t="n">
        <f aca="false">Sector_Params!$D$10</f>
        <v>20</v>
      </c>
      <c r="Q962" s="46" t="n">
        <f aca="false">M962/(1-(1+M962)^-P962)</f>
        <v>0.121493265267016</v>
      </c>
      <c r="R962" s="46" t="n">
        <f aca="false">N962/(1-(1+N962)^-P962)</f>
        <v>0.159761470405744</v>
      </c>
      <c r="S962" s="46" t="n">
        <f aca="false">O962/(1-(1+O962)^-P962)</f>
        <v>0.0871845569768514</v>
      </c>
      <c r="T962" s="37" t="n">
        <f aca="false">0*Sector_Params!$I$10</f>
        <v>0</v>
      </c>
      <c r="U962" s="37" t="n">
        <f aca="false">0*Sector_Params!$J$10</f>
        <v>0</v>
      </c>
      <c r="V962" s="37" t="n">
        <f aca="false">1000*p_r_wb/(1-(1+p_r_wb)^-Sector_Params!$D$10)/p_cpt_fuel</f>
        <v>0.871845569768514</v>
      </c>
      <c r="W962" s="16" t="n">
        <f aca="false">T962*L962</f>
        <v>0</v>
      </c>
      <c r="X962" s="16" t="n">
        <f aca="false">U962*L962</f>
        <v>0</v>
      </c>
      <c r="Y962" s="16" t="n">
        <f aca="false">V962*L962</f>
        <v>0.0159463807932236</v>
      </c>
      <c r="Z962" s="16" t="n">
        <f aca="false">Q962*L962</f>
        <v>0.00222215715596784</v>
      </c>
      <c r="AA962" s="16" t="n">
        <f aca="false">R962*L962</f>
        <v>0.00292209690742792</v>
      </c>
      <c r="AB962" s="16" t="n">
        <f aca="false">S962*L962</f>
        <v>0.00159463807932236</v>
      </c>
      <c r="AC962" s="16" t="n">
        <f aca="false">Z962-W962</f>
        <v>0.00222215715596784</v>
      </c>
      <c r="AD962" s="16" t="n">
        <f aca="false">AA962-W962</f>
        <v>0.00292209690742792</v>
      </c>
      <c r="AE962" s="16" t="n">
        <f aca="false">AB962-W962</f>
        <v>0.00159463807932236</v>
      </c>
      <c r="AF962" s="16" t="n">
        <f aca="false">AE962-X962</f>
        <v>0.00159463807932236</v>
      </c>
      <c r="AG962" s="16" t="n">
        <f aca="false">AF962-p_spc_lo*Y962/1000</f>
        <v>0.000797319039661178</v>
      </c>
      <c r="AH962" s="16" t="n">
        <f aca="false">AF962-p_spc_hi*Y962/1000</f>
        <v>0</v>
      </c>
      <c r="AI962" s="16" t="n">
        <f aca="false">Q962*J962</f>
        <v>0.009258988149866</v>
      </c>
      <c r="AJ962" s="16" t="n">
        <f aca="false">S962*J962</f>
        <v>0.00664432533050981</v>
      </c>
      <c r="AK962" s="16" t="n">
        <f aca="false">T962*J962</f>
        <v>0</v>
      </c>
      <c r="AL962" s="16" t="n">
        <f aca="false">U962*J962</f>
        <v>0</v>
      </c>
      <c r="AM962" s="16" t="n">
        <f aca="false">AI962-AJ962</f>
        <v>0.00261466281935618</v>
      </c>
      <c r="AN962" s="16" t="n">
        <f aca="false">J962*Country_Data!$EB$141</f>
        <v>0.0929878789581133</v>
      </c>
      <c r="AO962" s="16" t="n">
        <f aca="false">L962*Country_Data!$EB$141</f>
        <v>0.0223170909499472</v>
      </c>
    </row>
    <row r="963" customFormat="false" ht="15" hidden="false" customHeight="false" outlineLevel="0" collapsed="false">
      <c r="A963" s="14" t="str">
        <f aca="false">Country_Data!$A$141</f>
        <v>MKD</v>
      </c>
      <c r="B963" s="14" t="str">
        <f aca="false">Country_Data!$E$141</f>
        <v>EMDC</v>
      </c>
      <c r="C963" s="35" t="s">
        <v>488</v>
      </c>
      <c r="D963" s="37" t="n">
        <f aca="false">IF(Country_Data!$CE$141="","",Country_Data!$CE$141)</f>
        <v>2.949</v>
      </c>
      <c r="E963" s="40" t="n">
        <f aca="false">Country_Data!$BW$141</f>
        <v>50.782</v>
      </c>
      <c r="F963" s="41" t="n">
        <f aca="false">Country_Data!$BX$141</f>
        <v>0.333858453782836</v>
      </c>
      <c r="G963" s="42" t="n">
        <f aca="false">IF(D963="","",D963/SUMIFS($D$5:$D$1369,$B$5:$B$1369,B963,$C$5:$C$1369,C963))</f>
        <v>0.00024163990655607</v>
      </c>
      <c r="H963" s="42" t="n">
        <f aca="false">E963/SUMIFS($E$5:$E$1369,$B$5:$B$1369,B963,$C$5:$C$1369,C963)</f>
        <v>0.000629020328893576</v>
      </c>
      <c r="I963" s="43" t="n">
        <f aca="false">IF(G963="",H963,p_beta_alloc*G963+(1-p_beta_alloc)*H963)*F963^p_phi</f>
        <v>0.000251535856800279</v>
      </c>
      <c r="J963" s="16" t="n">
        <f aca="false">INDEX(Sector_Params!$C$22:$E$22,MATCH(B963,Sector_Params!$C$15:$E$15,0))*I963/SUMIFS($I$5:$I$1369,$B$5:$B$1369,B963,$C$5:$C$1369,C963)</f>
        <v>0.151627924417036</v>
      </c>
      <c r="K963" s="28" t="n">
        <f aca="false">INDEX(Sector_Params!$F$11:$H$11,MATCH(B963,Sector_Params!$C$15:$E$15,0))</f>
        <v>0.24</v>
      </c>
      <c r="L963" s="16" t="n">
        <f aca="false">J963*K963</f>
        <v>0.0363907018600886</v>
      </c>
      <c r="M963" s="44" t="n">
        <f aca="false">Country_Data!$DW$141+Sector_Params!$E$11</f>
        <v>0.105</v>
      </c>
      <c r="N963" s="44" t="n">
        <f aca="false">Country_Data!$DX$141+Sector_Params!$E$11</f>
        <v>0.15</v>
      </c>
      <c r="O963" s="11" t="n">
        <f aca="false">IF(p_use_ibrd=1,p_r_ibrd,p_r_wb)</f>
        <v>0.06</v>
      </c>
      <c r="P963" s="45" t="n">
        <f aca="false">Sector_Params!$D$11</f>
        <v>30</v>
      </c>
      <c r="Q963" s="46" t="n">
        <f aca="false">M963/(1-(1+M963)^-P963)</f>
        <v>0.110528481529605</v>
      </c>
      <c r="R963" s="46" t="n">
        <f aca="false">N963/(1-(1+N963)^-P963)</f>
        <v>0.152300198192734</v>
      </c>
      <c r="S963" s="46" t="n">
        <f aca="false">O963/(1-(1+O963)^-P963)</f>
        <v>0.0726489114900472</v>
      </c>
      <c r="T963" s="37" t="n">
        <f aca="false">0*Sector_Params!$I$11</f>
        <v>0</v>
      </c>
      <c r="U963" s="37" t="n">
        <f aca="false">p_c*Sector_Params!$J$11</f>
        <v>0.129</v>
      </c>
      <c r="V963" s="37" t="n">
        <f aca="false">1000*p_r_wb/(1-(1+p_r_wb)^-Sector_Params!$D$11)/p_cpt_afolu</f>
        <v>1.45297822980094</v>
      </c>
      <c r="W963" s="16" t="n">
        <f aca="false">T963*L963</f>
        <v>0</v>
      </c>
      <c r="X963" s="16" t="n">
        <f aca="false">U963*L963</f>
        <v>0.00469440053995143</v>
      </c>
      <c r="Y963" s="16" t="n">
        <f aca="false">V963*L963</f>
        <v>0.0528748975698855</v>
      </c>
      <c r="Z963" s="16" t="n">
        <f aca="false">Q963*L963</f>
        <v>0.00402220901839217</v>
      </c>
      <c r="AA963" s="16" t="n">
        <f aca="false">R963*L963</f>
        <v>0.0055423111056642</v>
      </c>
      <c r="AB963" s="16" t="n">
        <f aca="false">S963*L963</f>
        <v>0.00264374487849427</v>
      </c>
      <c r="AC963" s="16" t="n">
        <f aca="false">Z963-W963</f>
        <v>0.00402220901839217</v>
      </c>
      <c r="AD963" s="16" t="n">
        <f aca="false">AA963-W963</f>
        <v>0.0055423111056642</v>
      </c>
      <c r="AE963" s="16" t="n">
        <f aca="false">AB963-W963</f>
        <v>0.00264374487849427</v>
      </c>
      <c r="AF963" s="16" t="n">
        <f aca="false">AE963-X963</f>
        <v>-0.00205065566145716</v>
      </c>
      <c r="AG963" s="16" t="n">
        <f aca="false">AF963-p_spc_lo*Y963/1000</f>
        <v>-0.00469440053995143</v>
      </c>
      <c r="AH963" s="16" t="n">
        <f aca="false">AF963-p_spc_hi*Y963/1000</f>
        <v>-0.0073381454184457</v>
      </c>
      <c r="AI963" s="16" t="n">
        <f aca="false">Q963*J963</f>
        <v>0.0167592042433007</v>
      </c>
      <c r="AJ963" s="16" t="n">
        <f aca="false">S963*J963</f>
        <v>0.0110156036603928</v>
      </c>
      <c r="AK963" s="16" t="n">
        <f aca="false">T963*J963</f>
        <v>0</v>
      </c>
      <c r="AL963" s="16" t="n">
        <f aca="false">U963*J963</f>
        <v>0.0195600022497976</v>
      </c>
      <c r="AM963" s="16" t="n">
        <f aca="false">AI963-AJ963</f>
        <v>0.00574360058290791</v>
      </c>
      <c r="AN963" s="16" t="n">
        <f aca="false">J963*Country_Data!$EB$141</f>
        <v>0.18500957599412</v>
      </c>
      <c r="AO963" s="16" t="n">
        <f aca="false">L963*Country_Data!$EB$141</f>
        <v>0.0444022982385887</v>
      </c>
    </row>
    <row r="964" customFormat="false" ht="15" hidden="false" customHeight="false" outlineLevel="0" collapsed="false">
      <c r="A964" s="14" t="str">
        <f aca="false">Country_Data!$A$142</f>
        <v>PSE</v>
      </c>
      <c r="B964" s="14" t="str">
        <f aca="false">Country_Data!$E$142</f>
        <v>EMDC</v>
      </c>
      <c r="C964" s="35" t="s">
        <v>466</v>
      </c>
      <c r="D964" s="37" t="str">
        <f aca="false">IF(Country_Data!$BZ$142="","",Country_Data!$BZ$142)</f>
        <v/>
      </c>
      <c r="E964" s="40" t="n">
        <f aca="false">Country_Data!$BW$142</f>
        <v>25.233</v>
      </c>
      <c r="F964" s="41" t="n">
        <f aca="false">Country_Data!$BX$142</f>
        <v>0.634763999524432</v>
      </c>
      <c r="G964" s="42" t="str">
        <f aca="false">IF(D964="","",D964/SUMIFS($D$5:$D$1369,$B$5:$B$1369,B964,$C$5:$C$1369,C964))</f>
        <v/>
      </c>
      <c r="H964" s="42" t="n">
        <f aca="false">E964/SUMIFS($E$5:$E$1369,$B$5:$B$1369,B964,$C$5:$C$1369,C964)</f>
        <v>0.000312553069177496</v>
      </c>
      <c r="I964" s="43" t="n">
        <f aca="false">IF(G964="",H964,p_beta_alloc*G964+(1-p_beta_alloc)*H964)*F964^p_phi</f>
        <v>0.000249017524721388</v>
      </c>
      <c r="J964" s="16" t="n">
        <f aca="false">INDEX(Sector_Params!$C$16:$E$16,MATCH(B964,Sector_Params!$C$15:$E$15,0))*I964/SUMIFS($I$5:$I$1369,$B$5:$B$1369,B964,$C$5:$C$1369,C964)</f>
        <v>0.240856063049077</v>
      </c>
      <c r="K964" s="28" t="n">
        <f aca="false">INDEX(Sector_Params!$F$5:$H$5,MATCH(B964,Sector_Params!$C$15:$E$15,0))</f>
        <v>0.24</v>
      </c>
      <c r="L964" s="16" t="n">
        <f aca="false">J964*K964</f>
        <v>0.0578054551317785</v>
      </c>
      <c r="M964" s="44" t="n">
        <f aca="false">Country_Data!$DW$142+Sector_Params!$E$5</f>
        <v>0.105</v>
      </c>
      <c r="N964" s="44" t="n">
        <f aca="false">Country_Data!$DX$142+Sector_Params!$E$5</f>
        <v>0.15</v>
      </c>
      <c r="O964" s="11" t="n">
        <f aca="false">IF(p_use_ibrd=1,p_r_ibrd,p_r_wb)</f>
        <v>0.06</v>
      </c>
      <c r="P964" s="45" t="n">
        <f aca="false">Sector_Params!$D$5</f>
        <v>25</v>
      </c>
      <c r="Q964" s="46" t="n">
        <f aca="false">M964/(1-(1+M964)^-P964)</f>
        <v>0.114429319813103</v>
      </c>
      <c r="R964" s="46" t="n">
        <f aca="false">N964/(1-(1+N964)^-P964)</f>
        <v>0.154699402320206</v>
      </c>
      <c r="S964" s="46" t="n">
        <f aca="false">O964/(1-(1+O964)^-P964)</f>
        <v>0.078226718212274</v>
      </c>
      <c r="T964" s="37" t="n">
        <f aca="false">IF(AND(p_eng=1,ISNUMBER(Country_Data!$CZ$142)),Country_Data!$CZ$142,Country_Data!$CM$142)*Sector_Params!$I$5</f>
        <v>0.133</v>
      </c>
      <c r="U964" s="37" t="n">
        <f aca="false">IF(AND(p_eng=1,ISNUMBER(Country_Data!$DA$142)),Country_Data!$DA$142,Country_Data!$CN$142)*Sector_Params!$J$5</f>
        <v>0.129</v>
      </c>
      <c r="V964" s="37" t="n">
        <f aca="false">IF(AND(p_eng=1,ISNUMBER(Country_Data!$DB$142)),Country_Data!$DB$142,p_a)</f>
        <v>0.35</v>
      </c>
      <c r="W964" s="16" t="n">
        <f aca="false">T964*L964</f>
        <v>0.00768812553252654</v>
      </c>
      <c r="X964" s="16" t="n">
        <f aca="false">U964*L964</f>
        <v>0.00745690371199943</v>
      </c>
      <c r="Y964" s="16" t="n">
        <f aca="false">V964*L964</f>
        <v>0.0202319092961225</v>
      </c>
      <c r="Z964" s="16" t="n">
        <f aca="false">Q964*L964</f>
        <v>0.00661463891221628</v>
      </c>
      <c r="AA964" s="16" t="n">
        <f aca="false">R964*L964</f>
        <v>0.00894246935973364</v>
      </c>
      <c r="AB964" s="16" t="n">
        <f aca="false">S964*L964</f>
        <v>0.00452193104972588</v>
      </c>
      <c r="AC964" s="16" t="n">
        <f aca="false">Z964-W964</f>
        <v>-0.00107348662031026</v>
      </c>
      <c r="AD964" s="16" t="n">
        <f aca="false">AA964-W964</f>
        <v>0.0012543438272071</v>
      </c>
      <c r="AE964" s="16" t="n">
        <f aca="false">AB964-W964</f>
        <v>-0.00316619448280066</v>
      </c>
      <c r="AF964" s="16" t="n">
        <f aca="false">AE964-X964</f>
        <v>-0.0106230981948001</v>
      </c>
      <c r="AG964" s="16" t="n">
        <f aca="false">AF964-p_spc_lo*Y964/1000</f>
        <v>-0.0116346936596062</v>
      </c>
      <c r="AH964" s="16" t="n">
        <f aca="false">AF964-p_spc_hi*Y964/1000</f>
        <v>-0.0126462891244123</v>
      </c>
      <c r="AI964" s="16" t="n">
        <f aca="false">Q964*J964</f>
        <v>0.0275609954675678</v>
      </c>
      <c r="AJ964" s="16" t="n">
        <f aca="false">S964*J964</f>
        <v>0.0188413793738578</v>
      </c>
      <c r="AK964" s="16" t="n">
        <f aca="false">T964*J964</f>
        <v>0.0320338563855273</v>
      </c>
      <c r="AL964" s="16" t="n">
        <f aca="false">U964*J964</f>
        <v>0.0310704321333309</v>
      </c>
      <c r="AM964" s="16" t="n">
        <f aca="false">AI964-AJ964</f>
        <v>0.00871961609370998</v>
      </c>
      <c r="AN964" s="16" t="n">
        <f aca="false">J964*Country_Data!$EB$142</f>
        <v>0.293881738945153</v>
      </c>
      <c r="AO964" s="16" t="n">
        <f aca="false">L964*Country_Data!$EB$142</f>
        <v>0.0705316173468367</v>
      </c>
    </row>
    <row r="965" customFormat="false" ht="15" hidden="false" customHeight="false" outlineLevel="0" collapsed="false">
      <c r="A965" s="14" t="str">
        <f aca="false">Country_Data!$A$142</f>
        <v>PSE</v>
      </c>
      <c r="B965" s="14" t="str">
        <f aca="false">Country_Data!$E$142</f>
        <v>EMDC</v>
      </c>
      <c r="C965" s="35" t="s">
        <v>470</v>
      </c>
      <c r="D965" s="37" t="str">
        <f aca="false">IF(Country_Data!$BZ$142="","",Country_Data!$BZ$142)</f>
        <v/>
      </c>
      <c r="E965" s="40" t="n">
        <f aca="false">Country_Data!$BW$142</f>
        <v>25.233</v>
      </c>
      <c r="F965" s="41" t="n">
        <f aca="false">Country_Data!$BX$142</f>
        <v>0.634763999524432</v>
      </c>
      <c r="G965" s="42" t="str">
        <f aca="false">IF(D965="","",D965/SUMIFS($D$5:$D$1369,$B$5:$B$1369,B965,$C$5:$C$1369,C965))</f>
        <v/>
      </c>
      <c r="H965" s="42" t="n">
        <f aca="false">E965/SUMIFS($E$5:$E$1369,$B$5:$B$1369,B965,$C$5:$C$1369,C965)</f>
        <v>0.000312553069177496</v>
      </c>
      <c r="I965" s="43" t="n">
        <f aca="false">IF(G965="",H965,p_beta_alloc*G965+(1-p_beta_alloc)*H965)*F965^p_phi</f>
        <v>0.000249017524721388</v>
      </c>
      <c r="J965" s="16" t="n">
        <f aca="false">INDEX(Sector_Params!$C$17:$E$17,MATCH(B965,Sector_Params!$C$15:$E$15,0))*I965/SUMIFS($I$5:$I$1369,$B$5:$B$1369,B965,$C$5:$C$1369,C965)</f>
        <v>0.165158443233653</v>
      </c>
      <c r="K965" s="28" t="n">
        <f aca="false">INDEX(Sector_Params!$F$6:$H$6,MATCH(B965,Sector_Params!$C$15:$E$15,0))</f>
        <v>0.24</v>
      </c>
      <c r="L965" s="16" t="n">
        <f aca="false">J965*K965</f>
        <v>0.0396380263760767</v>
      </c>
      <c r="M965" s="44" t="n">
        <f aca="false">Country_Data!$DW$142+Sector_Params!$E$6</f>
        <v>0.105</v>
      </c>
      <c r="N965" s="44" t="n">
        <f aca="false">Country_Data!$DX$142+Sector_Params!$E$6</f>
        <v>0.15</v>
      </c>
      <c r="O965" s="11" t="n">
        <f aca="false">IF(p_use_ibrd=1,p_r_ibrd,p_r_wb)</f>
        <v>0.06</v>
      </c>
      <c r="P965" s="45" t="n">
        <f aca="false">Sector_Params!$D$6</f>
        <v>40</v>
      </c>
      <c r="Q965" s="46" t="n">
        <f aca="false">M965/(1-(1+M965)^-P965)</f>
        <v>0.10697140835497</v>
      </c>
      <c r="R965" s="46" t="n">
        <f aca="false">N965/(1-(1+N965)^-P965)</f>
        <v>0.150562085013545</v>
      </c>
      <c r="S965" s="46" t="n">
        <f aca="false">O965/(1-(1+O965)^-P965)</f>
        <v>0.0664615359206755</v>
      </c>
      <c r="T965" s="37" t="n">
        <f aca="false">p_grid_credit*IF(AND(p_eng=1,ISNUMBER(Country_Data!$CZ$142)),Country_Data!$CZ$142,Country_Data!$CM$142)*Sector_Params!$I$6</f>
        <v>0</v>
      </c>
      <c r="U965" s="37" t="n">
        <f aca="false">p_grid_credit*IF(AND(p_eng=1,ISNUMBER(Country_Data!$DA$142)),Country_Data!$DA$142,Country_Data!$CN$142)*Sector_Params!$J$6</f>
        <v>0</v>
      </c>
      <c r="V965" s="37" t="n">
        <f aca="false">p_grid_credit*IF(AND(p_eng=1,ISNUMBER(Country_Data!$DB$142)),Country_Data!$DB$142,p_a)</f>
        <v>0</v>
      </c>
      <c r="W965" s="16" t="n">
        <f aca="false">T965*L965</f>
        <v>0</v>
      </c>
      <c r="X965" s="16" t="n">
        <f aca="false">U965*L965</f>
        <v>0</v>
      </c>
      <c r="Y965" s="16" t="n">
        <f aca="false">V965*L965</f>
        <v>0</v>
      </c>
      <c r="Z965" s="16" t="n">
        <f aca="false">Q965*L965</f>
        <v>0.00424013550586038</v>
      </c>
      <c r="AA965" s="16" t="n">
        <f aca="false">R965*L965</f>
        <v>0.005967983897004</v>
      </c>
      <c r="AB965" s="16" t="n">
        <f aca="false">S965*L965</f>
        <v>0.0026344041138183</v>
      </c>
      <c r="AC965" s="16" t="n">
        <f aca="false">Z965-W965</f>
        <v>0.00424013550586038</v>
      </c>
      <c r="AD965" s="16" t="n">
        <f aca="false">AA965-W965</f>
        <v>0.005967983897004</v>
      </c>
      <c r="AE965" s="16" t="n">
        <f aca="false">AB965-W965</f>
        <v>0.0026344041138183</v>
      </c>
      <c r="AF965" s="16" t="n">
        <f aca="false">AE965-X965</f>
        <v>0.0026344041138183</v>
      </c>
      <c r="AG965" s="16" t="n">
        <f aca="false">AF965-p_spc_lo*Y965/1000</f>
        <v>0.0026344041138183</v>
      </c>
      <c r="AH965" s="16" t="n">
        <f aca="false">AF965-p_spc_hi*Y965/1000</f>
        <v>0.0026344041138183</v>
      </c>
      <c r="AI965" s="16" t="n">
        <f aca="false">Q965*J965</f>
        <v>0.0176672312744183</v>
      </c>
      <c r="AJ965" s="16" t="n">
        <f aca="false">S965*J965</f>
        <v>0.0109766838075763</v>
      </c>
      <c r="AK965" s="16" t="n">
        <f aca="false">T965*J965</f>
        <v>0</v>
      </c>
      <c r="AL965" s="16" t="n">
        <f aca="false">U965*J965</f>
        <v>0</v>
      </c>
      <c r="AM965" s="16" t="n">
        <f aca="false">AI965-AJ965</f>
        <v>0.00669054746684201</v>
      </c>
      <c r="AN965" s="16" t="n">
        <f aca="false">J965*Country_Data!$EB$142</f>
        <v>0.201518906705248</v>
      </c>
      <c r="AO965" s="16" t="n">
        <f aca="false">L965*Country_Data!$EB$142</f>
        <v>0.0483645376092594</v>
      </c>
    </row>
    <row r="966" customFormat="false" ht="15" hidden="false" customHeight="false" outlineLevel="0" collapsed="false">
      <c r="A966" s="14" t="str">
        <f aca="false">Country_Data!$A$142</f>
        <v>PSE</v>
      </c>
      <c r="B966" s="14" t="str">
        <f aca="false">Country_Data!$E$142</f>
        <v>EMDC</v>
      </c>
      <c r="C966" s="35" t="s">
        <v>473</v>
      </c>
      <c r="D966" s="37" t="str">
        <f aca="false">IF(Country_Data!$CA$142="","",Country_Data!$CA$142)</f>
        <v/>
      </c>
      <c r="E966" s="40" t="n">
        <f aca="false">Country_Data!$BW$142</f>
        <v>25.233</v>
      </c>
      <c r="F966" s="41" t="n">
        <f aca="false">Country_Data!$BX$142</f>
        <v>0.634763999524432</v>
      </c>
      <c r="G966" s="42" t="str">
        <f aca="false">IF(D966="","",D966/SUMIFS($D$5:$D$1369,$B$5:$B$1369,B966,$C$5:$C$1369,C966))</f>
        <v/>
      </c>
      <c r="H966" s="42" t="n">
        <f aca="false">E966/SUMIFS($E$5:$E$1369,$B$5:$B$1369,B966,$C$5:$C$1369,C966)</f>
        <v>0.000312553069177496</v>
      </c>
      <c r="I966" s="43" t="n">
        <f aca="false">IF(G966="",H966,p_beta_alloc*G966+(1-p_beta_alloc)*H966)*F966^p_phi</f>
        <v>0.000249017524721388</v>
      </c>
      <c r="J966" s="16" t="n">
        <f aca="false">INDEX(Sector_Params!$C$18:$E$18,MATCH(B966,Sector_Params!$C$15:$E$15,0))*I966/SUMIFS($I$5:$I$1369,$B$5:$B$1369,B966,$C$5:$C$1369,C966)</f>
        <v>0.101966784316385</v>
      </c>
      <c r="K966" s="28" t="n">
        <f aca="false">INDEX(Sector_Params!$F$7:$H$7,MATCH(B966,Sector_Params!$C$15:$E$15,0))</f>
        <v>0.24</v>
      </c>
      <c r="L966" s="16" t="n">
        <f aca="false">J966*K966</f>
        <v>0.0244720282359325</v>
      </c>
      <c r="M966" s="44" t="n">
        <f aca="false">Country_Data!$DW$142+Sector_Params!$E$7</f>
        <v>0.105</v>
      </c>
      <c r="N966" s="44" t="n">
        <f aca="false">Country_Data!$DX$142+Sector_Params!$E$7</f>
        <v>0.15</v>
      </c>
      <c r="O966" s="11" t="n">
        <f aca="false">IF(p_use_ibrd=1,p_r_ibrd,p_r_wb)</f>
        <v>0.06</v>
      </c>
      <c r="P966" s="45" t="n">
        <f aca="false">Sector_Params!$D$7</f>
        <v>12</v>
      </c>
      <c r="Q966" s="46" t="n">
        <f aca="false">M966/(1-(1+M966)^-P966)</f>
        <v>0.150376745634766</v>
      </c>
      <c r="R966" s="46" t="n">
        <f aca="false">N966/(1-(1+N966)^-P966)</f>
        <v>0.18448077613084</v>
      </c>
      <c r="S966" s="46" t="n">
        <f aca="false">O966/(1-(1+O966)^-P966)</f>
        <v>0.119277029380664</v>
      </c>
      <c r="T966" s="37" t="n">
        <f aca="false">IF(AND(p_eng=1,ISNUMBER(Country_Data!$DE$142)),Country_Data!$DE$142,Country_Data!$CM$142)*Sector_Params!$I$7</f>
        <v>0.133</v>
      </c>
      <c r="U966" s="37" t="n">
        <f aca="false">IF(AND(p_eng=1,ISNUMBER(Country_Data!$DF$142)),Country_Data!$DF$142,Country_Data!$CN$142)*Sector_Params!$J$7</f>
        <v>0.129</v>
      </c>
      <c r="V966" s="37" t="n">
        <f aca="false">IF(AND(p_eng=1,ISNUMBER(Country_Data!$DG$142)),Country_Data!$DG$142,p_a)</f>
        <v>0.35</v>
      </c>
      <c r="W966" s="16" t="n">
        <f aca="false">T966*L966</f>
        <v>0.00325477975537902</v>
      </c>
      <c r="X966" s="16" t="n">
        <f aca="false">U966*L966</f>
        <v>0.00315689164243529</v>
      </c>
      <c r="Y966" s="16" t="n">
        <f aca="false">V966*L966</f>
        <v>0.00856520988257636</v>
      </c>
      <c r="Z966" s="16" t="n">
        <f aca="false">Q966*L966</f>
        <v>0.00368002396520162</v>
      </c>
      <c r="AA966" s="16" t="n">
        <f aca="false">R966*L966</f>
        <v>0.00451461876246064</v>
      </c>
      <c r="AB966" s="16" t="n">
        <f aca="false">S966*L966</f>
        <v>0.00291895083090174</v>
      </c>
      <c r="AC966" s="16" t="n">
        <f aca="false">Z966-W966</f>
        <v>0.000425244209822602</v>
      </c>
      <c r="AD966" s="16" t="n">
        <f aca="false">AA966-W966</f>
        <v>0.00125983900708162</v>
      </c>
      <c r="AE966" s="16" t="n">
        <f aca="false">AB966-W966</f>
        <v>-0.000335828924477273</v>
      </c>
      <c r="AF966" s="16" t="n">
        <f aca="false">AE966-X966</f>
        <v>-0.00349272056691256</v>
      </c>
      <c r="AG966" s="16" t="n">
        <f aca="false">AF966-p_spc_lo*Y966/1000</f>
        <v>-0.00392098106104138</v>
      </c>
      <c r="AH966" s="16" t="n">
        <f aca="false">AF966-p_spc_hi*Y966/1000</f>
        <v>-0.0043492415551702</v>
      </c>
      <c r="AI966" s="16" t="n">
        <f aca="false">Q966*J966</f>
        <v>0.0153334331883401</v>
      </c>
      <c r="AJ966" s="16" t="n">
        <f aca="false">S966*J966</f>
        <v>0.0121622951287573</v>
      </c>
      <c r="AK966" s="16" t="n">
        <f aca="false">T966*J966</f>
        <v>0.0135615823140792</v>
      </c>
      <c r="AL966" s="16" t="n">
        <f aca="false">U966*J966</f>
        <v>0.0131537151768137</v>
      </c>
      <c r="AM966" s="16" t="n">
        <f aca="false">AI966-AJ966</f>
        <v>0.00317113805958282</v>
      </c>
      <c r="AN966" s="16" t="n">
        <f aca="false">J966*Country_Data!$EB$142</f>
        <v>0.12441528566976</v>
      </c>
      <c r="AO966" s="16" t="n">
        <f aca="false">L966*Country_Data!$EB$142</f>
        <v>0.0298596685607424</v>
      </c>
    </row>
    <row r="967" customFormat="false" ht="15" hidden="false" customHeight="false" outlineLevel="0" collapsed="false">
      <c r="A967" s="14" t="str">
        <f aca="false">Country_Data!$A$142</f>
        <v>PSE</v>
      </c>
      <c r="B967" s="14" t="str">
        <f aca="false">Country_Data!$E$142</f>
        <v>EMDC</v>
      </c>
      <c r="C967" s="35" t="s">
        <v>477</v>
      </c>
      <c r="D967" s="37" t="str">
        <f aca="false">IF(Country_Data!$CB$142="","",Country_Data!$CB$142)</f>
        <v/>
      </c>
      <c r="E967" s="40" t="n">
        <f aca="false">Country_Data!$BW$142</f>
        <v>25.233</v>
      </c>
      <c r="F967" s="41" t="n">
        <f aca="false">Country_Data!$BX$142</f>
        <v>0.634763999524432</v>
      </c>
      <c r="G967" s="42" t="str">
        <f aca="false">IF(D967="","",D967/SUMIFS($D$5:$D$1369,$B$5:$B$1369,B967,$C$5:$C$1369,C967))</f>
        <v/>
      </c>
      <c r="H967" s="42" t="n">
        <f aca="false">E967/SUMIFS($E$5:$E$1369,$B$5:$B$1369,B967,$C$5:$C$1369,C967)</f>
        <v>0.000312553069177496</v>
      </c>
      <c r="I967" s="43" t="n">
        <f aca="false">IF(G967="",H967,p_beta_alloc*G967+(1-p_beta_alloc)*H967)*F967^p_phi</f>
        <v>0.000249017524721388</v>
      </c>
      <c r="J967" s="16" t="n">
        <f aca="false">INDEX(Sector_Params!$C$19:$E$19,MATCH(B967,Sector_Params!$C$15:$E$15,0))*I967/SUMIFS($I$5:$I$1369,$B$5:$B$1369,B967,$C$5:$C$1369,C967)</f>
        <v>0.0801494270871751</v>
      </c>
      <c r="K967" s="28" t="n">
        <f aca="false">INDEX(Sector_Params!$F$8:$H$8,MATCH(B967,Sector_Params!$C$15:$E$15,0))</f>
        <v>0.24</v>
      </c>
      <c r="L967" s="16" t="n">
        <f aca="false">J967*K967</f>
        <v>0.019235862500922</v>
      </c>
      <c r="M967" s="44" t="n">
        <f aca="false">Country_Data!$DW$142+Sector_Params!$E$8</f>
        <v>0.105</v>
      </c>
      <c r="N967" s="44" t="n">
        <f aca="false">Country_Data!$DX$142+Sector_Params!$E$8</f>
        <v>0.15</v>
      </c>
      <c r="O967" s="11" t="n">
        <f aca="false">IF(p_use_ibrd=1,p_r_ibrd,p_r_wb)</f>
        <v>0.06</v>
      </c>
      <c r="P967" s="45" t="n">
        <f aca="false">Sector_Params!$D$8</f>
        <v>25</v>
      </c>
      <c r="Q967" s="46" t="n">
        <f aca="false">M967/(1-(1+M967)^-P967)</f>
        <v>0.114429319813103</v>
      </c>
      <c r="R967" s="46" t="n">
        <f aca="false">N967/(1-(1+N967)^-P967)</f>
        <v>0.154699402320206</v>
      </c>
      <c r="S967" s="46" t="n">
        <f aca="false">O967/(1-(1+O967)^-P967)</f>
        <v>0.078226718212274</v>
      </c>
      <c r="T967" s="37" t="n">
        <f aca="false">Country_Data!$CM$142*Sector_Params!$I$8</f>
        <v>0.133</v>
      </c>
      <c r="U967" s="37" t="n">
        <f aca="false">Country_Data!$CN$142*Sector_Params!$J$8</f>
        <v>0.129</v>
      </c>
      <c r="V967" s="37" t="n">
        <f aca="false">p_a</f>
        <v>0.35</v>
      </c>
      <c r="W967" s="16" t="n">
        <f aca="false">T967*L967</f>
        <v>0.00255836971262263</v>
      </c>
      <c r="X967" s="16" t="n">
        <f aca="false">U967*L967</f>
        <v>0.00248142626261894</v>
      </c>
      <c r="Y967" s="16" t="n">
        <f aca="false">V967*L967</f>
        <v>0.00673255187532271</v>
      </c>
      <c r="Z967" s="16" t="n">
        <f aca="false">Q967*L967</f>
        <v>0.00220114666199889</v>
      </c>
      <c r="AA967" s="16" t="n">
        <f aca="false">R967*L967</f>
        <v>0.00297577643200631</v>
      </c>
      <c r="AB967" s="16" t="n">
        <f aca="false">S967*L967</f>
        <v>0.00150475839542967</v>
      </c>
      <c r="AC967" s="16" t="n">
        <f aca="false">Z967-W967</f>
        <v>-0.000357223050623742</v>
      </c>
      <c r="AD967" s="16" t="n">
        <f aca="false">AA967-W967</f>
        <v>0.00041740671938368</v>
      </c>
      <c r="AE967" s="16" t="n">
        <f aca="false">AB967-W967</f>
        <v>-0.00105361131719295</v>
      </c>
      <c r="AF967" s="16" t="n">
        <f aca="false">AE967-X967</f>
        <v>-0.0035350375798119</v>
      </c>
      <c r="AG967" s="16" t="n">
        <f aca="false">AF967-p_spc_lo*Y967/1000</f>
        <v>-0.00387166517357803</v>
      </c>
      <c r="AH967" s="16" t="n">
        <f aca="false">AF967-p_spc_hi*Y967/1000</f>
        <v>-0.00420829276734417</v>
      </c>
      <c r="AI967" s="16" t="n">
        <f aca="false">Q967*J967</f>
        <v>0.00917144442499537</v>
      </c>
      <c r="AJ967" s="16" t="n">
        <f aca="false">S967*J967</f>
        <v>0.00626982664762364</v>
      </c>
      <c r="AK967" s="16" t="n">
        <f aca="false">T967*J967</f>
        <v>0.0106598738025943</v>
      </c>
      <c r="AL967" s="16" t="n">
        <f aca="false">U967*J967</f>
        <v>0.0103392760942456</v>
      </c>
      <c r="AM967" s="16" t="n">
        <f aca="false">AI967-AJ967</f>
        <v>0.00290161777737172</v>
      </c>
      <c r="AN967" s="16" t="n">
        <f aca="false">J967*Country_Data!$EB$142</f>
        <v>0.0977947273141191</v>
      </c>
      <c r="AO967" s="16" t="n">
        <f aca="false">L967*Country_Data!$EB$142</f>
        <v>0.0234707345553886</v>
      </c>
    </row>
    <row r="968" customFormat="false" ht="15" hidden="false" customHeight="false" outlineLevel="0" collapsed="false">
      <c r="A968" s="14" t="str">
        <f aca="false">Country_Data!$A$142</f>
        <v>PSE</v>
      </c>
      <c r="B968" s="14" t="str">
        <f aca="false">Country_Data!$E$142</f>
        <v>EMDC</v>
      </c>
      <c r="C968" s="35" t="s">
        <v>481</v>
      </c>
      <c r="D968" s="37" t="str">
        <f aca="false">IF(Country_Data!$CC$142="","",Country_Data!$CC$142)</f>
        <v/>
      </c>
      <c r="E968" s="40" t="n">
        <f aca="false">Country_Data!$BW$142</f>
        <v>25.233</v>
      </c>
      <c r="F968" s="41" t="n">
        <f aca="false">Country_Data!$BX$142</f>
        <v>0.634763999524432</v>
      </c>
      <c r="G968" s="42" t="str">
        <f aca="false">IF(D968="","",D968/SUMIFS($D$5:$D$1369,$B$5:$B$1369,B968,$C$5:$C$1369,C968))</f>
        <v/>
      </c>
      <c r="H968" s="42" t="n">
        <f aca="false">E968/SUMIFS($E$5:$E$1369,$B$5:$B$1369,B968,$C$5:$C$1369,C968)</f>
        <v>0.000312553069177496</v>
      </c>
      <c r="I968" s="43" t="n">
        <f aca="false">IF(G968="",H968,p_beta_alloc*G968+(1-p_beta_alloc)*H968)*F968^p_phi</f>
        <v>0.000249017524721388</v>
      </c>
      <c r="J968" s="16" t="n">
        <f aca="false">INDEX(Sector_Params!$C$20:$E$20,MATCH(B968,Sector_Params!$C$15:$E$15,0))*I968/SUMIFS($I$5:$I$1369,$B$5:$B$1369,B968,$C$5:$C$1369,C968)</f>
        <v>0.0454507128986236</v>
      </c>
      <c r="K968" s="28" t="n">
        <f aca="false">INDEX(Sector_Params!$F$9:$H$9,MATCH(B968,Sector_Params!$C$15:$E$15,0))</f>
        <v>0.24</v>
      </c>
      <c r="L968" s="16" t="n">
        <f aca="false">J968*K968</f>
        <v>0.0109081710956697</v>
      </c>
      <c r="M968" s="44" t="n">
        <f aca="false">Country_Data!$DW$142+Sector_Params!$E$9</f>
        <v>0.105</v>
      </c>
      <c r="N968" s="44" t="n">
        <f aca="false">Country_Data!$DX$142+Sector_Params!$E$9</f>
        <v>0.15</v>
      </c>
      <c r="O968" s="11" t="n">
        <f aca="false">IF(p_use_ibrd=1,p_r_ibrd,p_r_wb)</f>
        <v>0.06</v>
      </c>
      <c r="P968" s="45" t="n">
        <f aca="false">Sector_Params!$D$9</f>
        <v>25</v>
      </c>
      <c r="Q968" s="46" t="n">
        <f aca="false">M968/(1-(1+M968)^-P968)</f>
        <v>0.114429319813103</v>
      </c>
      <c r="R968" s="46" t="n">
        <f aca="false">N968/(1-(1+N968)^-P968)</f>
        <v>0.154699402320206</v>
      </c>
      <c r="S968" s="46" t="n">
        <f aca="false">O968/(1-(1+O968)^-P968)</f>
        <v>0.078226718212274</v>
      </c>
      <c r="T968" s="37" t="n">
        <f aca="false">Country_Data!$CM$142*Sector_Params!$I$9</f>
        <v>0.133</v>
      </c>
      <c r="U968" s="37" t="n">
        <f aca="false">Country_Data!$CN$142*Sector_Params!$J$9</f>
        <v>0.129</v>
      </c>
      <c r="V968" s="37" t="n">
        <f aca="false">p_a</f>
        <v>0.35</v>
      </c>
      <c r="W968" s="16" t="n">
        <f aca="false">T968*L968</f>
        <v>0.00145078675572406</v>
      </c>
      <c r="X968" s="16" t="n">
        <f aca="false">U968*L968</f>
        <v>0.00140715407134139</v>
      </c>
      <c r="Y968" s="16" t="n">
        <f aca="false">V968*L968</f>
        <v>0.00381785988348438</v>
      </c>
      <c r="Z968" s="16" t="n">
        <f aca="false">Q968*L968</f>
        <v>0.00124821459888243</v>
      </c>
      <c r="AA968" s="16" t="n">
        <f aca="false">R968*L968</f>
        <v>0.00168748754890665</v>
      </c>
      <c r="AB968" s="16" t="n">
        <f aca="false">S968*L968</f>
        <v>0.000853310426512222</v>
      </c>
      <c r="AC968" s="16" t="n">
        <f aca="false">Z968-W968</f>
        <v>-0.000202572156841632</v>
      </c>
      <c r="AD968" s="16" t="n">
        <f aca="false">AA968-W968</f>
        <v>0.000236700793182583</v>
      </c>
      <c r="AE968" s="16" t="n">
        <f aca="false">AB968-W968</f>
        <v>-0.000597476329211842</v>
      </c>
      <c r="AF968" s="16" t="n">
        <f aca="false">AE968-X968</f>
        <v>-0.00200463040055323</v>
      </c>
      <c r="AG968" s="16" t="n">
        <f aca="false">AF968-p_spc_lo*Y968/1000</f>
        <v>-0.00219552339472745</v>
      </c>
      <c r="AH968" s="16" t="n">
        <f aca="false">AF968-p_spc_hi*Y968/1000</f>
        <v>-0.00238641638890167</v>
      </c>
      <c r="AI968" s="16" t="n">
        <f aca="false">Q968*J968</f>
        <v>0.00520089416201014</v>
      </c>
      <c r="AJ968" s="16" t="n">
        <f aca="false">S968*J968</f>
        <v>0.00355546011046759</v>
      </c>
      <c r="AK968" s="16" t="n">
        <f aca="false">T968*J968</f>
        <v>0.00604494481551693</v>
      </c>
      <c r="AL968" s="16" t="n">
        <f aca="false">U968*J968</f>
        <v>0.00586314196392244</v>
      </c>
      <c r="AM968" s="16" t="n">
        <f aca="false">AI968-AJ968</f>
        <v>0.00164543405154255</v>
      </c>
      <c r="AN968" s="16" t="n">
        <f aca="false">J968*Country_Data!$EB$142</f>
        <v>0.0554569163584756</v>
      </c>
      <c r="AO968" s="16" t="n">
        <f aca="false">L968*Country_Data!$EB$142</f>
        <v>0.0133096599260341</v>
      </c>
    </row>
    <row r="969" customFormat="false" ht="15" hidden="false" customHeight="false" outlineLevel="0" collapsed="false">
      <c r="A969" s="14" t="str">
        <f aca="false">Country_Data!$A$142</f>
        <v>PSE</v>
      </c>
      <c r="B969" s="14" t="str">
        <f aca="false">Country_Data!$E$142</f>
        <v>EMDC</v>
      </c>
      <c r="C969" s="35" t="s">
        <v>484</v>
      </c>
      <c r="D969" s="37" t="str">
        <f aca="false">IF(Country_Data!$CD$142="","",Country_Data!$CD$142)</f>
        <v/>
      </c>
      <c r="E969" s="40" t="n">
        <f aca="false">Country_Data!$BW$142</f>
        <v>25.233</v>
      </c>
      <c r="F969" s="41" t="n">
        <f aca="false">Country_Data!$BX$142</f>
        <v>0.634763999524432</v>
      </c>
      <c r="G969" s="42" t="str">
        <f aca="false">IF(D969="","",D969/SUMIFS($D$5:$D$1369,$B$5:$B$1369,B969,$C$5:$C$1369,C969))</f>
        <v/>
      </c>
      <c r="H969" s="42" t="n">
        <f aca="false">E969/SUMIFS($E$5:$E$1369,$B$5:$B$1369,B969,$C$5:$C$1369,C969)</f>
        <v>0.000312553069177496</v>
      </c>
      <c r="I969" s="43" t="n">
        <f aca="false">IF(G969="",H969,p_beta_alloc*G969+(1-p_beta_alloc)*H969)*F969^p_phi</f>
        <v>0.000249017524721388</v>
      </c>
      <c r="J969" s="16" t="n">
        <f aca="false">INDEX(Sector_Params!$C$21:$E$21,MATCH(B969,Sector_Params!$C$15:$E$15,0))*I969/SUMIFS($I$5:$I$1369,$B$5:$B$1369,B969,$C$5:$C$1369,C969)</f>
        <v>0.0552295535430154</v>
      </c>
      <c r="K969" s="28" t="n">
        <f aca="false">INDEX(Sector_Params!$F$10:$H$10,MATCH(B969,Sector_Params!$C$15:$E$15,0))</f>
        <v>0.24</v>
      </c>
      <c r="L969" s="16" t="n">
        <f aca="false">J969*K969</f>
        <v>0.0132550928503237</v>
      </c>
      <c r="M969" s="44" t="n">
        <f aca="false">Country_Data!$DW$142+Sector_Params!$E$10</f>
        <v>0.105</v>
      </c>
      <c r="N969" s="44" t="n">
        <f aca="false">Country_Data!$DX$142+Sector_Params!$E$10</f>
        <v>0.15</v>
      </c>
      <c r="O969" s="11" t="n">
        <f aca="false">IF(p_use_ibrd=1,p_r_ibrd,p_r_wb)</f>
        <v>0.06</v>
      </c>
      <c r="P969" s="45" t="n">
        <f aca="false">Sector_Params!$D$10</f>
        <v>20</v>
      </c>
      <c r="Q969" s="46" t="n">
        <f aca="false">M969/(1-(1+M969)^-P969)</f>
        <v>0.121493265267016</v>
      </c>
      <c r="R969" s="46" t="n">
        <f aca="false">N969/(1-(1+N969)^-P969)</f>
        <v>0.159761470405744</v>
      </c>
      <c r="S969" s="46" t="n">
        <f aca="false">O969/(1-(1+O969)^-P969)</f>
        <v>0.0871845569768514</v>
      </c>
      <c r="T969" s="37" t="n">
        <f aca="false">0*Sector_Params!$I$10</f>
        <v>0</v>
      </c>
      <c r="U969" s="37" t="n">
        <f aca="false">0*Sector_Params!$J$10</f>
        <v>0</v>
      </c>
      <c r="V969" s="37" t="n">
        <f aca="false">1000*p_r_wb/(1-(1+p_r_wb)^-Sector_Params!$D$10)/p_cpt_fuel</f>
        <v>0.871845569768514</v>
      </c>
      <c r="W969" s="16" t="n">
        <f aca="false">T969*L969</f>
        <v>0</v>
      </c>
      <c r="X969" s="16" t="n">
        <f aca="false">U969*L969</f>
        <v>0</v>
      </c>
      <c r="Y969" s="16" t="n">
        <f aca="false">V969*L969</f>
        <v>0.011556393978425</v>
      </c>
      <c r="Z969" s="16" t="n">
        <f aca="false">Q969*L969</f>
        <v>0.00161040451180331</v>
      </c>
      <c r="AA969" s="16" t="n">
        <f aca="false">R969*L969</f>
        <v>0.00211765312413238</v>
      </c>
      <c r="AB969" s="16" t="n">
        <f aca="false">S969*L969</f>
        <v>0.0011556393978425</v>
      </c>
      <c r="AC969" s="16" t="n">
        <f aca="false">Z969-W969</f>
        <v>0.00161040451180331</v>
      </c>
      <c r="AD969" s="16" t="n">
        <f aca="false">AA969-W969</f>
        <v>0.00211765312413238</v>
      </c>
      <c r="AE969" s="16" t="n">
        <f aca="false">AB969-W969</f>
        <v>0.0011556393978425</v>
      </c>
      <c r="AF969" s="16" t="n">
        <f aca="false">AE969-X969</f>
        <v>0.0011556393978425</v>
      </c>
      <c r="AG969" s="16" t="n">
        <f aca="false">AF969-p_spc_lo*Y969/1000</f>
        <v>0.000577819698921251</v>
      </c>
      <c r="AH969" s="16" t="n">
        <f aca="false">AF969-p_spc_hi*Y969/1000</f>
        <v>0</v>
      </c>
      <c r="AI969" s="16" t="n">
        <f aca="false">Q969*J969</f>
        <v>0.00671001879918044</v>
      </c>
      <c r="AJ969" s="16" t="n">
        <f aca="false">S969*J969</f>
        <v>0.00481516415767709</v>
      </c>
      <c r="AK969" s="16" t="n">
        <f aca="false">T969*J969</f>
        <v>0</v>
      </c>
      <c r="AL969" s="16" t="n">
        <f aca="false">U969*J969</f>
        <v>0</v>
      </c>
      <c r="AM969" s="16" t="n">
        <f aca="false">AI969-AJ969</f>
        <v>0.00189485464150335</v>
      </c>
      <c r="AN969" s="16" t="n">
        <f aca="false">J969*Country_Data!$EB$142</f>
        <v>0.0673886180439583</v>
      </c>
      <c r="AO969" s="16" t="n">
        <f aca="false">L969*Country_Data!$EB$142</f>
        <v>0.01617326833055</v>
      </c>
    </row>
    <row r="970" customFormat="false" ht="15" hidden="false" customHeight="false" outlineLevel="0" collapsed="false">
      <c r="A970" s="14" t="str">
        <f aca="false">Country_Data!$A$142</f>
        <v>PSE</v>
      </c>
      <c r="B970" s="14" t="str">
        <f aca="false">Country_Data!$E$142</f>
        <v>EMDC</v>
      </c>
      <c r="C970" s="35" t="s">
        <v>488</v>
      </c>
      <c r="D970" s="37" t="str">
        <f aca="false">IF(Country_Data!$CE$142="","",Country_Data!$CE$142)</f>
        <v/>
      </c>
      <c r="E970" s="40" t="n">
        <f aca="false">Country_Data!$BW$142</f>
        <v>25.233</v>
      </c>
      <c r="F970" s="41" t="n">
        <f aca="false">Country_Data!$BX$142</f>
        <v>0.634763999524432</v>
      </c>
      <c r="G970" s="42" t="str">
        <f aca="false">IF(D970="","",D970/SUMIFS($D$5:$D$1369,$B$5:$B$1369,B970,$C$5:$C$1369,C970))</f>
        <v/>
      </c>
      <c r="H970" s="42" t="n">
        <f aca="false">E970/SUMIFS($E$5:$E$1369,$B$5:$B$1369,B970,$C$5:$C$1369,C970)</f>
        <v>0.000312553069177496</v>
      </c>
      <c r="I970" s="43" t="n">
        <f aca="false">IF(G970="",H970,p_beta_alloc*G970+(1-p_beta_alloc)*H970)*F970^p_phi</f>
        <v>0.000249017524721388</v>
      </c>
      <c r="J970" s="16" t="n">
        <f aca="false">INDEX(Sector_Params!$C$22:$E$22,MATCH(B970,Sector_Params!$C$15:$E$15,0))*I970/SUMIFS($I$5:$I$1369,$B$5:$B$1369,B970,$C$5:$C$1369,C970)</f>
        <v>0.150109852715559</v>
      </c>
      <c r="K970" s="28" t="n">
        <f aca="false">INDEX(Sector_Params!$F$11:$H$11,MATCH(B970,Sector_Params!$C$15:$E$15,0))</f>
        <v>0.24</v>
      </c>
      <c r="L970" s="16" t="n">
        <f aca="false">J970*K970</f>
        <v>0.0360263646517342</v>
      </c>
      <c r="M970" s="44" t="n">
        <f aca="false">Country_Data!$DW$142+Sector_Params!$E$11</f>
        <v>0.105</v>
      </c>
      <c r="N970" s="44" t="n">
        <f aca="false">Country_Data!$DX$142+Sector_Params!$E$11</f>
        <v>0.15</v>
      </c>
      <c r="O970" s="11" t="n">
        <f aca="false">IF(p_use_ibrd=1,p_r_ibrd,p_r_wb)</f>
        <v>0.06</v>
      </c>
      <c r="P970" s="45" t="n">
        <f aca="false">Sector_Params!$D$11</f>
        <v>30</v>
      </c>
      <c r="Q970" s="46" t="n">
        <f aca="false">M970/(1-(1+M970)^-P970)</f>
        <v>0.110528481529605</v>
      </c>
      <c r="R970" s="46" t="n">
        <f aca="false">N970/(1-(1+N970)^-P970)</f>
        <v>0.152300198192734</v>
      </c>
      <c r="S970" s="46" t="n">
        <f aca="false">O970/(1-(1+O970)^-P970)</f>
        <v>0.0726489114900472</v>
      </c>
      <c r="T970" s="37" t="n">
        <f aca="false">0*Sector_Params!$I$11</f>
        <v>0</v>
      </c>
      <c r="U970" s="37" t="n">
        <f aca="false">p_c*Sector_Params!$J$11</f>
        <v>0.129</v>
      </c>
      <c r="V970" s="37" t="n">
        <f aca="false">1000*p_r_wb/(1-(1+p_r_wb)^-Sector_Params!$D$11)/p_cpt_afolu</f>
        <v>1.45297822980094</v>
      </c>
      <c r="W970" s="16" t="n">
        <f aca="false">T970*L970</f>
        <v>0</v>
      </c>
      <c r="X970" s="16" t="n">
        <f aca="false">U970*L970</f>
        <v>0.00464740104007371</v>
      </c>
      <c r="Y970" s="16" t="n">
        <f aca="false">V970*L970</f>
        <v>0.0523455235378401</v>
      </c>
      <c r="Z970" s="16" t="n">
        <f aca="false">Q970*L970</f>
        <v>0.00398193937998802</v>
      </c>
      <c r="AA970" s="16" t="n">
        <f aca="false">R970*L970</f>
        <v>0.00548682247662284</v>
      </c>
      <c r="AB970" s="16" t="n">
        <f aca="false">S970*L970</f>
        <v>0.002617276176892</v>
      </c>
      <c r="AC970" s="16" t="n">
        <f aca="false">Z970-W970</f>
        <v>0.00398193937998802</v>
      </c>
      <c r="AD970" s="16" t="n">
        <f aca="false">AA970-W970</f>
        <v>0.00548682247662284</v>
      </c>
      <c r="AE970" s="16" t="n">
        <f aca="false">AB970-W970</f>
        <v>0.002617276176892</v>
      </c>
      <c r="AF970" s="16" t="n">
        <f aca="false">AE970-X970</f>
        <v>-0.00203012486318171</v>
      </c>
      <c r="AG970" s="16" t="n">
        <f aca="false">AF970-p_spc_lo*Y970/1000</f>
        <v>-0.00464740104007371</v>
      </c>
      <c r="AH970" s="16" t="n">
        <f aca="false">AF970-p_spc_hi*Y970/1000</f>
        <v>-0.00726467721696571</v>
      </c>
      <c r="AI970" s="16" t="n">
        <f aca="false">Q970*J970</f>
        <v>0.0165914140832834</v>
      </c>
      <c r="AJ970" s="16" t="n">
        <f aca="false">S970*J970</f>
        <v>0.0109053174037167</v>
      </c>
      <c r="AK970" s="16" t="n">
        <f aca="false">T970*J970</f>
        <v>0</v>
      </c>
      <c r="AL970" s="16" t="n">
        <f aca="false">U970*J970</f>
        <v>0.0193641710003071</v>
      </c>
      <c r="AM970" s="16" t="n">
        <f aca="false">AI970-AJ970</f>
        <v>0.00568609667956675</v>
      </c>
      <c r="AN970" s="16" t="n">
        <f aca="false">J970*Country_Data!$EB$142</f>
        <v>0.183157293158364</v>
      </c>
      <c r="AO970" s="16" t="n">
        <f aca="false">L970*Country_Data!$EB$142</f>
        <v>0.0439577503580075</v>
      </c>
    </row>
    <row r="971" customFormat="false" ht="15" hidden="false" customHeight="false" outlineLevel="0" collapsed="false">
      <c r="A971" s="14" t="str">
        <f aca="false">Country_Data!$A$143</f>
        <v>BHS</v>
      </c>
      <c r="B971" s="14" t="str">
        <f aca="false">Country_Data!$E$143</f>
        <v>EMDC</v>
      </c>
      <c r="C971" s="35" t="s">
        <v>466</v>
      </c>
      <c r="D971" s="37" t="n">
        <f aca="false">IF(Country_Data!$BZ$143="","",Country_Data!$BZ$143)</f>
        <v>1.60735858179369</v>
      </c>
      <c r="E971" s="40" t="n">
        <f aca="false">Country_Data!$BW$143</f>
        <v>16.556</v>
      </c>
      <c r="F971" s="41" t="n">
        <f aca="false">Country_Data!$BX$143</f>
        <v>0.956330031408553</v>
      </c>
      <c r="G971" s="42" t="n">
        <f aca="false">IF(D971="","",D971/SUMIFS($D$5:$D$1369,$B$5:$B$1369,B971,$C$5:$C$1369,C971))</f>
        <v>0.000183499488097923</v>
      </c>
      <c r="H971" s="42" t="n">
        <f aca="false">E971/SUMIFS($E$5:$E$1369,$B$5:$B$1369,B971,$C$5:$C$1369,C971)</f>
        <v>0.000205073856192392</v>
      </c>
      <c r="I971" s="43" t="n">
        <f aca="false">IF(G971="",H971,p_beta_alloc*G971+(1-p_beta_alloc)*H971)*F971^p_phi</f>
        <v>0.000189997071263288</v>
      </c>
      <c r="J971" s="16" t="n">
        <f aca="false">INDEX(Sector_Params!$C$16:$E$16,MATCH(B971,Sector_Params!$C$15:$E$15,0))*I971/SUMIFS($I$5:$I$1369,$B$5:$B$1369,B971,$C$5:$C$1369,C971)</f>
        <v>0.183769984166902</v>
      </c>
      <c r="K971" s="28" t="n">
        <f aca="false">INDEX(Sector_Params!$F$5:$H$5,MATCH(B971,Sector_Params!$C$15:$E$15,0))</f>
        <v>0.24</v>
      </c>
      <c r="L971" s="16" t="n">
        <f aca="false">J971*K971</f>
        <v>0.0441047962000564</v>
      </c>
      <c r="M971" s="44" t="n">
        <f aca="false">Country_Data!$DW$143+Sector_Params!$E$5</f>
        <v>0.105</v>
      </c>
      <c r="N971" s="44" t="n">
        <f aca="false">Country_Data!$DX$143+Sector_Params!$E$5</f>
        <v>0.15</v>
      </c>
      <c r="O971" s="11" t="n">
        <f aca="false">IF(p_use_ibrd=1,p_r_ibrd,p_r_wb)</f>
        <v>0.06</v>
      </c>
      <c r="P971" s="45" t="n">
        <f aca="false">Sector_Params!$D$5</f>
        <v>25</v>
      </c>
      <c r="Q971" s="46" t="n">
        <f aca="false">M971/(1-(1+M971)^-P971)</f>
        <v>0.114429319813103</v>
      </c>
      <c r="R971" s="46" t="n">
        <f aca="false">N971/(1-(1+N971)^-P971)</f>
        <v>0.154699402320206</v>
      </c>
      <c r="S971" s="46" t="n">
        <f aca="false">O971/(1-(1+O971)^-P971)</f>
        <v>0.078226718212274</v>
      </c>
      <c r="T971" s="37" t="n">
        <f aca="false">IF(AND(p_eng=1,ISNUMBER(Country_Data!$CZ$143)),Country_Data!$CZ$143,Country_Data!$CM$143)*Sector_Params!$I$5</f>
        <v>0.307292313783028</v>
      </c>
      <c r="U971" s="37" t="n">
        <f aca="false">IF(AND(p_eng=1,ISNUMBER(Country_Data!$DA$143)),Country_Data!$DA$143,Country_Data!$CN$143)*Sector_Params!$J$5</f>
        <v>0.0358602937845143</v>
      </c>
      <c r="V971" s="37" t="n">
        <f aca="false">IF(AND(p_eng=1,ISNUMBER(Country_Data!$DB$143)),Country_Data!$DB$143,p_a)</f>
        <v>1.8536327091833</v>
      </c>
      <c r="W971" s="16" t="n">
        <f aca="false">T971*L971</f>
        <v>0.0135530648732442</v>
      </c>
      <c r="X971" s="16" t="n">
        <f aca="false">U971*L971</f>
        <v>0.00158161094904015</v>
      </c>
      <c r="Y971" s="16" t="n">
        <f aca="false">V971*L971</f>
        <v>0.081754092868288</v>
      </c>
      <c r="Z971" s="16" t="n">
        <f aca="false">Q971*L971</f>
        <v>0.005046881829668</v>
      </c>
      <c r="AA971" s="16" t="n">
        <f aca="false">R971*L971</f>
        <v>0.00682298561160324</v>
      </c>
      <c r="AB971" s="16" t="n">
        <f aca="false">S971*L971</f>
        <v>0.00345017346415158</v>
      </c>
      <c r="AC971" s="16" t="n">
        <f aca="false">Z971-W971</f>
        <v>-0.00850618304357625</v>
      </c>
      <c r="AD971" s="16" t="n">
        <f aca="false">AA971-W971</f>
        <v>-0.006730079261641</v>
      </c>
      <c r="AE971" s="16" t="n">
        <f aca="false">AB971-W971</f>
        <v>-0.0101028914090927</v>
      </c>
      <c r="AF971" s="16" t="n">
        <f aca="false">AE971-X971</f>
        <v>-0.0116845023581328</v>
      </c>
      <c r="AG971" s="16" t="n">
        <f aca="false">AF971-p_spc_lo*Y971/1000</f>
        <v>-0.0157722070015472</v>
      </c>
      <c r="AH971" s="16" t="n">
        <f aca="false">AF971-p_spc_hi*Y971/1000</f>
        <v>-0.0198599116449616</v>
      </c>
      <c r="AI971" s="16" t="n">
        <f aca="false">Q971*J971</f>
        <v>0.0210286742902833</v>
      </c>
      <c r="AJ971" s="16" t="n">
        <f aca="false">S971*J971</f>
        <v>0.0143757227672983</v>
      </c>
      <c r="AK971" s="16" t="n">
        <f aca="false">T971*J971</f>
        <v>0.0564711036385177</v>
      </c>
      <c r="AL971" s="16" t="n">
        <f aca="false">U971*J971</f>
        <v>0.00659004562100063</v>
      </c>
      <c r="AM971" s="16" t="n">
        <f aca="false">AI971-AJ971</f>
        <v>0.00665295152298507</v>
      </c>
      <c r="AN971" s="16" t="n">
        <f aca="false">J971*Country_Data!$EB$143</f>
        <v>0.21095787223543</v>
      </c>
      <c r="AO971" s="16" t="n">
        <f aca="false">L971*Country_Data!$EB$143</f>
        <v>0.0506298893365031</v>
      </c>
    </row>
    <row r="972" customFormat="false" ht="15" hidden="false" customHeight="false" outlineLevel="0" collapsed="false">
      <c r="A972" s="14" t="str">
        <f aca="false">Country_Data!$A$143</f>
        <v>BHS</v>
      </c>
      <c r="B972" s="14" t="str">
        <f aca="false">Country_Data!$E$143</f>
        <v>EMDC</v>
      </c>
      <c r="C972" s="35" t="s">
        <v>470</v>
      </c>
      <c r="D972" s="37" t="n">
        <f aca="false">IF(Country_Data!$BZ$143="","",Country_Data!$BZ$143)</f>
        <v>1.60735858179369</v>
      </c>
      <c r="E972" s="40" t="n">
        <f aca="false">Country_Data!$BW$143</f>
        <v>16.556</v>
      </c>
      <c r="F972" s="41" t="n">
        <f aca="false">Country_Data!$BX$143</f>
        <v>0.956330031408553</v>
      </c>
      <c r="G972" s="42" t="n">
        <f aca="false">IF(D972="","",D972/SUMIFS($D$5:$D$1369,$B$5:$B$1369,B972,$C$5:$C$1369,C972))</f>
        <v>0.000183499488097923</v>
      </c>
      <c r="H972" s="42" t="n">
        <f aca="false">E972/SUMIFS($E$5:$E$1369,$B$5:$B$1369,B972,$C$5:$C$1369,C972)</f>
        <v>0.000205073856192392</v>
      </c>
      <c r="I972" s="43" t="n">
        <f aca="false">IF(G972="",H972,p_beta_alloc*G972+(1-p_beta_alloc)*H972)*F972^p_phi</f>
        <v>0.000189997071263288</v>
      </c>
      <c r="J972" s="16" t="n">
        <f aca="false">INDEX(Sector_Params!$C$17:$E$17,MATCH(B972,Sector_Params!$C$15:$E$15,0))*I972/SUMIFS($I$5:$I$1369,$B$5:$B$1369,B972,$C$5:$C$1369,C972)</f>
        <v>0.126013703428733</v>
      </c>
      <c r="K972" s="28" t="n">
        <f aca="false">INDEX(Sector_Params!$F$6:$H$6,MATCH(B972,Sector_Params!$C$15:$E$15,0))</f>
        <v>0.24</v>
      </c>
      <c r="L972" s="16" t="n">
        <f aca="false">J972*K972</f>
        <v>0.0302432888228958</v>
      </c>
      <c r="M972" s="44" t="n">
        <f aca="false">Country_Data!$DW$143+Sector_Params!$E$6</f>
        <v>0.105</v>
      </c>
      <c r="N972" s="44" t="n">
        <f aca="false">Country_Data!$DX$143+Sector_Params!$E$6</f>
        <v>0.15</v>
      </c>
      <c r="O972" s="11" t="n">
        <f aca="false">IF(p_use_ibrd=1,p_r_ibrd,p_r_wb)</f>
        <v>0.06</v>
      </c>
      <c r="P972" s="45" t="n">
        <f aca="false">Sector_Params!$D$6</f>
        <v>40</v>
      </c>
      <c r="Q972" s="46" t="n">
        <f aca="false">M972/(1-(1+M972)^-P972)</f>
        <v>0.10697140835497</v>
      </c>
      <c r="R972" s="46" t="n">
        <f aca="false">N972/(1-(1+N972)^-P972)</f>
        <v>0.150562085013545</v>
      </c>
      <c r="S972" s="46" t="n">
        <f aca="false">O972/(1-(1+O972)^-P972)</f>
        <v>0.0664615359206755</v>
      </c>
      <c r="T972" s="37" t="n">
        <f aca="false">p_grid_credit*IF(AND(p_eng=1,ISNUMBER(Country_Data!$CZ$143)),Country_Data!$CZ$143,Country_Data!$CM$143)*Sector_Params!$I$6</f>
        <v>0</v>
      </c>
      <c r="U972" s="37" t="n">
        <f aca="false">p_grid_credit*IF(AND(p_eng=1,ISNUMBER(Country_Data!$DA$143)),Country_Data!$DA$143,Country_Data!$CN$143)*Sector_Params!$J$6</f>
        <v>0</v>
      </c>
      <c r="V972" s="37" t="n">
        <f aca="false">p_grid_credit*IF(AND(p_eng=1,ISNUMBER(Country_Data!$DB$143)),Country_Data!$DB$143,p_a)</f>
        <v>0</v>
      </c>
      <c r="W972" s="16" t="n">
        <f aca="false">T972*L972</f>
        <v>0</v>
      </c>
      <c r="X972" s="16" t="n">
        <f aca="false">U972*L972</f>
        <v>0</v>
      </c>
      <c r="Y972" s="16" t="n">
        <f aca="false">V972*L972</f>
        <v>0</v>
      </c>
      <c r="Z972" s="16" t="n">
        <f aca="false">Q972*L972</f>
        <v>0.0032351671986713</v>
      </c>
      <c r="AA972" s="16" t="n">
        <f aca="false">R972*L972</f>
        <v>0.00455349262284204</v>
      </c>
      <c r="AB972" s="16" t="n">
        <f aca="false">S972*L972</f>
        <v>0.00201001542646226</v>
      </c>
      <c r="AC972" s="16" t="n">
        <f aca="false">Z972-W972</f>
        <v>0.0032351671986713</v>
      </c>
      <c r="AD972" s="16" t="n">
        <f aca="false">AA972-W972</f>
        <v>0.00455349262284204</v>
      </c>
      <c r="AE972" s="16" t="n">
        <f aca="false">AB972-W972</f>
        <v>0.00201001542646226</v>
      </c>
      <c r="AF972" s="16" t="n">
        <f aca="false">AE972-X972</f>
        <v>0.00201001542646226</v>
      </c>
      <c r="AG972" s="16" t="n">
        <f aca="false">AF972-p_spc_lo*Y972/1000</f>
        <v>0.00201001542646226</v>
      </c>
      <c r="AH972" s="16" t="n">
        <f aca="false">AF972-p_spc_hi*Y972/1000</f>
        <v>0.00201001542646226</v>
      </c>
      <c r="AI972" s="16" t="n">
        <f aca="false">Q972*J972</f>
        <v>0.0134798633277971</v>
      </c>
      <c r="AJ972" s="16" t="n">
        <f aca="false">S972*J972</f>
        <v>0.00837506427692606</v>
      </c>
      <c r="AK972" s="16" t="n">
        <f aca="false">T972*J972</f>
        <v>0</v>
      </c>
      <c r="AL972" s="16" t="n">
        <f aca="false">U972*J972</f>
        <v>0</v>
      </c>
      <c r="AM972" s="16" t="n">
        <f aca="false">AI972-AJ972</f>
        <v>0.00510479905087102</v>
      </c>
      <c r="AN972" s="16" t="n">
        <f aca="false">J972*Country_Data!$EB$143</f>
        <v>0.144656826675723</v>
      </c>
      <c r="AO972" s="16" t="n">
        <f aca="false">L972*Country_Data!$EB$143</f>
        <v>0.0347176384021736</v>
      </c>
    </row>
    <row r="973" customFormat="false" ht="15" hidden="false" customHeight="false" outlineLevel="0" collapsed="false">
      <c r="A973" s="14" t="str">
        <f aca="false">Country_Data!$A$143</f>
        <v>BHS</v>
      </c>
      <c r="B973" s="14" t="str">
        <f aca="false">Country_Data!$E$143</f>
        <v>EMDC</v>
      </c>
      <c r="C973" s="35" t="s">
        <v>473</v>
      </c>
      <c r="D973" s="37" t="n">
        <f aca="false">IF(Country_Data!$CA$143="","",Country_Data!$CA$143)</f>
        <v>0.0188220299388846</v>
      </c>
      <c r="E973" s="40" t="n">
        <f aca="false">Country_Data!$BW$143</f>
        <v>16.556</v>
      </c>
      <c r="F973" s="41" t="n">
        <f aca="false">Country_Data!$BX$143</f>
        <v>0.956330031408553</v>
      </c>
      <c r="G973" s="42" t="n">
        <f aca="false">IF(D973="","",D973/SUMIFS($D$5:$D$1369,$B$5:$B$1369,B973,$C$5:$C$1369,C973))</f>
        <v>0.000434832685076525</v>
      </c>
      <c r="H973" s="42" t="n">
        <f aca="false">E973/SUMIFS($E$5:$E$1369,$B$5:$B$1369,B973,$C$5:$C$1369,C973)</f>
        <v>0.000205073856192392</v>
      </c>
      <c r="I973" s="43" t="n">
        <f aca="false">IF(G973="",H973,p_beta_alloc*G973+(1-p_beta_alloc)*H973)*F973^p_phi</f>
        <v>0.000312889112209607</v>
      </c>
      <c r="J973" s="16" t="n">
        <f aca="false">INDEX(Sector_Params!$C$18:$E$18,MATCH(B973,Sector_Params!$C$15:$E$15,0))*I973/SUMIFS($I$5:$I$1369,$B$5:$B$1369,B973,$C$5:$C$1369,C973)</f>
        <v>0.12812068811349</v>
      </c>
      <c r="K973" s="28" t="n">
        <f aca="false">INDEX(Sector_Params!$F$7:$H$7,MATCH(B973,Sector_Params!$C$15:$E$15,0))</f>
        <v>0.24</v>
      </c>
      <c r="L973" s="16" t="n">
        <f aca="false">J973*K973</f>
        <v>0.0307489651472377</v>
      </c>
      <c r="M973" s="44" t="n">
        <f aca="false">Country_Data!$DW$143+Sector_Params!$E$7</f>
        <v>0.105</v>
      </c>
      <c r="N973" s="44" t="n">
        <f aca="false">Country_Data!$DX$143+Sector_Params!$E$7</f>
        <v>0.15</v>
      </c>
      <c r="O973" s="11" t="n">
        <f aca="false">IF(p_use_ibrd=1,p_r_ibrd,p_r_wb)</f>
        <v>0.06</v>
      </c>
      <c r="P973" s="45" t="n">
        <f aca="false">Sector_Params!$D$7</f>
        <v>12</v>
      </c>
      <c r="Q973" s="46" t="n">
        <f aca="false">M973/(1-(1+M973)^-P973)</f>
        <v>0.150376745634766</v>
      </c>
      <c r="R973" s="46" t="n">
        <f aca="false">N973/(1-(1+N973)^-P973)</f>
        <v>0.18448077613084</v>
      </c>
      <c r="S973" s="46" t="n">
        <f aca="false">O973/(1-(1+O973)^-P973)</f>
        <v>0.119277029380664</v>
      </c>
      <c r="T973" s="37" t="n">
        <f aca="false">IF(AND(p_eng=1,ISNUMBER(Country_Data!$DE$143)),Country_Data!$DE$143,Country_Data!$CM$143)*Sector_Params!$I$7</f>
        <v>0.079750575</v>
      </c>
      <c r="U973" s="37" t="n">
        <f aca="false">IF(AND(p_eng=1,ISNUMBER(Country_Data!$DF$143)),Country_Data!$DF$143,Country_Data!$CN$143)*Sector_Params!$J$7</f>
        <v>0.0068004</v>
      </c>
      <c r="V973" s="37" t="n">
        <f aca="false">IF(AND(p_eng=1,ISNUMBER(Country_Data!$DG$143)),Country_Data!$DG$143,p_a)</f>
        <v>0.09830646</v>
      </c>
      <c r="W973" s="16" t="n">
        <f aca="false">T973*L973</f>
        <v>0.00245224765114717</v>
      </c>
      <c r="X973" s="16" t="n">
        <f aca="false">U973*L973</f>
        <v>0.000209105262587275</v>
      </c>
      <c r="Y973" s="16" t="n">
        <f aca="false">V973*L973</f>
        <v>0.00302282191228831</v>
      </c>
      <c r="Z973" s="16" t="n">
        <f aca="false">Q973*L973</f>
        <v>0.00462392931047844</v>
      </c>
      <c r="AA973" s="16" t="n">
        <f aca="false">R973*L973</f>
        <v>0.00567259295558254</v>
      </c>
      <c r="AB973" s="16" t="n">
        <f aca="false">S973*L973</f>
        <v>0.00366764521929207</v>
      </c>
      <c r="AC973" s="16" t="n">
        <f aca="false">Z973-W973</f>
        <v>0.00217168165933127</v>
      </c>
      <c r="AD973" s="16" t="n">
        <f aca="false">AA973-W973</f>
        <v>0.00322034530443538</v>
      </c>
      <c r="AE973" s="16" t="n">
        <f aca="false">AB973-W973</f>
        <v>0.0012153975681449</v>
      </c>
      <c r="AF973" s="16" t="n">
        <f aca="false">AE973-X973</f>
        <v>0.00100629230555763</v>
      </c>
      <c r="AG973" s="16" t="n">
        <f aca="false">AF973-p_spc_lo*Y973/1000</f>
        <v>0.000855151209943212</v>
      </c>
      <c r="AH973" s="16" t="n">
        <f aca="false">AF973-p_spc_hi*Y973/1000</f>
        <v>0.000704010114328796</v>
      </c>
      <c r="AI973" s="16" t="n">
        <f aca="false">Q973*J973</f>
        <v>0.0192663721269935</v>
      </c>
      <c r="AJ973" s="16" t="n">
        <f aca="false">S973*J973</f>
        <v>0.0152818550803836</v>
      </c>
      <c r="AK973" s="16" t="n">
        <f aca="false">T973*J973</f>
        <v>0.0102176985464465</v>
      </c>
      <c r="AL973" s="16" t="n">
        <f aca="false">U973*J973</f>
        <v>0.00087127192744698</v>
      </c>
      <c r="AM973" s="16" t="n">
        <f aca="false">AI973-AJ973</f>
        <v>0.00398451704660987</v>
      </c>
      <c r="AN973" s="16" t="n">
        <f aca="false">J973*Country_Data!$EB$143</f>
        <v>0.147075529642609</v>
      </c>
      <c r="AO973" s="16" t="n">
        <f aca="false">L973*Country_Data!$EB$143</f>
        <v>0.0352981271142263</v>
      </c>
    </row>
    <row r="974" customFormat="false" ht="15" hidden="false" customHeight="false" outlineLevel="0" collapsed="false">
      <c r="A974" s="14" t="str">
        <f aca="false">Country_Data!$A$143</f>
        <v>BHS</v>
      </c>
      <c r="B974" s="14" t="str">
        <f aca="false">Country_Data!$E$143</f>
        <v>EMDC</v>
      </c>
      <c r="C974" s="35" t="s">
        <v>477</v>
      </c>
      <c r="D974" s="37" t="n">
        <f aca="false">IF(Country_Data!$CB$143="","",Country_Data!$CB$143)</f>
        <v>0.00388929959271365</v>
      </c>
      <c r="E974" s="40" t="n">
        <f aca="false">Country_Data!$BW$143</f>
        <v>16.556</v>
      </c>
      <c r="F974" s="41" t="n">
        <f aca="false">Country_Data!$BX$143</f>
        <v>0.956330031408553</v>
      </c>
      <c r="G974" s="42" t="n">
        <f aca="false">IF(D974="","",D974/SUMIFS($D$5:$D$1369,$B$5:$B$1369,B974,$C$5:$C$1369,C974))</f>
        <v>0.000122641459076752</v>
      </c>
      <c r="H974" s="42" t="n">
        <f aca="false">E974/SUMIFS($E$5:$E$1369,$B$5:$B$1369,B974,$C$5:$C$1369,C974)</f>
        <v>0.000205073856192392</v>
      </c>
      <c r="I974" s="43" t="n">
        <f aca="false">IF(G974="",H974,p_beta_alloc*G974+(1-p_beta_alloc)*H974)*F974^p_phi</f>
        <v>0.000160239890420127</v>
      </c>
      <c r="J974" s="16" t="n">
        <f aca="false">INDEX(Sector_Params!$C$19:$E$19,MATCH(B974,Sector_Params!$C$15:$E$15,0))*I974/SUMIFS($I$5:$I$1369,$B$5:$B$1369,B974,$C$5:$C$1369,C974)</f>
        <v>0.0515752271975814</v>
      </c>
      <c r="K974" s="28" t="n">
        <f aca="false">INDEX(Sector_Params!$F$8:$H$8,MATCH(B974,Sector_Params!$C$15:$E$15,0))</f>
        <v>0.24</v>
      </c>
      <c r="L974" s="16" t="n">
        <f aca="false">J974*K974</f>
        <v>0.0123780545274195</v>
      </c>
      <c r="M974" s="44" t="n">
        <f aca="false">Country_Data!$DW$143+Sector_Params!$E$8</f>
        <v>0.105</v>
      </c>
      <c r="N974" s="44" t="n">
        <f aca="false">Country_Data!$DX$143+Sector_Params!$E$8</f>
        <v>0.15</v>
      </c>
      <c r="O974" s="11" t="n">
        <f aca="false">IF(p_use_ibrd=1,p_r_ibrd,p_r_wb)</f>
        <v>0.06</v>
      </c>
      <c r="P974" s="45" t="n">
        <f aca="false">Sector_Params!$D$8</f>
        <v>25</v>
      </c>
      <c r="Q974" s="46" t="n">
        <f aca="false">M974/(1-(1+M974)^-P974)</f>
        <v>0.114429319813103</v>
      </c>
      <c r="R974" s="46" t="n">
        <f aca="false">N974/(1-(1+N974)^-P974)</f>
        <v>0.154699402320206</v>
      </c>
      <c r="S974" s="46" t="n">
        <f aca="false">O974/(1-(1+O974)^-P974)</f>
        <v>0.078226718212274</v>
      </c>
      <c r="T974" s="37" t="n">
        <f aca="false">Country_Data!$CM$143*Sector_Params!$I$8</f>
        <v>0.391109716140312</v>
      </c>
      <c r="U974" s="37" t="n">
        <f aca="false">Country_Data!$CN$143*Sector_Params!$J$8</f>
        <v>0.0534680705919128</v>
      </c>
      <c r="V974" s="37" t="n">
        <f aca="false">p_a</f>
        <v>0.35</v>
      </c>
      <c r="W974" s="16" t="n">
        <f aca="false">T974*L974</f>
        <v>0.00484117739258837</v>
      </c>
      <c r="X974" s="16" t="n">
        <f aca="false">U974*L974</f>
        <v>0.000661830693262614</v>
      </c>
      <c r="Y974" s="16" t="n">
        <f aca="false">V974*L974</f>
        <v>0.00433231908459684</v>
      </c>
      <c r="Z974" s="16" t="n">
        <f aca="false">Q974*L974</f>
        <v>0.00141641236018212</v>
      </c>
      <c r="AA974" s="16" t="n">
        <f aca="false">R974*L974</f>
        <v>0.00191487763727873</v>
      </c>
      <c r="AB974" s="16" t="n">
        <f aca="false">S974*L974</f>
        <v>0.000968294583532611</v>
      </c>
      <c r="AC974" s="16" t="n">
        <f aca="false">Z974-W974</f>
        <v>-0.00342476503240624</v>
      </c>
      <c r="AD974" s="16" t="n">
        <f aca="false">AA974-W974</f>
        <v>-0.00292629975530964</v>
      </c>
      <c r="AE974" s="16" t="n">
        <f aca="false">AB974-W974</f>
        <v>-0.00387288280905576</v>
      </c>
      <c r="AF974" s="16" t="n">
        <f aca="false">AE974-X974</f>
        <v>-0.00453471350231837</v>
      </c>
      <c r="AG974" s="16" t="n">
        <f aca="false">AF974-p_spc_lo*Y974/1000</f>
        <v>-0.00475132945654821</v>
      </c>
      <c r="AH974" s="16" t="n">
        <f aca="false">AF974-p_spc_hi*Y974/1000</f>
        <v>-0.00496794541077805</v>
      </c>
      <c r="AI974" s="16" t="n">
        <f aca="false">Q974*J974</f>
        <v>0.00590171816742551</v>
      </c>
      <c r="AJ974" s="16" t="n">
        <f aca="false">S974*J974</f>
        <v>0.00403456076471921</v>
      </c>
      <c r="AK974" s="16" t="n">
        <f aca="false">T974*J974</f>
        <v>0.0201715724691182</v>
      </c>
      <c r="AL974" s="16" t="n">
        <f aca="false">U974*J974</f>
        <v>0.00275762788859423</v>
      </c>
      <c r="AM974" s="16" t="n">
        <f aca="false">AI974-AJ974</f>
        <v>0.0018671574027063</v>
      </c>
      <c r="AN974" s="16" t="n">
        <f aca="false">J974*Country_Data!$EB$143</f>
        <v>0.0592055347829771</v>
      </c>
      <c r="AO974" s="16" t="n">
        <f aca="false">L974*Country_Data!$EB$143</f>
        <v>0.0142093283479145</v>
      </c>
    </row>
    <row r="975" customFormat="false" ht="15" hidden="false" customHeight="false" outlineLevel="0" collapsed="false">
      <c r="A975" s="14" t="str">
        <f aca="false">Country_Data!$A$143</f>
        <v>BHS</v>
      </c>
      <c r="B975" s="14" t="str">
        <f aca="false">Country_Data!$E$143</f>
        <v>EMDC</v>
      </c>
      <c r="C975" s="35" t="s">
        <v>481</v>
      </c>
      <c r="D975" s="37" t="n">
        <f aca="false">IF(Country_Data!$CC$143="","",Country_Data!$CC$143)</f>
        <v>0.0177516793034801</v>
      </c>
      <c r="E975" s="40" t="n">
        <f aca="false">Country_Data!$BW$143</f>
        <v>16.556</v>
      </c>
      <c r="F975" s="41" t="n">
        <f aca="false">Country_Data!$BX$143</f>
        <v>0.956330031408553</v>
      </c>
      <c r="G975" s="42" t="n">
        <f aca="false">IF(D975="","",D975/SUMIFS($D$5:$D$1369,$B$5:$B$1369,B975,$C$5:$C$1369,C975))</f>
        <v>0.000253569128839228</v>
      </c>
      <c r="H975" s="42" t="n">
        <f aca="false">E975/SUMIFS($E$5:$E$1369,$B$5:$B$1369,B975,$C$5:$C$1369,C975)</f>
        <v>0.000205073856192392</v>
      </c>
      <c r="I975" s="43" t="n">
        <f aca="false">IF(G975="",H975,p_beta_alloc*G975+(1-p_beta_alloc)*H975)*F975^p_phi</f>
        <v>0.000224258367672164</v>
      </c>
      <c r="J975" s="16" t="n">
        <f aca="false">INDEX(Sector_Params!$C$20:$E$20,MATCH(B975,Sector_Params!$C$15:$E$15,0))*I975/SUMIFS($I$5:$I$1369,$B$5:$B$1369,B975,$C$5:$C$1369,C975)</f>
        <v>0.0409316681449852</v>
      </c>
      <c r="K975" s="28" t="n">
        <f aca="false">INDEX(Sector_Params!$F$9:$H$9,MATCH(B975,Sector_Params!$C$15:$E$15,0))</f>
        <v>0.24</v>
      </c>
      <c r="L975" s="16" t="n">
        <f aca="false">J975*K975</f>
        <v>0.00982360035479644</v>
      </c>
      <c r="M975" s="44" t="n">
        <f aca="false">Country_Data!$DW$143+Sector_Params!$E$9</f>
        <v>0.105</v>
      </c>
      <c r="N975" s="44" t="n">
        <f aca="false">Country_Data!$DX$143+Sector_Params!$E$9</f>
        <v>0.15</v>
      </c>
      <c r="O975" s="11" t="n">
        <f aca="false">IF(p_use_ibrd=1,p_r_ibrd,p_r_wb)</f>
        <v>0.06</v>
      </c>
      <c r="P975" s="45" t="n">
        <f aca="false">Sector_Params!$D$9</f>
        <v>25</v>
      </c>
      <c r="Q975" s="46" t="n">
        <f aca="false">M975/(1-(1+M975)^-P975)</f>
        <v>0.114429319813103</v>
      </c>
      <c r="R975" s="46" t="n">
        <f aca="false">N975/(1-(1+N975)^-P975)</f>
        <v>0.154699402320206</v>
      </c>
      <c r="S975" s="46" t="n">
        <f aca="false">O975/(1-(1+O975)^-P975)</f>
        <v>0.078226718212274</v>
      </c>
      <c r="T975" s="37" t="n">
        <f aca="false">Country_Data!$CM$143*Sector_Params!$I$9</f>
        <v>0.391109716140312</v>
      </c>
      <c r="U975" s="37" t="n">
        <f aca="false">Country_Data!$CN$143*Sector_Params!$J$9</f>
        <v>0.0534680705919128</v>
      </c>
      <c r="V975" s="37" t="n">
        <f aca="false">p_a</f>
        <v>0.35</v>
      </c>
      <c r="W975" s="16" t="n">
        <f aca="false">T975*L975</f>
        <v>0.00384210554624031</v>
      </c>
      <c r="X975" s="16" t="n">
        <f aca="false">U975*L975</f>
        <v>0.000525248957236996</v>
      </c>
      <c r="Y975" s="16" t="n">
        <f aca="false">V975*L975</f>
        <v>0.00343826012417876</v>
      </c>
      <c r="Z975" s="16" t="n">
        <f aca="false">Q975*L975</f>
        <v>0.00112410790671512</v>
      </c>
      <c r="AA975" s="16" t="n">
        <f aca="false">R975*L975</f>
        <v>0.00151970510351958</v>
      </c>
      <c r="AB975" s="16" t="n">
        <f aca="false">S975*L975</f>
        <v>0.000768468016784656</v>
      </c>
      <c r="AC975" s="16" t="n">
        <f aca="false">Z975-W975</f>
        <v>-0.00271799763952519</v>
      </c>
      <c r="AD975" s="16" t="n">
        <f aca="false">AA975-W975</f>
        <v>-0.00232240044272073</v>
      </c>
      <c r="AE975" s="16" t="n">
        <f aca="false">AB975-W975</f>
        <v>-0.00307363752945565</v>
      </c>
      <c r="AF975" s="16" t="n">
        <f aca="false">AE975-X975</f>
        <v>-0.00359888648669265</v>
      </c>
      <c r="AG975" s="16" t="n">
        <f aca="false">AF975-p_spc_lo*Y975/1000</f>
        <v>-0.00377079949290159</v>
      </c>
      <c r="AH975" s="16" t="n">
        <f aca="false">AF975-p_spc_hi*Y975/1000</f>
        <v>-0.00394271249911053</v>
      </c>
      <c r="AI975" s="16" t="n">
        <f aca="false">Q975*J975</f>
        <v>0.00468378294464632</v>
      </c>
      <c r="AJ975" s="16" t="n">
        <f aca="false">S975*J975</f>
        <v>0.00320195006993607</v>
      </c>
      <c r="AK975" s="16" t="n">
        <f aca="false">T975*J975</f>
        <v>0.0160087731093346</v>
      </c>
      <c r="AL975" s="16" t="n">
        <f aca="false">U975*J975</f>
        <v>0.00218853732182082</v>
      </c>
      <c r="AM975" s="16" t="n">
        <f aca="false">AI975-AJ975</f>
        <v>0.00148183287471026</v>
      </c>
      <c r="AN975" s="16" t="n">
        <f aca="false">J975*Country_Data!$EB$143</f>
        <v>0.0469873121993118</v>
      </c>
      <c r="AO975" s="16" t="n">
        <f aca="false">L975*Country_Data!$EB$143</f>
        <v>0.0112769549278348</v>
      </c>
    </row>
    <row r="976" customFormat="false" ht="15" hidden="false" customHeight="false" outlineLevel="0" collapsed="false">
      <c r="A976" s="14" t="str">
        <f aca="false">Country_Data!$A$143</f>
        <v>BHS</v>
      </c>
      <c r="B976" s="14" t="str">
        <f aca="false">Country_Data!$E$143</f>
        <v>EMDC</v>
      </c>
      <c r="C976" s="35" t="s">
        <v>484</v>
      </c>
      <c r="D976" s="37" t="n">
        <f aca="false">IF(Country_Data!$CD$143="","",Country_Data!$CD$143)</f>
        <v>0.0346765179406211</v>
      </c>
      <c r="E976" s="40" t="n">
        <f aca="false">Country_Data!$BW$143</f>
        <v>16.556</v>
      </c>
      <c r="F976" s="41" t="n">
        <f aca="false">Country_Data!$BX$143</f>
        <v>0.956330031408553</v>
      </c>
      <c r="G976" s="42" t="n">
        <f aca="false">IF(D976="","",D976/SUMIFS($D$5:$D$1369,$B$5:$B$1369,B976,$C$5:$C$1369,C976))</f>
        <v>0.000193646344182691</v>
      </c>
      <c r="H976" s="42" t="n">
        <f aca="false">E976/SUMIFS($E$5:$E$1369,$B$5:$B$1369,B976,$C$5:$C$1369,C976)</f>
        <v>0.000205073856192392</v>
      </c>
      <c r="I976" s="43" t="n">
        <f aca="false">IF(G976="",H976,p_beta_alloc*G976+(1-p_beta_alloc)*H976)*F976^p_phi</f>
        <v>0.000194958484512457</v>
      </c>
      <c r="J976" s="16" t="n">
        <f aca="false">INDEX(Sector_Params!$C$21:$E$21,MATCH(B976,Sector_Params!$C$15:$E$15,0))*I976/SUMIFS($I$5:$I$1369,$B$5:$B$1369,B976,$C$5:$C$1369,C976)</f>
        <v>0.0432398084074325</v>
      </c>
      <c r="K976" s="28" t="n">
        <f aca="false">INDEX(Sector_Params!$F$10:$H$10,MATCH(B976,Sector_Params!$C$15:$E$15,0))</f>
        <v>0.24</v>
      </c>
      <c r="L976" s="16" t="n">
        <f aca="false">J976*K976</f>
        <v>0.0103775540177838</v>
      </c>
      <c r="M976" s="44" t="n">
        <f aca="false">Country_Data!$DW$143+Sector_Params!$E$10</f>
        <v>0.105</v>
      </c>
      <c r="N976" s="44" t="n">
        <f aca="false">Country_Data!$DX$143+Sector_Params!$E$10</f>
        <v>0.15</v>
      </c>
      <c r="O976" s="11" t="n">
        <f aca="false">IF(p_use_ibrd=1,p_r_ibrd,p_r_wb)</f>
        <v>0.06</v>
      </c>
      <c r="P976" s="45" t="n">
        <f aca="false">Sector_Params!$D$10</f>
        <v>20</v>
      </c>
      <c r="Q976" s="46" t="n">
        <f aca="false">M976/(1-(1+M976)^-P976)</f>
        <v>0.121493265267016</v>
      </c>
      <c r="R976" s="46" t="n">
        <f aca="false">N976/(1-(1+N976)^-P976)</f>
        <v>0.159761470405744</v>
      </c>
      <c r="S976" s="46" t="n">
        <f aca="false">O976/(1-(1+O976)^-P976)</f>
        <v>0.0871845569768514</v>
      </c>
      <c r="T976" s="37" t="n">
        <f aca="false">0*Sector_Params!$I$10</f>
        <v>0</v>
      </c>
      <c r="U976" s="37" t="n">
        <f aca="false">0*Sector_Params!$J$10</f>
        <v>0</v>
      </c>
      <c r="V976" s="37" t="n">
        <f aca="false">1000*p_r_wb/(1-(1+p_r_wb)^-Sector_Params!$D$10)/p_cpt_fuel</f>
        <v>0.871845569768514</v>
      </c>
      <c r="W976" s="16" t="n">
        <f aca="false">T976*L976</f>
        <v>0</v>
      </c>
      <c r="X976" s="16" t="n">
        <f aca="false">U976*L976</f>
        <v>0</v>
      </c>
      <c r="Y976" s="16" t="n">
        <f aca="false">V976*L976</f>
        <v>0.00904762449543825</v>
      </c>
      <c r="Z976" s="16" t="n">
        <f aca="false">Q976*L976</f>
        <v>0.0012608029231054</v>
      </c>
      <c r="AA976" s="16" t="n">
        <f aca="false">R976*L976</f>
        <v>0.00165793328909618</v>
      </c>
      <c r="AB976" s="16" t="n">
        <f aca="false">S976*L976</f>
        <v>0.000904762449543825</v>
      </c>
      <c r="AC976" s="16" t="n">
        <f aca="false">Z976-W976</f>
        <v>0.0012608029231054</v>
      </c>
      <c r="AD976" s="16" t="n">
        <f aca="false">AA976-W976</f>
        <v>0.00165793328909618</v>
      </c>
      <c r="AE976" s="16" t="n">
        <f aca="false">AB976-W976</f>
        <v>0.000904762449543825</v>
      </c>
      <c r="AF976" s="16" t="n">
        <f aca="false">AE976-X976</f>
        <v>0.000904762449543825</v>
      </c>
      <c r="AG976" s="16" t="n">
        <f aca="false">AF976-p_spc_lo*Y976/1000</f>
        <v>0.000452381224771913</v>
      </c>
      <c r="AH976" s="16" t="n">
        <f aca="false">AF976-p_spc_hi*Y976/1000</f>
        <v>0</v>
      </c>
      <c r="AI976" s="16" t="n">
        <f aca="false">Q976*J976</f>
        <v>0.00525334551293916</v>
      </c>
      <c r="AJ976" s="16" t="n">
        <f aca="false">S976*J976</f>
        <v>0.00376984353976594</v>
      </c>
      <c r="AK976" s="16" t="n">
        <f aca="false">T976*J976</f>
        <v>0</v>
      </c>
      <c r="AL976" s="16" t="n">
        <f aca="false">U976*J976</f>
        <v>0</v>
      </c>
      <c r="AM976" s="16" t="n">
        <f aca="false">AI976-AJ976</f>
        <v>0.00148350197317322</v>
      </c>
      <c r="AN976" s="16" t="n">
        <f aca="false">J976*Country_Data!$EB$143</f>
        <v>0.0496369307471623</v>
      </c>
      <c r="AO976" s="16" t="n">
        <f aca="false">L976*Country_Data!$EB$143</f>
        <v>0.0119128633793189</v>
      </c>
    </row>
    <row r="977" customFormat="false" ht="15" hidden="false" customHeight="false" outlineLevel="0" collapsed="false">
      <c r="A977" s="14" t="str">
        <f aca="false">Country_Data!$A$143</f>
        <v>BHS</v>
      </c>
      <c r="B977" s="14" t="str">
        <f aca="false">Country_Data!$E$143</f>
        <v>EMDC</v>
      </c>
      <c r="C977" s="35" t="s">
        <v>488</v>
      </c>
      <c r="D977" s="37" t="n">
        <f aca="false">IF(Country_Data!$CE$143="","",Country_Data!$CE$143)</f>
        <v>0.483</v>
      </c>
      <c r="E977" s="40" t="n">
        <f aca="false">Country_Data!$BW$143</f>
        <v>16.556</v>
      </c>
      <c r="F977" s="41" t="n">
        <f aca="false">Country_Data!$BX$143</f>
        <v>0.956330031408553</v>
      </c>
      <c r="G977" s="42" t="n">
        <f aca="false">IF(D977="","",D977/SUMIFS($D$5:$D$1369,$B$5:$B$1369,B977,$C$5:$C$1369,C977))</f>
        <v>3.95768310839545E-005</v>
      </c>
      <c r="H977" s="42" t="n">
        <f aca="false">E977/SUMIFS($E$5:$E$1369,$B$5:$B$1369,B977,$C$5:$C$1369,C977)</f>
        <v>0.000205073856192392</v>
      </c>
      <c r="I977" s="43" t="n">
        <f aca="false">IF(G977="",H977,p_beta_alloc*G977+(1-p_beta_alloc)*H977)*F977^p_phi</f>
        <v>0.000119624556722881</v>
      </c>
      <c r="J977" s="16" t="n">
        <f aca="false">INDEX(Sector_Params!$C$22:$E$22,MATCH(B977,Sector_Params!$C$15:$E$15,0))*I977/SUMIFS($I$5:$I$1369,$B$5:$B$1369,B977,$C$5:$C$1369,C977)</f>
        <v>0.07211068622952</v>
      </c>
      <c r="K977" s="28" t="n">
        <f aca="false">INDEX(Sector_Params!$F$11:$H$11,MATCH(B977,Sector_Params!$C$15:$E$15,0))</f>
        <v>0.24</v>
      </c>
      <c r="L977" s="16" t="n">
        <f aca="false">J977*K977</f>
        <v>0.0173065646950848</v>
      </c>
      <c r="M977" s="44" t="n">
        <f aca="false">Country_Data!$DW$143+Sector_Params!$E$11</f>
        <v>0.105</v>
      </c>
      <c r="N977" s="44" t="n">
        <f aca="false">Country_Data!$DX$143+Sector_Params!$E$11</f>
        <v>0.15</v>
      </c>
      <c r="O977" s="11" t="n">
        <f aca="false">IF(p_use_ibrd=1,p_r_ibrd,p_r_wb)</f>
        <v>0.06</v>
      </c>
      <c r="P977" s="45" t="n">
        <f aca="false">Sector_Params!$D$11</f>
        <v>30</v>
      </c>
      <c r="Q977" s="46" t="n">
        <f aca="false">M977/(1-(1+M977)^-P977)</f>
        <v>0.110528481529605</v>
      </c>
      <c r="R977" s="46" t="n">
        <f aca="false">N977/(1-(1+N977)^-P977)</f>
        <v>0.152300198192734</v>
      </c>
      <c r="S977" s="46" t="n">
        <f aca="false">O977/(1-(1+O977)^-P977)</f>
        <v>0.0726489114900472</v>
      </c>
      <c r="T977" s="37" t="n">
        <f aca="false">0*Sector_Params!$I$11</f>
        <v>0</v>
      </c>
      <c r="U977" s="37" t="n">
        <f aca="false">p_c*Sector_Params!$J$11</f>
        <v>0.129</v>
      </c>
      <c r="V977" s="37" t="n">
        <f aca="false">1000*p_r_wb/(1-(1+p_r_wb)^-Sector_Params!$D$11)/p_cpt_afolu</f>
        <v>1.45297822980094</v>
      </c>
      <c r="W977" s="16" t="n">
        <f aca="false">T977*L977</f>
        <v>0</v>
      </c>
      <c r="X977" s="16" t="n">
        <f aca="false">U977*L977</f>
        <v>0.00223254684566594</v>
      </c>
      <c r="Y977" s="16" t="n">
        <f aca="false">V977*L977</f>
        <v>0.0251460617345998</v>
      </c>
      <c r="Z977" s="16" t="n">
        <f aca="false">Q977*L977</f>
        <v>0.0019128683162416</v>
      </c>
      <c r="AA977" s="16" t="n">
        <f aca="false">R977*L977</f>
        <v>0.00263579323309679</v>
      </c>
      <c r="AB977" s="16" t="n">
        <f aca="false">S977*L977</f>
        <v>0.00125730308672999</v>
      </c>
      <c r="AC977" s="16" t="n">
        <f aca="false">Z977-W977</f>
        <v>0.0019128683162416</v>
      </c>
      <c r="AD977" s="16" t="n">
        <f aca="false">AA977-W977</f>
        <v>0.00263579323309679</v>
      </c>
      <c r="AE977" s="16" t="n">
        <f aca="false">AB977-W977</f>
        <v>0.00125730308672999</v>
      </c>
      <c r="AF977" s="16" t="n">
        <f aca="false">AE977-X977</f>
        <v>-0.000975243758935948</v>
      </c>
      <c r="AG977" s="16" t="n">
        <f aca="false">AF977-p_spc_lo*Y977/1000</f>
        <v>-0.00223254684566594</v>
      </c>
      <c r="AH977" s="16" t="n">
        <f aca="false">AF977-p_spc_hi*Y977/1000</f>
        <v>-0.00348984993239593</v>
      </c>
      <c r="AI977" s="16" t="n">
        <f aca="false">Q977*J977</f>
        <v>0.00797028465100666</v>
      </c>
      <c r="AJ977" s="16" t="n">
        <f aca="false">S977*J977</f>
        <v>0.00523876286137497</v>
      </c>
      <c r="AK977" s="16" t="n">
        <f aca="false">T977*J977</f>
        <v>0</v>
      </c>
      <c r="AL977" s="16" t="n">
        <f aca="false">U977*J977</f>
        <v>0.00930227852360809</v>
      </c>
      <c r="AM977" s="16" t="n">
        <f aca="false">AI977-AJ977</f>
        <v>0.00273152178963169</v>
      </c>
      <c r="AN977" s="16" t="n">
        <f aca="false">J977*Country_Data!$EB$143</f>
        <v>0.0827791165210107</v>
      </c>
      <c r="AO977" s="16" t="n">
        <f aca="false">L977*Country_Data!$EB$143</f>
        <v>0.0198669879650426</v>
      </c>
    </row>
    <row r="978" customFormat="false" ht="15" hidden="false" customHeight="false" outlineLevel="0" collapsed="false">
      <c r="A978" s="14" t="str">
        <f aca="false">Country_Data!$A$144</f>
        <v>LAO</v>
      </c>
      <c r="B978" s="14" t="str">
        <f aca="false">Country_Data!$E$144</f>
        <v>EMDC</v>
      </c>
      <c r="C978" s="35" t="s">
        <v>466</v>
      </c>
      <c r="D978" s="37" t="n">
        <f aca="false">IF(Country_Data!$BZ$144="","",Country_Data!$BZ$144)</f>
        <v>10.5716542112548</v>
      </c>
      <c r="E978" s="40" t="n">
        <f aca="false">Country_Data!$BW$144</f>
        <v>75.027</v>
      </c>
      <c r="F978" s="41" t="n">
        <f aca="false">Country_Data!$BX$144</f>
        <v>0.210484225678756</v>
      </c>
      <c r="G978" s="42" t="n">
        <f aca="false">IF(D978="","",D978/SUMIFS($D$5:$D$1369,$B$5:$B$1369,B978,$C$5:$C$1369,C978))</f>
        <v>0.00120688261977531</v>
      </c>
      <c r="H978" s="42" t="n">
        <f aca="false">E978/SUMIFS($E$5:$E$1369,$B$5:$B$1369,B978,$C$5:$C$1369,C978)</f>
        <v>0.000929335359298537</v>
      </c>
      <c r="I978" s="43" t="n">
        <f aca="false">IF(G978="",H978,p_beta_alloc*G978+(1-p_beta_alloc)*H978)*F978^p_phi</f>
        <v>0.00049003302236289</v>
      </c>
      <c r="J978" s="16" t="n">
        <f aca="false">INDEX(Sector_Params!$C$16:$E$16,MATCH(B978,Sector_Params!$C$15:$E$15,0))*I978/SUMIFS($I$5:$I$1369,$B$5:$B$1369,B978,$C$5:$C$1369,C978)</f>
        <v>0.473972362637612</v>
      </c>
      <c r="K978" s="28" t="n">
        <f aca="false">INDEX(Sector_Params!$F$5:$H$5,MATCH(B978,Sector_Params!$C$15:$E$15,0))</f>
        <v>0.24</v>
      </c>
      <c r="L978" s="16" t="n">
        <f aca="false">J978*K978</f>
        <v>0.113753367033027</v>
      </c>
      <c r="M978" s="44" t="n">
        <f aca="false">Country_Data!$DW$144+Sector_Params!$E$5</f>
        <v>0.105</v>
      </c>
      <c r="N978" s="44" t="n">
        <f aca="false">Country_Data!$DX$144+Sector_Params!$E$5</f>
        <v>0.15</v>
      </c>
      <c r="O978" s="11" t="n">
        <f aca="false">IF(p_use_ibrd=1,p_r_ibrd,p_r_wb)</f>
        <v>0.06</v>
      </c>
      <c r="P978" s="45" t="n">
        <f aca="false">Sector_Params!$D$5</f>
        <v>25</v>
      </c>
      <c r="Q978" s="46" t="n">
        <f aca="false">M978/(1-(1+M978)^-P978)</f>
        <v>0.114429319813103</v>
      </c>
      <c r="R978" s="46" t="n">
        <f aca="false">N978/(1-(1+N978)^-P978)</f>
        <v>0.154699402320206</v>
      </c>
      <c r="S978" s="46" t="n">
        <f aca="false">O978/(1-(1+O978)^-P978)</f>
        <v>0.078226718212274</v>
      </c>
      <c r="T978" s="37" t="n">
        <f aca="false">IF(AND(p_eng=1,ISNUMBER(Country_Data!$CZ$144)),Country_Data!$CZ$144,Country_Data!$CM$144)*Sector_Params!$I$5</f>
        <v>-0.00402067587157533</v>
      </c>
      <c r="U978" s="37" t="n">
        <f aca="false">IF(AND(p_eng=1,ISNUMBER(Country_Data!$DA$144)),Country_Data!$DA$144,Country_Data!$CN$144)*Sector_Params!$J$5</f>
        <v>0.0111164611915866</v>
      </c>
      <c r="V978" s="37" t="n">
        <f aca="false">IF(AND(p_eng=1,ISNUMBER(Country_Data!$DB$144)),Country_Data!$DB$144,p_a)</f>
        <v>0.506902909979978</v>
      </c>
      <c r="W978" s="16" t="n">
        <f aca="false">T978*L978</f>
        <v>-0.000457365418140144</v>
      </c>
      <c r="X978" s="16" t="n">
        <f aca="false">U978*L978</f>
        <v>0.00126453489003495</v>
      </c>
      <c r="Y978" s="16" t="n">
        <f aca="false">V978*L978</f>
        <v>0.0576619127690618</v>
      </c>
      <c r="Z978" s="16" t="n">
        <f aca="false">Q978*L978</f>
        <v>0.0130167204160396</v>
      </c>
      <c r="AA978" s="16" t="n">
        <f aca="false">R978*L978</f>
        <v>0.0175975778919204</v>
      </c>
      <c r="AB978" s="16" t="n">
        <f aca="false">S978*L978</f>
        <v>0.00889855258858997</v>
      </c>
      <c r="AC978" s="16" t="n">
        <f aca="false">Z978-W978</f>
        <v>0.0134740858341797</v>
      </c>
      <c r="AD978" s="16" t="n">
        <f aca="false">AA978-W978</f>
        <v>0.0180549433100605</v>
      </c>
      <c r="AE978" s="16" t="n">
        <f aca="false">AB978-W978</f>
        <v>0.00935591800673012</v>
      </c>
      <c r="AF978" s="16" t="n">
        <f aca="false">AE978-X978</f>
        <v>0.00809138311669517</v>
      </c>
      <c r="AG978" s="16" t="n">
        <f aca="false">AF978-p_spc_lo*Y978/1000</f>
        <v>0.00520828747824208</v>
      </c>
      <c r="AH978" s="16" t="n">
        <f aca="false">AF978-p_spc_hi*Y978/1000</f>
        <v>0.00232519183978899</v>
      </c>
      <c r="AI978" s="16" t="n">
        <f aca="false">Q978*J978</f>
        <v>0.0542363350668315</v>
      </c>
      <c r="AJ978" s="16" t="n">
        <f aca="false">S978*J978</f>
        <v>0.0370773024524582</v>
      </c>
      <c r="AK978" s="16" t="n">
        <f aca="false">T978*J978</f>
        <v>-0.0019056892422506</v>
      </c>
      <c r="AL978" s="16" t="n">
        <f aca="false">U978*J978</f>
        <v>0.00526889537514563</v>
      </c>
      <c r="AM978" s="16" t="n">
        <f aca="false">AI978-AJ978</f>
        <v>0.0171590326143733</v>
      </c>
      <c r="AN978" s="16" t="n">
        <f aca="false">J978*Country_Data!$EB$144</f>
        <v>0.600364992674309</v>
      </c>
      <c r="AO978" s="16" t="n">
        <f aca="false">L978*Country_Data!$EB$144</f>
        <v>0.144087598241834</v>
      </c>
    </row>
    <row r="979" customFormat="false" ht="15" hidden="false" customHeight="false" outlineLevel="0" collapsed="false">
      <c r="A979" s="14" t="str">
        <f aca="false">Country_Data!$A$144</f>
        <v>LAO</v>
      </c>
      <c r="B979" s="14" t="str">
        <f aca="false">Country_Data!$E$144</f>
        <v>EMDC</v>
      </c>
      <c r="C979" s="35" t="s">
        <v>470</v>
      </c>
      <c r="D979" s="37" t="n">
        <f aca="false">IF(Country_Data!$BZ$144="","",Country_Data!$BZ$144)</f>
        <v>10.5716542112548</v>
      </c>
      <c r="E979" s="40" t="n">
        <f aca="false">Country_Data!$BW$144</f>
        <v>75.027</v>
      </c>
      <c r="F979" s="41" t="n">
        <f aca="false">Country_Data!$BX$144</f>
        <v>0.210484225678756</v>
      </c>
      <c r="G979" s="42" t="n">
        <f aca="false">IF(D979="","",D979/SUMIFS($D$5:$D$1369,$B$5:$B$1369,B979,$C$5:$C$1369,C979))</f>
        <v>0.00120688261977531</v>
      </c>
      <c r="H979" s="42" t="n">
        <f aca="false">E979/SUMIFS($E$5:$E$1369,$B$5:$B$1369,B979,$C$5:$C$1369,C979)</f>
        <v>0.000929335359298537</v>
      </c>
      <c r="I979" s="43" t="n">
        <f aca="false">IF(G979="",H979,p_beta_alloc*G979+(1-p_beta_alloc)*H979)*F979^p_phi</f>
        <v>0.00049003302236289</v>
      </c>
      <c r="J979" s="16" t="n">
        <f aca="false">INDEX(Sector_Params!$C$17:$E$17,MATCH(B979,Sector_Params!$C$15:$E$15,0))*I979/SUMIFS($I$5:$I$1369,$B$5:$B$1369,B979,$C$5:$C$1369,C979)</f>
        <v>0.325009620094363</v>
      </c>
      <c r="K979" s="28" t="n">
        <f aca="false">INDEX(Sector_Params!$F$6:$H$6,MATCH(B979,Sector_Params!$C$15:$E$15,0))</f>
        <v>0.24</v>
      </c>
      <c r="L979" s="16" t="n">
        <f aca="false">J979*K979</f>
        <v>0.0780023088226471</v>
      </c>
      <c r="M979" s="44" t="n">
        <f aca="false">Country_Data!$DW$144+Sector_Params!$E$6</f>
        <v>0.105</v>
      </c>
      <c r="N979" s="44" t="n">
        <f aca="false">Country_Data!$DX$144+Sector_Params!$E$6</f>
        <v>0.15</v>
      </c>
      <c r="O979" s="11" t="n">
        <f aca="false">IF(p_use_ibrd=1,p_r_ibrd,p_r_wb)</f>
        <v>0.06</v>
      </c>
      <c r="P979" s="45" t="n">
        <f aca="false">Sector_Params!$D$6</f>
        <v>40</v>
      </c>
      <c r="Q979" s="46" t="n">
        <f aca="false">M979/(1-(1+M979)^-P979)</f>
        <v>0.10697140835497</v>
      </c>
      <c r="R979" s="46" t="n">
        <f aca="false">N979/(1-(1+N979)^-P979)</f>
        <v>0.150562085013545</v>
      </c>
      <c r="S979" s="46" t="n">
        <f aca="false">O979/(1-(1+O979)^-P979)</f>
        <v>0.0664615359206755</v>
      </c>
      <c r="T979" s="37" t="n">
        <f aca="false">p_grid_credit*IF(AND(p_eng=1,ISNUMBER(Country_Data!$CZ$144)),Country_Data!$CZ$144,Country_Data!$CM$144)*Sector_Params!$I$6</f>
        <v>-0</v>
      </c>
      <c r="U979" s="37" t="n">
        <f aca="false">p_grid_credit*IF(AND(p_eng=1,ISNUMBER(Country_Data!$DA$144)),Country_Data!$DA$144,Country_Data!$CN$144)*Sector_Params!$J$6</f>
        <v>0</v>
      </c>
      <c r="V979" s="37" t="n">
        <f aca="false">p_grid_credit*IF(AND(p_eng=1,ISNUMBER(Country_Data!$DB$144)),Country_Data!$DB$144,p_a)</f>
        <v>0</v>
      </c>
      <c r="W979" s="16" t="n">
        <f aca="false">T979*L979</f>
        <v>-0</v>
      </c>
      <c r="X979" s="16" t="n">
        <f aca="false">U979*L979</f>
        <v>0</v>
      </c>
      <c r="Y979" s="16" t="n">
        <f aca="false">V979*L979</f>
        <v>0</v>
      </c>
      <c r="Z979" s="16" t="n">
        <f aca="false">Q979*L979</f>
        <v>0.00834401682969789</v>
      </c>
      <c r="AA979" s="16" t="n">
        <f aca="false">R979*L979</f>
        <v>0.0117441902522082</v>
      </c>
      <c r="AB979" s="16" t="n">
        <f aca="false">S979*L979</f>
        <v>0.00518415324971198</v>
      </c>
      <c r="AC979" s="16" t="n">
        <f aca="false">Z979-W979</f>
        <v>0.00834401682969789</v>
      </c>
      <c r="AD979" s="16" t="n">
        <f aca="false">AA979-W979</f>
        <v>0.0117441902522082</v>
      </c>
      <c r="AE979" s="16" t="n">
        <f aca="false">AB979-W979</f>
        <v>0.00518415324971198</v>
      </c>
      <c r="AF979" s="16" t="n">
        <f aca="false">AE979-X979</f>
        <v>0.00518415324971198</v>
      </c>
      <c r="AG979" s="16" t="n">
        <f aca="false">AF979-p_spc_lo*Y979/1000</f>
        <v>0.00518415324971198</v>
      </c>
      <c r="AH979" s="16" t="n">
        <f aca="false">AF979-p_spc_hi*Y979/1000</f>
        <v>0.00518415324971198</v>
      </c>
      <c r="AI979" s="16" t="n">
        <f aca="false">Q979*J979</f>
        <v>0.0347667367904079</v>
      </c>
      <c r="AJ979" s="16" t="n">
        <f aca="false">S979*J979</f>
        <v>0.0216006385404666</v>
      </c>
      <c r="AK979" s="16" t="n">
        <f aca="false">T979*J979</f>
        <v>-0</v>
      </c>
      <c r="AL979" s="16" t="n">
        <f aca="false">U979*J979</f>
        <v>0</v>
      </c>
      <c r="AM979" s="16" t="n">
        <f aca="false">AI979-AJ979</f>
        <v>0.0131660982499413</v>
      </c>
      <c r="AN979" s="16" t="n">
        <f aca="false">J979*Country_Data!$EB$144</f>
        <v>0.411678852119526</v>
      </c>
      <c r="AO979" s="16" t="n">
        <f aca="false">L979*Country_Data!$EB$144</f>
        <v>0.0988029245086863</v>
      </c>
    </row>
    <row r="980" customFormat="false" ht="15" hidden="false" customHeight="false" outlineLevel="0" collapsed="false">
      <c r="A980" s="14" t="str">
        <f aca="false">Country_Data!$A$144</f>
        <v>LAO</v>
      </c>
      <c r="B980" s="14" t="str">
        <f aca="false">Country_Data!$E$144</f>
        <v>EMDC</v>
      </c>
      <c r="C980" s="35" t="s">
        <v>473</v>
      </c>
      <c r="D980" s="37" t="n">
        <f aca="false">IF(Country_Data!$CA$144="","",Country_Data!$CA$144)</f>
        <v>0.0308448725520317</v>
      </c>
      <c r="E980" s="40" t="n">
        <f aca="false">Country_Data!$BW$144</f>
        <v>75.027</v>
      </c>
      <c r="F980" s="41" t="n">
        <f aca="false">Country_Data!$BX$144</f>
        <v>0.210484225678756</v>
      </c>
      <c r="G980" s="42" t="n">
        <f aca="false">IF(D980="","",D980/SUMIFS($D$5:$D$1369,$B$5:$B$1369,B980,$C$5:$C$1369,C980))</f>
        <v>0.000712588323161384</v>
      </c>
      <c r="H980" s="42" t="n">
        <f aca="false">E980/SUMIFS($E$5:$E$1369,$B$5:$B$1369,B980,$C$5:$C$1369,C980)</f>
        <v>0.000929335359298537</v>
      </c>
      <c r="I980" s="43" t="n">
        <f aca="false">IF(G980="",H980,p_beta_alloc*G980+(1-p_beta_alloc)*H980)*F980^p_phi</f>
        <v>0.000376645469931805</v>
      </c>
      <c r="J980" s="16" t="n">
        <f aca="false">INDEX(Sector_Params!$C$18:$E$18,MATCH(B980,Sector_Params!$C$15:$E$15,0))*I980/SUMIFS($I$5:$I$1369,$B$5:$B$1369,B980,$C$5:$C$1369,C980)</f>
        <v>0.154227408047886</v>
      </c>
      <c r="K980" s="28" t="n">
        <f aca="false">INDEX(Sector_Params!$F$7:$H$7,MATCH(B980,Sector_Params!$C$15:$E$15,0))</f>
        <v>0.24</v>
      </c>
      <c r="L980" s="16" t="n">
        <f aca="false">J980*K980</f>
        <v>0.0370145779314926</v>
      </c>
      <c r="M980" s="44" t="n">
        <f aca="false">Country_Data!$DW$144+Sector_Params!$E$7</f>
        <v>0.105</v>
      </c>
      <c r="N980" s="44" t="n">
        <f aca="false">Country_Data!$DX$144+Sector_Params!$E$7</f>
        <v>0.15</v>
      </c>
      <c r="O980" s="11" t="n">
        <f aca="false">IF(p_use_ibrd=1,p_r_ibrd,p_r_wb)</f>
        <v>0.06</v>
      </c>
      <c r="P980" s="45" t="n">
        <f aca="false">Sector_Params!$D$7</f>
        <v>12</v>
      </c>
      <c r="Q980" s="46" t="n">
        <f aca="false">M980/(1-(1+M980)^-P980)</f>
        <v>0.150376745634766</v>
      </c>
      <c r="R980" s="46" t="n">
        <f aca="false">N980/(1-(1+N980)^-P980)</f>
        <v>0.18448077613084</v>
      </c>
      <c r="S980" s="46" t="n">
        <f aca="false">O980/(1-(1+O980)^-P980)</f>
        <v>0.119277029380664</v>
      </c>
      <c r="T980" s="37" t="n">
        <f aca="false">IF(AND(p_eng=1,ISNUMBER(Country_Data!$DE$144)),Country_Data!$DE$144,Country_Data!$CM$144)*Sector_Params!$I$7</f>
        <v>0.16361712</v>
      </c>
      <c r="U980" s="37" t="n">
        <f aca="false">IF(AND(p_eng=1,ISNUMBER(Country_Data!$DF$144)),Country_Data!$DF$144,Country_Data!$CN$144)*Sector_Params!$J$7</f>
        <v>0.008649</v>
      </c>
      <c r="V980" s="37" t="n">
        <f aca="false">IF(AND(p_eng=1,ISNUMBER(Country_Data!$DG$144)),Country_Data!$DG$144,p_a)</f>
        <v>0.414318151118333</v>
      </c>
      <c r="W980" s="16" t="n">
        <f aca="false">T980*L980</f>
        <v>0.00605621863916638</v>
      </c>
      <c r="X980" s="16" t="n">
        <f aca="false">U980*L980</f>
        <v>0.00032013908452948</v>
      </c>
      <c r="Y980" s="16" t="n">
        <f aca="false">V980*L980</f>
        <v>0.0153358114930015</v>
      </c>
      <c r="Z980" s="16" t="n">
        <f aca="false">Q980*L980</f>
        <v>0.00556613177038228</v>
      </c>
      <c r="AA980" s="16" t="n">
        <f aca="false">R980*L980</f>
        <v>0.0068284780649572</v>
      </c>
      <c r="AB980" s="16" t="n">
        <f aca="false">S980*L980</f>
        <v>0.0044149888994475</v>
      </c>
      <c r="AC980" s="16" t="n">
        <f aca="false">Z980-W980</f>
        <v>-0.000490086868784102</v>
      </c>
      <c r="AD980" s="16" t="n">
        <f aca="false">AA980-W980</f>
        <v>0.000772259425790824</v>
      </c>
      <c r="AE980" s="16" t="n">
        <f aca="false">AB980-W980</f>
        <v>-0.00164122973971887</v>
      </c>
      <c r="AF980" s="16" t="n">
        <f aca="false">AE980-X980</f>
        <v>-0.00196136882424835</v>
      </c>
      <c r="AG980" s="16" t="n">
        <f aca="false">AF980-p_spc_lo*Y980/1000</f>
        <v>-0.00272815939889843</v>
      </c>
      <c r="AH980" s="16" t="n">
        <f aca="false">AF980-p_spc_hi*Y980/1000</f>
        <v>-0.0034949499735485</v>
      </c>
      <c r="AI980" s="16" t="n">
        <f aca="false">Q980*J980</f>
        <v>0.0231922157099261</v>
      </c>
      <c r="AJ980" s="16" t="n">
        <f aca="false">S980*J980</f>
        <v>0.0183957870810313</v>
      </c>
      <c r="AK980" s="16" t="n">
        <f aca="false">T980*J980</f>
        <v>0.0252342443298599</v>
      </c>
      <c r="AL980" s="16" t="n">
        <f aca="false">U980*J980</f>
        <v>0.00133391285220616</v>
      </c>
      <c r="AM980" s="16" t="n">
        <f aca="false">AI980-AJ980</f>
        <v>0.00479642862889488</v>
      </c>
      <c r="AN980" s="16" t="n">
        <f aca="false">J980*Country_Data!$EB$144</f>
        <v>0.195354716860655</v>
      </c>
      <c r="AO980" s="16" t="n">
        <f aca="false">L980*Country_Data!$EB$144</f>
        <v>0.0468851320465573</v>
      </c>
    </row>
    <row r="981" customFormat="false" ht="15" hidden="false" customHeight="false" outlineLevel="0" collapsed="false">
      <c r="A981" s="14" t="str">
        <f aca="false">Country_Data!$A$144</f>
        <v>LAO</v>
      </c>
      <c r="B981" s="14" t="str">
        <f aca="false">Country_Data!$E$144</f>
        <v>EMDC</v>
      </c>
      <c r="C981" s="35" t="s">
        <v>477</v>
      </c>
      <c r="D981" s="37" t="n">
        <f aca="false">IF(Country_Data!$CB$144="","",Country_Data!$CB$144)</f>
        <v>0.0102391682172017</v>
      </c>
      <c r="E981" s="40" t="n">
        <f aca="false">Country_Data!$BW$144</f>
        <v>75.027</v>
      </c>
      <c r="F981" s="41" t="n">
        <f aca="false">Country_Data!$BX$144</f>
        <v>0.210484225678756</v>
      </c>
      <c r="G981" s="42" t="n">
        <f aca="false">IF(D981="","",D981/SUMIFS($D$5:$D$1369,$B$5:$B$1369,B981,$C$5:$C$1369,C981))</f>
        <v>0.000322872152158832</v>
      </c>
      <c r="H981" s="42" t="n">
        <f aca="false">E981/SUMIFS($E$5:$E$1369,$B$5:$B$1369,B981,$C$5:$C$1369,C981)</f>
        <v>0.000929335359298537</v>
      </c>
      <c r="I981" s="43" t="n">
        <f aca="false">IF(G981="",H981,p_beta_alloc*G981+(1-p_beta_alloc)*H981)*F981^p_phi</f>
        <v>0.00028724738649143</v>
      </c>
      <c r="J981" s="16" t="n">
        <f aca="false">INDEX(Sector_Params!$C$19:$E$19,MATCH(B981,Sector_Params!$C$15:$E$15,0))*I981/SUMIFS($I$5:$I$1369,$B$5:$B$1369,B981,$C$5:$C$1369,C981)</f>
        <v>0.0924541896612914</v>
      </c>
      <c r="K981" s="28" t="n">
        <f aca="false">INDEX(Sector_Params!$F$8:$H$8,MATCH(B981,Sector_Params!$C$15:$E$15,0))</f>
        <v>0.24</v>
      </c>
      <c r="L981" s="16" t="n">
        <f aca="false">J981*K981</f>
        <v>0.0221890055187099</v>
      </c>
      <c r="M981" s="44" t="n">
        <f aca="false">Country_Data!$DW$144+Sector_Params!$E$8</f>
        <v>0.105</v>
      </c>
      <c r="N981" s="44" t="n">
        <f aca="false">Country_Data!$DX$144+Sector_Params!$E$8</f>
        <v>0.15</v>
      </c>
      <c r="O981" s="11" t="n">
        <f aca="false">IF(p_use_ibrd=1,p_r_ibrd,p_r_wb)</f>
        <v>0.06</v>
      </c>
      <c r="P981" s="45" t="n">
        <f aca="false">Sector_Params!$D$8</f>
        <v>25</v>
      </c>
      <c r="Q981" s="46" t="n">
        <f aca="false">M981/(1-(1+M981)^-P981)</f>
        <v>0.114429319813103</v>
      </c>
      <c r="R981" s="46" t="n">
        <f aca="false">N981/(1-(1+N981)^-P981)</f>
        <v>0.154699402320206</v>
      </c>
      <c r="S981" s="46" t="n">
        <f aca="false">O981/(1-(1+O981)^-P981)</f>
        <v>0.078226718212274</v>
      </c>
      <c r="T981" s="37" t="n">
        <f aca="false">Country_Data!$CM$144*Sector_Params!$I$8</f>
        <v>0.0407503090664196</v>
      </c>
      <c r="U981" s="37" t="n">
        <f aca="false">Country_Data!$CN$144*Sector_Params!$J$8</f>
        <v>0.0505003781670814</v>
      </c>
      <c r="V981" s="37" t="n">
        <f aca="false">p_a</f>
        <v>0.35</v>
      </c>
      <c r="W981" s="16" t="n">
        <f aca="false">T981*L981</f>
        <v>0.000904208832763919</v>
      </c>
      <c r="X981" s="16" t="n">
        <f aca="false">U981*L981</f>
        <v>0.00112055316984631</v>
      </c>
      <c r="Y981" s="16" t="n">
        <f aca="false">V981*L981</f>
        <v>0.00776615193154847</v>
      </c>
      <c r="Z981" s="16" t="n">
        <f aca="false">Q981*L981</f>
        <v>0.00253907280883517</v>
      </c>
      <c r="AA981" s="16" t="n">
        <f aca="false">R981*L981</f>
        <v>0.00343262589182419</v>
      </c>
      <c r="AB981" s="16" t="n">
        <f aca="false">S981*L981</f>
        <v>0.00173577308212271</v>
      </c>
      <c r="AC981" s="16" t="n">
        <f aca="false">Z981-W981</f>
        <v>0.00163486397607125</v>
      </c>
      <c r="AD981" s="16" t="n">
        <f aca="false">AA981-W981</f>
        <v>0.00252841705906027</v>
      </c>
      <c r="AE981" s="16" t="n">
        <f aca="false">AB981-W981</f>
        <v>0.000831564249358794</v>
      </c>
      <c r="AF981" s="16" t="n">
        <f aca="false">AE981-X981</f>
        <v>-0.000288988920487513</v>
      </c>
      <c r="AG981" s="16" t="n">
        <f aca="false">AF981-p_spc_lo*Y981/1000</f>
        <v>-0.000677296517064937</v>
      </c>
      <c r="AH981" s="16" t="n">
        <f aca="false">AF981-p_spc_hi*Y981/1000</f>
        <v>-0.00106560411364236</v>
      </c>
      <c r="AI981" s="16" t="n">
        <f aca="false">Q981*J981</f>
        <v>0.0105794700368132</v>
      </c>
      <c r="AJ981" s="16" t="n">
        <f aca="false">S981*J981</f>
        <v>0.00723238784217797</v>
      </c>
      <c r="AK981" s="16" t="n">
        <f aca="false">T981*J981</f>
        <v>0.00376753680318299</v>
      </c>
      <c r="AL981" s="16" t="n">
        <f aca="false">U981*J981</f>
        <v>0.00466897154102628</v>
      </c>
      <c r="AM981" s="16" t="n">
        <f aca="false">AI981-AJ981</f>
        <v>0.00334708219463525</v>
      </c>
      <c r="AN981" s="16" t="n">
        <f aca="false">J981*Country_Data!$EB$144</f>
        <v>0.117108640237636</v>
      </c>
      <c r="AO981" s="16" t="n">
        <f aca="false">L981*Country_Data!$EB$144</f>
        <v>0.0281060736570326</v>
      </c>
    </row>
    <row r="982" customFormat="false" ht="15" hidden="false" customHeight="false" outlineLevel="0" collapsed="false">
      <c r="A982" s="14" t="str">
        <f aca="false">Country_Data!$A$144</f>
        <v>LAO</v>
      </c>
      <c r="B982" s="14" t="str">
        <f aca="false">Country_Data!$E$144</f>
        <v>EMDC</v>
      </c>
      <c r="C982" s="35" t="s">
        <v>481</v>
      </c>
      <c r="D982" s="37" t="n">
        <f aca="false">IF(Country_Data!$CC$144="","",Country_Data!$CC$144)</f>
        <v>0.035158003969184</v>
      </c>
      <c r="E982" s="40" t="n">
        <f aca="false">Country_Data!$BW$144</f>
        <v>75.027</v>
      </c>
      <c r="F982" s="41" t="n">
        <f aca="false">Country_Data!$BX$144</f>
        <v>0.210484225678756</v>
      </c>
      <c r="G982" s="42" t="n">
        <f aca="false">IF(D982="","",D982/SUMIFS($D$5:$D$1369,$B$5:$B$1369,B982,$C$5:$C$1369,C982))</f>
        <v>0.000502205131457303</v>
      </c>
      <c r="H982" s="42" t="n">
        <f aca="false">E982/SUMIFS($E$5:$E$1369,$B$5:$B$1369,B982,$C$5:$C$1369,C982)</f>
        <v>0.000929335359298537</v>
      </c>
      <c r="I982" s="43" t="n">
        <f aca="false">IF(G982="",H982,p_beta_alloc*G982+(1-p_beta_alloc)*H982)*F982^p_phi</f>
        <v>0.000328385080638668</v>
      </c>
      <c r="J982" s="16" t="n">
        <f aca="false">INDEX(Sector_Params!$C$20:$E$20,MATCH(B982,Sector_Params!$C$15:$E$15,0))*I982/SUMIFS($I$5:$I$1369,$B$5:$B$1369,B982,$C$5:$C$1369,C982)</f>
        <v>0.0599368901325263</v>
      </c>
      <c r="K982" s="28" t="n">
        <f aca="false">INDEX(Sector_Params!$F$9:$H$9,MATCH(B982,Sector_Params!$C$15:$E$15,0))</f>
        <v>0.24</v>
      </c>
      <c r="L982" s="16" t="n">
        <f aca="false">J982*K982</f>
        <v>0.0143848536318063</v>
      </c>
      <c r="M982" s="44" t="n">
        <f aca="false">Country_Data!$DW$144+Sector_Params!$E$9</f>
        <v>0.105</v>
      </c>
      <c r="N982" s="44" t="n">
        <f aca="false">Country_Data!$DX$144+Sector_Params!$E$9</f>
        <v>0.15</v>
      </c>
      <c r="O982" s="11" t="n">
        <f aca="false">IF(p_use_ibrd=1,p_r_ibrd,p_r_wb)</f>
        <v>0.06</v>
      </c>
      <c r="P982" s="45" t="n">
        <f aca="false">Sector_Params!$D$9</f>
        <v>25</v>
      </c>
      <c r="Q982" s="46" t="n">
        <f aca="false">M982/(1-(1+M982)^-P982)</f>
        <v>0.114429319813103</v>
      </c>
      <c r="R982" s="46" t="n">
        <f aca="false">N982/(1-(1+N982)^-P982)</f>
        <v>0.154699402320206</v>
      </c>
      <c r="S982" s="46" t="n">
        <f aca="false">O982/(1-(1+O982)^-P982)</f>
        <v>0.078226718212274</v>
      </c>
      <c r="T982" s="37" t="n">
        <f aca="false">Country_Data!$CM$144*Sector_Params!$I$9</f>
        <v>0.0407503090664196</v>
      </c>
      <c r="U982" s="37" t="n">
        <f aca="false">Country_Data!$CN$144*Sector_Params!$J$9</f>
        <v>0.0505003781670814</v>
      </c>
      <c r="V982" s="37" t="n">
        <f aca="false">p_a</f>
        <v>0.35</v>
      </c>
      <c r="W982" s="16" t="n">
        <f aca="false">T982*L982</f>
        <v>0.000586187231371315</v>
      </c>
      <c r="X982" s="16" t="n">
        <f aca="false">U982*L982</f>
        <v>0.000726440548284333</v>
      </c>
      <c r="Y982" s="16" t="n">
        <f aca="false">V982*L982</f>
        <v>0.00503469877113221</v>
      </c>
      <c r="Z982" s="16" t="n">
        <f aca="false">Q982*L982</f>
        <v>0.00164604901669864</v>
      </c>
      <c r="AA982" s="16" t="n">
        <f aca="false">R982*L982</f>
        <v>0.00222532825930409</v>
      </c>
      <c r="AB982" s="16" t="n">
        <f aca="false">S982*L982</f>
        <v>0.00112527989158012</v>
      </c>
      <c r="AC982" s="16" t="n">
        <f aca="false">Z982-W982</f>
        <v>0.00105986178532733</v>
      </c>
      <c r="AD982" s="16" t="n">
        <f aca="false">AA982-W982</f>
        <v>0.00163914102793277</v>
      </c>
      <c r="AE982" s="16" t="n">
        <f aca="false">AB982-W982</f>
        <v>0.000539092660208803</v>
      </c>
      <c r="AF982" s="16" t="n">
        <f aca="false">AE982-X982</f>
        <v>-0.00018734788807553</v>
      </c>
      <c r="AG982" s="16" t="n">
        <f aca="false">AF982-p_spc_lo*Y982/1000</f>
        <v>-0.00043908282663214</v>
      </c>
      <c r="AH982" s="16" t="n">
        <f aca="false">AF982-p_spc_hi*Y982/1000</f>
        <v>-0.000690817765188751</v>
      </c>
      <c r="AI982" s="16" t="n">
        <f aca="false">Q982*J982</f>
        <v>0.00685853756957769</v>
      </c>
      <c r="AJ982" s="16" t="n">
        <f aca="false">S982*J982</f>
        <v>0.00468866621491716</v>
      </c>
      <c r="AK982" s="16" t="n">
        <f aca="false">T982*J982</f>
        <v>0.00244244679738048</v>
      </c>
      <c r="AL982" s="16" t="n">
        <f aca="false">U982*J982</f>
        <v>0.00302683561785139</v>
      </c>
      <c r="AM982" s="16" t="n">
        <f aca="false">AI982-AJ982</f>
        <v>0.00216987135466053</v>
      </c>
      <c r="AN982" s="16" t="n">
        <f aca="false">J982*Country_Data!$EB$144</f>
        <v>0.0759200608345333</v>
      </c>
      <c r="AO982" s="16" t="n">
        <f aca="false">L982*Country_Data!$EB$144</f>
        <v>0.018220814600288</v>
      </c>
    </row>
    <row r="983" customFormat="false" ht="15" hidden="false" customHeight="false" outlineLevel="0" collapsed="false">
      <c r="A983" s="14" t="str">
        <f aca="false">Country_Data!$A$144</f>
        <v>LAO</v>
      </c>
      <c r="B983" s="14" t="str">
        <f aca="false">Country_Data!$E$144</f>
        <v>EMDC</v>
      </c>
      <c r="C983" s="35" t="s">
        <v>484</v>
      </c>
      <c r="D983" s="37" t="n">
        <f aca="false">IF(Country_Data!$CD$144="","",Country_Data!$CD$144)</f>
        <v>0.184152065089675</v>
      </c>
      <c r="E983" s="40" t="n">
        <f aca="false">Country_Data!$BW$144</f>
        <v>75.027</v>
      </c>
      <c r="F983" s="41" t="n">
        <f aca="false">Country_Data!$BX$144</f>
        <v>0.210484225678756</v>
      </c>
      <c r="G983" s="42" t="n">
        <f aca="false">IF(D983="","",D983/SUMIFS($D$5:$D$1369,$B$5:$B$1369,B983,$C$5:$C$1369,C983))</f>
        <v>0.00102837240576958</v>
      </c>
      <c r="H983" s="42" t="n">
        <f aca="false">E983/SUMIFS($E$5:$E$1369,$B$5:$B$1369,B983,$C$5:$C$1369,C983)</f>
        <v>0.000929335359298537</v>
      </c>
      <c r="I983" s="43" t="n">
        <f aca="false">IF(G983="",H983,p_beta_alloc*G983+(1-p_beta_alloc)*H983)*F983^p_phi</f>
        <v>0.000449084064649408</v>
      </c>
      <c r="J983" s="16" t="n">
        <f aca="false">INDEX(Sector_Params!$C$21:$E$21,MATCH(B983,Sector_Params!$C$15:$E$15,0))*I983/SUMIFS($I$5:$I$1369,$B$5:$B$1369,B983,$C$5:$C$1369,C983)</f>
        <v>0.0996022766735791</v>
      </c>
      <c r="K983" s="28" t="n">
        <f aca="false">INDEX(Sector_Params!$F$10:$H$10,MATCH(B983,Sector_Params!$C$15:$E$15,0))</f>
        <v>0.24</v>
      </c>
      <c r="L983" s="16" t="n">
        <f aca="false">J983*K983</f>
        <v>0.023904546401659</v>
      </c>
      <c r="M983" s="44" t="n">
        <f aca="false">Country_Data!$DW$144+Sector_Params!$E$10</f>
        <v>0.105</v>
      </c>
      <c r="N983" s="44" t="n">
        <f aca="false">Country_Data!$DX$144+Sector_Params!$E$10</f>
        <v>0.15</v>
      </c>
      <c r="O983" s="11" t="n">
        <f aca="false">IF(p_use_ibrd=1,p_r_ibrd,p_r_wb)</f>
        <v>0.06</v>
      </c>
      <c r="P983" s="45" t="n">
        <f aca="false">Sector_Params!$D$10</f>
        <v>20</v>
      </c>
      <c r="Q983" s="46" t="n">
        <f aca="false">M983/(1-(1+M983)^-P983)</f>
        <v>0.121493265267016</v>
      </c>
      <c r="R983" s="46" t="n">
        <f aca="false">N983/(1-(1+N983)^-P983)</f>
        <v>0.159761470405744</v>
      </c>
      <c r="S983" s="46" t="n">
        <f aca="false">O983/(1-(1+O983)^-P983)</f>
        <v>0.0871845569768514</v>
      </c>
      <c r="T983" s="37" t="n">
        <f aca="false">0*Sector_Params!$I$10</f>
        <v>0</v>
      </c>
      <c r="U983" s="37" t="n">
        <f aca="false">0*Sector_Params!$J$10</f>
        <v>0</v>
      </c>
      <c r="V983" s="37" t="n">
        <f aca="false">1000*p_r_wb/(1-(1+p_r_wb)^-Sector_Params!$D$10)/p_cpt_fuel</f>
        <v>0.871845569768514</v>
      </c>
      <c r="W983" s="16" t="n">
        <f aca="false">T983*L983</f>
        <v>0</v>
      </c>
      <c r="X983" s="16" t="n">
        <f aca="false">U983*L983</f>
        <v>0</v>
      </c>
      <c r="Y983" s="16" t="n">
        <f aca="false">V983*L983</f>
        <v>0.0208410728776123</v>
      </c>
      <c r="Z983" s="16" t="n">
        <f aca="false">Q983*L983</f>
        <v>0.00290424139706445</v>
      </c>
      <c r="AA983" s="16" t="n">
        <f aca="false">R983*L983</f>
        <v>0.00381902548251137</v>
      </c>
      <c r="AB983" s="16" t="n">
        <f aca="false">S983*L983</f>
        <v>0.00208410728776123</v>
      </c>
      <c r="AC983" s="16" t="n">
        <f aca="false">Z983-W983</f>
        <v>0.00290424139706445</v>
      </c>
      <c r="AD983" s="16" t="n">
        <f aca="false">AA983-W983</f>
        <v>0.00381902548251137</v>
      </c>
      <c r="AE983" s="16" t="n">
        <f aca="false">AB983-W983</f>
        <v>0.00208410728776123</v>
      </c>
      <c r="AF983" s="16" t="n">
        <f aca="false">AE983-X983</f>
        <v>0.00208410728776123</v>
      </c>
      <c r="AG983" s="16" t="n">
        <f aca="false">AF983-p_spc_lo*Y983/1000</f>
        <v>0.00104205364388061</v>
      </c>
      <c r="AH983" s="16" t="n">
        <f aca="false">AF983-p_spc_hi*Y983/1000</f>
        <v>0</v>
      </c>
      <c r="AI983" s="16" t="n">
        <f aca="false">Q983*J983</f>
        <v>0.0121010058211019</v>
      </c>
      <c r="AJ983" s="16" t="n">
        <f aca="false">S983*J983</f>
        <v>0.00868378036567178</v>
      </c>
      <c r="AK983" s="16" t="n">
        <f aca="false">T983*J983</f>
        <v>0</v>
      </c>
      <c r="AL983" s="16" t="n">
        <f aca="false">U983*J983</f>
        <v>0</v>
      </c>
      <c r="AM983" s="16" t="n">
        <f aca="false">AI983-AJ983</f>
        <v>0.00341722545543011</v>
      </c>
      <c r="AN983" s="16" t="n">
        <f aca="false">J983*Country_Data!$EB$144</f>
        <v>0.126162883786534</v>
      </c>
      <c r="AO983" s="16" t="n">
        <f aca="false">L983*Country_Data!$EB$144</f>
        <v>0.030279092108768</v>
      </c>
    </row>
    <row r="984" customFormat="false" ht="15" hidden="false" customHeight="false" outlineLevel="0" collapsed="false">
      <c r="A984" s="14" t="str">
        <f aca="false">Country_Data!$A$144</f>
        <v>LAO</v>
      </c>
      <c r="B984" s="14" t="str">
        <f aca="false">Country_Data!$E$144</f>
        <v>EMDC</v>
      </c>
      <c r="C984" s="35" t="s">
        <v>488</v>
      </c>
      <c r="D984" s="37" t="n">
        <f aca="false">IF(Country_Data!$CE$144="","",Country_Data!$CE$144)</f>
        <v>34.301</v>
      </c>
      <c r="E984" s="40" t="n">
        <f aca="false">Country_Data!$BW$144</f>
        <v>75.027</v>
      </c>
      <c r="F984" s="41" t="n">
        <f aca="false">Country_Data!$BX$144</f>
        <v>0.210484225678756</v>
      </c>
      <c r="G984" s="42" t="n">
        <f aca="false">IF(D984="","",D984/SUMIFS($D$5:$D$1369,$B$5:$B$1369,B984,$C$5:$C$1369,C984))</f>
        <v>0.00281061052383173</v>
      </c>
      <c r="H984" s="42" t="n">
        <f aca="false">E984/SUMIFS($E$5:$E$1369,$B$5:$B$1369,B984,$C$5:$C$1369,C984)</f>
        <v>0.000929335359298537</v>
      </c>
      <c r="I984" s="43" t="n">
        <f aca="false">IF(G984="",H984,p_beta_alloc*G984+(1-p_beta_alloc)*H984)*F984^p_phi</f>
        <v>0.000857916655761192</v>
      </c>
      <c r="J984" s="16" t="n">
        <f aca="false">INDEX(Sector_Params!$C$22:$E$22,MATCH(B984,Sector_Params!$C$15:$E$15,0))*I984/SUMIFS($I$5:$I$1369,$B$5:$B$1369,B984,$C$5:$C$1369,C984)</f>
        <v>0.517159356485551</v>
      </c>
      <c r="K984" s="28" t="n">
        <f aca="false">INDEX(Sector_Params!$F$11:$H$11,MATCH(B984,Sector_Params!$C$15:$E$15,0))</f>
        <v>0.24</v>
      </c>
      <c r="L984" s="16" t="n">
        <f aca="false">J984*K984</f>
        <v>0.124118245556532</v>
      </c>
      <c r="M984" s="44" t="n">
        <f aca="false">Country_Data!$DW$144+Sector_Params!$E$11</f>
        <v>0.105</v>
      </c>
      <c r="N984" s="44" t="n">
        <f aca="false">Country_Data!$DX$144+Sector_Params!$E$11</f>
        <v>0.15</v>
      </c>
      <c r="O984" s="11" t="n">
        <f aca="false">IF(p_use_ibrd=1,p_r_ibrd,p_r_wb)</f>
        <v>0.06</v>
      </c>
      <c r="P984" s="45" t="n">
        <f aca="false">Sector_Params!$D$11</f>
        <v>30</v>
      </c>
      <c r="Q984" s="46" t="n">
        <f aca="false">M984/(1-(1+M984)^-P984)</f>
        <v>0.110528481529605</v>
      </c>
      <c r="R984" s="46" t="n">
        <f aca="false">N984/(1-(1+N984)^-P984)</f>
        <v>0.152300198192734</v>
      </c>
      <c r="S984" s="46" t="n">
        <f aca="false">O984/(1-(1+O984)^-P984)</f>
        <v>0.0726489114900472</v>
      </c>
      <c r="T984" s="37" t="n">
        <f aca="false">0*Sector_Params!$I$11</f>
        <v>0</v>
      </c>
      <c r="U984" s="37" t="n">
        <f aca="false">p_c*Sector_Params!$J$11</f>
        <v>0.129</v>
      </c>
      <c r="V984" s="37" t="n">
        <f aca="false">1000*p_r_wb/(1-(1+p_r_wb)^-Sector_Params!$D$11)/p_cpt_afolu</f>
        <v>1.45297822980094</v>
      </c>
      <c r="W984" s="16" t="n">
        <f aca="false">T984*L984</f>
        <v>0</v>
      </c>
      <c r="X984" s="16" t="n">
        <f aca="false">U984*L984</f>
        <v>0.0160112536767927</v>
      </c>
      <c r="Y984" s="16" t="n">
        <f aca="false">V984*L984</f>
        <v>0.180341108714729</v>
      </c>
      <c r="Z984" s="16" t="n">
        <f aca="false">Q984*L984</f>
        <v>0.0137186012114822</v>
      </c>
      <c r="AA984" s="16" t="n">
        <f aca="false">R984*L984</f>
        <v>0.0189032333975943</v>
      </c>
      <c r="AB984" s="16" t="n">
        <f aca="false">S984*L984</f>
        <v>0.00901705543573646</v>
      </c>
      <c r="AC984" s="16" t="n">
        <f aca="false">Z984-W984</f>
        <v>0.0137186012114822</v>
      </c>
      <c r="AD984" s="16" t="n">
        <f aca="false">AA984-W984</f>
        <v>0.0189032333975943</v>
      </c>
      <c r="AE984" s="16" t="n">
        <f aca="false">AB984-W984</f>
        <v>0.00901705543573646</v>
      </c>
      <c r="AF984" s="16" t="n">
        <f aca="false">AE984-X984</f>
        <v>-0.00699419824105621</v>
      </c>
      <c r="AG984" s="16" t="n">
        <f aca="false">AF984-p_spc_lo*Y984/1000</f>
        <v>-0.0160112536767927</v>
      </c>
      <c r="AH984" s="16" t="n">
        <f aca="false">AF984-p_spc_hi*Y984/1000</f>
        <v>-0.0250283091125291</v>
      </c>
      <c r="AI984" s="16" t="n">
        <f aca="false">Q984*J984</f>
        <v>0.0571608383811757</v>
      </c>
      <c r="AJ984" s="16" t="n">
        <f aca="false">S984*J984</f>
        <v>0.0375710643155686</v>
      </c>
      <c r="AK984" s="16" t="n">
        <f aca="false">T984*J984</f>
        <v>0</v>
      </c>
      <c r="AL984" s="16" t="n">
        <f aca="false">U984*J984</f>
        <v>0.0667135569866361</v>
      </c>
      <c r="AM984" s="16" t="n">
        <f aca="false">AI984-AJ984</f>
        <v>0.0195897740656072</v>
      </c>
      <c r="AN984" s="16" t="n">
        <f aca="false">J984*Country_Data!$EB$144</f>
        <v>0.655068518215032</v>
      </c>
      <c r="AO984" s="16" t="n">
        <f aca="false">L984*Country_Data!$EB$144</f>
        <v>0.157216444371608</v>
      </c>
    </row>
    <row r="985" customFormat="false" ht="15" hidden="false" customHeight="false" outlineLevel="0" collapsed="false">
      <c r="A985" s="14" t="str">
        <f aca="false">Country_Data!$A$145</f>
        <v>BRN</v>
      </c>
      <c r="B985" s="14" t="str">
        <f aca="false">Country_Data!$E$145</f>
        <v>EMDC</v>
      </c>
      <c r="C985" s="35" t="s">
        <v>466</v>
      </c>
      <c r="D985" s="37" t="n">
        <f aca="false">IF(Country_Data!$BZ$145="","",Country_Data!$BZ$145)</f>
        <v>5.18304369783551</v>
      </c>
      <c r="E985" s="40" t="n">
        <f aca="false">Country_Data!$BW$145</f>
        <v>41.649</v>
      </c>
      <c r="F985" s="41" t="n">
        <f aca="false">Country_Data!$BX$145</f>
        <v>0.368172104972508</v>
      </c>
      <c r="G985" s="42" t="n">
        <f aca="false">IF(D985="","",D985/SUMIFS($D$5:$D$1369,$B$5:$B$1369,B985,$C$5:$C$1369,C985))</f>
        <v>0.00059170733656745</v>
      </c>
      <c r="H985" s="42" t="n">
        <f aca="false">E985/SUMIFS($E$5:$E$1369,$B$5:$B$1369,B985,$C$5:$C$1369,C985)</f>
        <v>0.000515892790321148</v>
      </c>
      <c r="I985" s="43" t="n">
        <f aca="false">IF(G985="",H985,p_beta_alloc*G985+(1-p_beta_alloc)*H985)*F985^p_phi</f>
        <v>0.000336030301356817</v>
      </c>
      <c r="J985" s="16" t="n">
        <f aca="false">INDEX(Sector_Params!$C$16:$E$16,MATCH(B985,Sector_Params!$C$15:$E$15,0))*I985/SUMIFS($I$5:$I$1369,$B$5:$B$1369,B985,$C$5:$C$1369,C985)</f>
        <v>0.325017026574944</v>
      </c>
      <c r="K985" s="28" t="n">
        <f aca="false">INDEX(Sector_Params!$F$5:$H$5,MATCH(B985,Sector_Params!$C$15:$E$15,0))</f>
        <v>0.24</v>
      </c>
      <c r="L985" s="16" t="n">
        <f aca="false">J985*K985</f>
        <v>0.0780040863779865</v>
      </c>
      <c r="M985" s="44" t="n">
        <f aca="false">Country_Data!$DW$145+Sector_Params!$E$5</f>
        <v>0.105</v>
      </c>
      <c r="N985" s="44" t="n">
        <f aca="false">Country_Data!$DX$145+Sector_Params!$E$5</f>
        <v>0.15</v>
      </c>
      <c r="O985" s="11" t="n">
        <f aca="false">IF(p_use_ibrd=1,p_r_ibrd,p_r_wb)</f>
        <v>0.06</v>
      </c>
      <c r="P985" s="45" t="n">
        <f aca="false">Sector_Params!$D$5</f>
        <v>25</v>
      </c>
      <c r="Q985" s="46" t="n">
        <f aca="false">M985/(1-(1+M985)^-P985)</f>
        <v>0.114429319813103</v>
      </c>
      <c r="R985" s="46" t="n">
        <f aca="false">N985/(1-(1+N985)^-P985)</f>
        <v>0.154699402320206</v>
      </c>
      <c r="S985" s="46" t="n">
        <f aca="false">O985/(1-(1+O985)^-P985)</f>
        <v>0.078226718212274</v>
      </c>
      <c r="T985" s="37" t="n">
        <f aca="false">IF(AND(p_eng=1,ISNUMBER(Country_Data!$CZ$145)),Country_Data!$CZ$145,Country_Data!$CM$145)*Sector_Params!$I$5</f>
        <v>0.0649437264192075</v>
      </c>
      <c r="U985" s="37" t="n">
        <f aca="false">IF(AND(p_eng=1,ISNUMBER(Country_Data!$DA$145)),Country_Data!$DA$145,Country_Data!$CN$145)*Sector_Params!$J$5</f>
        <v>0.00039600170626285</v>
      </c>
      <c r="V985" s="37" t="n">
        <f aca="false">IF(AND(p_eng=1,ISNUMBER(Country_Data!$DB$145)),Country_Data!$DB$145,p_a)</f>
        <v>1.21377864489352</v>
      </c>
      <c r="W985" s="16" t="n">
        <f aca="false">T985*L985</f>
        <v>0.00506587604531219</v>
      </c>
      <c r="X985" s="16" t="n">
        <f aca="false">U985*L985</f>
        <v>3.08897513011574E-005</v>
      </c>
      <c r="Y985" s="16" t="n">
        <f aca="false">V985*L985</f>
        <v>0.0946796942600297</v>
      </c>
      <c r="Z985" s="16" t="n">
        <f aca="false">Q985*L985</f>
        <v>0.00892595454687556</v>
      </c>
      <c r="AA985" s="16" t="n">
        <f aca="false">R985*L985</f>
        <v>0.0120671855412083</v>
      </c>
      <c r="AB985" s="16" t="n">
        <f aca="false">S985*L985</f>
        <v>0.00610200368449663</v>
      </c>
      <c r="AC985" s="16" t="n">
        <f aca="false">Z985-W985</f>
        <v>0.00386007850156337</v>
      </c>
      <c r="AD985" s="16" t="n">
        <f aca="false">AA985-W985</f>
        <v>0.00700130949589608</v>
      </c>
      <c r="AE985" s="16" t="n">
        <f aca="false">AB985-W985</f>
        <v>0.00103612763918444</v>
      </c>
      <c r="AF985" s="16" t="n">
        <f aca="false">AE985-X985</f>
        <v>0.00100523788788328</v>
      </c>
      <c r="AG985" s="16" t="n">
        <f aca="false">AF985-p_spc_lo*Y985/1000</f>
        <v>-0.0037287468251182</v>
      </c>
      <c r="AH985" s="16" t="n">
        <f aca="false">AF985-p_spc_hi*Y985/1000</f>
        <v>-0.00846273153811969</v>
      </c>
      <c r="AI985" s="16" t="n">
        <f aca="false">Q985*J985</f>
        <v>0.0371914772786482</v>
      </c>
      <c r="AJ985" s="16" t="n">
        <f aca="false">S985*J985</f>
        <v>0.0254250153520693</v>
      </c>
      <c r="AK985" s="16" t="n">
        <f aca="false">T985*J985</f>
        <v>0.0211078168554675</v>
      </c>
      <c r="AL985" s="16" t="n">
        <f aca="false">U985*J985</f>
        <v>0.000128707297088156</v>
      </c>
      <c r="AM985" s="16" t="n">
        <f aca="false">AI985-AJ985</f>
        <v>0.0117664619265789</v>
      </c>
      <c r="AN985" s="16" t="n">
        <f aca="false">J985*Country_Data!$EB$145</f>
        <v>0.373101737355894</v>
      </c>
      <c r="AO985" s="16" t="n">
        <f aca="false">L985*Country_Data!$EB$145</f>
        <v>0.0895444169654147</v>
      </c>
    </row>
    <row r="986" customFormat="false" ht="15" hidden="false" customHeight="false" outlineLevel="0" collapsed="false">
      <c r="A986" s="14" t="str">
        <f aca="false">Country_Data!$A$145</f>
        <v>BRN</v>
      </c>
      <c r="B986" s="14" t="str">
        <f aca="false">Country_Data!$E$145</f>
        <v>EMDC</v>
      </c>
      <c r="C986" s="35" t="s">
        <v>470</v>
      </c>
      <c r="D986" s="37" t="n">
        <f aca="false">IF(Country_Data!$BZ$145="","",Country_Data!$BZ$145)</f>
        <v>5.18304369783551</v>
      </c>
      <c r="E986" s="40" t="n">
        <f aca="false">Country_Data!$BW$145</f>
        <v>41.649</v>
      </c>
      <c r="F986" s="41" t="n">
        <f aca="false">Country_Data!$BX$145</f>
        <v>0.368172104972508</v>
      </c>
      <c r="G986" s="42" t="n">
        <f aca="false">IF(D986="","",D986/SUMIFS($D$5:$D$1369,$B$5:$B$1369,B986,$C$5:$C$1369,C986))</f>
        <v>0.00059170733656745</v>
      </c>
      <c r="H986" s="42" t="n">
        <f aca="false">E986/SUMIFS($E$5:$E$1369,$B$5:$B$1369,B986,$C$5:$C$1369,C986)</f>
        <v>0.000515892790321148</v>
      </c>
      <c r="I986" s="43" t="n">
        <f aca="false">IF(G986="",H986,p_beta_alloc*G986+(1-p_beta_alloc)*H986)*F986^p_phi</f>
        <v>0.000336030301356817</v>
      </c>
      <c r="J986" s="16" t="n">
        <f aca="false">INDEX(Sector_Params!$C$17:$E$17,MATCH(B986,Sector_Params!$C$15:$E$15,0))*I986/SUMIFS($I$5:$I$1369,$B$5:$B$1369,B986,$C$5:$C$1369,C986)</f>
        <v>0.222868818222819</v>
      </c>
      <c r="K986" s="28" t="n">
        <f aca="false">INDEX(Sector_Params!$F$6:$H$6,MATCH(B986,Sector_Params!$C$15:$E$15,0))</f>
        <v>0.24</v>
      </c>
      <c r="L986" s="16" t="n">
        <f aca="false">J986*K986</f>
        <v>0.0534885163734765</v>
      </c>
      <c r="M986" s="44" t="n">
        <f aca="false">Country_Data!$DW$145+Sector_Params!$E$6</f>
        <v>0.105</v>
      </c>
      <c r="N986" s="44" t="n">
        <f aca="false">Country_Data!$DX$145+Sector_Params!$E$6</f>
        <v>0.15</v>
      </c>
      <c r="O986" s="11" t="n">
        <f aca="false">IF(p_use_ibrd=1,p_r_ibrd,p_r_wb)</f>
        <v>0.06</v>
      </c>
      <c r="P986" s="45" t="n">
        <f aca="false">Sector_Params!$D$6</f>
        <v>40</v>
      </c>
      <c r="Q986" s="46" t="n">
        <f aca="false">M986/(1-(1+M986)^-P986)</f>
        <v>0.10697140835497</v>
      </c>
      <c r="R986" s="46" t="n">
        <f aca="false">N986/(1-(1+N986)^-P986)</f>
        <v>0.150562085013545</v>
      </c>
      <c r="S986" s="46" t="n">
        <f aca="false">O986/(1-(1+O986)^-P986)</f>
        <v>0.0664615359206755</v>
      </c>
      <c r="T986" s="37" t="n">
        <f aca="false">p_grid_credit*IF(AND(p_eng=1,ISNUMBER(Country_Data!$CZ$145)),Country_Data!$CZ$145,Country_Data!$CM$145)*Sector_Params!$I$6</f>
        <v>0</v>
      </c>
      <c r="U986" s="37" t="n">
        <f aca="false">p_grid_credit*IF(AND(p_eng=1,ISNUMBER(Country_Data!$DA$145)),Country_Data!$DA$145,Country_Data!$CN$145)*Sector_Params!$J$6</f>
        <v>0</v>
      </c>
      <c r="V986" s="37" t="n">
        <f aca="false">p_grid_credit*IF(AND(p_eng=1,ISNUMBER(Country_Data!$DB$145)),Country_Data!$DB$145,p_a)</f>
        <v>0</v>
      </c>
      <c r="W986" s="16" t="n">
        <f aca="false">T986*L986</f>
        <v>0</v>
      </c>
      <c r="X986" s="16" t="n">
        <f aca="false">U986*L986</f>
        <v>0</v>
      </c>
      <c r="Y986" s="16" t="n">
        <f aca="false">V986*L986</f>
        <v>0</v>
      </c>
      <c r="Z986" s="16" t="n">
        <f aca="false">Q986*L986</f>
        <v>0.00572174192728867</v>
      </c>
      <c r="AA986" s="16" t="n">
        <f aca="false">R986*L986</f>
        <v>0.00805334254947176</v>
      </c>
      <c r="AB986" s="16" t="n">
        <f aca="false">S986*L986</f>
        <v>0.00355492895229945</v>
      </c>
      <c r="AC986" s="16" t="n">
        <f aca="false">Z986-W986</f>
        <v>0.00572174192728867</v>
      </c>
      <c r="AD986" s="16" t="n">
        <f aca="false">AA986-W986</f>
        <v>0.00805334254947176</v>
      </c>
      <c r="AE986" s="16" t="n">
        <f aca="false">AB986-W986</f>
        <v>0.00355492895229945</v>
      </c>
      <c r="AF986" s="16" t="n">
        <f aca="false">AE986-X986</f>
        <v>0.00355492895229945</v>
      </c>
      <c r="AG986" s="16" t="n">
        <f aca="false">AF986-p_spc_lo*Y986/1000</f>
        <v>0.00355492895229945</v>
      </c>
      <c r="AH986" s="16" t="n">
        <f aca="false">AF986-p_spc_hi*Y986/1000</f>
        <v>0.00355492895229945</v>
      </c>
      <c r="AI986" s="16" t="n">
        <f aca="false">Q986*J986</f>
        <v>0.0238405913637028</v>
      </c>
      <c r="AJ986" s="16" t="n">
        <f aca="false">S986*J986</f>
        <v>0.0148122039679144</v>
      </c>
      <c r="AK986" s="16" t="n">
        <f aca="false">T986*J986</f>
        <v>0</v>
      </c>
      <c r="AL986" s="16" t="n">
        <f aca="false">U986*J986</f>
        <v>0</v>
      </c>
      <c r="AM986" s="16" t="n">
        <f aca="false">AI986-AJ986</f>
        <v>0.00902838739578843</v>
      </c>
      <c r="AN986" s="16" t="n">
        <f aca="false">J986*Country_Data!$EB$145</f>
        <v>0.255841191329756</v>
      </c>
      <c r="AO986" s="16" t="n">
        <f aca="false">L986*Country_Data!$EB$145</f>
        <v>0.0614018859191415</v>
      </c>
    </row>
    <row r="987" customFormat="false" ht="15" hidden="false" customHeight="false" outlineLevel="0" collapsed="false">
      <c r="A987" s="14" t="str">
        <f aca="false">Country_Data!$A$145</f>
        <v>BRN</v>
      </c>
      <c r="B987" s="14" t="str">
        <f aca="false">Country_Data!$E$145</f>
        <v>EMDC</v>
      </c>
      <c r="C987" s="35" t="s">
        <v>473</v>
      </c>
      <c r="D987" s="37" t="n">
        <f aca="false">IF(Country_Data!$CA$145="","",Country_Data!$CA$145)</f>
        <v>0.023538874545746</v>
      </c>
      <c r="E987" s="40" t="n">
        <f aca="false">Country_Data!$BW$145</f>
        <v>41.649</v>
      </c>
      <c r="F987" s="41" t="n">
        <f aca="false">Country_Data!$BX$145</f>
        <v>0.368172104972508</v>
      </c>
      <c r="G987" s="42" t="n">
        <f aca="false">IF(D987="","",D987/SUMIFS($D$5:$D$1369,$B$5:$B$1369,B987,$C$5:$C$1369,C987))</f>
        <v>0.000543802770245341</v>
      </c>
      <c r="H987" s="42" t="n">
        <f aca="false">E987/SUMIFS($E$5:$E$1369,$B$5:$B$1369,B987,$C$5:$C$1369,C987)</f>
        <v>0.000515892790321148</v>
      </c>
      <c r="I987" s="43" t="n">
        <f aca="false">IF(G987="",H987,p_beta_alloc*G987+(1-p_beta_alloc)*H987)*F987^p_phi</f>
        <v>0.000321496729658152</v>
      </c>
      <c r="J987" s="16" t="n">
        <f aca="false">INDEX(Sector_Params!$C$18:$E$18,MATCH(B987,Sector_Params!$C$15:$E$15,0))*I987/SUMIFS($I$5:$I$1369,$B$5:$B$1369,B987,$C$5:$C$1369,C987)</f>
        <v>0.131645303791988</v>
      </c>
      <c r="K987" s="28" t="n">
        <f aca="false">INDEX(Sector_Params!$F$7:$H$7,MATCH(B987,Sector_Params!$C$15:$E$15,0))</f>
        <v>0.24</v>
      </c>
      <c r="L987" s="16" t="n">
        <f aca="false">J987*K987</f>
        <v>0.0315948729100772</v>
      </c>
      <c r="M987" s="44" t="n">
        <f aca="false">Country_Data!$DW$145+Sector_Params!$E$7</f>
        <v>0.105</v>
      </c>
      <c r="N987" s="44" t="n">
        <f aca="false">Country_Data!$DX$145+Sector_Params!$E$7</f>
        <v>0.15</v>
      </c>
      <c r="O987" s="11" t="n">
        <f aca="false">IF(p_use_ibrd=1,p_r_ibrd,p_r_wb)</f>
        <v>0.06</v>
      </c>
      <c r="P987" s="45" t="n">
        <f aca="false">Sector_Params!$D$7</f>
        <v>12</v>
      </c>
      <c r="Q987" s="46" t="n">
        <f aca="false">M987/(1-(1+M987)^-P987)</f>
        <v>0.150376745634766</v>
      </c>
      <c r="R987" s="46" t="n">
        <f aca="false">N987/(1-(1+N987)^-P987)</f>
        <v>0.18448077613084</v>
      </c>
      <c r="S987" s="46" t="n">
        <f aca="false">O987/(1-(1+O987)^-P987)</f>
        <v>0.119277029380664</v>
      </c>
      <c r="T987" s="37" t="n">
        <f aca="false">IF(AND(p_eng=1,ISNUMBER(Country_Data!$DE$145)),Country_Data!$DE$145,Country_Data!$CM$145)*Sector_Params!$I$7</f>
        <v>0.1386</v>
      </c>
      <c r="U987" s="37" t="n">
        <f aca="false">IF(AND(p_eng=1,ISNUMBER(Country_Data!$DF$145)),Country_Data!$DF$145,Country_Data!$CN$145)*Sector_Params!$J$7</f>
        <v>0.0053046</v>
      </c>
      <c r="V987" s="37" t="n">
        <f aca="false">IF(AND(p_eng=1,ISNUMBER(Country_Data!$DG$145)),Country_Data!$DG$145,p_a)</f>
        <v>0.248448949640288</v>
      </c>
      <c r="W987" s="16" t="n">
        <f aca="false">T987*L987</f>
        <v>0.0043790493853367</v>
      </c>
      <c r="X987" s="16" t="n">
        <f aca="false">U987*L987</f>
        <v>0.000167598162838795</v>
      </c>
      <c r="Y987" s="16" t="n">
        <f aca="false">V987*L987</f>
        <v>0.00784971298852706</v>
      </c>
      <c r="Z987" s="16" t="n">
        <f aca="false">Q987*L987</f>
        <v>0.00475113416696143</v>
      </c>
      <c r="AA987" s="16" t="n">
        <f aca="false">R987*L987</f>
        <v>0.00582864667620628</v>
      </c>
      <c r="AB987" s="16" t="n">
        <f aca="false">S987*L987</f>
        <v>0.00376854258437361</v>
      </c>
      <c r="AC987" s="16" t="n">
        <f aca="false">Z987-W987</f>
        <v>0.000372084781624729</v>
      </c>
      <c r="AD987" s="16" t="n">
        <f aca="false">AA987-W987</f>
        <v>0.00144959729086958</v>
      </c>
      <c r="AE987" s="16" t="n">
        <f aca="false">AB987-W987</f>
        <v>-0.000610506800963091</v>
      </c>
      <c r="AF987" s="16" t="n">
        <f aca="false">AE987-X987</f>
        <v>-0.000778104963801886</v>
      </c>
      <c r="AG987" s="16" t="n">
        <f aca="false">AF987-p_spc_lo*Y987/1000</f>
        <v>-0.00117059061322824</v>
      </c>
      <c r="AH987" s="16" t="n">
        <f aca="false">AF987-p_spc_hi*Y987/1000</f>
        <v>-0.00156307626265459</v>
      </c>
      <c r="AI987" s="16" t="n">
        <f aca="false">Q987*J987</f>
        <v>0.0197963923623393</v>
      </c>
      <c r="AJ987" s="16" t="n">
        <f aca="false">S987*J987</f>
        <v>0.0157022607682234</v>
      </c>
      <c r="AK987" s="16" t="n">
        <f aca="false">T987*J987</f>
        <v>0.0182460391055696</v>
      </c>
      <c r="AL987" s="16" t="n">
        <f aca="false">U987*J987</f>
        <v>0.000698325678494981</v>
      </c>
      <c r="AM987" s="16" t="n">
        <f aca="false">AI987-AJ987</f>
        <v>0.00409413159411592</v>
      </c>
      <c r="AN987" s="16" t="n">
        <f aca="false">J987*Country_Data!$EB$145</f>
        <v>0.151121595311899</v>
      </c>
      <c r="AO987" s="16" t="n">
        <f aca="false">L987*Country_Data!$EB$145</f>
        <v>0.0362691828748557</v>
      </c>
    </row>
    <row r="988" customFormat="false" ht="15" hidden="false" customHeight="false" outlineLevel="0" collapsed="false">
      <c r="A988" s="14" t="str">
        <f aca="false">Country_Data!$A$145</f>
        <v>BRN</v>
      </c>
      <c r="B988" s="14" t="str">
        <f aca="false">Country_Data!$E$145</f>
        <v>EMDC</v>
      </c>
      <c r="C988" s="35" t="s">
        <v>477</v>
      </c>
      <c r="D988" s="37" t="n">
        <f aca="false">IF(Country_Data!$CB$145="","",Country_Data!$CB$145)</f>
        <v>0.00741848307565902</v>
      </c>
      <c r="E988" s="40" t="n">
        <f aca="false">Country_Data!$BW$145</f>
        <v>41.649</v>
      </c>
      <c r="F988" s="41" t="n">
        <f aca="false">Country_Data!$BX$145</f>
        <v>0.368172104972508</v>
      </c>
      <c r="G988" s="42" t="n">
        <f aca="false">IF(D988="","",D988/SUMIFS($D$5:$D$1369,$B$5:$B$1369,B988,$C$5:$C$1369,C988))</f>
        <v>0.000233927360658842</v>
      </c>
      <c r="H988" s="42" t="n">
        <f aca="false">E988/SUMIFS($E$5:$E$1369,$B$5:$B$1369,B988,$C$5:$C$1369,C988)</f>
        <v>0.000515892790321148</v>
      </c>
      <c r="I988" s="43" t="n">
        <f aca="false">IF(G988="",H988,p_beta_alloc*G988+(1-p_beta_alloc)*H988)*F988^p_phi</f>
        <v>0.000227484888436242</v>
      </c>
      <c r="J988" s="16" t="n">
        <f aca="false">INDEX(Sector_Params!$C$19:$E$19,MATCH(B988,Sector_Params!$C$15:$E$15,0))*I988/SUMIFS($I$5:$I$1369,$B$5:$B$1369,B988,$C$5:$C$1369,C988)</f>
        <v>0.0732188768623993</v>
      </c>
      <c r="K988" s="28" t="n">
        <f aca="false">INDEX(Sector_Params!$F$8:$H$8,MATCH(B988,Sector_Params!$C$15:$E$15,0))</f>
        <v>0.24</v>
      </c>
      <c r="L988" s="16" t="n">
        <f aca="false">J988*K988</f>
        <v>0.0175725304469758</v>
      </c>
      <c r="M988" s="44" t="n">
        <f aca="false">Country_Data!$DW$145+Sector_Params!$E$8</f>
        <v>0.105</v>
      </c>
      <c r="N988" s="44" t="n">
        <f aca="false">Country_Data!$DX$145+Sector_Params!$E$8</f>
        <v>0.15</v>
      </c>
      <c r="O988" s="11" t="n">
        <f aca="false">IF(p_use_ibrd=1,p_r_ibrd,p_r_wb)</f>
        <v>0.06</v>
      </c>
      <c r="P988" s="45" t="n">
        <f aca="false">Sector_Params!$D$8</f>
        <v>25</v>
      </c>
      <c r="Q988" s="46" t="n">
        <f aca="false">M988/(1-(1+M988)^-P988)</f>
        <v>0.114429319813103</v>
      </c>
      <c r="R988" s="46" t="n">
        <f aca="false">N988/(1-(1+N988)^-P988)</f>
        <v>0.154699402320206</v>
      </c>
      <c r="S988" s="46" t="n">
        <f aca="false">O988/(1-(1+O988)^-P988)</f>
        <v>0.078226718212274</v>
      </c>
      <c r="T988" s="37" t="n">
        <f aca="false">Country_Data!$CM$145*Sector_Params!$I$8</f>
        <v>0.0983427844272053</v>
      </c>
      <c r="U988" s="37" t="n">
        <f aca="false">Country_Data!$CN$145*Sector_Params!$J$8</f>
        <v>0.03225</v>
      </c>
      <c r="V988" s="37" t="n">
        <f aca="false">p_a</f>
        <v>0.35</v>
      </c>
      <c r="W988" s="16" t="n">
        <f aca="false">T988*L988</f>
        <v>0.00172813157358745</v>
      </c>
      <c r="X988" s="16" t="n">
        <f aca="false">U988*L988</f>
        <v>0.000566714106914971</v>
      </c>
      <c r="Y988" s="16" t="n">
        <f aca="false">V988*L988</f>
        <v>0.00615038565644154</v>
      </c>
      <c r="Z988" s="16" t="n">
        <f aca="false">Q988*L988</f>
        <v>0.00201081270644249</v>
      </c>
      <c r="AA988" s="16" t="n">
        <f aca="false">R988*L988</f>
        <v>0.00271845995740079</v>
      </c>
      <c r="AB988" s="16" t="n">
        <f aca="false">S988*L988</f>
        <v>0.00137464138755218</v>
      </c>
      <c r="AC988" s="16" t="n">
        <f aca="false">Z988-W988</f>
        <v>0.000282681132855047</v>
      </c>
      <c r="AD988" s="16" t="n">
        <f aca="false">AA988-W988</f>
        <v>0.000990328383813346</v>
      </c>
      <c r="AE988" s="16" t="n">
        <f aca="false">AB988-W988</f>
        <v>-0.000353490186035263</v>
      </c>
      <c r="AF988" s="16" t="n">
        <f aca="false">AE988-X988</f>
        <v>-0.000920204292950234</v>
      </c>
      <c r="AG988" s="16" t="n">
        <f aca="false">AF988-p_spc_lo*Y988/1000</f>
        <v>-0.00122772357577231</v>
      </c>
      <c r="AH988" s="16" t="n">
        <f aca="false">AF988-p_spc_hi*Y988/1000</f>
        <v>-0.00153524285859439</v>
      </c>
      <c r="AI988" s="16" t="n">
        <f aca="false">Q988*J988</f>
        <v>0.00837838627684372</v>
      </c>
      <c r="AJ988" s="16" t="n">
        <f aca="false">S988*J988</f>
        <v>0.0057276724481341</v>
      </c>
      <c r="AK988" s="16" t="n">
        <f aca="false">T988*J988</f>
        <v>0.00720054822328103</v>
      </c>
      <c r="AL988" s="16" t="n">
        <f aca="false">U988*J988</f>
        <v>0.00236130877881238</v>
      </c>
      <c r="AM988" s="16" t="n">
        <f aca="false">AI988-AJ988</f>
        <v>0.00265071382870963</v>
      </c>
      <c r="AN988" s="16" t="n">
        <f aca="false">J988*Country_Data!$EB$145</f>
        <v>0.0840512586447817</v>
      </c>
      <c r="AO988" s="16" t="n">
        <f aca="false">L988*Country_Data!$EB$145</f>
        <v>0.0201723020747476</v>
      </c>
    </row>
    <row r="989" customFormat="false" ht="15" hidden="false" customHeight="false" outlineLevel="0" collapsed="false">
      <c r="A989" s="14" t="str">
        <f aca="false">Country_Data!$A$145</f>
        <v>BRN</v>
      </c>
      <c r="B989" s="14" t="str">
        <f aca="false">Country_Data!$E$145</f>
        <v>EMDC</v>
      </c>
      <c r="C989" s="35" t="s">
        <v>481</v>
      </c>
      <c r="D989" s="37" t="n">
        <f aca="false">IF(Country_Data!$CC$145="","",Country_Data!$CC$145)</f>
        <v>0.0662513085323248</v>
      </c>
      <c r="E989" s="40" t="n">
        <f aca="false">Country_Data!$BW$145</f>
        <v>41.649</v>
      </c>
      <c r="F989" s="41" t="n">
        <f aca="false">Country_Data!$BX$145</f>
        <v>0.368172104972508</v>
      </c>
      <c r="G989" s="42" t="n">
        <f aca="false">IF(D989="","",D989/SUMIFS($D$5:$D$1369,$B$5:$B$1369,B989,$C$5:$C$1369,C989))</f>
        <v>0.000946349148258166</v>
      </c>
      <c r="H989" s="42" t="n">
        <f aca="false">E989/SUMIFS($E$5:$E$1369,$B$5:$B$1369,B989,$C$5:$C$1369,C989)</f>
        <v>0.000515892790321148</v>
      </c>
      <c r="I989" s="43" t="n">
        <f aca="false">IF(G989="",H989,p_beta_alloc*G989+(1-p_beta_alloc)*H989)*F989^p_phi</f>
        <v>0.000443623639388409</v>
      </c>
      <c r="J989" s="16" t="n">
        <f aca="false">INDEX(Sector_Params!$C$20:$E$20,MATCH(B989,Sector_Params!$C$15:$E$15,0))*I989/SUMIFS($I$5:$I$1369,$B$5:$B$1369,B989,$C$5:$C$1369,C989)</f>
        <v>0.0809702477423804</v>
      </c>
      <c r="K989" s="28" t="n">
        <f aca="false">INDEX(Sector_Params!$F$9:$H$9,MATCH(B989,Sector_Params!$C$15:$E$15,0))</f>
        <v>0.24</v>
      </c>
      <c r="L989" s="16" t="n">
        <f aca="false">J989*K989</f>
        <v>0.0194328594581713</v>
      </c>
      <c r="M989" s="44" t="n">
        <f aca="false">Country_Data!$DW$145+Sector_Params!$E$9</f>
        <v>0.105</v>
      </c>
      <c r="N989" s="44" t="n">
        <f aca="false">Country_Data!$DX$145+Sector_Params!$E$9</f>
        <v>0.15</v>
      </c>
      <c r="O989" s="11" t="n">
        <f aca="false">IF(p_use_ibrd=1,p_r_ibrd,p_r_wb)</f>
        <v>0.06</v>
      </c>
      <c r="P989" s="45" t="n">
        <f aca="false">Sector_Params!$D$9</f>
        <v>25</v>
      </c>
      <c r="Q989" s="46" t="n">
        <f aca="false">M989/(1-(1+M989)^-P989)</f>
        <v>0.114429319813103</v>
      </c>
      <c r="R989" s="46" t="n">
        <f aca="false">N989/(1-(1+N989)^-P989)</f>
        <v>0.154699402320206</v>
      </c>
      <c r="S989" s="46" t="n">
        <f aca="false">O989/(1-(1+O989)^-P989)</f>
        <v>0.078226718212274</v>
      </c>
      <c r="T989" s="37" t="n">
        <f aca="false">Country_Data!$CM$145*Sector_Params!$I$9</f>
        <v>0.0983427844272053</v>
      </c>
      <c r="U989" s="37" t="n">
        <f aca="false">Country_Data!$CN$145*Sector_Params!$J$9</f>
        <v>0.03225</v>
      </c>
      <c r="V989" s="37" t="n">
        <f aca="false">p_a</f>
        <v>0.35</v>
      </c>
      <c r="W989" s="16" t="n">
        <f aca="false">T989*L989</f>
        <v>0.00191108150849912</v>
      </c>
      <c r="X989" s="16" t="n">
        <f aca="false">U989*L989</f>
        <v>0.000626709717526024</v>
      </c>
      <c r="Y989" s="16" t="n">
        <f aca="false">V989*L989</f>
        <v>0.00680150081035996</v>
      </c>
      <c r="Z989" s="16" t="n">
        <f aca="false">Q989*L989</f>
        <v>0.00222368888982217</v>
      </c>
      <c r="AA989" s="16" t="n">
        <f aca="false">R989*L989</f>
        <v>0.00300625174355167</v>
      </c>
      <c r="AB989" s="16" t="n">
        <f aca="false">S989*L989</f>
        <v>0.00152016882089309</v>
      </c>
      <c r="AC989" s="16" t="n">
        <f aca="false">Z989-W989</f>
        <v>0.000312607381323056</v>
      </c>
      <c r="AD989" s="16" t="n">
        <f aca="false">AA989-W989</f>
        <v>0.00109517023505255</v>
      </c>
      <c r="AE989" s="16" t="n">
        <f aca="false">AB989-W989</f>
        <v>-0.000390912687606029</v>
      </c>
      <c r="AF989" s="16" t="n">
        <f aca="false">AE989-X989</f>
        <v>-0.00101762240513205</v>
      </c>
      <c r="AG989" s="16" t="n">
        <f aca="false">AF989-p_spc_lo*Y989/1000</f>
        <v>-0.00135769744565005</v>
      </c>
      <c r="AH989" s="16" t="n">
        <f aca="false">AF989-p_spc_hi*Y989/1000</f>
        <v>-0.00169777248616805</v>
      </c>
      <c r="AI989" s="16" t="n">
        <f aca="false">Q989*J989</f>
        <v>0.00926537037425906</v>
      </c>
      <c r="AJ989" s="16" t="n">
        <f aca="false">S989*J989</f>
        <v>0.0063340367537212</v>
      </c>
      <c r="AK989" s="16" t="n">
        <f aca="false">T989*J989</f>
        <v>0.00796283961874632</v>
      </c>
      <c r="AL989" s="16" t="n">
        <f aca="false">U989*J989</f>
        <v>0.00261129048969177</v>
      </c>
      <c r="AM989" s="16" t="n">
        <f aca="false">AI989-AJ989</f>
        <v>0.00293133362053785</v>
      </c>
      <c r="AN989" s="16" t="n">
        <f aca="false">J989*Country_Data!$EB$145</f>
        <v>0.092949407682349</v>
      </c>
      <c r="AO989" s="16" t="n">
        <f aca="false">L989*Country_Data!$EB$145</f>
        <v>0.0223078578437638</v>
      </c>
    </row>
    <row r="990" customFormat="false" ht="15" hidden="false" customHeight="false" outlineLevel="0" collapsed="false">
      <c r="A990" s="14" t="str">
        <f aca="false">Country_Data!$A$145</f>
        <v>BRN</v>
      </c>
      <c r="B990" s="14" t="str">
        <f aca="false">Country_Data!$E$145</f>
        <v>EMDC</v>
      </c>
      <c r="C990" s="35" t="s">
        <v>484</v>
      </c>
      <c r="D990" s="37" t="n">
        <f aca="false">IF(Country_Data!$CD$145="","",Country_Data!$CD$145)</f>
        <v>0.13992258430142</v>
      </c>
      <c r="E990" s="40" t="n">
        <f aca="false">Country_Data!$BW$145</f>
        <v>41.649</v>
      </c>
      <c r="F990" s="41" t="n">
        <f aca="false">Country_Data!$BX$145</f>
        <v>0.368172104972508</v>
      </c>
      <c r="G990" s="42" t="n">
        <f aca="false">IF(D990="","",D990/SUMIFS($D$5:$D$1369,$B$5:$B$1369,B990,$C$5:$C$1369,C990))</f>
        <v>0.000781378827163723</v>
      </c>
      <c r="H990" s="42" t="n">
        <f aca="false">E990/SUMIFS($E$5:$E$1369,$B$5:$B$1369,B990,$C$5:$C$1369,C990)</f>
        <v>0.000515892790321148</v>
      </c>
      <c r="I990" s="43" t="n">
        <f aca="false">IF(G990="",H990,p_beta_alloc*G990+(1-p_beta_alloc)*H990)*F990^p_phi</f>
        <v>0.000393573964089056</v>
      </c>
      <c r="J990" s="16" t="n">
        <f aca="false">INDEX(Sector_Params!$C$21:$E$21,MATCH(B990,Sector_Params!$C$15:$E$15,0))*I990/SUMIFS($I$5:$I$1369,$B$5:$B$1369,B990,$C$5:$C$1369,C990)</f>
        <v>0.0872907011147653</v>
      </c>
      <c r="K990" s="28" t="n">
        <f aca="false">INDEX(Sector_Params!$F$10:$H$10,MATCH(B990,Sector_Params!$C$15:$E$15,0))</f>
        <v>0.24</v>
      </c>
      <c r="L990" s="16" t="n">
        <f aca="false">J990*K990</f>
        <v>0.0209497682675437</v>
      </c>
      <c r="M990" s="44" t="n">
        <f aca="false">Country_Data!$DW$145+Sector_Params!$E$10</f>
        <v>0.105</v>
      </c>
      <c r="N990" s="44" t="n">
        <f aca="false">Country_Data!$DX$145+Sector_Params!$E$10</f>
        <v>0.15</v>
      </c>
      <c r="O990" s="11" t="n">
        <f aca="false">IF(p_use_ibrd=1,p_r_ibrd,p_r_wb)</f>
        <v>0.06</v>
      </c>
      <c r="P990" s="45" t="n">
        <f aca="false">Sector_Params!$D$10</f>
        <v>20</v>
      </c>
      <c r="Q990" s="46" t="n">
        <f aca="false">M990/(1-(1+M990)^-P990)</f>
        <v>0.121493265267016</v>
      </c>
      <c r="R990" s="46" t="n">
        <f aca="false">N990/(1-(1+N990)^-P990)</f>
        <v>0.159761470405744</v>
      </c>
      <c r="S990" s="46" t="n">
        <f aca="false">O990/(1-(1+O990)^-P990)</f>
        <v>0.0871845569768514</v>
      </c>
      <c r="T990" s="37" t="n">
        <f aca="false">0*Sector_Params!$I$10</f>
        <v>0</v>
      </c>
      <c r="U990" s="37" t="n">
        <f aca="false">0*Sector_Params!$J$10</f>
        <v>0</v>
      </c>
      <c r="V990" s="37" t="n">
        <f aca="false">1000*p_r_wb/(1-(1+p_r_wb)^-Sector_Params!$D$10)/p_cpt_fuel</f>
        <v>0.871845569768514</v>
      </c>
      <c r="W990" s="16" t="n">
        <f aca="false">T990*L990</f>
        <v>0</v>
      </c>
      <c r="X990" s="16" t="n">
        <f aca="false">U990*L990</f>
        <v>0</v>
      </c>
      <c r="Y990" s="16" t="n">
        <f aca="false">V990*L990</f>
        <v>0.018264962651735</v>
      </c>
      <c r="Z990" s="16" t="n">
        <f aca="false">Q990*L990</f>
        <v>0.0025452557534112</v>
      </c>
      <c r="AA990" s="16" t="n">
        <f aca="false">R990*L990</f>
        <v>0.00334696578308237</v>
      </c>
      <c r="AB990" s="16" t="n">
        <f aca="false">S990*L990</f>
        <v>0.0018264962651735</v>
      </c>
      <c r="AC990" s="16" t="n">
        <f aca="false">Z990-W990</f>
        <v>0.0025452557534112</v>
      </c>
      <c r="AD990" s="16" t="n">
        <f aca="false">AA990-W990</f>
        <v>0.00334696578308237</v>
      </c>
      <c r="AE990" s="16" t="n">
        <f aca="false">AB990-W990</f>
        <v>0.0018264962651735</v>
      </c>
      <c r="AF990" s="16" t="n">
        <f aca="false">AE990-X990</f>
        <v>0.0018264962651735</v>
      </c>
      <c r="AG990" s="16" t="n">
        <f aca="false">AF990-p_spc_lo*Y990/1000</f>
        <v>0.000913248132586747</v>
      </c>
      <c r="AH990" s="16" t="n">
        <f aca="false">AF990-p_spc_hi*Y990/1000</f>
        <v>0</v>
      </c>
      <c r="AI990" s="16" t="n">
        <f aca="false">Q990*J990</f>
        <v>0.01060523230588</v>
      </c>
      <c r="AJ990" s="16" t="n">
        <f aca="false">S990*J990</f>
        <v>0.00761040110488956</v>
      </c>
      <c r="AK990" s="16" t="n">
        <f aca="false">T990*J990</f>
        <v>0</v>
      </c>
      <c r="AL990" s="16" t="n">
        <f aca="false">U990*J990</f>
        <v>0</v>
      </c>
      <c r="AM990" s="16" t="n">
        <f aca="false">AI990-AJ990</f>
        <v>0.00299483120099044</v>
      </c>
      <c r="AN990" s="16" t="n">
        <f aca="false">J990*Country_Data!$EB$145</f>
        <v>0.100204941827635</v>
      </c>
      <c r="AO990" s="16" t="n">
        <f aca="false">L990*Country_Data!$EB$145</f>
        <v>0.0240491860386323</v>
      </c>
    </row>
    <row r="991" customFormat="false" ht="15" hidden="false" customHeight="false" outlineLevel="0" collapsed="false">
      <c r="A991" s="14" t="str">
        <f aca="false">Country_Data!$A$145</f>
        <v>BRN</v>
      </c>
      <c r="B991" s="14" t="str">
        <f aca="false">Country_Data!$E$145</f>
        <v>EMDC</v>
      </c>
      <c r="C991" s="35" t="s">
        <v>488</v>
      </c>
      <c r="D991" s="37" t="n">
        <f aca="false">IF(Country_Data!$CE$145="","",Country_Data!$CE$145)</f>
        <v>6.406</v>
      </c>
      <c r="E991" s="40" t="n">
        <f aca="false">Country_Data!$BW$145</f>
        <v>41.649</v>
      </c>
      <c r="F991" s="41" t="n">
        <f aca="false">Country_Data!$BX$145</f>
        <v>0.368172104972508</v>
      </c>
      <c r="G991" s="42" t="n">
        <f aca="false">IF(D991="","",D991/SUMIFS($D$5:$D$1369,$B$5:$B$1369,B991,$C$5:$C$1369,C991))</f>
        <v>0.000524905134417831</v>
      </c>
      <c r="H991" s="42" t="n">
        <f aca="false">E991/SUMIFS($E$5:$E$1369,$B$5:$B$1369,B991,$C$5:$C$1369,C991)</f>
        <v>0.000515892790321148</v>
      </c>
      <c r="I991" s="43" t="n">
        <f aca="false">IF(G991="",H991,p_beta_alloc*G991+(1-p_beta_alloc)*H991)*F991^p_phi</f>
        <v>0.000315763452721928</v>
      </c>
      <c r="J991" s="16" t="n">
        <f aca="false">INDEX(Sector_Params!$C$22:$E$22,MATCH(B991,Sector_Params!$C$15:$E$15,0))*I991/SUMIFS($I$5:$I$1369,$B$5:$B$1369,B991,$C$5:$C$1369,C991)</f>
        <v>0.190344857993739</v>
      </c>
      <c r="K991" s="28" t="n">
        <f aca="false">INDEX(Sector_Params!$F$11:$H$11,MATCH(B991,Sector_Params!$C$15:$E$15,0))</f>
        <v>0.24</v>
      </c>
      <c r="L991" s="16" t="n">
        <f aca="false">J991*K991</f>
        <v>0.0456827659184975</v>
      </c>
      <c r="M991" s="44" t="n">
        <f aca="false">Country_Data!$DW$145+Sector_Params!$E$11</f>
        <v>0.105</v>
      </c>
      <c r="N991" s="44" t="n">
        <f aca="false">Country_Data!$DX$145+Sector_Params!$E$11</f>
        <v>0.15</v>
      </c>
      <c r="O991" s="11" t="n">
        <f aca="false">IF(p_use_ibrd=1,p_r_ibrd,p_r_wb)</f>
        <v>0.06</v>
      </c>
      <c r="P991" s="45" t="n">
        <f aca="false">Sector_Params!$D$11</f>
        <v>30</v>
      </c>
      <c r="Q991" s="46" t="n">
        <f aca="false">M991/(1-(1+M991)^-P991)</f>
        <v>0.110528481529605</v>
      </c>
      <c r="R991" s="46" t="n">
        <f aca="false">N991/(1-(1+N991)^-P991)</f>
        <v>0.152300198192734</v>
      </c>
      <c r="S991" s="46" t="n">
        <f aca="false">O991/(1-(1+O991)^-P991)</f>
        <v>0.0726489114900472</v>
      </c>
      <c r="T991" s="37" t="n">
        <f aca="false">0*Sector_Params!$I$11</f>
        <v>0</v>
      </c>
      <c r="U991" s="37" t="n">
        <f aca="false">p_c*Sector_Params!$J$11</f>
        <v>0.129</v>
      </c>
      <c r="V991" s="37" t="n">
        <f aca="false">1000*p_r_wb/(1-(1+p_r_wb)^-Sector_Params!$D$11)/p_cpt_afolu</f>
        <v>1.45297822980094</v>
      </c>
      <c r="W991" s="16" t="n">
        <f aca="false">T991*L991</f>
        <v>0</v>
      </c>
      <c r="X991" s="16" t="n">
        <f aca="false">U991*L991</f>
        <v>0.00589307680348617</v>
      </c>
      <c r="Y991" s="16" t="n">
        <f aca="false">V991*L991</f>
        <v>0.0663760643566694</v>
      </c>
      <c r="Z991" s="16" t="n">
        <f aca="false">Q991*L991</f>
        <v>0.00504924674904392</v>
      </c>
      <c r="AA991" s="16" t="n">
        <f aca="false">R991*L991</f>
        <v>0.00695749430337945</v>
      </c>
      <c r="AB991" s="16" t="n">
        <f aca="false">S991*L991</f>
        <v>0.00331880321783347</v>
      </c>
      <c r="AC991" s="16" t="n">
        <f aca="false">Z991-W991</f>
        <v>0.00504924674904392</v>
      </c>
      <c r="AD991" s="16" t="n">
        <f aca="false">AA991-W991</f>
        <v>0.00695749430337945</v>
      </c>
      <c r="AE991" s="16" t="n">
        <f aca="false">AB991-W991</f>
        <v>0.00331880321783347</v>
      </c>
      <c r="AF991" s="16" t="n">
        <f aca="false">AE991-X991</f>
        <v>-0.00257427358565271</v>
      </c>
      <c r="AG991" s="16" t="n">
        <f aca="false">AF991-p_spc_lo*Y991/1000</f>
        <v>-0.00589307680348617</v>
      </c>
      <c r="AH991" s="16" t="n">
        <f aca="false">AF991-p_spc_hi*Y991/1000</f>
        <v>-0.00921188002131964</v>
      </c>
      <c r="AI991" s="16" t="n">
        <f aca="false">Q991*J991</f>
        <v>0.0210385281210164</v>
      </c>
      <c r="AJ991" s="16" t="n">
        <f aca="false">S991*J991</f>
        <v>0.0138283467409728</v>
      </c>
      <c r="AK991" s="16" t="n">
        <f aca="false">T991*J991</f>
        <v>0</v>
      </c>
      <c r="AL991" s="16" t="n">
        <f aca="false">U991*J991</f>
        <v>0.0245544866811924</v>
      </c>
      <c r="AM991" s="16" t="n">
        <f aca="false">AI991-AJ991</f>
        <v>0.00721018138004357</v>
      </c>
      <c r="AN991" s="16" t="n">
        <f aca="false">J991*Country_Data!$EB$145</f>
        <v>0.21850546712158</v>
      </c>
      <c r="AO991" s="16" t="n">
        <f aca="false">L991*Country_Data!$EB$145</f>
        <v>0.0524413121091793</v>
      </c>
    </row>
    <row r="992" customFormat="false" ht="15" hidden="false" customHeight="false" outlineLevel="0" collapsed="false">
      <c r="A992" s="14" t="str">
        <f aca="false">Country_Data!$A$146</f>
        <v>RWA</v>
      </c>
      <c r="B992" s="14" t="str">
        <f aca="false">Country_Data!$E$146</f>
        <v>EMDC</v>
      </c>
      <c r="C992" s="35" t="s">
        <v>466</v>
      </c>
      <c r="D992" s="37" t="n">
        <f aca="false">IF(Country_Data!$BZ$146="","",Country_Data!$BZ$146)</f>
        <v>1.09075883053775</v>
      </c>
      <c r="E992" s="40" t="n">
        <f aca="false">Country_Data!$BW$146</f>
        <v>53.943</v>
      </c>
      <c r="F992" s="41" t="n">
        <f aca="false">Country_Data!$BX$146</f>
        <v>0.280129025082031</v>
      </c>
      <c r="G992" s="42" t="n">
        <f aca="false">IF(D992="","",D992/SUMIFS($D$5:$D$1369,$B$5:$B$1369,B992,$C$5:$C$1369,C992))</f>
        <v>0.000124523357332382</v>
      </c>
      <c r="H992" s="42" t="n">
        <f aca="false">E992/SUMIFS($E$5:$E$1369,$B$5:$B$1369,B992,$C$5:$C$1369,C992)</f>
        <v>0.000668174620958335</v>
      </c>
      <c r="I992" s="43" t="n">
        <f aca="false">IF(G992="",H992,p_beta_alloc*G992+(1-p_beta_alloc)*H992)*F992^p_phi</f>
        <v>0.000209776487744616</v>
      </c>
      <c r="J992" s="16" t="n">
        <f aca="false">INDEX(Sector_Params!$C$16:$E$16,MATCH(B992,Sector_Params!$C$15:$E$15,0))*I992/SUMIFS($I$5:$I$1369,$B$5:$B$1369,B992,$C$5:$C$1369,C992)</f>
        <v>0.202901137239084</v>
      </c>
      <c r="K992" s="28" t="n">
        <f aca="false">INDEX(Sector_Params!$F$5:$H$5,MATCH(B992,Sector_Params!$C$15:$E$15,0))</f>
        <v>0.24</v>
      </c>
      <c r="L992" s="16" t="n">
        <f aca="false">J992*K992</f>
        <v>0.0486962729373801</v>
      </c>
      <c r="M992" s="44" t="n">
        <f aca="false">Country_Data!$DW$146+Sector_Params!$E$5</f>
        <v>0.0771200000000001</v>
      </c>
      <c r="N992" s="44" t="n">
        <f aca="false">Country_Data!$DX$146+Sector_Params!$E$5</f>
        <v>0.12212</v>
      </c>
      <c r="O992" s="11" t="n">
        <f aca="false">IF(p_use_ibrd=1,p_r_ibrd,p_r_wb)</f>
        <v>0.06</v>
      </c>
      <c r="P992" s="45" t="n">
        <f aca="false">Sector_Params!$D$5</f>
        <v>25</v>
      </c>
      <c r="Q992" s="46" t="n">
        <f aca="false">M992/(1-(1+M992)^-P992)</f>
        <v>0.0913850346868597</v>
      </c>
      <c r="R992" s="46" t="n">
        <f aca="false">N992/(1-(1+N992)^-P992)</f>
        <v>0.1293790782264</v>
      </c>
      <c r="S992" s="46" t="n">
        <f aca="false">O992/(1-(1+O992)^-P992)</f>
        <v>0.078226718212274</v>
      </c>
      <c r="T992" s="37" t="n">
        <f aca="false">IF(AND(p_eng=1,ISNUMBER(Country_Data!$CZ$146)),Country_Data!$CZ$146,Country_Data!$CM$146)*Sector_Params!$I$5</f>
        <v>0.0811665057901998</v>
      </c>
      <c r="U992" s="37" t="n">
        <f aca="false">IF(AND(p_eng=1,ISNUMBER(Country_Data!$DA$146)),Country_Data!$DA$146,Country_Data!$CN$146)*Sector_Params!$J$5</f>
        <v>0.00127150320063068</v>
      </c>
      <c r="V992" s="37" t="n">
        <f aca="false">IF(AND(p_eng=1,ISNUMBER(Country_Data!$DB$146)),Country_Data!$DB$146,p_a)</f>
        <v>0.750087697589258</v>
      </c>
      <c r="W992" s="16" t="n">
        <f aca="false">T992*L992</f>
        <v>0.00395250631933301</v>
      </c>
      <c r="X992" s="16" t="n">
        <f aca="false">U992*L992</f>
        <v>6.19174668986638E-005</v>
      </c>
      <c r="Y992" s="16" t="n">
        <f aca="false">V992*L992</f>
        <v>0.0365264752487776</v>
      </c>
      <c r="Z992" s="16" t="n">
        <f aca="false">Q992*L992</f>
        <v>0.00445011059150327</v>
      </c>
      <c r="AA992" s="16" t="n">
        <f aca="false">R992*L992</f>
        <v>0.00630027890569944</v>
      </c>
      <c r="AB992" s="16" t="n">
        <f aca="false">S992*L992</f>
        <v>0.00380934962106042</v>
      </c>
      <c r="AC992" s="16" t="n">
        <f aca="false">Z992-W992</f>
        <v>0.00049760427217026</v>
      </c>
      <c r="AD992" s="16" t="n">
        <f aca="false">AA992-W992</f>
        <v>0.00234777258636643</v>
      </c>
      <c r="AE992" s="16" t="n">
        <f aca="false">AB992-W992</f>
        <v>-0.000143156698272595</v>
      </c>
      <c r="AF992" s="16" t="n">
        <f aca="false">AE992-X992</f>
        <v>-0.000205074165171259</v>
      </c>
      <c r="AG992" s="16" t="n">
        <f aca="false">AF992-p_spc_lo*Y992/1000</f>
        <v>-0.00203139792761014</v>
      </c>
      <c r="AH992" s="16" t="n">
        <f aca="false">AF992-p_spc_hi*Y992/1000</f>
        <v>-0.00385772169004902</v>
      </c>
      <c r="AI992" s="16" t="n">
        <f aca="false">Q992*J992</f>
        <v>0.018542127464597</v>
      </c>
      <c r="AJ992" s="16" t="n">
        <f aca="false">S992*J992</f>
        <v>0.0158722900877517</v>
      </c>
      <c r="AK992" s="16" t="n">
        <f aca="false">T992*J992</f>
        <v>0.0164687763305542</v>
      </c>
      <c r="AL992" s="16" t="n">
        <f aca="false">U992*J992</f>
        <v>0.000257989445411099</v>
      </c>
      <c r="AM992" s="16" t="n">
        <f aca="false">AI992-AJ992</f>
        <v>0.00266983737684523</v>
      </c>
      <c r="AN992" s="16" t="n">
        <f aca="false">J992*Country_Data!$EB$146</f>
        <v>0.220116991307855</v>
      </c>
      <c r="AO992" s="16" t="n">
        <f aca="false">L992*Country_Data!$EB$146</f>
        <v>0.0528280779138851</v>
      </c>
    </row>
    <row r="993" customFormat="false" ht="15" hidden="false" customHeight="false" outlineLevel="0" collapsed="false">
      <c r="A993" s="14" t="str">
        <f aca="false">Country_Data!$A$146</f>
        <v>RWA</v>
      </c>
      <c r="B993" s="14" t="str">
        <f aca="false">Country_Data!$E$146</f>
        <v>EMDC</v>
      </c>
      <c r="C993" s="35" t="s">
        <v>470</v>
      </c>
      <c r="D993" s="37" t="n">
        <f aca="false">IF(Country_Data!$BZ$146="","",Country_Data!$BZ$146)</f>
        <v>1.09075883053775</v>
      </c>
      <c r="E993" s="40" t="n">
        <f aca="false">Country_Data!$BW$146</f>
        <v>53.943</v>
      </c>
      <c r="F993" s="41" t="n">
        <f aca="false">Country_Data!$BX$146</f>
        <v>0.280129025082031</v>
      </c>
      <c r="G993" s="42" t="n">
        <f aca="false">IF(D993="","",D993/SUMIFS($D$5:$D$1369,$B$5:$B$1369,B993,$C$5:$C$1369,C993))</f>
        <v>0.000124523357332382</v>
      </c>
      <c r="H993" s="42" t="n">
        <f aca="false">E993/SUMIFS($E$5:$E$1369,$B$5:$B$1369,B993,$C$5:$C$1369,C993)</f>
        <v>0.000668174620958335</v>
      </c>
      <c r="I993" s="43" t="n">
        <f aca="false">IF(G993="",H993,p_beta_alloc*G993+(1-p_beta_alloc)*H993)*F993^p_phi</f>
        <v>0.000209776487744616</v>
      </c>
      <c r="J993" s="16" t="n">
        <f aca="false">INDEX(Sector_Params!$C$17:$E$17,MATCH(B993,Sector_Params!$C$15:$E$15,0))*I993/SUMIFS($I$5:$I$1369,$B$5:$B$1369,B993,$C$5:$C$1369,C993)</f>
        <v>0.139132208392515</v>
      </c>
      <c r="K993" s="28" t="n">
        <f aca="false">INDEX(Sector_Params!$F$6:$H$6,MATCH(B993,Sector_Params!$C$15:$E$15,0))</f>
        <v>0.24</v>
      </c>
      <c r="L993" s="16" t="n">
        <f aca="false">J993*K993</f>
        <v>0.0333917300142035</v>
      </c>
      <c r="M993" s="44" t="n">
        <f aca="false">Country_Data!$DW$146+Sector_Params!$E$6</f>
        <v>0.0771200000000001</v>
      </c>
      <c r="N993" s="44" t="n">
        <f aca="false">Country_Data!$DX$146+Sector_Params!$E$6</f>
        <v>0.12212</v>
      </c>
      <c r="O993" s="11" t="n">
        <f aca="false">IF(p_use_ibrd=1,p_r_ibrd,p_r_wb)</f>
        <v>0.06</v>
      </c>
      <c r="P993" s="45" t="n">
        <f aca="false">Sector_Params!$D$6</f>
        <v>40</v>
      </c>
      <c r="Q993" s="46" t="n">
        <f aca="false">M993/(1-(1+M993)^-P993)</f>
        <v>0.0812833002244821</v>
      </c>
      <c r="R993" s="46" t="n">
        <f aca="false">N993/(1-(1+N993)^-P993)</f>
        <v>0.123349033238365</v>
      </c>
      <c r="S993" s="46" t="n">
        <f aca="false">O993/(1-(1+O993)^-P993)</f>
        <v>0.0664615359206755</v>
      </c>
      <c r="T993" s="37" t="n">
        <f aca="false">p_grid_credit*IF(AND(p_eng=1,ISNUMBER(Country_Data!$CZ$146)),Country_Data!$CZ$146,Country_Data!$CM$146)*Sector_Params!$I$6</f>
        <v>0</v>
      </c>
      <c r="U993" s="37" t="n">
        <f aca="false">p_grid_credit*IF(AND(p_eng=1,ISNUMBER(Country_Data!$DA$146)),Country_Data!$DA$146,Country_Data!$CN$146)*Sector_Params!$J$6</f>
        <v>0</v>
      </c>
      <c r="V993" s="37" t="n">
        <f aca="false">p_grid_credit*IF(AND(p_eng=1,ISNUMBER(Country_Data!$DB$146)),Country_Data!$DB$146,p_a)</f>
        <v>0</v>
      </c>
      <c r="W993" s="16" t="n">
        <f aca="false">T993*L993</f>
        <v>0</v>
      </c>
      <c r="X993" s="16" t="n">
        <f aca="false">U993*L993</f>
        <v>0</v>
      </c>
      <c r="Y993" s="16" t="n">
        <f aca="false">V993*L993</f>
        <v>0</v>
      </c>
      <c r="Z993" s="16" t="n">
        <f aca="false">Q993*L993</f>
        <v>0.00271419001575935</v>
      </c>
      <c r="AA993" s="16" t="n">
        <f aca="false">R993*L993</f>
        <v>0.00411883761540851</v>
      </c>
      <c r="AB993" s="16" t="n">
        <f aca="false">S993*L993</f>
        <v>0.00221926566379249</v>
      </c>
      <c r="AC993" s="16" t="n">
        <f aca="false">Z993-W993</f>
        <v>0.00271419001575935</v>
      </c>
      <c r="AD993" s="16" t="n">
        <f aca="false">AA993-W993</f>
        <v>0.00411883761540851</v>
      </c>
      <c r="AE993" s="16" t="n">
        <f aca="false">AB993-W993</f>
        <v>0.00221926566379249</v>
      </c>
      <c r="AF993" s="16" t="n">
        <f aca="false">AE993-X993</f>
        <v>0.00221926566379249</v>
      </c>
      <c r="AG993" s="16" t="n">
        <f aca="false">AF993-p_spc_lo*Y993/1000</f>
        <v>0.00221926566379249</v>
      </c>
      <c r="AH993" s="16" t="n">
        <f aca="false">AF993-p_spc_hi*Y993/1000</f>
        <v>0.00221926566379249</v>
      </c>
      <c r="AI993" s="16" t="n">
        <f aca="false">Q993*J993</f>
        <v>0.011309125065664</v>
      </c>
      <c r="AJ993" s="16" t="n">
        <f aca="false">S993*J993</f>
        <v>0.00924694026580202</v>
      </c>
      <c r="AK993" s="16" t="n">
        <f aca="false">T993*J993</f>
        <v>0</v>
      </c>
      <c r="AL993" s="16" t="n">
        <f aca="false">U993*J993</f>
        <v>0</v>
      </c>
      <c r="AM993" s="16" t="n">
        <f aca="false">AI993-AJ993</f>
        <v>0.00206218479986195</v>
      </c>
      <c r="AN993" s="16" t="n">
        <f aca="false">J993*Country_Data!$EB$146</f>
        <v>0.150937365468243</v>
      </c>
      <c r="AO993" s="16" t="n">
        <f aca="false">L993*Country_Data!$EB$146</f>
        <v>0.0362249677123784</v>
      </c>
    </row>
    <row r="994" customFormat="false" ht="15" hidden="false" customHeight="false" outlineLevel="0" collapsed="false">
      <c r="A994" s="14" t="str">
        <f aca="false">Country_Data!$A$146</f>
        <v>RWA</v>
      </c>
      <c r="B994" s="14" t="str">
        <f aca="false">Country_Data!$E$146</f>
        <v>EMDC</v>
      </c>
      <c r="C994" s="35" t="s">
        <v>473</v>
      </c>
      <c r="D994" s="37" t="n">
        <f aca="false">IF(Country_Data!$CA$146="","",Country_Data!$CA$146)</f>
        <v>0.0130413571515083</v>
      </c>
      <c r="E994" s="40" t="n">
        <f aca="false">Country_Data!$BW$146</f>
        <v>53.943</v>
      </c>
      <c r="F994" s="41" t="n">
        <f aca="false">Country_Data!$BX$146</f>
        <v>0.280129025082031</v>
      </c>
      <c r="G994" s="42" t="n">
        <f aca="false">IF(D994="","",D994/SUMIFS($D$5:$D$1369,$B$5:$B$1369,B994,$C$5:$C$1369,C994))</f>
        <v>0.000301285693713457</v>
      </c>
      <c r="H994" s="42" t="n">
        <f aca="false">E994/SUMIFS($E$5:$E$1369,$B$5:$B$1369,B994,$C$5:$C$1369,C994)</f>
        <v>0.000668174620958335</v>
      </c>
      <c r="I994" s="43" t="n">
        <f aca="false">IF(G994="",H994,p_beta_alloc*G994+(1-p_beta_alloc)*H994)*F994^p_phi</f>
        <v>0.000256554180014641</v>
      </c>
      <c r="J994" s="16" t="n">
        <f aca="false">INDEX(Sector_Params!$C$18:$E$18,MATCH(B994,Sector_Params!$C$15:$E$15,0))*I994/SUMIFS($I$5:$I$1369,$B$5:$B$1369,B994,$C$5:$C$1369,C994)</f>
        <v>0.105052866332557</v>
      </c>
      <c r="K994" s="28" t="n">
        <f aca="false">INDEX(Sector_Params!$F$7:$H$7,MATCH(B994,Sector_Params!$C$15:$E$15,0))</f>
        <v>0.24</v>
      </c>
      <c r="L994" s="16" t="n">
        <f aca="false">J994*K994</f>
        <v>0.0252126879198136</v>
      </c>
      <c r="M994" s="44" t="n">
        <f aca="false">Country_Data!$DW$146+Sector_Params!$E$7</f>
        <v>0.0771200000000001</v>
      </c>
      <c r="N994" s="44" t="n">
        <f aca="false">Country_Data!$DX$146+Sector_Params!$E$7</f>
        <v>0.12212</v>
      </c>
      <c r="O994" s="11" t="n">
        <f aca="false">IF(p_use_ibrd=1,p_r_ibrd,p_r_wb)</f>
        <v>0.06</v>
      </c>
      <c r="P994" s="45" t="n">
        <f aca="false">Sector_Params!$D$7</f>
        <v>12</v>
      </c>
      <c r="Q994" s="46" t="n">
        <f aca="false">M994/(1-(1+M994)^-P994)</f>
        <v>0.130721709173703</v>
      </c>
      <c r="R994" s="46" t="n">
        <f aca="false">N994/(1-(1+N994)^-P994)</f>
        <v>0.163025776473108</v>
      </c>
      <c r="S994" s="46" t="n">
        <f aca="false">O994/(1-(1+O994)^-P994)</f>
        <v>0.119277029380664</v>
      </c>
      <c r="T994" s="37" t="n">
        <f aca="false">IF(AND(p_eng=1,ISNUMBER(Country_Data!$DE$146)),Country_Data!$DE$146,Country_Data!$CM$146)*Sector_Params!$I$7</f>
        <v>0.14062824</v>
      </c>
      <c r="U994" s="37" t="n">
        <f aca="false">IF(AND(p_eng=1,ISNUMBER(Country_Data!$DF$146)),Country_Data!$DF$146,Country_Data!$CN$146)*Sector_Params!$J$7</f>
        <v>0.00115425</v>
      </c>
      <c r="V994" s="37" t="n">
        <f aca="false">IF(AND(p_eng=1,ISNUMBER(Country_Data!$DG$146)),Country_Data!$DG$146,p_a)</f>
        <v>0.357254561946903</v>
      </c>
      <c r="W994" s="16" t="n">
        <f aca="false">T994*L994</f>
        <v>0.00354561592783264</v>
      </c>
      <c r="X994" s="16" t="n">
        <f aca="false">U994*L994</f>
        <v>2.91017450314448E-005</v>
      </c>
      <c r="Y994" s="16" t="n">
        <f aca="false">V994*L994</f>
        <v>0.00900734777829696</v>
      </c>
      <c r="Z994" s="16" t="n">
        <f aca="false">Q994*L994</f>
        <v>0.00329584565774121</v>
      </c>
      <c r="AA994" s="16" t="n">
        <f aca="false">R994*L994</f>
        <v>0.00411031802510177</v>
      </c>
      <c r="AB994" s="16" t="n">
        <f aca="false">S994*L994</f>
        <v>0.0030072945177771</v>
      </c>
      <c r="AC994" s="16" t="n">
        <f aca="false">Z994-W994</f>
        <v>-0.000249770270091429</v>
      </c>
      <c r="AD994" s="16" t="n">
        <f aca="false">AA994-W994</f>
        <v>0.000564702097269124</v>
      </c>
      <c r="AE994" s="16" t="n">
        <f aca="false">AB994-W994</f>
        <v>-0.00053832141005554</v>
      </c>
      <c r="AF994" s="16" t="n">
        <f aca="false">AE994-X994</f>
        <v>-0.000567423155086985</v>
      </c>
      <c r="AG994" s="16" t="n">
        <f aca="false">AF994-p_spc_lo*Y994/1000</f>
        <v>-0.00101779054400183</v>
      </c>
      <c r="AH994" s="16" t="n">
        <f aca="false">AF994-p_spc_hi*Y994/1000</f>
        <v>-0.00146815793291668</v>
      </c>
      <c r="AI994" s="16" t="n">
        <f aca="false">Q994*J994</f>
        <v>0.0137326902405884</v>
      </c>
      <c r="AJ994" s="16" t="n">
        <f aca="false">S994*J994</f>
        <v>0.0125303938240713</v>
      </c>
      <c r="AK994" s="16" t="n">
        <f aca="false">T994*J994</f>
        <v>0.0147733996993027</v>
      </c>
      <c r="AL994" s="16" t="n">
        <f aca="false">U994*J994</f>
        <v>0.000121257270964353</v>
      </c>
      <c r="AM994" s="16" t="n">
        <f aca="false">AI994-AJ994</f>
        <v>0.00120229641651713</v>
      </c>
      <c r="AN994" s="16" t="n">
        <f aca="false">J994*Country_Data!$EB$146</f>
        <v>0.113966442869864</v>
      </c>
      <c r="AO994" s="16" t="n">
        <f aca="false">L994*Country_Data!$EB$146</f>
        <v>0.0273519462887674</v>
      </c>
    </row>
    <row r="995" customFormat="false" ht="15" hidden="false" customHeight="false" outlineLevel="0" collapsed="false">
      <c r="A995" s="14" t="str">
        <f aca="false">Country_Data!$A$146</f>
        <v>RWA</v>
      </c>
      <c r="B995" s="14" t="str">
        <f aca="false">Country_Data!$E$146</f>
        <v>EMDC</v>
      </c>
      <c r="C995" s="35" t="s">
        <v>477</v>
      </c>
      <c r="D995" s="37" t="n">
        <f aca="false">IF(Country_Data!$CB$146="","",Country_Data!$CB$146)</f>
        <v>0.00253350982379267</v>
      </c>
      <c r="E995" s="40" t="n">
        <f aca="false">Country_Data!$BW$146</f>
        <v>53.943</v>
      </c>
      <c r="F995" s="41" t="n">
        <f aca="false">Country_Data!$BX$146</f>
        <v>0.280129025082031</v>
      </c>
      <c r="G995" s="42" t="n">
        <f aca="false">IF(D995="","",D995/SUMIFS($D$5:$D$1369,$B$5:$B$1369,B995,$C$5:$C$1369,C995))</f>
        <v>7.98892792823982E-005</v>
      </c>
      <c r="H995" s="42" t="n">
        <f aca="false">E995/SUMIFS($E$5:$E$1369,$B$5:$B$1369,B995,$C$5:$C$1369,C995)</f>
        <v>0.000668174620958335</v>
      </c>
      <c r="I995" s="43" t="n">
        <f aca="false">IF(G995="",H995,p_beta_alloc*G995+(1-p_beta_alloc)*H995)*F995^p_phi</f>
        <v>0.00019796470017423</v>
      </c>
      <c r="J995" s="16" t="n">
        <f aca="false">INDEX(Sector_Params!$C$19:$E$19,MATCH(B995,Sector_Params!$C$15:$E$15,0))*I995/SUMIFS($I$5:$I$1369,$B$5:$B$1369,B995,$C$5:$C$1369,C995)</f>
        <v>0.0637174324184669</v>
      </c>
      <c r="K995" s="28" t="n">
        <f aca="false">INDEX(Sector_Params!$F$8:$H$8,MATCH(B995,Sector_Params!$C$15:$E$15,0))</f>
        <v>0.24</v>
      </c>
      <c r="L995" s="16" t="n">
        <f aca="false">J995*K995</f>
        <v>0.0152921837804321</v>
      </c>
      <c r="M995" s="44" t="n">
        <f aca="false">Country_Data!$DW$146+Sector_Params!$E$8</f>
        <v>0.0771200000000001</v>
      </c>
      <c r="N995" s="44" t="n">
        <f aca="false">Country_Data!$DX$146+Sector_Params!$E$8</f>
        <v>0.12212</v>
      </c>
      <c r="O995" s="11" t="n">
        <f aca="false">IF(p_use_ibrd=1,p_r_ibrd,p_r_wb)</f>
        <v>0.06</v>
      </c>
      <c r="P995" s="45" t="n">
        <f aca="false">Sector_Params!$D$8</f>
        <v>25</v>
      </c>
      <c r="Q995" s="46" t="n">
        <f aca="false">M995/(1-(1+M995)^-P995)</f>
        <v>0.0913850346868597</v>
      </c>
      <c r="R995" s="46" t="n">
        <f aca="false">N995/(1-(1+N995)^-P995)</f>
        <v>0.1293790782264</v>
      </c>
      <c r="S995" s="46" t="n">
        <f aca="false">O995/(1-(1+O995)^-P995)</f>
        <v>0.078226718212274</v>
      </c>
      <c r="T995" s="37" t="n">
        <f aca="false">Country_Data!$CM$146*Sector_Params!$I$8</f>
        <v>0.170127514140785</v>
      </c>
      <c r="U995" s="37" t="n">
        <f aca="false">Country_Data!$CN$146*Sector_Params!$J$8</f>
        <v>0.03225</v>
      </c>
      <c r="V995" s="37" t="n">
        <f aca="false">p_a</f>
        <v>0.35</v>
      </c>
      <c r="W995" s="16" t="n">
        <f aca="false">T995*L995</f>
        <v>0.00260162121234894</v>
      </c>
      <c r="X995" s="16" t="n">
        <f aca="false">U995*L995</f>
        <v>0.000493172926918934</v>
      </c>
      <c r="Y995" s="16" t="n">
        <f aca="false">V995*L995</f>
        <v>0.00535226432315122</v>
      </c>
      <c r="Z995" s="16" t="n">
        <f aca="false">Q995*L995</f>
        <v>0.00139747674521262</v>
      </c>
      <c r="AA995" s="16" t="n">
        <f aca="false">R995*L995</f>
        <v>0.00197848864158101</v>
      </c>
      <c r="AB995" s="16" t="n">
        <f aca="false">S995*L995</f>
        <v>0.00119625735144216</v>
      </c>
      <c r="AC995" s="16" t="n">
        <f aca="false">Z995-W995</f>
        <v>-0.00120414446713633</v>
      </c>
      <c r="AD995" s="16" t="n">
        <f aca="false">AA995-W995</f>
        <v>-0.000623132570767936</v>
      </c>
      <c r="AE995" s="16" t="n">
        <f aca="false">AB995-W995</f>
        <v>-0.00140536386090678</v>
      </c>
      <c r="AF995" s="16" t="n">
        <f aca="false">AE995-X995</f>
        <v>-0.00189853678782571</v>
      </c>
      <c r="AG995" s="16" t="n">
        <f aca="false">AF995-p_spc_lo*Y995/1000</f>
        <v>-0.00216615000398327</v>
      </c>
      <c r="AH995" s="16" t="n">
        <f aca="false">AF995-p_spc_hi*Y995/1000</f>
        <v>-0.00243376322014083</v>
      </c>
      <c r="AI995" s="16" t="n">
        <f aca="false">Q995*J995</f>
        <v>0.00582281977171924</v>
      </c>
      <c r="AJ995" s="16" t="n">
        <f aca="false">S995*J995</f>
        <v>0.00498440563100902</v>
      </c>
      <c r="AK995" s="16" t="n">
        <f aca="false">T995*J995</f>
        <v>0.0108400883847873</v>
      </c>
      <c r="AL995" s="16" t="n">
        <f aca="false">U995*J995</f>
        <v>0.00205488719549556</v>
      </c>
      <c r="AM995" s="16" t="n">
        <f aca="false">AI995-AJ995</f>
        <v>0.00083841414071022</v>
      </c>
      <c r="AN995" s="16" t="n">
        <f aca="false">J995*Country_Data!$EB$146</f>
        <v>0.0691237600176096</v>
      </c>
      <c r="AO995" s="16" t="n">
        <f aca="false">L995*Country_Data!$EB$146</f>
        <v>0.0165897024042263</v>
      </c>
    </row>
    <row r="996" customFormat="false" ht="15" hidden="false" customHeight="false" outlineLevel="0" collapsed="false">
      <c r="A996" s="14" t="str">
        <f aca="false">Country_Data!$A$146</f>
        <v>RWA</v>
      </c>
      <c r="B996" s="14" t="str">
        <f aca="false">Country_Data!$E$146</f>
        <v>EMDC</v>
      </c>
      <c r="C996" s="35" t="s">
        <v>481</v>
      </c>
      <c r="D996" s="37" t="n">
        <f aca="false">IF(Country_Data!$CC$146="","",Country_Data!$CC$146)</f>
        <v>0.00457355800694944</v>
      </c>
      <c r="E996" s="40" t="n">
        <f aca="false">Country_Data!$BW$146</f>
        <v>53.943</v>
      </c>
      <c r="F996" s="41" t="n">
        <f aca="false">Country_Data!$BX$146</f>
        <v>0.280129025082031</v>
      </c>
      <c r="G996" s="42" t="n">
        <f aca="false">IF(D996="","",D996/SUMIFS($D$5:$D$1369,$B$5:$B$1369,B996,$C$5:$C$1369,C996))</f>
        <v>6.53297696342729E-005</v>
      </c>
      <c r="H996" s="42" t="n">
        <f aca="false">E996/SUMIFS($E$5:$E$1369,$B$5:$B$1369,B996,$C$5:$C$1369,C996)</f>
        <v>0.000668174620958335</v>
      </c>
      <c r="I996" s="43" t="n">
        <f aca="false">IF(G996="",H996,p_beta_alloc*G996+(1-p_beta_alloc)*H996)*F996^p_phi</f>
        <v>0.000194111728574815</v>
      </c>
      <c r="J996" s="16" t="n">
        <f aca="false">INDEX(Sector_Params!$C$20:$E$20,MATCH(B996,Sector_Params!$C$15:$E$15,0))*I996/SUMIFS($I$5:$I$1369,$B$5:$B$1369,B996,$C$5:$C$1369,C996)</f>
        <v>0.0354292994261368</v>
      </c>
      <c r="K996" s="28" t="n">
        <f aca="false">INDEX(Sector_Params!$F$9:$H$9,MATCH(B996,Sector_Params!$C$15:$E$15,0))</f>
        <v>0.24</v>
      </c>
      <c r="L996" s="16" t="n">
        <f aca="false">J996*K996</f>
        <v>0.00850303186227284</v>
      </c>
      <c r="M996" s="44" t="n">
        <f aca="false">Country_Data!$DW$146+Sector_Params!$E$9</f>
        <v>0.0771200000000001</v>
      </c>
      <c r="N996" s="44" t="n">
        <f aca="false">Country_Data!$DX$146+Sector_Params!$E$9</f>
        <v>0.12212</v>
      </c>
      <c r="O996" s="11" t="n">
        <f aca="false">IF(p_use_ibrd=1,p_r_ibrd,p_r_wb)</f>
        <v>0.06</v>
      </c>
      <c r="P996" s="45" t="n">
        <f aca="false">Sector_Params!$D$9</f>
        <v>25</v>
      </c>
      <c r="Q996" s="46" t="n">
        <f aca="false">M996/(1-(1+M996)^-P996)</f>
        <v>0.0913850346868597</v>
      </c>
      <c r="R996" s="46" t="n">
        <f aca="false">N996/(1-(1+N996)^-P996)</f>
        <v>0.1293790782264</v>
      </c>
      <c r="S996" s="46" t="n">
        <f aca="false">O996/(1-(1+O996)^-P996)</f>
        <v>0.078226718212274</v>
      </c>
      <c r="T996" s="37" t="n">
        <f aca="false">Country_Data!$CM$146*Sector_Params!$I$9</f>
        <v>0.170127514140785</v>
      </c>
      <c r="U996" s="37" t="n">
        <f aca="false">Country_Data!$CN$146*Sector_Params!$J$9</f>
        <v>0.03225</v>
      </c>
      <c r="V996" s="37" t="n">
        <f aca="false">p_a</f>
        <v>0.35</v>
      </c>
      <c r="W996" s="16" t="n">
        <f aca="false">T996*L996</f>
        <v>0.00144659967338837</v>
      </c>
      <c r="X996" s="16" t="n">
        <f aca="false">U996*L996</f>
        <v>0.000274222777558299</v>
      </c>
      <c r="Y996" s="16" t="n">
        <f aca="false">V996*L996</f>
        <v>0.00297606115179549</v>
      </c>
      <c r="Z996" s="16" t="n">
        <f aca="false">Q996*L996</f>
        <v>0.000777049861677277</v>
      </c>
      <c r="AA996" s="16" t="n">
        <f aca="false">R996*L996</f>
        <v>0.00110011442447057</v>
      </c>
      <c r="AB996" s="16" t="n">
        <f aca="false">S996*L996</f>
        <v>0.000665164277440005</v>
      </c>
      <c r="AC996" s="16" t="n">
        <f aca="false">Z996-W996</f>
        <v>-0.000669549811711094</v>
      </c>
      <c r="AD996" s="16" t="n">
        <f aca="false">AA996-W996</f>
        <v>-0.0003464852489178</v>
      </c>
      <c r="AE996" s="16" t="n">
        <f aca="false">AB996-W996</f>
        <v>-0.000781435395948367</v>
      </c>
      <c r="AF996" s="16" t="n">
        <f aca="false">AE996-X996</f>
        <v>-0.00105565817350667</v>
      </c>
      <c r="AG996" s="16" t="n">
        <f aca="false">AF996-p_spc_lo*Y996/1000</f>
        <v>-0.00120446123109644</v>
      </c>
      <c r="AH996" s="16" t="n">
        <f aca="false">AF996-p_spc_hi*Y996/1000</f>
        <v>-0.00135326428868622</v>
      </c>
      <c r="AI996" s="16" t="n">
        <f aca="false">Q996*J996</f>
        <v>0.00323770775698865</v>
      </c>
      <c r="AJ996" s="16" t="n">
        <f aca="false">S996*J996</f>
        <v>0.00277151782266669</v>
      </c>
      <c r="AK996" s="16" t="n">
        <f aca="false">T996*J996</f>
        <v>0.00602749863911821</v>
      </c>
      <c r="AL996" s="16" t="n">
        <f aca="false">U996*J996</f>
        <v>0.00114259490649291</v>
      </c>
      <c r="AM996" s="16" t="n">
        <f aca="false">AI996-AJ996</f>
        <v>0.000466189934321969</v>
      </c>
      <c r="AN996" s="16" t="n">
        <f aca="false">J996*Country_Data!$EB$146</f>
        <v>0.0384354218016878</v>
      </c>
      <c r="AO996" s="16" t="n">
        <f aca="false">L996*Country_Data!$EB$146</f>
        <v>0.00922450123240508</v>
      </c>
    </row>
    <row r="997" customFormat="false" ht="15" hidden="false" customHeight="false" outlineLevel="0" collapsed="false">
      <c r="A997" s="14" t="str">
        <f aca="false">Country_Data!$A$146</f>
        <v>RWA</v>
      </c>
      <c r="B997" s="14" t="str">
        <f aca="false">Country_Data!$E$146</f>
        <v>EMDC</v>
      </c>
      <c r="C997" s="35" t="s">
        <v>484</v>
      </c>
      <c r="D997" s="37" t="n">
        <f aca="false">IF(Country_Data!$CD$146="","",Country_Data!$CD$146)</f>
        <v>0.0229695920596205</v>
      </c>
      <c r="E997" s="40" t="n">
        <f aca="false">Country_Data!$BW$146</f>
        <v>53.943</v>
      </c>
      <c r="F997" s="41" t="n">
        <f aca="false">Country_Data!$BX$146</f>
        <v>0.280129025082031</v>
      </c>
      <c r="G997" s="42" t="n">
        <f aca="false">IF(D997="","",D997/SUMIFS($D$5:$D$1369,$B$5:$B$1369,B997,$C$5:$C$1369,C997))</f>
        <v>0.000128270593296877</v>
      </c>
      <c r="H997" s="42" t="n">
        <f aca="false">E997/SUMIFS($E$5:$E$1369,$B$5:$B$1369,B997,$C$5:$C$1369,C997)</f>
        <v>0.000668174620958335</v>
      </c>
      <c r="I997" s="43" t="n">
        <f aca="false">IF(G997="",H997,p_beta_alloc*G997+(1-p_beta_alloc)*H997)*F997^p_phi</f>
        <v>0.000210768141591239</v>
      </c>
      <c r="J997" s="16" t="n">
        <f aca="false">INDEX(Sector_Params!$C$21:$E$21,MATCH(B997,Sector_Params!$C$15:$E$15,0))*I997/SUMIFS($I$5:$I$1369,$B$5:$B$1369,B997,$C$5:$C$1369,C997)</f>
        <v>0.0467462295041253</v>
      </c>
      <c r="K997" s="28" t="n">
        <f aca="false">INDEX(Sector_Params!$F$10:$H$10,MATCH(B997,Sector_Params!$C$15:$E$15,0))</f>
        <v>0.24</v>
      </c>
      <c r="L997" s="16" t="n">
        <f aca="false">J997*K997</f>
        <v>0.0112190950809901</v>
      </c>
      <c r="M997" s="44" t="n">
        <f aca="false">Country_Data!$DW$146+Sector_Params!$E$10</f>
        <v>0.0771200000000001</v>
      </c>
      <c r="N997" s="44" t="n">
        <f aca="false">Country_Data!$DX$146+Sector_Params!$E$10</f>
        <v>0.12212</v>
      </c>
      <c r="O997" s="11" t="n">
        <f aca="false">IF(p_use_ibrd=1,p_r_ibrd,p_r_wb)</f>
        <v>0.06</v>
      </c>
      <c r="P997" s="45" t="n">
        <f aca="false">Sector_Params!$D$10</f>
        <v>20</v>
      </c>
      <c r="Q997" s="46" t="n">
        <f aca="false">M997/(1-(1+M997)^-P997)</f>
        <v>0.0996791362226427</v>
      </c>
      <c r="R997" s="46" t="n">
        <f aca="false">N997/(1-(1+N997)^-P997)</f>
        <v>0.135661630924076</v>
      </c>
      <c r="S997" s="46" t="n">
        <f aca="false">O997/(1-(1+O997)^-P997)</f>
        <v>0.0871845569768514</v>
      </c>
      <c r="T997" s="37" t="n">
        <f aca="false">0*Sector_Params!$I$10</f>
        <v>0</v>
      </c>
      <c r="U997" s="37" t="n">
        <f aca="false">0*Sector_Params!$J$10</f>
        <v>0</v>
      </c>
      <c r="V997" s="37" t="n">
        <f aca="false">1000*p_r_wb/(1-(1+p_r_wb)^-Sector_Params!$D$10)/p_cpt_fuel</f>
        <v>0.871845569768514</v>
      </c>
      <c r="W997" s="16" t="n">
        <f aca="false">T997*L997</f>
        <v>0</v>
      </c>
      <c r="X997" s="16" t="n">
        <f aca="false">U997*L997</f>
        <v>0</v>
      </c>
      <c r="Y997" s="16" t="n">
        <f aca="false">V997*L997</f>
        <v>0.00978131834317293</v>
      </c>
      <c r="Z997" s="16" t="n">
        <f aca="false">Q997*L997</f>
        <v>0.00111830970687279</v>
      </c>
      <c r="AA997" s="16" t="n">
        <f aca="false">R997*L997</f>
        <v>0.00152200073617939</v>
      </c>
      <c r="AB997" s="16" t="n">
        <f aca="false">S997*L997</f>
        <v>0.000978131834317293</v>
      </c>
      <c r="AC997" s="16" t="n">
        <f aca="false">Z997-W997</f>
        <v>0.00111830970687279</v>
      </c>
      <c r="AD997" s="16" t="n">
        <f aca="false">AA997-W997</f>
        <v>0.00152200073617939</v>
      </c>
      <c r="AE997" s="16" t="n">
        <f aca="false">AB997-W997</f>
        <v>0.000978131834317293</v>
      </c>
      <c r="AF997" s="16" t="n">
        <f aca="false">AE997-X997</f>
        <v>0.000978131834317293</v>
      </c>
      <c r="AG997" s="16" t="n">
        <f aca="false">AF997-p_spc_lo*Y997/1000</f>
        <v>0.000489065917158647</v>
      </c>
      <c r="AH997" s="16" t="n">
        <f aca="false">AF997-p_spc_hi*Y997/1000</f>
        <v>0</v>
      </c>
      <c r="AI997" s="16" t="n">
        <f aca="false">Q997*J997</f>
        <v>0.00465962377863663</v>
      </c>
      <c r="AJ997" s="16" t="n">
        <f aca="false">S997*J997</f>
        <v>0.00407554930965539</v>
      </c>
      <c r="AK997" s="16" t="n">
        <f aca="false">T997*J997</f>
        <v>0</v>
      </c>
      <c r="AL997" s="16" t="n">
        <f aca="false">U997*J997</f>
        <v>0</v>
      </c>
      <c r="AM997" s="16" t="n">
        <f aca="false">AI997-AJ997</f>
        <v>0.000584074468981241</v>
      </c>
      <c r="AN997" s="16" t="n">
        <f aca="false">J997*Country_Data!$EB$146</f>
        <v>0.0507125762499299</v>
      </c>
      <c r="AO997" s="16" t="n">
        <f aca="false">L997*Country_Data!$EB$146</f>
        <v>0.0121710182999832</v>
      </c>
    </row>
    <row r="998" customFormat="false" ht="15" hidden="false" customHeight="false" outlineLevel="0" collapsed="false">
      <c r="A998" s="14" t="str">
        <f aca="false">Country_Data!$A$146</f>
        <v>RWA</v>
      </c>
      <c r="B998" s="14" t="str">
        <f aca="false">Country_Data!$E$146</f>
        <v>EMDC</v>
      </c>
      <c r="C998" s="35" t="s">
        <v>488</v>
      </c>
      <c r="D998" s="37" t="n">
        <f aca="false">IF(Country_Data!$CE$146="","",Country_Data!$CE$146)</f>
        <v>9.063</v>
      </c>
      <c r="E998" s="40" t="n">
        <f aca="false">Country_Data!$BW$146</f>
        <v>53.943</v>
      </c>
      <c r="F998" s="41" t="n">
        <f aca="false">Country_Data!$BX$146</f>
        <v>0.280129025082031</v>
      </c>
      <c r="G998" s="42" t="n">
        <f aca="false">IF(D998="","",D998/SUMIFS($D$5:$D$1369,$B$5:$B$1369,B998,$C$5:$C$1369,C998))</f>
        <v>0.000742618675184016</v>
      </c>
      <c r="H998" s="42" t="n">
        <f aca="false">E998/SUMIFS($E$5:$E$1369,$B$5:$B$1369,B998,$C$5:$C$1369,C998)</f>
        <v>0.000668174620958335</v>
      </c>
      <c r="I998" s="43" t="n">
        <f aca="false">IF(G998="",H998,p_beta_alloc*G998+(1-p_beta_alloc)*H998)*F998^p_phi</f>
        <v>0.000373346811400413</v>
      </c>
      <c r="J998" s="16" t="n">
        <f aca="false">INDEX(Sector_Params!$C$22:$E$22,MATCH(B998,Sector_Params!$C$15:$E$15,0))*I998/SUMIFS($I$5:$I$1369,$B$5:$B$1369,B998,$C$5:$C$1369,C998)</f>
        <v>0.225056589626948</v>
      </c>
      <c r="K998" s="28" t="n">
        <f aca="false">INDEX(Sector_Params!$F$11:$H$11,MATCH(B998,Sector_Params!$C$15:$E$15,0))</f>
        <v>0.24</v>
      </c>
      <c r="L998" s="16" t="n">
        <f aca="false">J998*K998</f>
        <v>0.0540135815104674</v>
      </c>
      <c r="M998" s="44" t="n">
        <f aca="false">Country_Data!$DW$146+Sector_Params!$E$11</f>
        <v>0.0771200000000001</v>
      </c>
      <c r="N998" s="44" t="n">
        <f aca="false">Country_Data!$DX$146+Sector_Params!$E$11</f>
        <v>0.12212</v>
      </c>
      <c r="O998" s="11" t="n">
        <f aca="false">IF(p_use_ibrd=1,p_r_ibrd,p_r_wb)</f>
        <v>0.06</v>
      </c>
      <c r="P998" s="45" t="n">
        <f aca="false">Sector_Params!$D$11</f>
        <v>30</v>
      </c>
      <c r="Q998" s="46" t="n">
        <f aca="false">M998/(1-(1+M998)^-P998)</f>
        <v>0.0864250074902865</v>
      </c>
      <c r="R998" s="46" t="n">
        <f aca="false">N998/(1-(1+N998)^-P998)</f>
        <v>0.126096717023053</v>
      </c>
      <c r="S998" s="46" t="n">
        <f aca="false">O998/(1-(1+O998)^-P998)</f>
        <v>0.0726489114900472</v>
      </c>
      <c r="T998" s="37" t="n">
        <f aca="false">0*Sector_Params!$I$11</f>
        <v>0</v>
      </c>
      <c r="U998" s="37" t="n">
        <f aca="false">p_c*Sector_Params!$J$11</f>
        <v>0.129</v>
      </c>
      <c r="V998" s="37" t="n">
        <f aca="false">1000*p_r_wb/(1-(1+p_r_wb)^-Sector_Params!$D$11)/p_cpt_afolu</f>
        <v>1.45297822980094</v>
      </c>
      <c r="W998" s="16" t="n">
        <f aca="false">T998*L998</f>
        <v>0</v>
      </c>
      <c r="X998" s="16" t="n">
        <f aca="false">U998*L998</f>
        <v>0.00696775201485029</v>
      </c>
      <c r="Y998" s="16" t="n">
        <f aca="false">V998*L998</f>
        <v>0.0784805580482879</v>
      </c>
      <c r="Z998" s="16" t="n">
        <f aca="false">Q998*L998</f>
        <v>0.00466812418661935</v>
      </c>
      <c r="AA998" s="16" t="n">
        <f aca="false">R998*L998</f>
        <v>0.00681093530312699</v>
      </c>
      <c r="AB998" s="16" t="n">
        <f aca="false">S998*L998</f>
        <v>0.0039240279024144</v>
      </c>
      <c r="AC998" s="16" t="n">
        <f aca="false">Z998-W998</f>
        <v>0.00466812418661935</v>
      </c>
      <c r="AD998" s="16" t="n">
        <f aca="false">AA998-W998</f>
        <v>0.00681093530312699</v>
      </c>
      <c r="AE998" s="16" t="n">
        <f aca="false">AB998-W998</f>
        <v>0.0039240279024144</v>
      </c>
      <c r="AF998" s="16" t="n">
        <f aca="false">AE998-X998</f>
        <v>-0.0030437241124359</v>
      </c>
      <c r="AG998" s="16" t="n">
        <f aca="false">AF998-p_spc_lo*Y998/1000</f>
        <v>-0.00696775201485029</v>
      </c>
      <c r="AH998" s="16" t="n">
        <f aca="false">AF998-p_spc_hi*Y998/1000</f>
        <v>-0.0108917799172647</v>
      </c>
      <c r="AI998" s="16" t="n">
        <f aca="false">Q998*J998</f>
        <v>0.0194505174442473</v>
      </c>
      <c r="AJ998" s="16" t="n">
        <f aca="false">S998*J998</f>
        <v>0.01635011626006</v>
      </c>
      <c r="AK998" s="16" t="n">
        <f aca="false">T998*J998</f>
        <v>0</v>
      </c>
      <c r="AL998" s="16" t="n">
        <f aca="false">U998*J998</f>
        <v>0.0290323000618762</v>
      </c>
      <c r="AM998" s="16" t="n">
        <f aca="false">AI998-AJ998</f>
        <v>0.00310040118418729</v>
      </c>
      <c r="AN998" s="16" t="n">
        <f aca="false">J998*Country_Data!$EB$146</f>
        <v>0.244152300261961</v>
      </c>
      <c r="AO998" s="16" t="n">
        <f aca="false">L998*Country_Data!$EB$146</f>
        <v>0.0585965520628707</v>
      </c>
    </row>
    <row r="999" customFormat="false" ht="15" hidden="false" customHeight="false" outlineLevel="0" collapsed="false">
      <c r="A999" s="14" t="str">
        <f aca="false">Country_Data!$A$147</f>
        <v>MUS</v>
      </c>
      <c r="B999" s="14" t="str">
        <f aca="false">Country_Data!$E$147</f>
        <v>EMDC</v>
      </c>
      <c r="C999" s="35" t="s">
        <v>466</v>
      </c>
      <c r="D999" s="37" t="n">
        <f aca="false">IF(Country_Data!$BZ$147="","",Country_Data!$BZ$147)</f>
        <v>3.52576955686243</v>
      </c>
      <c r="E999" s="40" t="n">
        <f aca="false">Country_Data!$BW$147</f>
        <v>39.252</v>
      </c>
      <c r="F999" s="41" t="n">
        <f aca="false">Country_Data!$BX$147</f>
        <v>0.381789462957302</v>
      </c>
      <c r="G999" s="42" t="n">
        <f aca="false">IF(D999="","",D999/SUMIFS($D$5:$D$1369,$B$5:$B$1369,B999,$C$5:$C$1369,C999))</f>
        <v>0.00040250938164247</v>
      </c>
      <c r="H999" s="42" t="n">
        <f aca="false">E999/SUMIFS($E$5:$E$1369,$B$5:$B$1369,B999,$C$5:$C$1369,C999)</f>
        <v>0.00048620192095094</v>
      </c>
      <c r="I999" s="43" t="n">
        <f aca="false">IF(G999="",H999,p_beta_alloc*G999+(1-p_beta_alloc)*H999)*F999^p_phi</f>
        <v>0.000274563420688333</v>
      </c>
      <c r="J999" s="16" t="n">
        <f aca="false">INDEX(Sector_Params!$C$16:$E$16,MATCH(B999,Sector_Params!$C$15:$E$15,0))*I999/SUMIFS($I$5:$I$1369,$B$5:$B$1369,B999,$C$5:$C$1369,C999)</f>
        <v>0.265564701272607</v>
      </c>
      <c r="K999" s="28" t="n">
        <f aca="false">INDEX(Sector_Params!$F$5:$H$5,MATCH(B999,Sector_Params!$C$15:$E$15,0))</f>
        <v>0.24</v>
      </c>
      <c r="L999" s="16" t="n">
        <f aca="false">J999*K999</f>
        <v>0.0637355283054257</v>
      </c>
      <c r="M999" s="44" t="n">
        <f aca="false">Country_Data!$DW$147+Sector_Params!$E$5</f>
        <v>0.0669200000000001</v>
      </c>
      <c r="N999" s="44" t="n">
        <f aca="false">Country_Data!$DX$147+Sector_Params!$E$5</f>
        <v>0.11192</v>
      </c>
      <c r="O999" s="11" t="n">
        <f aca="false">IF(p_use_ibrd=1,p_r_ibrd,p_r_wb)</f>
        <v>0.06</v>
      </c>
      <c r="P999" s="45" t="n">
        <f aca="false">Sector_Params!$D$5</f>
        <v>25</v>
      </c>
      <c r="Q999" s="46" t="n">
        <f aca="false">M999/(1-(1+M999)^-P999)</f>
        <v>0.0834432182018887</v>
      </c>
      <c r="R999" s="46" t="n">
        <f aca="false">N999/(1-(1+N999)^-P999)</f>
        <v>0.12040824021084</v>
      </c>
      <c r="S999" s="46" t="n">
        <f aca="false">O999/(1-(1+O999)^-P999)</f>
        <v>0.078226718212274</v>
      </c>
      <c r="T999" s="37" t="n">
        <f aca="false">IF(AND(p_eng=1,ISNUMBER(Country_Data!$CZ$147)),Country_Data!$CZ$147,Country_Data!$CM$147)*Sector_Params!$I$5</f>
        <v>0.203454188705247</v>
      </c>
      <c r="U999" s="37" t="n">
        <f aca="false">IF(AND(p_eng=1,ISNUMBER(Country_Data!$DA$147)),Country_Data!$DA$147,Country_Data!$CN$147)*Sector_Params!$J$5</f>
        <v>0.0424597846642036</v>
      </c>
      <c r="V999" s="37" t="n">
        <f aca="false">IF(AND(p_eng=1,ISNUMBER(Country_Data!$DB$147)),Country_Data!$DB$147,p_a)</f>
        <v>1.65624075544864</v>
      </c>
      <c r="W999" s="16" t="n">
        <f aca="false">T999*L999</f>
        <v>0.0129672602030807</v>
      </c>
      <c r="X999" s="16" t="n">
        <f aca="false">U999*L999</f>
        <v>0.00270619680730763</v>
      </c>
      <c r="Y999" s="16" t="n">
        <f aca="false">V999*L999</f>
        <v>0.105561379549496</v>
      </c>
      <c r="Z999" s="16" t="n">
        <f aca="false">Q999*L999</f>
        <v>0.00531829759560229</v>
      </c>
      <c r="AA999" s="16" t="n">
        <f aca="false">R999*L999</f>
        <v>0.00767428280216446</v>
      </c>
      <c r="AB999" s="16" t="n">
        <f aca="false">S999*L999</f>
        <v>0.00498582121285895</v>
      </c>
      <c r="AC999" s="16" t="n">
        <f aca="false">Z999-W999</f>
        <v>-0.00764896260747839</v>
      </c>
      <c r="AD999" s="16" t="n">
        <f aca="false">AA999-W999</f>
        <v>-0.00529297740091623</v>
      </c>
      <c r="AE999" s="16" t="n">
        <f aca="false">AB999-W999</f>
        <v>-0.00798143899022174</v>
      </c>
      <c r="AF999" s="16" t="n">
        <f aca="false">AE999-X999</f>
        <v>-0.0106876357975294</v>
      </c>
      <c r="AG999" s="16" t="n">
        <f aca="false">AF999-p_spc_lo*Y999/1000</f>
        <v>-0.0159657047750042</v>
      </c>
      <c r="AH999" s="16" t="n">
        <f aca="false">AF999-p_spc_hi*Y999/1000</f>
        <v>-0.021243773752479</v>
      </c>
      <c r="AI999" s="16" t="n">
        <f aca="false">Q999*J999</f>
        <v>0.0221595733150095</v>
      </c>
      <c r="AJ999" s="16" t="n">
        <f aca="false">S999*J999</f>
        <v>0.0207742550535789</v>
      </c>
      <c r="AK999" s="16" t="n">
        <f aca="false">T999*J999</f>
        <v>0.0540302508461695</v>
      </c>
      <c r="AL999" s="16" t="n">
        <f aca="false">U999*J999</f>
        <v>0.0112758200304484</v>
      </c>
      <c r="AM999" s="16" t="n">
        <f aca="false">AI999-AJ999</f>
        <v>0.00138531826143061</v>
      </c>
      <c r="AN999" s="16" t="n">
        <f aca="false">J999*Country_Data!$EB$147</f>
        <v>0.304853725570472</v>
      </c>
      <c r="AO999" s="16" t="n">
        <f aca="false">L999*Country_Data!$EB$147</f>
        <v>0.0731648941369133</v>
      </c>
    </row>
    <row r="1000" customFormat="false" ht="15" hidden="false" customHeight="false" outlineLevel="0" collapsed="false">
      <c r="A1000" s="14" t="str">
        <f aca="false">Country_Data!$A$147</f>
        <v>MUS</v>
      </c>
      <c r="B1000" s="14" t="str">
        <f aca="false">Country_Data!$E$147</f>
        <v>EMDC</v>
      </c>
      <c r="C1000" s="35" t="s">
        <v>470</v>
      </c>
      <c r="D1000" s="37" t="n">
        <f aca="false">IF(Country_Data!$BZ$147="","",Country_Data!$BZ$147)</f>
        <v>3.52576955686243</v>
      </c>
      <c r="E1000" s="40" t="n">
        <f aca="false">Country_Data!$BW$147</f>
        <v>39.252</v>
      </c>
      <c r="F1000" s="41" t="n">
        <f aca="false">Country_Data!$BX$147</f>
        <v>0.381789462957302</v>
      </c>
      <c r="G1000" s="42" t="n">
        <f aca="false">IF(D1000="","",D1000/SUMIFS($D$5:$D$1369,$B$5:$B$1369,B1000,$C$5:$C$1369,C1000))</f>
        <v>0.00040250938164247</v>
      </c>
      <c r="H1000" s="42" t="n">
        <f aca="false">E1000/SUMIFS($E$5:$E$1369,$B$5:$B$1369,B1000,$C$5:$C$1369,C1000)</f>
        <v>0.00048620192095094</v>
      </c>
      <c r="I1000" s="43" t="n">
        <f aca="false">IF(G1000="",H1000,p_beta_alloc*G1000+(1-p_beta_alloc)*H1000)*F1000^p_phi</f>
        <v>0.000274563420688333</v>
      </c>
      <c r="J1000" s="16" t="n">
        <f aca="false">INDEX(Sector_Params!$C$17:$E$17,MATCH(B1000,Sector_Params!$C$15:$E$15,0))*I1000/SUMIFS($I$5:$I$1369,$B$5:$B$1369,B1000,$C$5:$C$1369,C1000)</f>
        <v>0.182101509444073</v>
      </c>
      <c r="K1000" s="28" t="n">
        <f aca="false">INDEX(Sector_Params!$F$6:$H$6,MATCH(B1000,Sector_Params!$C$15:$E$15,0))</f>
        <v>0.24</v>
      </c>
      <c r="L1000" s="16" t="n">
        <f aca="false">J1000*K1000</f>
        <v>0.0437043622665776</v>
      </c>
      <c r="M1000" s="44" t="n">
        <f aca="false">Country_Data!$DW$147+Sector_Params!$E$6</f>
        <v>0.0669200000000001</v>
      </c>
      <c r="N1000" s="44" t="n">
        <f aca="false">Country_Data!$DX$147+Sector_Params!$E$6</f>
        <v>0.11192</v>
      </c>
      <c r="O1000" s="11" t="n">
        <f aca="false">IF(p_use_ibrd=1,p_r_ibrd,p_r_wb)</f>
        <v>0.06</v>
      </c>
      <c r="P1000" s="45" t="n">
        <f aca="false">Sector_Params!$D$6</f>
        <v>40</v>
      </c>
      <c r="Q1000" s="46" t="n">
        <f aca="false">M1000/(1-(1+M1000)^-P1000)</f>
        <v>0.0723414162758343</v>
      </c>
      <c r="R1000" s="46" t="n">
        <f aca="false">N1000/(1-(1+N1000)^-P1000)</f>
        <v>0.113550220329489</v>
      </c>
      <c r="S1000" s="46" t="n">
        <f aca="false">O1000/(1-(1+O1000)^-P1000)</f>
        <v>0.0664615359206755</v>
      </c>
      <c r="T1000" s="37" t="n">
        <f aca="false">p_grid_credit*IF(AND(p_eng=1,ISNUMBER(Country_Data!$CZ$147)),Country_Data!$CZ$147,Country_Data!$CM$147)*Sector_Params!$I$6</f>
        <v>0</v>
      </c>
      <c r="U1000" s="37" t="n">
        <f aca="false">p_grid_credit*IF(AND(p_eng=1,ISNUMBER(Country_Data!$DA$147)),Country_Data!$DA$147,Country_Data!$CN$147)*Sector_Params!$J$6</f>
        <v>0</v>
      </c>
      <c r="V1000" s="37" t="n">
        <f aca="false">p_grid_credit*IF(AND(p_eng=1,ISNUMBER(Country_Data!$DB$147)),Country_Data!$DB$147,p_a)</f>
        <v>0</v>
      </c>
      <c r="W1000" s="16" t="n">
        <f aca="false">T1000*L1000</f>
        <v>0</v>
      </c>
      <c r="X1000" s="16" t="n">
        <f aca="false">U1000*L1000</f>
        <v>0</v>
      </c>
      <c r="Y1000" s="16" t="n">
        <f aca="false">V1000*L1000</f>
        <v>0</v>
      </c>
      <c r="Z1000" s="16" t="n">
        <f aca="false">Q1000*L1000</f>
        <v>0.00316163546379635</v>
      </c>
      <c r="AA1000" s="16" t="n">
        <f aca="false">R1000*L1000</f>
        <v>0.00496263996472968</v>
      </c>
      <c r="AB1000" s="16" t="n">
        <f aca="false">S1000*L1000</f>
        <v>0.00290465904267036</v>
      </c>
      <c r="AC1000" s="16" t="n">
        <f aca="false">Z1000-W1000</f>
        <v>0.00316163546379635</v>
      </c>
      <c r="AD1000" s="16" t="n">
        <f aca="false">AA1000-W1000</f>
        <v>0.00496263996472968</v>
      </c>
      <c r="AE1000" s="16" t="n">
        <f aca="false">AB1000-W1000</f>
        <v>0.00290465904267036</v>
      </c>
      <c r="AF1000" s="16" t="n">
        <f aca="false">AE1000-X1000</f>
        <v>0.00290465904267036</v>
      </c>
      <c r="AG1000" s="16" t="n">
        <f aca="false">AF1000-p_spc_lo*Y1000/1000</f>
        <v>0.00290465904267036</v>
      </c>
      <c r="AH1000" s="16" t="n">
        <f aca="false">AF1000-p_spc_hi*Y1000/1000</f>
        <v>0.00290465904267036</v>
      </c>
      <c r="AI1000" s="16" t="n">
        <f aca="false">Q1000*J1000</f>
        <v>0.0131734810991515</v>
      </c>
      <c r="AJ1000" s="16" t="n">
        <f aca="false">S1000*J1000</f>
        <v>0.0121027460111265</v>
      </c>
      <c r="AK1000" s="16" t="n">
        <f aca="false">T1000*J1000</f>
        <v>0</v>
      </c>
      <c r="AL1000" s="16" t="n">
        <f aca="false">U1000*J1000</f>
        <v>0</v>
      </c>
      <c r="AM1000" s="16" t="n">
        <f aca="false">AI1000-AJ1000</f>
        <v>0.00107073508802497</v>
      </c>
      <c r="AN1000" s="16" t="n">
        <f aca="false">J1000*Country_Data!$EB$147</f>
        <v>0.209042554676895</v>
      </c>
      <c r="AO1000" s="16" t="n">
        <f aca="false">L1000*Country_Data!$EB$147</f>
        <v>0.0501702131224548</v>
      </c>
    </row>
    <row r="1001" customFormat="false" ht="15" hidden="false" customHeight="false" outlineLevel="0" collapsed="false">
      <c r="A1001" s="14" t="str">
        <f aca="false">Country_Data!$A$147</f>
        <v>MUS</v>
      </c>
      <c r="B1001" s="14" t="str">
        <f aca="false">Country_Data!$E$147</f>
        <v>EMDC</v>
      </c>
      <c r="C1001" s="35" t="s">
        <v>473</v>
      </c>
      <c r="D1001" s="37" t="n">
        <f aca="false">IF(Country_Data!$CA$147="","",Country_Data!$CA$147)</f>
        <v>0.016407541989159</v>
      </c>
      <c r="E1001" s="40" t="n">
        <f aca="false">Country_Data!$BW$147</f>
        <v>39.252</v>
      </c>
      <c r="F1001" s="41" t="n">
        <f aca="false">Country_Data!$BX$147</f>
        <v>0.381789462957302</v>
      </c>
      <c r="G1001" s="42" t="n">
        <f aca="false">IF(D1001="","",D1001/SUMIFS($D$5:$D$1369,$B$5:$B$1369,B1001,$C$5:$C$1369,C1001))</f>
        <v>0.000379052395613957</v>
      </c>
      <c r="H1001" s="42" t="n">
        <f aca="false">E1001/SUMIFS($E$5:$E$1369,$B$5:$B$1369,B1001,$C$5:$C$1369,C1001)</f>
        <v>0.00048620192095094</v>
      </c>
      <c r="I1001" s="43" t="n">
        <f aca="false">IF(G1001="",H1001,p_beta_alloc*G1001+(1-p_beta_alloc)*H1001)*F1001^p_phi</f>
        <v>0.000267316488749656</v>
      </c>
      <c r="J1001" s="16" t="n">
        <f aca="false">INDEX(Sector_Params!$C$18:$E$18,MATCH(B1001,Sector_Params!$C$15:$E$15,0))*I1001/SUMIFS($I$5:$I$1369,$B$5:$B$1369,B1001,$C$5:$C$1369,C1001)</f>
        <v>0.109459777110251</v>
      </c>
      <c r="K1001" s="28" t="n">
        <f aca="false">INDEX(Sector_Params!$F$7:$H$7,MATCH(B1001,Sector_Params!$C$15:$E$15,0))</f>
        <v>0.24</v>
      </c>
      <c r="L1001" s="16" t="n">
        <f aca="false">J1001*K1001</f>
        <v>0.0262703465064604</v>
      </c>
      <c r="M1001" s="44" t="n">
        <f aca="false">Country_Data!$DW$147+Sector_Params!$E$7</f>
        <v>0.0669200000000001</v>
      </c>
      <c r="N1001" s="44" t="n">
        <f aca="false">Country_Data!$DX$147+Sector_Params!$E$7</f>
        <v>0.11192</v>
      </c>
      <c r="O1001" s="11" t="n">
        <f aca="false">IF(p_use_ibrd=1,p_r_ibrd,p_r_wb)</f>
        <v>0.06</v>
      </c>
      <c r="P1001" s="45" t="n">
        <f aca="false">Sector_Params!$D$7</f>
        <v>12</v>
      </c>
      <c r="Q1001" s="46" t="n">
        <f aca="false">M1001/(1-(1+M1001)^-P1001)</f>
        <v>0.123843341490336</v>
      </c>
      <c r="R1001" s="46" t="n">
        <f aca="false">N1001/(1-(1+N1001)^-P1001)</f>
        <v>0.155438802831538</v>
      </c>
      <c r="S1001" s="46" t="n">
        <f aca="false">O1001/(1-(1+O1001)^-P1001)</f>
        <v>0.119277029380664</v>
      </c>
      <c r="T1001" s="37" t="n">
        <f aca="false">IF(AND(p_eng=1,ISNUMBER(Country_Data!$DE$147)),Country_Data!$DE$147,Country_Data!$CM$147)*Sector_Params!$I$7</f>
        <v>0.100286325</v>
      </c>
      <c r="U1001" s="37" t="n">
        <f aca="false">IF(AND(p_eng=1,ISNUMBER(Country_Data!$DF$147)),Country_Data!$DF$147,Country_Data!$CN$147)*Sector_Params!$J$7</f>
        <v>0.0062064</v>
      </c>
      <c r="V1001" s="37" t="n">
        <f aca="false">IF(AND(p_eng=1,ISNUMBER(Country_Data!$DG$147)),Country_Data!$DG$147,p_a)</f>
        <v>0.144624708211144</v>
      </c>
      <c r="W1001" s="16" t="n">
        <f aca="false">T1001*L1001</f>
        <v>0.0026345565076095</v>
      </c>
      <c r="X1001" s="16" t="n">
        <f aca="false">U1001*L1001</f>
        <v>0.000163044278557696</v>
      </c>
      <c r="Y1001" s="16" t="n">
        <f aca="false">V1001*L1001</f>
        <v>0.00379934119810246</v>
      </c>
      <c r="Z1001" s="16" t="n">
        <f aca="false">Q1001*L1001</f>
        <v>0.00325340749346902</v>
      </c>
      <c r="AA1001" s="16" t="n">
        <f aca="false">R1001*L1001</f>
        <v>0.00408343121093388</v>
      </c>
      <c r="AB1001" s="16" t="n">
        <f aca="false">S1001*L1001</f>
        <v>0.00313344889209128</v>
      </c>
      <c r="AC1001" s="16" t="n">
        <f aca="false">Z1001-W1001</f>
        <v>0.000618850985859522</v>
      </c>
      <c r="AD1001" s="16" t="n">
        <f aca="false">AA1001-W1001</f>
        <v>0.00144887470332439</v>
      </c>
      <c r="AE1001" s="16" t="n">
        <f aca="false">AB1001-W1001</f>
        <v>0.000498892384481787</v>
      </c>
      <c r="AF1001" s="16" t="n">
        <f aca="false">AE1001-X1001</f>
        <v>0.000335848105924091</v>
      </c>
      <c r="AG1001" s="16" t="n">
        <f aca="false">AF1001-p_spc_lo*Y1001/1000</f>
        <v>0.000145881046018968</v>
      </c>
      <c r="AH1001" s="16" t="n">
        <f aca="false">AF1001-p_spc_hi*Y1001/1000</f>
        <v>-4.40860138861553E-005</v>
      </c>
      <c r="AI1001" s="16" t="n">
        <f aca="false">Q1001*J1001</f>
        <v>0.0135558645561209</v>
      </c>
      <c r="AJ1001" s="16" t="n">
        <f aca="false">S1001*J1001</f>
        <v>0.0130560370503803</v>
      </c>
      <c r="AK1001" s="16" t="n">
        <f aca="false">T1001*J1001</f>
        <v>0.0109773187817062</v>
      </c>
      <c r="AL1001" s="16" t="n">
        <f aca="false">U1001*J1001</f>
        <v>0.000679351160657065</v>
      </c>
      <c r="AM1001" s="16" t="n">
        <f aca="false">AI1001-AJ1001</f>
        <v>0.000499827505740564</v>
      </c>
      <c r="AN1001" s="16" t="n">
        <f aca="false">J1001*Country_Data!$EB$147</f>
        <v>0.125653826326563</v>
      </c>
      <c r="AO1001" s="16" t="n">
        <f aca="false">L1001*Country_Data!$EB$147</f>
        <v>0.030156918318375</v>
      </c>
    </row>
    <row r="1002" customFormat="false" ht="15" hidden="false" customHeight="false" outlineLevel="0" collapsed="false">
      <c r="A1002" s="14" t="str">
        <f aca="false">Country_Data!$A$147</f>
        <v>MUS</v>
      </c>
      <c r="B1002" s="14" t="str">
        <f aca="false">Country_Data!$E$147</f>
        <v>EMDC</v>
      </c>
      <c r="C1002" s="35" t="s">
        <v>477</v>
      </c>
      <c r="D1002" s="37" t="n">
        <f aca="false">IF(Country_Data!$CB$147="","",Country_Data!$CB$147)</f>
        <v>0.0083101525249494</v>
      </c>
      <c r="E1002" s="40" t="n">
        <f aca="false">Country_Data!$BW$147</f>
        <v>39.252</v>
      </c>
      <c r="F1002" s="41" t="n">
        <f aca="false">Country_Data!$BX$147</f>
        <v>0.381789462957302</v>
      </c>
      <c r="G1002" s="42" t="n">
        <f aca="false">IF(D1002="","",D1002/SUMIFS($D$5:$D$1369,$B$5:$B$1369,B1002,$C$5:$C$1369,C1002))</f>
        <v>0.000262044413528723</v>
      </c>
      <c r="H1002" s="42" t="n">
        <f aca="false">E1002/SUMIFS($E$5:$E$1369,$B$5:$B$1369,B1002,$C$5:$C$1369,C1002)</f>
        <v>0.00048620192095094</v>
      </c>
      <c r="I1002" s="43" t="n">
        <f aca="false">IF(G1002="",H1002,p_beta_alloc*G1002+(1-p_beta_alloc)*H1002)*F1002^p_phi</f>
        <v>0.000231167390931938</v>
      </c>
      <c r="J1002" s="16" t="n">
        <f aca="false">INDEX(Sector_Params!$C$19:$E$19,MATCH(B1002,Sector_Params!$C$15:$E$15,0))*I1002/SUMIFS($I$5:$I$1369,$B$5:$B$1369,B1002,$C$5:$C$1369,C1002)</f>
        <v>0.0744041366773756</v>
      </c>
      <c r="K1002" s="28" t="n">
        <f aca="false">INDEX(Sector_Params!$F$8:$H$8,MATCH(B1002,Sector_Params!$C$15:$E$15,0))</f>
        <v>0.24</v>
      </c>
      <c r="L1002" s="16" t="n">
        <f aca="false">J1002*K1002</f>
        <v>0.0178569928025701</v>
      </c>
      <c r="M1002" s="44" t="n">
        <f aca="false">Country_Data!$DW$147+Sector_Params!$E$8</f>
        <v>0.0669200000000001</v>
      </c>
      <c r="N1002" s="44" t="n">
        <f aca="false">Country_Data!$DX$147+Sector_Params!$E$8</f>
        <v>0.11192</v>
      </c>
      <c r="O1002" s="11" t="n">
        <f aca="false">IF(p_use_ibrd=1,p_r_ibrd,p_r_wb)</f>
        <v>0.06</v>
      </c>
      <c r="P1002" s="45" t="n">
        <f aca="false">Sector_Params!$D$8</f>
        <v>25</v>
      </c>
      <c r="Q1002" s="46" t="n">
        <f aca="false">M1002/(1-(1+M1002)^-P1002)</f>
        <v>0.0834432182018887</v>
      </c>
      <c r="R1002" s="46" t="n">
        <f aca="false">N1002/(1-(1+N1002)^-P1002)</f>
        <v>0.12040824021084</v>
      </c>
      <c r="S1002" s="46" t="n">
        <f aca="false">O1002/(1-(1+O1002)^-P1002)</f>
        <v>0.078226718212274</v>
      </c>
      <c r="T1002" s="37" t="n">
        <f aca="false">Country_Data!$CM$147*Sector_Params!$I$8</f>
        <v>0.106901378255136</v>
      </c>
      <c r="U1002" s="37" t="n">
        <f aca="false">Country_Data!$CN$147*Sector_Params!$J$8</f>
        <v>0.0418738911990693</v>
      </c>
      <c r="V1002" s="37" t="n">
        <f aca="false">p_a</f>
        <v>0.35</v>
      </c>
      <c r="W1002" s="16" t="n">
        <f aca="false">T1002*L1002</f>
        <v>0.00190893714208679</v>
      </c>
      <c r="X1002" s="16" t="n">
        <f aca="false">U1002*L1002</f>
        <v>0.000747741773757385</v>
      </c>
      <c r="Y1002" s="16" t="n">
        <f aca="false">V1002*L1002</f>
        <v>0.00624994748089955</v>
      </c>
      <c r="Z1002" s="16" t="n">
        <f aca="false">Q1002*L1002</f>
        <v>0.00149004494685442</v>
      </c>
      <c r="AA1002" s="16" t="n">
        <f aca="false">R1002*L1002</f>
        <v>0.0021501290788151</v>
      </c>
      <c r="AB1002" s="16" t="n">
        <f aca="false">S1002*L1002</f>
        <v>0.00139689394408526</v>
      </c>
      <c r="AC1002" s="16" t="n">
        <f aca="false">Z1002-W1002</f>
        <v>-0.000418892195232376</v>
      </c>
      <c r="AD1002" s="16" t="n">
        <f aca="false">AA1002-W1002</f>
        <v>0.000241191936728305</v>
      </c>
      <c r="AE1002" s="16" t="n">
        <f aca="false">AB1002-W1002</f>
        <v>-0.000512043198001535</v>
      </c>
      <c r="AF1002" s="16" t="n">
        <f aca="false">AE1002-X1002</f>
        <v>-0.00125978497175892</v>
      </c>
      <c r="AG1002" s="16" t="n">
        <f aca="false">AF1002-p_spc_lo*Y1002/1000</f>
        <v>-0.0015722823458039</v>
      </c>
      <c r="AH1002" s="16" t="n">
        <f aca="false">AF1002-p_spc_hi*Y1002/1000</f>
        <v>-0.00188477971984887</v>
      </c>
      <c r="AI1002" s="16" t="n">
        <f aca="false">Q1002*J1002</f>
        <v>0.0062085206118934</v>
      </c>
      <c r="AJ1002" s="16" t="n">
        <f aca="false">S1002*J1002</f>
        <v>0.00582039143368857</v>
      </c>
      <c r="AK1002" s="16" t="n">
        <f aca="false">T1002*J1002</f>
        <v>0.00795390475869497</v>
      </c>
      <c r="AL1002" s="16" t="n">
        <f aca="false">U1002*J1002</f>
        <v>0.00311559072398911</v>
      </c>
      <c r="AM1002" s="16" t="n">
        <f aca="false">AI1002-AJ1002</f>
        <v>0.000388129178204827</v>
      </c>
      <c r="AN1002" s="16" t="n">
        <f aca="false">J1002*Country_Data!$EB$147</f>
        <v>0.0854118719666311</v>
      </c>
      <c r="AO1002" s="16" t="n">
        <f aca="false">L1002*Country_Data!$EB$147</f>
        <v>0.0204988492719915</v>
      </c>
    </row>
    <row r="1003" customFormat="false" ht="15" hidden="false" customHeight="false" outlineLevel="0" collapsed="false">
      <c r="A1003" s="14" t="str">
        <f aca="false">Country_Data!$A$147</f>
        <v>MUS</v>
      </c>
      <c r="B1003" s="14" t="str">
        <f aca="false">Country_Data!$E$147</f>
        <v>EMDC</v>
      </c>
      <c r="C1003" s="35" t="s">
        <v>481</v>
      </c>
      <c r="D1003" s="37" t="n">
        <f aca="false">IF(Country_Data!$CC$147="","",Country_Data!$CC$147)</f>
        <v>0.0124646206720521</v>
      </c>
      <c r="E1003" s="40" t="n">
        <f aca="false">Country_Data!$BW$147</f>
        <v>39.252</v>
      </c>
      <c r="F1003" s="41" t="n">
        <f aca="false">Country_Data!$BX$147</f>
        <v>0.381789462957302</v>
      </c>
      <c r="G1003" s="42" t="n">
        <f aca="false">IF(D1003="","",D1003/SUMIFS($D$5:$D$1369,$B$5:$B$1369,B1003,$C$5:$C$1369,C1003))</f>
        <v>0.000178047549817107</v>
      </c>
      <c r="H1003" s="42" t="n">
        <f aca="false">E1003/SUMIFS($E$5:$E$1369,$B$5:$B$1369,B1003,$C$5:$C$1369,C1003)</f>
        <v>0.00048620192095094</v>
      </c>
      <c r="I1003" s="43" t="n">
        <f aca="false">IF(G1003="",H1003,p_beta_alloc*G1003+(1-p_beta_alloc)*H1003)*F1003^p_phi</f>
        <v>0.000205216931924099</v>
      </c>
      <c r="J1003" s="16" t="n">
        <f aca="false">INDEX(Sector_Params!$C$20:$E$20,MATCH(B1003,Sector_Params!$C$15:$E$15,0))*I1003/SUMIFS($I$5:$I$1369,$B$5:$B$1369,B1003,$C$5:$C$1369,C1003)</f>
        <v>0.0374562226704903</v>
      </c>
      <c r="K1003" s="28" t="n">
        <f aca="false">INDEX(Sector_Params!$F$9:$H$9,MATCH(B1003,Sector_Params!$C$15:$E$15,0))</f>
        <v>0.24</v>
      </c>
      <c r="L1003" s="16" t="n">
        <f aca="false">J1003*K1003</f>
        <v>0.00898949344091768</v>
      </c>
      <c r="M1003" s="44" t="n">
        <f aca="false">Country_Data!$DW$147+Sector_Params!$E$9</f>
        <v>0.0669200000000001</v>
      </c>
      <c r="N1003" s="44" t="n">
        <f aca="false">Country_Data!$DX$147+Sector_Params!$E$9</f>
        <v>0.11192</v>
      </c>
      <c r="O1003" s="11" t="n">
        <f aca="false">IF(p_use_ibrd=1,p_r_ibrd,p_r_wb)</f>
        <v>0.06</v>
      </c>
      <c r="P1003" s="45" t="n">
        <f aca="false">Sector_Params!$D$9</f>
        <v>25</v>
      </c>
      <c r="Q1003" s="46" t="n">
        <f aca="false">M1003/(1-(1+M1003)^-P1003)</f>
        <v>0.0834432182018887</v>
      </c>
      <c r="R1003" s="46" t="n">
        <f aca="false">N1003/(1-(1+N1003)^-P1003)</f>
        <v>0.12040824021084</v>
      </c>
      <c r="S1003" s="46" t="n">
        <f aca="false">O1003/(1-(1+O1003)^-P1003)</f>
        <v>0.078226718212274</v>
      </c>
      <c r="T1003" s="37" t="n">
        <f aca="false">Country_Data!$CM$147*Sector_Params!$I$9</f>
        <v>0.106901378255136</v>
      </c>
      <c r="U1003" s="37" t="n">
        <f aca="false">Country_Data!$CN$147*Sector_Params!$J$9</f>
        <v>0.0418738911990693</v>
      </c>
      <c r="V1003" s="37" t="n">
        <f aca="false">p_a</f>
        <v>0.35</v>
      </c>
      <c r="W1003" s="16" t="n">
        <f aca="false">T1003*L1003</f>
        <v>0.000960989238649605</v>
      </c>
      <c r="X1003" s="16" t="n">
        <f aca="false">U1003*L1003</f>
        <v>0.000376425070279734</v>
      </c>
      <c r="Y1003" s="16" t="n">
        <f aca="false">V1003*L1003</f>
        <v>0.00314632270432119</v>
      </c>
      <c r="Z1003" s="16" t="n">
        <f aca="false">Q1003*L1003</f>
        <v>0.000750112262714941</v>
      </c>
      <c r="AA1003" s="16" t="n">
        <f aca="false">R1003*L1003</f>
        <v>0.00108240908560778</v>
      </c>
      <c r="AB1003" s="16" t="n">
        <f aca="false">S1003*L1003</f>
        <v>0.000703218570273752</v>
      </c>
      <c r="AC1003" s="16" t="n">
        <f aca="false">Z1003-W1003</f>
        <v>-0.000210876975934664</v>
      </c>
      <c r="AD1003" s="16" t="n">
        <f aca="false">AA1003-W1003</f>
        <v>0.000121419846958177</v>
      </c>
      <c r="AE1003" s="16" t="n">
        <f aca="false">AB1003-W1003</f>
        <v>-0.000257770668375853</v>
      </c>
      <c r="AF1003" s="16" t="n">
        <f aca="false">AE1003-X1003</f>
        <v>-0.000634195738655587</v>
      </c>
      <c r="AG1003" s="16" t="n">
        <f aca="false">AF1003-p_spc_lo*Y1003/1000</f>
        <v>-0.000791511873871646</v>
      </c>
      <c r="AH1003" s="16" t="n">
        <f aca="false">AF1003-p_spc_hi*Y1003/1000</f>
        <v>-0.000948828009087706</v>
      </c>
      <c r="AI1003" s="16" t="n">
        <f aca="false">Q1003*J1003</f>
        <v>0.00312546776131225</v>
      </c>
      <c r="AJ1003" s="16" t="n">
        <f aca="false">S1003*J1003</f>
        <v>0.00293007737614063</v>
      </c>
      <c r="AK1003" s="16" t="n">
        <f aca="false">T1003*J1003</f>
        <v>0.00400412182770669</v>
      </c>
      <c r="AL1003" s="16" t="n">
        <f aca="false">U1003*J1003</f>
        <v>0.00156843779283222</v>
      </c>
      <c r="AM1003" s="16" t="n">
        <f aca="false">AI1003-AJ1003</f>
        <v>0.000195390385171621</v>
      </c>
      <c r="AN1003" s="16" t="n">
        <f aca="false">J1003*Country_Data!$EB$147</f>
        <v>0.0429976912299601</v>
      </c>
      <c r="AO1003" s="16" t="n">
        <f aca="false">L1003*Country_Data!$EB$147</f>
        <v>0.0103194458951904</v>
      </c>
    </row>
    <row r="1004" customFormat="false" ht="15" hidden="false" customHeight="false" outlineLevel="0" collapsed="false">
      <c r="A1004" s="14" t="str">
        <f aca="false">Country_Data!$A$147</f>
        <v>MUS</v>
      </c>
      <c r="B1004" s="14" t="str">
        <f aca="false">Country_Data!$E$147</f>
        <v>EMDC</v>
      </c>
      <c r="C1004" s="35" t="s">
        <v>484</v>
      </c>
      <c r="D1004" s="37" t="n">
        <f aca="false">IF(Country_Data!$CD$147="","",Country_Data!$CD$147)</f>
        <v>0.0555772603210345</v>
      </c>
      <c r="E1004" s="40" t="n">
        <f aca="false">Country_Data!$BW$147</f>
        <v>39.252</v>
      </c>
      <c r="F1004" s="41" t="n">
        <f aca="false">Country_Data!$BX$147</f>
        <v>0.381789462957302</v>
      </c>
      <c r="G1004" s="42" t="n">
        <f aca="false">IF(D1004="","",D1004/SUMIFS($D$5:$D$1369,$B$5:$B$1369,B1004,$C$5:$C$1369,C1004))</f>
        <v>0.0003103637250801</v>
      </c>
      <c r="H1004" s="42" t="n">
        <f aca="false">E1004/SUMIFS($E$5:$E$1369,$B$5:$B$1369,B1004,$C$5:$C$1369,C1004)</f>
        <v>0.00048620192095094</v>
      </c>
      <c r="I1004" s="43" t="n">
        <f aca="false">IF(G1004="",H1004,p_beta_alloc*G1004+(1-p_beta_alloc)*H1004)*F1004^p_phi</f>
        <v>0.000246095428221592</v>
      </c>
      <c r="J1004" s="16" t="n">
        <f aca="false">INDEX(Sector_Params!$C$21:$E$21,MATCH(B1004,Sector_Params!$C$15:$E$15,0))*I1004/SUMIFS($I$5:$I$1369,$B$5:$B$1369,B1004,$C$5:$C$1369,C1004)</f>
        <v>0.0545814622680182</v>
      </c>
      <c r="K1004" s="28" t="n">
        <f aca="false">INDEX(Sector_Params!$F$10:$H$10,MATCH(B1004,Sector_Params!$C$15:$E$15,0))</f>
        <v>0.24</v>
      </c>
      <c r="L1004" s="16" t="n">
        <f aca="false">J1004*K1004</f>
        <v>0.0130995509443244</v>
      </c>
      <c r="M1004" s="44" t="n">
        <f aca="false">Country_Data!$DW$147+Sector_Params!$E$10</f>
        <v>0.0669200000000001</v>
      </c>
      <c r="N1004" s="44" t="n">
        <f aca="false">Country_Data!$DX$147+Sector_Params!$E$10</f>
        <v>0.11192</v>
      </c>
      <c r="O1004" s="11" t="n">
        <f aca="false">IF(p_use_ibrd=1,p_r_ibrd,p_r_wb)</f>
        <v>0.06</v>
      </c>
      <c r="P1004" s="45" t="n">
        <f aca="false">Sector_Params!$D$10</f>
        <v>20</v>
      </c>
      <c r="Q1004" s="46" t="n">
        <f aca="false">M1004/(1-(1+M1004)^-P1004)</f>
        <v>0.0921452778087451</v>
      </c>
      <c r="R1004" s="46" t="n">
        <f aca="false">N1004/(1-(1+N1004)^-P1004)</f>
        <v>0.127155802918964</v>
      </c>
      <c r="S1004" s="46" t="n">
        <f aca="false">O1004/(1-(1+O1004)^-P1004)</f>
        <v>0.0871845569768514</v>
      </c>
      <c r="T1004" s="37" t="n">
        <f aca="false">0*Sector_Params!$I$10</f>
        <v>0</v>
      </c>
      <c r="U1004" s="37" t="n">
        <f aca="false">0*Sector_Params!$J$10</f>
        <v>0</v>
      </c>
      <c r="V1004" s="37" t="n">
        <f aca="false">1000*p_r_wb/(1-(1+p_r_wb)^-Sector_Params!$D$10)/p_cpt_fuel</f>
        <v>0.871845569768514</v>
      </c>
      <c r="W1004" s="16" t="n">
        <f aca="false">T1004*L1004</f>
        <v>0</v>
      </c>
      <c r="X1004" s="16" t="n">
        <f aca="false">U1004*L1004</f>
        <v>0</v>
      </c>
      <c r="Y1004" s="16" t="n">
        <f aca="false">V1004*L1004</f>
        <v>0.0114207854567662</v>
      </c>
      <c r="Z1004" s="16" t="n">
        <f aca="false">Q1004*L1004</f>
        <v>0.00120706176093458</v>
      </c>
      <c r="AA1004" s="16" t="n">
        <f aca="false">R1004*L1004</f>
        <v>0.00166568391820344</v>
      </c>
      <c r="AB1004" s="16" t="n">
        <f aca="false">S1004*L1004</f>
        <v>0.00114207854567662</v>
      </c>
      <c r="AC1004" s="16" t="n">
        <f aca="false">Z1004-W1004</f>
        <v>0.00120706176093458</v>
      </c>
      <c r="AD1004" s="16" t="n">
        <f aca="false">AA1004-W1004</f>
        <v>0.00166568391820344</v>
      </c>
      <c r="AE1004" s="16" t="n">
        <f aca="false">AB1004-W1004</f>
        <v>0.00114207854567662</v>
      </c>
      <c r="AF1004" s="16" t="n">
        <f aca="false">AE1004-X1004</f>
        <v>0.00114207854567662</v>
      </c>
      <c r="AG1004" s="16" t="n">
        <f aca="false">AF1004-p_spc_lo*Y1004/1000</f>
        <v>0.000571039272838308</v>
      </c>
      <c r="AH1004" s="16" t="n">
        <f aca="false">AF1004-p_spc_hi*Y1004/1000</f>
        <v>0</v>
      </c>
      <c r="AI1004" s="16" t="n">
        <f aca="false">Q1004*J1004</f>
        <v>0.00502942400389408</v>
      </c>
      <c r="AJ1004" s="16" t="n">
        <f aca="false">S1004*J1004</f>
        <v>0.0047586606069859</v>
      </c>
      <c r="AK1004" s="16" t="n">
        <f aca="false">T1004*J1004</f>
        <v>0</v>
      </c>
      <c r="AL1004" s="16" t="n">
        <f aca="false">U1004*J1004</f>
        <v>0</v>
      </c>
      <c r="AM1004" s="16" t="n">
        <f aca="false">AI1004-AJ1004</f>
        <v>0.000270763396908178</v>
      </c>
      <c r="AN1004" s="16" t="n">
        <f aca="false">J1004*Country_Data!$EB$147</f>
        <v>0.0626565279186291</v>
      </c>
      <c r="AO1004" s="16" t="n">
        <f aca="false">L1004*Country_Data!$EB$147</f>
        <v>0.015037566700471</v>
      </c>
    </row>
    <row r="1005" customFormat="false" ht="15" hidden="false" customHeight="false" outlineLevel="0" collapsed="false">
      <c r="A1005" s="14" t="str">
        <f aca="false">Country_Data!$A$147</f>
        <v>MUS</v>
      </c>
      <c r="B1005" s="14" t="str">
        <f aca="false">Country_Data!$E$147</f>
        <v>EMDC</v>
      </c>
      <c r="C1005" s="35" t="s">
        <v>488</v>
      </c>
      <c r="D1005" s="37" t="n">
        <f aca="false">IF(Country_Data!$CE$147="","",Country_Data!$CE$147)</f>
        <v>2.192</v>
      </c>
      <c r="E1005" s="40" t="n">
        <f aca="false">Country_Data!$BW$147</f>
        <v>39.252</v>
      </c>
      <c r="F1005" s="41" t="n">
        <f aca="false">Country_Data!$BX$147</f>
        <v>0.381789462957302</v>
      </c>
      <c r="G1005" s="42" t="n">
        <f aca="false">IF(D1005="","",D1005/SUMIFS($D$5:$D$1369,$B$5:$B$1369,B1005,$C$5:$C$1369,C1005))</f>
        <v>0.00017961162264188</v>
      </c>
      <c r="H1005" s="42" t="n">
        <f aca="false">E1005/SUMIFS($E$5:$E$1369,$B$5:$B$1369,B1005,$C$5:$C$1369,C1005)</f>
        <v>0.00048620192095094</v>
      </c>
      <c r="I1005" s="43" t="n">
        <f aca="false">IF(G1005="",H1005,p_beta_alloc*G1005+(1-p_beta_alloc)*H1005)*F1005^p_phi</f>
        <v>0.000205700145295779</v>
      </c>
      <c r="J1005" s="16" t="n">
        <f aca="false">INDEX(Sector_Params!$C$22:$E$22,MATCH(B1005,Sector_Params!$C$15:$E$15,0))*I1005/SUMIFS($I$5:$I$1369,$B$5:$B$1369,B1005,$C$5:$C$1369,C1005)</f>
        <v>0.123997773042141</v>
      </c>
      <c r="K1005" s="28" t="n">
        <f aca="false">INDEX(Sector_Params!$F$11:$H$11,MATCH(B1005,Sector_Params!$C$15:$E$15,0))</f>
        <v>0.24</v>
      </c>
      <c r="L1005" s="16" t="n">
        <f aca="false">J1005*K1005</f>
        <v>0.0297594655301139</v>
      </c>
      <c r="M1005" s="44" t="n">
        <f aca="false">Country_Data!$DW$147+Sector_Params!$E$11</f>
        <v>0.0669200000000001</v>
      </c>
      <c r="N1005" s="44" t="n">
        <f aca="false">Country_Data!$DX$147+Sector_Params!$E$11</f>
        <v>0.11192</v>
      </c>
      <c r="O1005" s="11" t="n">
        <f aca="false">IF(p_use_ibrd=1,p_r_ibrd,p_r_wb)</f>
        <v>0.06</v>
      </c>
      <c r="P1005" s="45" t="n">
        <f aca="false">Sector_Params!$D$11</f>
        <v>30</v>
      </c>
      <c r="Q1005" s="46" t="n">
        <f aca="false">M1005/(1-(1+M1005)^-P1005)</f>
        <v>0.0781076202786571</v>
      </c>
      <c r="R1005" s="46" t="n">
        <f aca="false">N1005/(1-(1+N1005)^-P1005)</f>
        <v>0.116762819890288</v>
      </c>
      <c r="S1005" s="46" t="n">
        <f aca="false">O1005/(1-(1+O1005)^-P1005)</f>
        <v>0.0726489114900472</v>
      </c>
      <c r="T1005" s="37" t="n">
        <f aca="false">0*Sector_Params!$I$11</f>
        <v>0</v>
      </c>
      <c r="U1005" s="37" t="n">
        <f aca="false">p_c*Sector_Params!$J$11</f>
        <v>0.129</v>
      </c>
      <c r="V1005" s="37" t="n">
        <f aca="false">1000*p_r_wb/(1-(1+p_r_wb)^-Sector_Params!$D$11)/p_cpt_afolu</f>
        <v>1.45297822980094</v>
      </c>
      <c r="W1005" s="16" t="n">
        <f aca="false">T1005*L1005</f>
        <v>0</v>
      </c>
      <c r="X1005" s="16" t="n">
        <f aca="false">U1005*L1005</f>
        <v>0.0038389710533847</v>
      </c>
      <c r="Y1005" s="16" t="n">
        <f aca="false">V1005*L1005</f>
        <v>0.0432398555457672</v>
      </c>
      <c r="Z1005" s="16" t="n">
        <f aca="false">Q1005*L1005</f>
        <v>0.00232444103332192</v>
      </c>
      <c r="AA1005" s="16" t="n">
        <f aca="false">R1005*L1005</f>
        <v>0.00347479911372393</v>
      </c>
      <c r="AB1005" s="16" t="n">
        <f aca="false">S1005*L1005</f>
        <v>0.00216199277728836</v>
      </c>
      <c r="AC1005" s="16" t="n">
        <f aca="false">Z1005-W1005</f>
        <v>0.00232444103332192</v>
      </c>
      <c r="AD1005" s="16" t="n">
        <f aca="false">AA1005-W1005</f>
        <v>0.00347479911372393</v>
      </c>
      <c r="AE1005" s="16" t="n">
        <f aca="false">AB1005-W1005</f>
        <v>0.00216199277728836</v>
      </c>
      <c r="AF1005" s="16" t="n">
        <f aca="false">AE1005-X1005</f>
        <v>-0.00167697827609634</v>
      </c>
      <c r="AG1005" s="16" t="n">
        <f aca="false">AF1005-p_spc_lo*Y1005/1000</f>
        <v>-0.0038389710533847</v>
      </c>
      <c r="AH1005" s="16" t="n">
        <f aca="false">AF1005-p_spc_hi*Y1005/1000</f>
        <v>-0.00600096383067305</v>
      </c>
      <c r="AI1005" s="16" t="n">
        <f aca="false">Q1005*J1005</f>
        <v>0.00968517097217469</v>
      </c>
      <c r="AJ1005" s="16" t="n">
        <f aca="false">S1005*J1005</f>
        <v>0.00900830323870149</v>
      </c>
      <c r="AK1005" s="16" t="n">
        <f aca="false">T1005*J1005</f>
        <v>0</v>
      </c>
      <c r="AL1005" s="16" t="n">
        <f aca="false">U1005*J1005</f>
        <v>0.0159957127224362</v>
      </c>
      <c r="AM1005" s="16" t="n">
        <f aca="false">AI1005-AJ1005</f>
        <v>0.000676867733473195</v>
      </c>
      <c r="AN1005" s="16" t="n">
        <f aca="false">J1005*Country_Data!$EB$147</f>
        <v>0.142342649053855</v>
      </c>
      <c r="AO1005" s="16" t="n">
        <f aca="false">L1005*Country_Data!$EB$147</f>
        <v>0.0341622357729253</v>
      </c>
    </row>
    <row r="1006" customFormat="false" ht="15" hidden="false" customHeight="false" outlineLevel="0" collapsed="false">
      <c r="A1006" s="14" t="str">
        <f aca="false">Country_Data!$A$148</f>
        <v>COG</v>
      </c>
      <c r="B1006" s="14" t="str">
        <f aca="false">Country_Data!$E$148</f>
        <v>EMDC</v>
      </c>
      <c r="C1006" s="35" t="s">
        <v>466</v>
      </c>
      <c r="D1006" s="37" t="n">
        <f aca="false">IF(Country_Data!$BZ$148="","",Country_Data!$BZ$148)</f>
        <v>1.9982524848155</v>
      </c>
      <c r="E1006" s="40" t="n">
        <f aca="false">Country_Data!$BW$148</f>
        <v>40.189</v>
      </c>
      <c r="F1006" s="41" t="n">
        <f aca="false">Country_Data!$BX$148</f>
        <v>0.367613028440618</v>
      </c>
      <c r="G1006" s="42" t="n">
        <f aca="false">IF(D1006="","",D1006/SUMIFS($D$5:$D$1369,$B$5:$B$1369,B1006,$C$5:$C$1369,C1006))</f>
        <v>0.000228124770793124</v>
      </c>
      <c r="H1006" s="42" t="n">
        <f aca="false">E1006/SUMIFS($E$5:$E$1369,$B$5:$B$1369,B1006,$C$5:$C$1369,C1006)</f>
        <v>0.000497808239098577</v>
      </c>
      <c r="I1006" s="43" t="n">
        <f aca="false">IF(G1006="",H1006,p_beta_alloc*G1006+(1-p_beta_alloc)*H1006)*F1006^p_phi</f>
        <v>0.000220070584496299</v>
      </c>
      <c r="J1006" s="16" t="n">
        <f aca="false">INDEX(Sector_Params!$C$16:$E$16,MATCH(B1006,Sector_Params!$C$15:$E$15,0))*I1006/SUMIFS($I$5:$I$1369,$B$5:$B$1369,B1006,$C$5:$C$1369,C1006)</f>
        <v>0.212857848595165</v>
      </c>
      <c r="K1006" s="28" t="n">
        <f aca="false">INDEX(Sector_Params!$F$5:$H$5,MATCH(B1006,Sector_Params!$C$15:$E$15,0))</f>
        <v>0.24</v>
      </c>
      <c r="L1006" s="16" t="n">
        <f aca="false">J1006*K1006</f>
        <v>0.0510858836628395</v>
      </c>
      <c r="M1006" s="44" t="n">
        <f aca="false">Country_Data!$DW$148+Sector_Params!$E$5</f>
        <v>0.105</v>
      </c>
      <c r="N1006" s="44" t="n">
        <f aca="false">Country_Data!$DX$148+Sector_Params!$E$5</f>
        <v>0.15</v>
      </c>
      <c r="O1006" s="11" t="n">
        <f aca="false">IF(p_use_ibrd=1,p_r_ibrd,p_r_wb)</f>
        <v>0.06</v>
      </c>
      <c r="P1006" s="45" t="n">
        <f aca="false">Sector_Params!$D$5</f>
        <v>25</v>
      </c>
      <c r="Q1006" s="46" t="n">
        <f aca="false">M1006/(1-(1+M1006)^-P1006)</f>
        <v>0.114429319813103</v>
      </c>
      <c r="R1006" s="46" t="n">
        <f aca="false">N1006/(1-(1+N1006)^-P1006)</f>
        <v>0.154699402320206</v>
      </c>
      <c r="S1006" s="46" t="n">
        <f aca="false">O1006/(1-(1+O1006)^-P1006)</f>
        <v>0.078226718212274</v>
      </c>
      <c r="T1006" s="37" t="n">
        <f aca="false">IF(AND(p_eng=1,ISNUMBER(Country_Data!$CZ$148)),Country_Data!$CZ$148,Country_Data!$CM$148)*Sector_Params!$I$5</f>
        <v>0.096324902045922</v>
      </c>
      <c r="U1006" s="37" t="n">
        <f aca="false">IF(AND(p_eng=1,ISNUMBER(Country_Data!$DA$148)),Country_Data!$DA$148,Country_Data!$CN$148)*Sector_Params!$J$5</f>
        <v>0.00196609834937207</v>
      </c>
      <c r="V1006" s="37" t="n">
        <f aca="false">IF(AND(p_eng=1,ISNUMBER(Country_Data!$DB$148)),Country_Data!$DB$148,p_a)</f>
        <v>0.814009389207435</v>
      </c>
      <c r="W1006" s="16" t="n">
        <f aca="false">T1006*L1006</f>
        <v>0.00492084273975238</v>
      </c>
      <c r="X1006" s="16" t="n">
        <f aca="false">U1006*L1006</f>
        <v>0.000100439871545722</v>
      </c>
      <c r="Y1006" s="16" t="n">
        <f aca="false">V1006*L1006</f>
        <v>0.04158438895751</v>
      </c>
      <c r="Z1006" s="16" t="n">
        <f aca="false">Q1006*L1006</f>
        <v>0.00584572291959005</v>
      </c>
      <c r="AA1006" s="16" t="n">
        <f aca="false">R1006*L1006</f>
        <v>0.00790295566964087</v>
      </c>
      <c r="AB1006" s="16" t="n">
        <f aca="false">S1006*L1006</f>
        <v>0.00399628102591795</v>
      </c>
      <c r="AC1006" s="16" t="n">
        <f aca="false">Z1006-W1006</f>
        <v>0.000924880179837669</v>
      </c>
      <c r="AD1006" s="16" t="n">
        <f aca="false">AA1006-W1006</f>
        <v>0.00298211292988849</v>
      </c>
      <c r="AE1006" s="16" t="n">
        <f aca="false">AB1006-W1006</f>
        <v>-0.000924561713834426</v>
      </c>
      <c r="AF1006" s="16" t="n">
        <f aca="false">AE1006-X1006</f>
        <v>-0.00102500158538015</v>
      </c>
      <c r="AG1006" s="16" t="n">
        <f aca="false">AF1006-p_spc_lo*Y1006/1000</f>
        <v>-0.00310422103325565</v>
      </c>
      <c r="AH1006" s="16" t="n">
        <f aca="false">AF1006-p_spc_hi*Y1006/1000</f>
        <v>-0.00518344048113115</v>
      </c>
      <c r="AI1006" s="16" t="n">
        <f aca="false">Q1006*J1006</f>
        <v>0.0243571788316252</v>
      </c>
      <c r="AJ1006" s="16" t="n">
        <f aca="false">S1006*J1006</f>
        <v>0.0166511709413248</v>
      </c>
      <c r="AK1006" s="16" t="n">
        <f aca="false">T1006*J1006</f>
        <v>0.0205035114156349</v>
      </c>
      <c r="AL1006" s="16" t="n">
        <f aca="false">U1006*J1006</f>
        <v>0.000418499464773843</v>
      </c>
      <c r="AM1006" s="16" t="n">
        <f aca="false">AI1006-AJ1006</f>
        <v>0.0077060078903004</v>
      </c>
      <c r="AN1006" s="16" t="n">
        <f aca="false">J1006*Country_Data!$EB$148</f>
        <v>0.24434914674349</v>
      </c>
      <c r="AO1006" s="16" t="n">
        <f aca="false">L1006*Country_Data!$EB$148</f>
        <v>0.0586437952184377</v>
      </c>
    </row>
    <row r="1007" customFormat="false" ht="15" hidden="false" customHeight="false" outlineLevel="0" collapsed="false">
      <c r="A1007" s="14" t="str">
        <f aca="false">Country_Data!$A$148</f>
        <v>COG</v>
      </c>
      <c r="B1007" s="14" t="str">
        <f aca="false">Country_Data!$E$148</f>
        <v>EMDC</v>
      </c>
      <c r="C1007" s="35" t="s">
        <v>470</v>
      </c>
      <c r="D1007" s="37" t="n">
        <f aca="false">IF(Country_Data!$BZ$148="","",Country_Data!$BZ$148)</f>
        <v>1.9982524848155</v>
      </c>
      <c r="E1007" s="40" t="n">
        <f aca="false">Country_Data!$BW$148</f>
        <v>40.189</v>
      </c>
      <c r="F1007" s="41" t="n">
        <f aca="false">Country_Data!$BX$148</f>
        <v>0.367613028440618</v>
      </c>
      <c r="G1007" s="42" t="n">
        <f aca="false">IF(D1007="","",D1007/SUMIFS($D$5:$D$1369,$B$5:$B$1369,B1007,$C$5:$C$1369,C1007))</f>
        <v>0.000228124770793124</v>
      </c>
      <c r="H1007" s="42" t="n">
        <f aca="false">E1007/SUMIFS($E$5:$E$1369,$B$5:$B$1369,B1007,$C$5:$C$1369,C1007)</f>
        <v>0.000497808239098577</v>
      </c>
      <c r="I1007" s="43" t="n">
        <f aca="false">IF(G1007="",H1007,p_beta_alloc*G1007+(1-p_beta_alloc)*H1007)*F1007^p_phi</f>
        <v>0.000220070584496299</v>
      </c>
      <c r="J1007" s="16" t="n">
        <f aca="false">INDEX(Sector_Params!$C$17:$E$17,MATCH(B1007,Sector_Params!$C$15:$E$15,0))*I1007/SUMIFS($I$5:$I$1369,$B$5:$B$1369,B1007,$C$5:$C$1369,C1007)</f>
        <v>0.145959667608113</v>
      </c>
      <c r="K1007" s="28" t="n">
        <f aca="false">INDEX(Sector_Params!$F$6:$H$6,MATCH(B1007,Sector_Params!$C$15:$E$15,0))</f>
        <v>0.24</v>
      </c>
      <c r="L1007" s="16" t="n">
        <f aca="false">J1007*K1007</f>
        <v>0.0350303202259471</v>
      </c>
      <c r="M1007" s="44" t="n">
        <f aca="false">Country_Data!$DW$148+Sector_Params!$E$6</f>
        <v>0.105</v>
      </c>
      <c r="N1007" s="44" t="n">
        <f aca="false">Country_Data!$DX$148+Sector_Params!$E$6</f>
        <v>0.15</v>
      </c>
      <c r="O1007" s="11" t="n">
        <f aca="false">IF(p_use_ibrd=1,p_r_ibrd,p_r_wb)</f>
        <v>0.06</v>
      </c>
      <c r="P1007" s="45" t="n">
        <f aca="false">Sector_Params!$D$6</f>
        <v>40</v>
      </c>
      <c r="Q1007" s="46" t="n">
        <f aca="false">M1007/(1-(1+M1007)^-P1007)</f>
        <v>0.10697140835497</v>
      </c>
      <c r="R1007" s="46" t="n">
        <f aca="false">N1007/(1-(1+N1007)^-P1007)</f>
        <v>0.150562085013545</v>
      </c>
      <c r="S1007" s="46" t="n">
        <f aca="false">O1007/(1-(1+O1007)^-P1007)</f>
        <v>0.0664615359206755</v>
      </c>
      <c r="T1007" s="37" t="n">
        <f aca="false">p_grid_credit*IF(AND(p_eng=1,ISNUMBER(Country_Data!$CZ$148)),Country_Data!$CZ$148,Country_Data!$CM$148)*Sector_Params!$I$6</f>
        <v>0</v>
      </c>
      <c r="U1007" s="37" t="n">
        <f aca="false">p_grid_credit*IF(AND(p_eng=1,ISNUMBER(Country_Data!$DA$148)),Country_Data!$DA$148,Country_Data!$CN$148)*Sector_Params!$J$6</f>
        <v>0</v>
      </c>
      <c r="V1007" s="37" t="n">
        <f aca="false">p_grid_credit*IF(AND(p_eng=1,ISNUMBER(Country_Data!$DB$148)),Country_Data!$DB$148,p_a)</f>
        <v>0</v>
      </c>
      <c r="W1007" s="16" t="n">
        <f aca="false">T1007*L1007</f>
        <v>0</v>
      </c>
      <c r="X1007" s="16" t="n">
        <f aca="false">U1007*L1007</f>
        <v>0</v>
      </c>
      <c r="Y1007" s="16" t="n">
        <f aca="false">V1007*L1007</f>
        <v>0</v>
      </c>
      <c r="Z1007" s="16" t="n">
        <f aca="false">Q1007*L1007</f>
        <v>0.00374724268969516</v>
      </c>
      <c r="AA1007" s="16" t="n">
        <f aca="false">R1007*L1007</f>
        <v>0.00527423805191075</v>
      </c>
      <c r="AB1007" s="16" t="n">
        <f aca="false">S1007*L1007</f>
        <v>0.00232816888600955</v>
      </c>
      <c r="AC1007" s="16" t="n">
        <f aca="false">Z1007-W1007</f>
        <v>0.00374724268969516</v>
      </c>
      <c r="AD1007" s="16" t="n">
        <f aca="false">AA1007-W1007</f>
        <v>0.00527423805191075</v>
      </c>
      <c r="AE1007" s="16" t="n">
        <f aca="false">AB1007-W1007</f>
        <v>0.00232816888600955</v>
      </c>
      <c r="AF1007" s="16" t="n">
        <f aca="false">AE1007-X1007</f>
        <v>0.00232816888600955</v>
      </c>
      <c r="AG1007" s="16" t="n">
        <f aca="false">AF1007-p_spc_lo*Y1007/1000</f>
        <v>0.00232816888600955</v>
      </c>
      <c r="AH1007" s="16" t="n">
        <f aca="false">AF1007-p_spc_hi*Y1007/1000</f>
        <v>0.00232816888600955</v>
      </c>
      <c r="AI1007" s="16" t="n">
        <f aca="false">Q1007*J1007</f>
        <v>0.0156135112070632</v>
      </c>
      <c r="AJ1007" s="16" t="n">
        <f aca="false">S1007*J1007</f>
        <v>0.00970070369170644</v>
      </c>
      <c r="AK1007" s="16" t="n">
        <f aca="false">T1007*J1007</f>
        <v>0</v>
      </c>
      <c r="AL1007" s="16" t="n">
        <f aca="false">U1007*J1007</f>
        <v>0</v>
      </c>
      <c r="AM1007" s="16" t="n">
        <f aca="false">AI1007-AJ1007</f>
        <v>0.00591280751535673</v>
      </c>
      <c r="AN1007" s="16" t="n">
        <f aca="false">J1007*Country_Data!$EB$148</f>
        <v>0.167553700624108</v>
      </c>
      <c r="AO1007" s="16" t="n">
        <f aca="false">L1007*Country_Data!$EB$148</f>
        <v>0.0402128881497858</v>
      </c>
    </row>
    <row r="1008" customFormat="false" ht="15" hidden="false" customHeight="false" outlineLevel="0" collapsed="false">
      <c r="A1008" s="14" t="str">
        <f aca="false">Country_Data!$A$148</f>
        <v>COG</v>
      </c>
      <c r="B1008" s="14" t="str">
        <f aca="false">Country_Data!$E$148</f>
        <v>EMDC</v>
      </c>
      <c r="C1008" s="35" t="s">
        <v>473</v>
      </c>
      <c r="D1008" s="37" t="n">
        <f aca="false">IF(Country_Data!$CA$148="","",Country_Data!$CA$148)</f>
        <v>0.018043311036916</v>
      </c>
      <c r="E1008" s="40" t="n">
        <f aca="false">Country_Data!$BW$148</f>
        <v>40.189</v>
      </c>
      <c r="F1008" s="41" t="n">
        <f aca="false">Country_Data!$BX$148</f>
        <v>0.367613028440618</v>
      </c>
      <c r="G1008" s="42" t="n">
        <f aca="false">IF(D1008="","",D1008/SUMIFS($D$5:$D$1369,$B$5:$B$1369,B1008,$C$5:$C$1369,C1008))</f>
        <v>0.00041684246658456</v>
      </c>
      <c r="H1008" s="42" t="n">
        <f aca="false">E1008/SUMIFS($E$5:$E$1369,$B$5:$B$1369,B1008,$C$5:$C$1369,C1008)</f>
        <v>0.000497808239098577</v>
      </c>
      <c r="I1008" s="43" t="n">
        <f aca="false">IF(G1008="",H1008,p_beta_alloc*G1008+(1-p_beta_alloc)*H1008)*F1008^p_phi</f>
        <v>0.000277281391900982</v>
      </c>
      <c r="J1008" s="16" t="n">
        <f aca="false">INDEX(Sector_Params!$C$18:$E$18,MATCH(B1008,Sector_Params!$C$15:$E$15,0))*I1008/SUMIFS($I$5:$I$1369,$B$5:$B$1369,B1008,$C$5:$C$1369,C1008)</f>
        <v>0.11354016916901</v>
      </c>
      <c r="K1008" s="28" t="n">
        <f aca="false">INDEX(Sector_Params!$F$7:$H$7,MATCH(B1008,Sector_Params!$C$15:$E$15,0))</f>
        <v>0.24</v>
      </c>
      <c r="L1008" s="16" t="n">
        <f aca="false">J1008*K1008</f>
        <v>0.0272496406005624</v>
      </c>
      <c r="M1008" s="44" t="n">
        <f aca="false">Country_Data!$DW$148+Sector_Params!$E$7</f>
        <v>0.105</v>
      </c>
      <c r="N1008" s="44" t="n">
        <f aca="false">Country_Data!$DX$148+Sector_Params!$E$7</f>
        <v>0.15</v>
      </c>
      <c r="O1008" s="11" t="n">
        <f aca="false">IF(p_use_ibrd=1,p_r_ibrd,p_r_wb)</f>
        <v>0.06</v>
      </c>
      <c r="P1008" s="45" t="n">
        <f aca="false">Sector_Params!$D$7</f>
        <v>12</v>
      </c>
      <c r="Q1008" s="46" t="n">
        <f aca="false">M1008/(1-(1+M1008)^-P1008)</f>
        <v>0.150376745634766</v>
      </c>
      <c r="R1008" s="46" t="n">
        <f aca="false">N1008/(1-(1+N1008)^-P1008)</f>
        <v>0.18448077613084</v>
      </c>
      <c r="S1008" s="46" t="n">
        <f aca="false">O1008/(1-(1+O1008)^-P1008)</f>
        <v>0.119277029380664</v>
      </c>
      <c r="T1008" s="37" t="n">
        <f aca="false">IF(AND(p_eng=1,ISNUMBER(Country_Data!$DE$148)),Country_Data!$DE$148,Country_Data!$CM$148)*Sector_Params!$I$7</f>
        <v>0.132158925</v>
      </c>
      <c r="U1008" s="37" t="n">
        <f aca="false">IF(AND(p_eng=1,ISNUMBER(Country_Data!$DF$148)),Country_Data!$DF$148,Country_Data!$CN$148)*Sector_Params!$J$7</f>
        <v>0.002197125</v>
      </c>
      <c r="V1008" s="37" t="n">
        <f aca="false">IF(AND(p_eng=1,ISNUMBER(Country_Data!$DG$148)),Country_Data!$DG$148,p_a)</f>
        <v>0.342255263736264</v>
      </c>
      <c r="W1008" s="16" t="n">
        <f aca="false">T1008*L1008</f>
        <v>0.00360128320840668</v>
      </c>
      <c r="X1008" s="16" t="n">
        <f aca="false">U1008*L1008</f>
        <v>5.98708666045107E-005</v>
      </c>
      <c r="Y1008" s="16" t="n">
        <f aca="false">V1008*L1008</f>
        <v>0.00932633293046389</v>
      </c>
      <c r="Z1008" s="16" t="n">
        <f aca="false">Q1008*L1008</f>
        <v>0.00409771227322956</v>
      </c>
      <c r="AA1008" s="16" t="n">
        <f aca="false">R1008*L1008</f>
        <v>0.00502703484727819</v>
      </c>
      <c r="AB1008" s="16" t="n">
        <f aca="false">S1008*L1008</f>
        <v>0.00325025618252581</v>
      </c>
      <c r="AC1008" s="16" t="n">
        <f aca="false">Z1008-W1008</f>
        <v>0.000496429064822876</v>
      </c>
      <c r="AD1008" s="16" t="n">
        <f aca="false">AA1008-W1008</f>
        <v>0.00142575163887151</v>
      </c>
      <c r="AE1008" s="16" t="n">
        <f aca="false">AB1008-W1008</f>
        <v>-0.000351027025880878</v>
      </c>
      <c r="AF1008" s="16" t="n">
        <f aca="false">AE1008-X1008</f>
        <v>-0.000410897892485389</v>
      </c>
      <c r="AG1008" s="16" t="n">
        <f aca="false">AF1008-p_spc_lo*Y1008/1000</f>
        <v>-0.000877214539008583</v>
      </c>
      <c r="AH1008" s="16" t="n">
        <f aca="false">AF1008-p_spc_hi*Y1008/1000</f>
        <v>-0.00134353118553178</v>
      </c>
      <c r="AI1008" s="16" t="n">
        <f aca="false">Q1008*J1008</f>
        <v>0.0170738011384565</v>
      </c>
      <c r="AJ1008" s="16" t="n">
        <f aca="false">S1008*J1008</f>
        <v>0.0135427340938575</v>
      </c>
      <c r="AK1008" s="16" t="n">
        <f aca="false">T1008*J1008</f>
        <v>0.0150053467016945</v>
      </c>
      <c r="AL1008" s="16" t="n">
        <f aca="false">U1008*J1008</f>
        <v>0.000249461944185461</v>
      </c>
      <c r="AM1008" s="16" t="n">
        <f aca="false">AI1008-AJ1008</f>
        <v>0.00353106704459897</v>
      </c>
      <c r="AN1008" s="16" t="n">
        <f aca="false">J1008*Country_Data!$EB$148</f>
        <v>0.130337892826891</v>
      </c>
      <c r="AO1008" s="16" t="n">
        <f aca="false">L1008*Country_Data!$EB$148</f>
        <v>0.0312810942784538</v>
      </c>
    </row>
    <row r="1009" customFormat="false" ht="15" hidden="false" customHeight="false" outlineLevel="0" collapsed="false">
      <c r="A1009" s="14" t="str">
        <f aca="false">Country_Data!$A$148</f>
        <v>COG</v>
      </c>
      <c r="B1009" s="14" t="str">
        <f aca="false">Country_Data!$E$148</f>
        <v>EMDC</v>
      </c>
      <c r="C1009" s="35" t="s">
        <v>477</v>
      </c>
      <c r="D1009" s="37" t="n">
        <f aca="false">IF(Country_Data!$CB$148="","",Country_Data!$CB$148)</f>
        <v>0.00467716121162707</v>
      </c>
      <c r="E1009" s="40" t="n">
        <f aca="false">Country_Data!$BW$148</f>
        <v>40.189</v>
      </c>
      <c r="F1009" s="41" t="n">
        <f aca="false">Country_Data!$BX$148</f>
        <v>0.367613028440618</v>
      </c>
      <c r="G1009" s="42" t="n">
        <f aca="false">IF(D1009="","",D1009/SUMIFS($D$5:$D$1369,$B$5:$B$1369,B1009,$C$5:$C$1369,C1009))</f>
        <v>0.000147485134959971</v>
      </c>
      <c r="H1009" s="42" t="n">
        <f aca="false">E1009/SUMIFS($E$5:$E$1369,$B$5:$B$1369,B1009,$C$5:$C$1369,C1009)</f>
        <v>0.000497808239098577</v>
      </c>
      <c r="I1009" s="43" t="n">
        <f aca="false">IF(G1009="",H1009,p_beta_alloc*G1009+(1-p_beta_alloc)*H1009)*F1009^p_phi</f>
        <v>0.000195624235384804</v>
      </c>
      <c r="J1009" s="16" t="n">
        <f aca="false">INDEX(Sector_Params!$C$19:$E$19,MATCH(B1009,Sector_Params!$C$15:$E$15,0))*I1009/SUMIFS($I$5:$I$1369,$B$5:$B$1369,B1009,$C$5:$C$1369,C1009)</f>
        <v>0.0629641243442658</v>
      </c>
      <c r="K1009" s="28" t="n">
        <f aca="false">INDEX(Sector_Params!$F$8:$H$8,MATCH(B1009,Sector_Params!$C$15:$E$15,0))</f>
        <v>0.24</v>
      </c>
      <c r="L1009" s="16" t="n">
        <f aca="false">J1009*K1009</f>
        <v>0.0151113898426238</v>
      </c>
      <c r="M1009" s="44" t="n">
        <f aca="false">Country_Data!$DW$148+Sector_Params!$E$8</f>
        <v>0.105</v>
      </c>
      <c r="N1009" s="44" t="n">
        <f aca="false">Country_Data!$DX$148+Sector_Params!$E$8</f>
        <v>0.15</v>
      </c>
      <c r="O1009" s="11" t="n">
        <f aca="false">IF(p_use_ibrd=1,p_r_ibrd,p_r_wb)</f>
        <v>0.06</v>
      </c>
      <c r="P1009" s="45" t="n">
        <f aca="false">Sector_Params!$D$8</f>
        <v>25</v>
      </c>
      <c r="Q1009" s="46" t="n">
        <f aca="false">M1009/(1-(1+M1009)^-P1009)</f>
        <v>0.114429319813103</v>
      </c>
      <c r="R1009" s="46" t="n">
        <f aca="false">N1009/(1-(1+N1009)^-P1009)</f>
        <v>0.154699402320206</v>
      </c>
      <c r="S1009" s="46" t="n">
        <f aca="false">O1009/(1-(1+O1009)^-P1009)</f>
        <v>0.078226718212274</v>
      </c>
      <c r="T1009" s="37" t="n">
        <f aca="false">Country_Data!$CM$148*Sector_Params!$I$8</f>
        <v>0.0872224968291737</v>
      </c>
      <c r="U1009" s="37" t="n">
        <f aca="false">Country_Data!$CN$148*Sector_Params!$J$8</f>
        <v>0.03225</v>
      </c>
      <c r="V1009" s="37" t="n">
        <f aca="false">p_a</f>
        <v>0.35</v>
      </c>
      <c r="W1009" s="16" t="n">
        <f aca="false">T1009*L1009</f>
        <v>0.00131805315263266</v>
      </c>
      <c r="X1009" s="16" t="n">
        <f aca="false">U1009*L1009</f>
        <v>0.000487342322424617</v>
      </c>
      <c r="Y1009" s="16" t="n">
        <f aca="false">V1009*L1009</f>
        <v>0.00528898644491833</v>
      </c>
      <c r="Z1009" s="16" t="n">
        <f aca="false">Q1009*L1009</f>
        <v>0.00172918606112208</v>
      </c>
      <c r="AA1009" s="16" t="n">
        <f aca="false">R1009*L1009</f>
        <v>0.00233772297688154</v>
      </c>
      <c r="AB1009" s="16" t="n">
        <f aca="false">S1009*L1009</f>
        <v>0.00118211443501475</v>
      </c>
      <c r="AC1009" s="16" t="n">
        <f aca="false">Z1009-W1009</f>
        <v>0.000411132908489418</v>
      </c>
      <c r="AD1009" s="16" t="n">
        <f aca="false">AA1009-W1009</f>
        <v>0.00101966982424888</v>
      </c>
      <c r="AE1009" s="16" t="n">
        <f aca="false">AB1009-W1009</f>
        <v>-0.000135938717617911</v>
      </c>
      <c r="AF1009" s="16" t="n">
        <f aca="false">AE1009-X1009</f>
        <v>-0.000623281040042528</v>
      </c>
      <c r="AG1009" s="16" t="n">
        <f aca="false">AF1009-p_spc_lo*Y1009/1000</f>
        <v>-0.000887730362288445</v>
      </c>
      <c r="AH1009" s="16" t="n">
        <f aca="false">AF1009-p_spc_hi*Y1009/1000</f>
        <v>-0.00115217968453436</v>
      </c>
      <c r="AI1009" s="16" t="n">
        <f aca="false">Q1009*J1009</f>
        <v>0.00720494192134199</v>
      </c>
      <c r="AJ1009" s="16" t="n">
        <f aca="false">S1009*J1009</f>
        <v>0.00492547681256146</v>
      </c>
      <c r="AK1009" s="16" t="n">
        <f aca="false">T1009*J1009</f>
        <v>0.00549188813596942</v>
      </c>
      <c r="AL1009" s="16" t="n">
        <f aca="false">U1009*J1009</f>
        <v>0.00203059301010257</v>
      </c>
      <c r="AM1009" s="16" t="n">
        <f aca="false">AI1009-AJ1009</f>
        <v>0.00227946510878054</v>
      </c>
      <c r="AN1009" s="16" t="n">
        <f aca="false">J1009*Country_Data!$EB$148</f>
        <v>0.072279364658212</v>
      </c>
      <c r="AO1009" s="16" t="n">
        <f aca="false">L1009*Country_Data!$EB$148</f>
        <v>0.0173470475179709</v>
      </c>
    </row>
    <row r="1010" customFormat="false" ht="15" hidden="false" customHeight="false" outlineLevel="0" collapsed="false">
      <c r="A1010" s="14" t="str">
        <f aca="false">Country_Data!$A$148</f>
        <v>COG</v>
      </c>
      <c r="B1010" s="14" t="str">
        <f aca="false">Country_Data!$E$148</f>
        <v>EMDC</v>
      </c>
      <c r="C1010" s="35" t="s">
        <v>481</v>
      </c>
      <c r="D1010" s="37" t="n">
        <f aca="false">IF(Country_Data!$CC$148="","",Country_Data!$CC$148)</f>
        <v>0.00560790688326875</v>
      </c>
      <c r="E1010" s="40" t="n">
        <f aca="false">Country_Data!$BW$148</f>
        <v>40.189</v>
      </c>
      <c r="F1010" s="41" t="n">
        <f aca="false">Country_Data!$BX$148</f>
        <v>0.367613028440618</v>
      </c>
      <c r="G1010" s="42" t="n">
        <f aca="false">IF(D1010="","",D1010/SUMIFS($D$5:$D$1369,$B$5:$B$1369,B1010,$C$5:$C$1369,C1010))</f>
        <v>8.01046503089539E-005</v>
      </c>
      <c r="H1010" s="42" t="n">
        <f aca="false">E1010/SUMIFS($E$5:$E$1369,$B$5:$B$1369,B1010,$C$5:$C$1369,C1010)</f>
        <v>0.000497808239098577</v>
      </c>
      <c r="I1010" s="43" t="n">
        <f aca="false">IF(G1010="",H1010,p_beta_alloc*G1010+(1-p_beta_alloc)*H1010)*F1010^p_phi</f>
        <v>0.000175197470877972</v>
      </c>
      <c r="J1010" s="16" t="n">
        <f aca="false">INDEX(Sector_Params!$C$20:$E$20,MATCH(B1010,Sector_Params!$C$15:$E$15,0))*I1010/SUMIFS($I$5:$I$1369,$B$5:$B$1369,B1010,$C$5:$C$1369,C1010)</f>
        <v>0.0319770665070617</v>
      </c>
      <c r="K1010" s="28" t="n">
        <f aca="false">INDEX(Sector_Params!$F$9:$H$9,MATCH(B1010,Sector_Params!$C$15:$E$15,0))</f>
        <v>0.24</v>
      </c>
      <c r="L1010" s="16" t="n">
        <f aca="false">J1010*K1010</f>
        <v>0.0076744959616948</v>
      </c>
      <c r="M1010" s="44" t="n">
        <f aca="false">Country_Data!$DW$148+Sector_Params!$E$9</f>
        <v>0.105</v>
      </c>
      <c r="N1010" s="44" t="n">
        <f aca="false">Country_Data!$DX$148+Sector_Params!$E$9</f>
        <v>0.15</v>
      </c>
      <c r="O1010" s="11" t="n">
        <f aca="false">IF(p_use_ibrd=1,p_r_ibrd,p_r_wb)</f>
        <v>0.06</v>
      </c>
      <c r="P1010" s="45" t="n">
        <f aca="false">Sector_Params!$D$9</f>
        <v>25</v>
      </c>
      <c r="Q1010" s="46" t="n">
        <f aca="false">M1010/(1-(1+M1010)^-P1010)</f>
        <v>0.114429319813103</v>
      </c>
      <c r="R1010" s="46" t="n">
        <f aca="false">N1010/(1-(1+N1010)^-P1010)</f>
        <v>0.154699402320206</v>
      </c>
      <c r="S1010" s="46" t="n">
        <f aca="false">O1010/(1-(1+O1010)^-P1010)</f>
        <v>0.078226718212274</v>
      </c>
      <c r="T1010" s="37" t="n">
        <f aca="false">Country_Data!$CM$148*Sector_Params!$I$9</f>
        <v>0.0872224968291737</v>
      </c>
      <c r="U1010" s="37" t="n">
        <f aca="false">Country_Data!$CN$148*Sector_Params!$J$9</f>
        <v>0.03225</v>
      </c>
      <c r="V1010" s="37" t="n">
        <f aca="false">p_a</f>
        <v>0.35</v>
      </c>
      <c r="W1010" s="16" t="n">
        <f aca="false">T1010*L1010</f>
        <v>0.000669388699684431</v>
      </c>
      <c r="X1010" s="16" t="n">
        <f aca="false">U1010*L1010</f>
        <v>0.000247502494764657</v>
      </c>
      <c r="Y1010" s="16" t="n">
        <f aca="false">V1010*L1010</f>
        <v>0.00268607358659318</v>
      </c>
      <c r="Z1010" s="16" t="n">
        <f aca="false">Q1010*L1010</f>
        <v>0.000878187352805144</v>
      </c>
      <c r="AA1010" s="16" t="n">
        <f aca="false">R1010*L1010</f>
        <v>0.00118723993838302</v>
      </c>
      <c r="AB1010" s="16" t="n">
        <f aca="false">S1010*L1010</f>
        <v>0.000600350633016733</v>
      </c>
      <c r="AC1010" s="16" t="n">
        <f aca="false">Z1010-W1010</f>
        <v>0.000208798653120713</v>
      </c>
      <c r="AD1010" s="16" t="n">
        <f aca="false">AA1010-W1010</f>
        <v>0.000517851238698592</v>
      </c>
      <c r="AE1010" s="16" t="n">
        <f aca="false">AB1010-W1010</f>
        <v>-6.90380666676974E-005</v>
      </c>
      <c r="AF1010" s="16" t="n">
        <f aca="false">AE1010-X1010</f>
        <v>-0.000316540561432355</v>
      </c>
      <c r="AG1010" s="16" t="n">
        <f aca="false">AF1010-p_spc_lo*Y1010/1000</f>
        <v>-0.000450844240762014</v>
      </c>
      <c r="AH1010" s="16" t="n">
        <f aca="false">AF1010-p_spc_hi*Y1010/1000</f>
        <v>-0.000585147920091673</v>
      </c>
      <c r="AI1010" s="16" t="n">
        <f aca="false">Q1010*J1010</f>
        <v>0.00365911397002143</v>
      </c>
      <c r="AJ1010" s="16" t="n">
        <f aca="false">S1010*J1010</f>
        <v>0.00250146097090306</v>
      </c>
      <c r="AK1010" s="16" t="n">
        <f aca="false">T1010*J1010</f>
        <v>0.00278911958201846</v>
      </c>
      <c r="AL1010" s="16" t="n">
        <f aca="false">U1010*J1010</f>
        <v>0.00103126039485274</v>
      </c>
      <c r="AM1010" s="16" t="n">
        <f aca="false">AI1010-AJ1010</f>
        <v>0.00115765299911838</v>
      </c>
      <c r="AN1010" s="16" t="n">
        <f aca="false">J1010*Country_Data!$EB$148</f>
        <v>0.036707920182079</v>
      </c>
      <c r="AO1010" s="16" t="n">
        <f aca="false">L1010*Country_Data!$EB$148</f>
        <v>0.00880990084369896</v>
      </c>
    </row>
    <row r="1011" customFormat="false" ht="15" hidden="false" customHeight="false" outlineLevel="0" collapsed="false">
      <c r="A1011" s="14" t="str">
        <f aca="false">Country_Data!$A$148</f>
        <v>COG</v>
      </c>
      <c r="B1011" s="14" t="str">
        <f aca="false">Country_Data!$E$148</f>
        <v>EMDC</v>
      </c>
      <c r="C1011" s="35" t="s">
        <v>484</v>
      </c>
      <c r="D1011" s="37" t="n">
        <f aca="false">IF(Country_Data!$CD$148="","",Country_Data!$CD$148)</f>
        <v>0.0622379337344062</v>
      </c>
      <c r="E1011" s="40" t="n">
        <f aca="false">Country_Data!$BW$148</f>
        <v>40.189</v>
      </c>
      <c r="F1011" s="41" t="n">
        <f aca="false">Country_Data!$BX$148</f>
        <v>0.367613028440618</v>
      </c>
      <c r="G1011" s="42" t="n">
        <f aca="false">IF(D1011="","",D1011/SUMIFS($D$5:$D$1369,$B$5:$B$1369,B1011,$C$5:$C$1369,C1011))</f>
        <v>0.000347559358693108</v>
      </c>
      <c r="H1011" s="42" t="n">
        <f aca="false">E1011/SUMIFS($E$5:$E$1369,$B$5:$B$1369,B1011,$C$5:$C$1369,C1011)</f>
        <v>0.000497808239098577</v>
      </c>
      <c r="I1011" s="43" t="n">
        <f aca="false">IF(G1011="",H1011,p_beta_alloc*G1011+(1-p_beta_alloc)*H1011)*F1011^p_phi</f>
        <v>0.000256277836694604</v>
      </c>
      <c r="J1011" s="16" t="n">
        <f aca="false">INDEX(Sector_Params!$C$21:$E$21,MATCH(B1011,Sector_Params!$C$15:$E$15,0))*I1011/SUMIFS($I$5:$I$1369,$B$5:$B$1369,B1011,$C$5:$C$1369,C1011)</f>
        <v>0.05683981687413</v>
      </c>
      <c r="K1011" s="28" t="n">
        <f aca="false">INDEX(Sector_Params!$F$10:$H$10,MATCH(B1011,Sector_Params!$C$15:$E$15,0))</f>
        <v>0.24</v>
      </c>
      <c r="L1011" s="16" t="n">
        <f aca="false">J1011*K1011</f>
        <v>0.0136415560497912</v>
      </c>
      <c r="M1011" s="44" t="n">
        <f aca="false">Country_Data!$DW$148+Sector_Params!$E$10</f>
        <v>0.105</v>
      </c>
      <c r="N1011" s="44" t="n">
        <f aca="false">Country_Data!$DX$148+Sector_Params!$E$10</f>
        <v>0.15</v>
      </c>
      <c r="O1011" s="11" t="n">
        <f aca="false">IF(p_use_ibrd=1,p_r_ibrd,p_r_wb)</f>
        <v>0.06</v>
      </c>
      <c r="P1011" s="45" t="n">
        <f aca="false">Sector_Params!$D$10</f>
        <v>20</v>
      </c>
      <c r="Q1011" s="46" t="n">
        <f aca="false">M1011/(1-(1+M1011)^-P1011)</f>
        <v>0.121493265267016</v>
      </c>
      <c r="R1011" s="46" t="n">
        <f aca="false">N1011/(1-(1+N1011)^-P1011)</f>
        <v>0.159761470405744</v>
      </c>
      <c r="S1011" s="46" t="n">
        <f aca="false">O1011/(1-(1+O1011)^-P1011)</f>
        <v>0.0871845569768514</v>
      </c>
      <c r="T1011" s="37" t="n">
        <f aca="false">0*Sector_Params!$I$10</f>
        <v>0</v>
      </c>
      <c r="U1011" s="37" t="n">
        <f aca="false">0*Sector_Params!$J$10</f>
        <v>0</v>
      </c>
      <c r="V1011" s="37" t="n">
        <f aca="false">1000*p_r_wb/(1-(1+p_r_wb)^-Sector_Params!$D$10)/p_cpt_fuel</f>
        <v>0.871845569768514</v>
      </c>
      <c r="W1011" s="16" t="n">
        <f aca="false">T1011*L1011</f>
        <v>0</v>
      </c>
      <c r="X1011" s="16" t="n">
        <f aca="false">U1011*L1011</f>
        <v>0</v>
      </c>
      <c r="Y1011" s="16" t="n">
        <f aca="false">V1011*L1011</f>
        <v>0.0118933302067593</v>
      </c>
      <c r="Z1011" s="16" t="n">
        <f aca="false">Q1011*L1011</f>
        <v>0.00165735718781215</v>
      </c>
      <c r="AA1011" s="16" t="n">
        <f aca="false">R1011*L1011</f>
        <v>0.00217939505313701</v>
      </c>
      <c r="AB1011" s="16" t="n">
        <f aca="false">S1011*L1011</f>
        <v>0.00118933302067593</v>
      </c>
      <c r="AC1011" s="16" t="n">
        <f aca="false">Z1011-W1011</f>
        <v>0.00165735718781215</v>
      </c>
      <c r="AD1011" s="16" t="n">
        <f aca="false">AA1011-W1011</f>
        <v>0.00217939505313701</v>
      </c>
      <c r="AE1011" s="16" t="n">
        <f aca="false">AB1011-W1011</f>
        <v>0.00118933302067593</v>
      </c>
      <c r="AF1011" s="16" t="n">
        <f aca="false">AE1011-X1011</f>
        <v>0.00118933302067593</v>
      </c>
      <c r="AG1011" s="16" t="n">
        <f aca="false">AF1011-p_spc_lo*Y1011/1000</f>
        <v>0.000594666510337966</v>
      </c>
      <c r="AH1011" s="16" t="n">
        <f aca="false">AF1011-p_spc_hi*Y1011/1000</f>
        <v>0</v>
      </c>
      <c r="AI1011" s="16" t="n">
        <f aca="false">Q1011*J1011</f>
        <v>0.0069056549492173</v>
      </c>
      <c r="AJ1011" s="16" t="n">
        <f aca="false">S1011*J1011</f>
        <v>0.00495555425281639</v>
      </c>
      <c r="AK1011" s="16" t="n">
        <f aca="false">T1011*J1011</f>
        <v>0</v>
      </c>
      <c r="AL1011" s="16" t="n">
        <f aca="false">U1011*J1011</f>
        <v>0</v>
      </c>
      <c r="AM1011" s="16" t="n">
        <f aca="false">AI1011-AJ1011</f>
        <v>0.00195010069640091</v>
      </c>
      <c r="AN1011" s="16" t="n">
        <f aca="false">J1011*Country_Data!$EB$148</f>
        <v>0.0652489952609876</v>
      </c>
      <c r="AO1011" s="16" t="n">
        <f aca="false">L1011*Country_Data!$EB$148</f>
        <v>0.015659758862637</v>
      </c>
    </row>
    <row r="1012" customFormat="false" ht="15" hidden="false" customHeight="false" outlineLevel="0" collapsed="false">
      <c r="A1012" s="14" t="str">
        <f aca="false">Country_Data!$A$148</f>
        <v>COG</v>
      </c>
      <c r="B1012" s="14" t="str">
        <f aca="false">Country_Data!$E$148</f>
        <v>EMDC</v>
      </c>
      <c r="C1012" s="35" t="s">
        <v>488</v>
      </c>
      <c r="D1012" s="37" t="n">
        <f aca="false">IF(Country_Data!$CE$148="","",Country_Data!$CE$148)</f>
        <v>29.102</v>
      </c>
      <c r="E1012" s="40" t="n">
        <f aca="false">Country_Data!$BW$148</f>
        <v>40.189</v>
      </c>
      <c r="F1012" s="41" t="n">
        <f aca="false">Country_Data!$BX$148</f>
        <v>0.367613028440618</v>
      </c>
      <c r="G1012" s="42" t="n">
        <f aca="false">IF(D1012="","",D1012/SUMIFS($D$5:$D$1369,$B$5:$B$1369,B1012,$C$5:$C$1369,C1012))</f>
        <v>0.00238460649731935</v>
      </c>
      <c r="H1012" s="42" t="n">
        <f aca="false">E1012/SUMIFS($E$5:$E$1369,$B$5:$B$1369,B1012,$C$5:$C$1369,C1012)</f>
        <v>0.000497808239098577</v>
      </c>
      <c r="I1012" s="43" t="n">
        <f aca="false">IF(G1012="",H1012,p_beta_alloc*G1012+(1-p_beta_alloc)*H1012)*F1012^p_phi</f>
        <v>0.000873819880292908</v>
      </c>
      <c r="J1012" s="16" t="n">
        <f aca="false">INDEX(Sector_Params!$C$22:$E$22,MATCH(B1012,Sector_Params!$C$15:$E$15,0))*I1012/SUMIFS($I$5:$I$1369,$B$5:$B$1369,B1012,$C$5:$C$1369,C1012)</f>
        <v>0.526745953632998</v>
      </c>
      <c r="K1012" s="28" t="n">
        <f aca="false">INDEX(Sector_Params!$F$11:$H$11,MATCH(B1012,Sector_Params!$C$15:$E$15,0))</f>
        <v>0.24</v>
      </c>
      <c r="L1012" s="16" t="n">
        <f aca="false">J1012*K1012</f>
        <v>0.12641902887192</v>
      </c>
      <c r="M1012" s="44" t="n">
        <f aca="false">Country_Data!$DW$148+Sector_Params!$E$11</f>
        <v>0.105</v>
      </c>
      <c r="N1012" s="44" t="n">
        <f aca="false">Country_Data!$DX$148+Sector_Params!$E$11</f>
        <v>0.15</v>
      </c>
      <c r="O1012" s="11" t="n">
        <f aca="false">IF(p_use_ibrd=1,p_r_ibrd,p_r_wb)</f>
        <v>0.06</v>
      </c>
      <c r="P1012" s="45" t="n">
        <f aca="false">Sector_Params!$D$11</f>
        <v>30</v>
      </c>
      <c r="Q1012" s="46" t="n">
        <f aca="false">M1012/(1-(1+M1012)^-P1012)</f>
        <v>0.110528481529605</v>
      </c>
      <c r="R1012" s="46" t="n">
        <f aca="false">N1012/(1-(1+N1012)^-P1012)</f>
        <v>0.152300198192734</v>
      </c>
      <c r="S1012" s="46" t="n">
        <f aca="false">O1012/(1-(1+O1012)^-P1012)</f>
        <v>0.0726489114900472</v>
      </c>
      <c r="T1012" s="37" t="n">
        <f aca="false">0*Sector_Params!$I$11</f>
        <v>0</v>
      </c>
      <c r="U1012" s="37" t="n">
        <f aca="false">p_c*Sector_Params!$J$11</f>
        <v>0.129</v>
      </c>
      <c r="V1012" s="37" t="n">
        <f aca="false">1000*p_r_wb/(1-(1+p_r_wb)^-Sector_Params!$D$11)/p_cpt_afolu</f>
        <v>1.45297822980094</v>
      </c>
      <c r="W1012" s="16" t="n">
        <f aca="false">T1012*L1012</f>
        <v>0</v>
      </c>
      <c r="X1012" s="16" t="n">
        <f aca="false">U1012*L1012</f>
        <v>0.0163080547244776</v>
      </c>
      <c r="Y1012" s="16" t="n">
        <f aca="false">V1012*L1012</f>
        <v>0.183684096783476</v>
      </c>
      <c r="Z1012" s="16" t="n">
        <f aca="false">Q1012*L1012</f>
        <v>0.0139729032976606</v>
      </c>
      <c r="AA1012" s="16" t="n">
        <f aca="false">R1012*L1012</f>
        <v>0.0192536431525263</v>
      </c>
      <c r="AB1012" s="16" t="n">
        <f aca="false">S1012*L1012</f>
        <v>0.00918420483917381</v>
      </c>
      <c r="AC1012" s="16" t="n">
        <f aca="false">Z1012-W1012</f>
        <v>0.0139729032976606</v>
      </c>
      <c r="AD1012" s="16" t="n">
        <f aca="false">AA1012-W1012</f>
        <v>0.0192536431525263</v>
      </c>
      <c r="AE1012" s="16" t="n">
        <f aca="false">AB1012-W1012</f>
        <v>0.00918420483917381</v>
      </c>
      <c r="AF1012" s="16" t="n">
        <f aca="false">AE1012-X1012</f>
        <v>-0.00712384988530382</v>
      </c>
      <c r="AG1012" s="16" t="n">
        <f aca="false">AF1012-p_spc_lo*Y1012/1000</f>
        <v>-0.0163080547244776</v>
      </c>
      <c r="AH1012" s="16" t="n">
        <f aca="false">AF1012-p_spc_hi*Y1012/1000</f>
        <v>-0.0254922595636514</v>
      </c>
      <c r="AI1012" s="16" t="n">
        <f aca="false">Q1012*J1012</f>
        <v>0.0582204304069191</v>
      </c>
      <c r="AJ1012" s="16" t="n">
        <f aca="false">S1012*J1012</f>
        <v>0.0382675201632242</v>
      </c>
      <c r="AK1012" s="16" t="n">
        <f aca="false">T1012*J1012</f>
        <v>0</v>
      </c>
      <c r="AL1012" s="16" t="n">
        <f aca="false">U1012*J1012</f>
        <v>0.0679502280186568</v>
      </c>
      <c r="AM1012" s="16" t="n">
        <f aca="false">AI1012-AJ1012</f>
        <v>0.0199529102436949</v>
      </c>
      <c r="AN1012" s="16" t="n">
        <f aca="false">J1012*Country_Data!$EB$148</f>
        <v>0.604675491978702</v>
      </c>
      <c r="AO1012" s="16" t="n">
        <f aca="false">L1012*Country_Data!$EB$148</f>
        <v>0.145122118074888</v>
      </c>
    </row>
    <row r="1013" customFormat="false" ht="15" hidden="false" customHeight="false" outlineLevel="0" collapsed="false">
      <c r="A1013" s="14" t="str">
        <f aca="false">Country_Data!$A$149</f>
        <v>TJK</v>
      </c>
      <c r="B1013" s="14" t="str">
        <f aca="false">Country_Data!$E$149</f>
        <v>EMDC</v>
      </c>
      <c r="C1013" s="35" t="s">
        <v>466</v>
      </c>
      <c r="D1013" s="37" t="n">
        <f aca="false">IF(Country_Data!$BZ$149="","",Country_Data!$BZ$149)</f>
        <v>15.5628392716483</v>
      </c>
      <c r="E1013" s="40" t="n">
        <f aca="false">Country_Data!$BW$149</f>
        <v>57.32</v>
      </c>
      <c r="F1013" s="41" t="n">
        <f aca="false">Country_Data!$BX$149</f>
        <v>0.251674808094906</v>
      </c>
      <c r="G1013" s="42" t="n">
        <f aca="false">IF(D1013="","",D1013/SUMIFS($D$5:$D$1369,$B$5:$B$1369,B1013,$C$5:$C$1369,C1013))</f>
        <v>0.00177668696459187</v>
      </c>
      <c r="H1013" s="42" t="n">
        <f aca="false">E1013/SUMIFS($E$5:$E$1369,$B$5:$B$1369,B1013,$C$5:$C$1369,C1013)</f>
        <v>0.000710004435669721</v>
      </c>
      <c r="I1013" s="43" t="n">
        <f aca="false">IF(G1013="",H1013,p_beta_alloc*G1013+(1-p_beta_alloc)*H1013)*F1013^p_phi</f>
        <v>0.000623751739579552</v>
      </c>
      <c r="J1013" s="16" t="n">
        <f aca="false">INDEX(Sector_Params!$C$16:$E$16,MATCH(B1013,Sector_Params!$C$15:$E$15,0))*I1013/SUMIFS($I$5:$I$1369,$B$5:$B$1369,B1013,$C$5:$C$1369,C1013)</f>
        <v>0.60330849599133</v>
      </c>
      <c r="K1013" s="28" t="n">
        <f aca="false">INDEX(Sector_Params!$F$5:$H$5,MATCH(B1013,Sector_Params!$C$15:$E$15,0))</f>
        <v>0.24</v>
      </c>
      <c r="L1013" s="16" t="n">
        <f aca="false">J1013*K1013</f>
        <v>0.144794039037919</v>
      </c>
      <c r="M1013" s="44" t="n">
        <f aca="false">Country_Data!$DW$149+Sector_Params!$E$5</f>
        <v>0.105</v>
      </c>
      <c r="N1013" s="44" t="n">
        <f aca="false">Country_Data!$DX$149+Sector_Params!$E$5</f>
        <v>0.15</v>
      </c>
      <c r="O1013" s="11" t="n">
        <f aca="false">IF(p_use_ibrd=1,p_r_ibrd,p_r_wb)</f>
        <v>0.06</v>
      </c>
      <c r="P1013" s="45" t="n">
        <f aca="false">Sector_Params!$D$5</f>
        <v>25</v>
      </c>
      <c r="Q1013" s="46" t="n">
        <f aca="false">M1013/(1-(1+M1013)^-P1013)</f>
        <v>0.114429319813103</v>
      </c>
      <c r="R1013" s="46" t="n">
        <f aca="false">N1013/(1-(1+N1013)^-P1013)</f>
        <v>0.154699402320206</v>
      </c>
      <c r="S1013" s="46" t="n">
        <f aca="false">O1013/(1-(1+O1013)^-P1013)</f>
        <v>0.078226718212274</v>
      </c>
      <c r="T1013" s="37" t="n">
        <f aca="false">IF(AND(p_eng=1,ISNUMBER(Country_Data!$CZ$149)),Country_Data!$CZ$149,Country_Data!$CM$149)*Sector_Params!$I$5</f>
        <v>-0.0113536303760763</v>
      </c>
      <c r="U1013" s="37" t="n">
        <f aca="false">IF(AND(p_eng=1,ISNUMBER(Country_Data!$DA$149)),Country_Data!$DA$149,Country_Data!$CN$149)*Sector_Params!$J$5</f>
        <v>1.81675701692412E-005</v>
      </c>
      <c r="V1013" s="37" t="n">
        <f aca="false">IF(AND(p_eng=1,ISNUMBER(Country_Data!$DB$149)),Country_Data!$DB$149,p_a)</f>
        <v>0.112769147704788</v>
      </c>
      <c r="W1013" s="16" t="n">
        <f aca="false">T1013*L1013</f>
        <v>-0.0016439379998957</v>
      </c>
      <c r="X1013" s="16" t="n">
        <f aca="false">U1013*L1013</f>
        <v>2.63055586430924E-006</v>
      </c>
      <c r="Y1013" s="16" t="n">
        <f aca="false">V1013*L1013</f>
        <v>0.01632830037504</v>
      </c>
      <c r="Z1013" s="16" t="n">
        <f aca="false">Q1013*L1013</f>
        <v>0.016568683400101</v>
      </c>
      <c r="AA1013" s="16" t="n">
        <f aca="false">R1013*L1013</f>
        <v>0.0223995512986947</v>
      </c>
      <c r="AB1013" s="16" t="n">
        <f aca="false">S1013*L1013</f>
        <v>0.0113267624906363</v>
      </c>
      <c r="AC1013" s="16" t="n">
        <f aca="false">Z1013-W1013</f>
        <v>0.0182126213999967</v>
      </c>
      <c r="AD1013" s="16" t="n">
        <f aca="false">AA1013-W1013</f>
        <v>0.0240434892985904</v>
      </c>
      <c r="AE1013" s="16" t="n">
        <f aca="false">AB1013-W1013</f>
        <v>0.012970700490532</v>
      </c>
      <c r="AF1013" s="16" t="n">
        <f aca="false">AE1013-X1013</f>
        <v>0.0129680699346677</v>
      </c>
      <c r="AG1013" s="16" t="n">
        <f aca="false">AF1013-p_spc_lo*Y1013/1000</f>
        <v>0.0121516549159157</v>
      </c>
      <c r="AH1013" s="16" t="n">
        <f aca="false">AF1013-p_spc_hi*Y1013/1000</f>
        <v>0.0113352398971637</v>
      </c>
      <c r="AI1013" s="16" t="n">
        <f aca="false">Q1013*J1013</f>
        <v>0.0690361808337543</v>
      </c>
      <c r="AJ1013" s="16" t="n">
        <f aca="false">S1013*J1013</f>
        <v>0.0471948437109846</v>
      </c>
      <c r="AK1013" s="16" t="n">
        <f aca="false">T1013*J1013</f>
        <v>-0.00684974166623207</v>
      </c>
      <c r="AL1013" s="16" t="n">
        <f aca="false">U1013*J1013</f>
        <v>1.09606494346218E-005</v>
      </c>
      <c r="AM1013" s="16" t="n">
        <f aca="false">AI1013-AJ1013</f>
        <v>0.0218413371227697</v>
      </c>
      <c r="AN1013" s="16" t="n">
        <f aca="false">J1013*Country_Data!$EB$149</f>
        <v>0.690316251875794</v>
      </c>
      <c r="AO1013" s="16" t="n">
        <f aca="false">L1013*Country_Data!$EB$149</f>
        <v>0.16567590045019</v>
      </c>
    </row>
    <row r="1014" customFormat="false" ht="15" hidden="false" customHeight="false" outlineLevel="0" collapsed="false">
      <c r="A1014" s="14" t="str">
        <f aca="false">Country_Data!$A$149</f>
        <v>TJK</v>
      </c>
      <c r="B1014" s="14" t="str">
        <f aca="false">Country_Data!$E$149</f>
        <v>EMDC</v>
      </c>
      <c r="C1014" s="35" t="s">
        <v>470</v>
      </c>
      <c r="D1014" s="37" t="n">
        <f aca="false">IF(Country_Data!$BZ$149="","",Country_Data!$BZ$149)</f>
        <v>15.5628392716483</v>
      </c>
      <c r="E1014" s="40" t="n">
        <f aca="false">Country_Data!$BW$149</f>
        <v>57.32</v>
      </c>
      <c r="F1014" s="41" t="n">
        <f aca="false">Country_Data!$BX$149</f>
        <v>0.251674808094906</v>
      </c>
      <c r="G1014" s="42" t="n">
        <f aca="false">IF(D1014="","",D1014/SUMIFS($D$5:$D$1369,$B$5:$B$1369,B1014,$C$5:$C$1369,C1014))</f>
        <v>0.00177668696459187</v>
      </c>
      <c r="H1014" s="42" t="n">
        <f aca="false">E1014/SUMIFS($E$5:$E$1369,$B$5:$B$1369,B1014,$C$5:$C$1369,C1014)</f>
        <v>0.000710004435669721</v>
      </c>
      <c r="I1014" s="43" t="n">
        <f aca="false">IF(G1014="",H1014,p_beta_alloc*G1014+(1-p_beta_alloc)*H1014)*F1014^p_phi</f>
        <v>0.000623751739579552</v>
      </c>
      <c r="J1014" s="16" t="n">
        <f aca="false">INDEX(Sector_Params!$C$17:$E$17,MATCH(B1014,Sector_Params!$C$15:$E$15,0))*I1014/SUMIFS($I$5:$I$1369,$B$5:$B$1369,B1014,$C$5:$C$1369,C1014)</f>
        <v>0.413697254394055</v>
      </c>
      <c r="K1014" s="28" t="n">
        <f aca="false">INDEX(Sector_Params!$F$6:$H$6,MATCH(B1014,Sector_Params!$C$15:$E$15,0))</f>
        <v>0.24</v>
      </c>
      <c r="L1014" s="16" t="n">
        <f aca="false">J1014*K1014</f>
        <v>0.0992873410545731</v>
      </c>
      <c r="M1014" s="44" t="n">
        <f aca="false">Country_Data!$DW$149+Sector_Params!$E$6</f>
        <v>0.105</v>
      </c>
      <c r="N1014" s="44" t="n">
        <f aca="false">Country_Data!$DX$149+Sector_Params!$E$6</f>
        <v>0.15</v>
      </c>
      <c r="O1014" s="11" t="n">
        <f aca="false">IF(p_use_ibrd=1,p_r_ibrd,p_r_wb)</f>
        <v>0.06</v>
      </c>
      <c r="P1014" s="45" t="n">
        <f aca="false">Sector_Params!$D$6</f>
        <v>40</v>
      </c>
      <c r="Q1014" s="46" t="n">
        <f aca="false">M1014/(1-(1+M1014)^-P1014)</f>
        <v>0.10697140835497</v>
      </c>
      <c r="R1014" s="46" t="n">
        <f aca="false">N1014/(1-(1+N1014)^-P1014)</f>
        <v>0.150562085013545</v>
      </c>
      <c r="S1014" s="46" t="n">
        <f aca="false">O1014/(1-(1+O1014)^-P1014)</f>
        <v>0.0664615359206755</v>
      </c>
      <c r="T1014" s="37" t="n">
        <f aca="false">p_grid_credit*IF(AND(p_eng=1,ISNUMBER(Country_Data!$CZ$149)),Country_Data!$CZ$149,Country_Data!$CM$149)*Sector_Params!$I$6</f>
        <v>-0</v>
      </c>
      <c r="U1014" s="37" t="n">
        <f aca="false">p_grid_credit*IF(AND(p_eng=1,ISNUMBER(Country_Data!$DA$149)),Country_Data!$DA$149,Country_Data!$CN$149)*Sector_Params!$J$6</f>
        <v>0</v>
      </c>
      <c r="V1014" s="37" t="n">
        <f aca="false">p_grid_credit*IF(AND(p_eng=1,ISNUMBER(Country_Data!$DB$149)),Country_Data!$DB$149,p_a)</f>
        <v>0</v>
      </c>
      <c r="W1014" s="16" t="n">
        <f aca="false">T1014*L1014</f>
        <v>-0</v>
      </c>
      <c r="X1014" s="16" t="n">
        <f aca="false">U1014*L1014</f>
        <v>0</v>
      </c>
      <c r="Y1014" s="16" t="n">
        <f aca="false">V1014*L1014</f>
        <v>0</v>
      </c>
      <c r="Z1014" s="16" t="n">
        <f aca="false">Q1014*L1014</f>
        <v>0.010620906704428</v>
      </c>
      <c r="AA1014" s="16" t="n">
        <f aca="false">R1014*L1014</f>
        <v>0.0149489090846275</v>
      </c>
      <c r="AB1014" s="16" t="n">
        <f aca="false">S1014*L1014</f>
        <v>0.00659878918396687</v>
      </c>
      <c r="AC1014" s="16" t="n">
        <f aca="false">Z1014-W1014</f>
        <v>0.010620906704428</v>
      </c>
      <c r="AD1014" s="16" t="n">
        <f aca="false">AA1014-W1014</f>
        <v>0.0149489090846275</v>
      </c>
      <c r="AE1014" s="16" t="n">
        <f aca="false">AB1014-W1014</f>
        <v>0.00659878918396687</v>
      </c>
      <c r="AF1014" s="16" t="n">
        <f aca="false">AE1014-X1014</f>
        <v>0.00659878918396687</v>
      </c>
      <c r="AG1014" s="16" t="n">
        <f aca="false">AF1014-p_spc_lo*Y1014/1000</f>
        <v>0.00659878918396687</v>
      </c>
      <c r="AH1014" s="16" t="n">
        <f aca="false">AF1014-p_spc_hi*Y1014/1000</f>
        <v>0.00659878918396687</v>
      </c>
      <c r="AI1014" s="16" t="n">
        <f aca="false">Q1014*J1014</f>
        <v>0.0442537779351165</v>
      </c>
      <c r="AJ1014" s="16" t="n">
        <f aca="false">S1014*J1014</f>
        <v>0.0274949549331953</v>
      </c>
      <c r="AK1014" s="16" t="n">
        <f aca="false">T1014*J1014</f>
        <v>-0</v>
      </c>
      <c r="AL1014" s="16" t="n">
        <f aca="false">U1014*J1014</f>
        <v>0</v>
      </c>
      <c r="AM1014" s="16" t="n">
        <f aca="false">AI1014-AJ1014</f>
        <v>0.0167588230019212</v>
      </c>
      <c r="AN1014" s="16" t="n">
        <f aca="false">J1014*Country_Data!$EB$149</f>
        <v>0.473359715571973</v>
      </c>
      <c r="AO1014" s="16" t="n">
        <f aca="false">L1014*Country_Data!$EB$149</f>
        <v>0.113606331737273</v>
      </c>
    </row>
    <row r="1015" customFormat="false" ht="15" hidden="false" customHeight="false" outlineLevel="0" collapsed="false">
      <c r="A1015" s="14" t="str">
        <f aca="false">Country_Data!$A$149</f>
        <v>TJK</v>
      </c>
      <c r="B1015" s="14" t="str">
        <f aca="false">Country_Data!$E$149</f>
        <v>EMDC</v>
      </c>
      <c r="C1015" s="35" t="s">
        <v>473</v>
      </c>
      <c r="D1015" s="37" t="n">
        <f aca="false">IF(Country_Data!$CA$149="","",Country_Data!$CA$149)</f>
        <v>0.0258581073627651</v>
      </c>
      <c r="E1015" s="40" t="n">
        <f aca="false">Country_Data!$BW$149</f>
        <v>57.32</v>
      </c>
      <c r="F1015" s="41" t="n">
        <f aca="false">Country_Data!$BX$149</f>
        <v>0.251674808094906</v>
      </c>
      <c r="G1015" s="42" t="n">
        <f aca="false">IF(D1015="","",D1015/SUMIFS($D$5:$D$1369,$B$5:$B$1369,B1015,$C$5:$C$1369,C1015))</f>
        <v>0.000597382444510899</v>
      </c>
      <c r="H1015" s="42" t="n">
        <f aca="false">E1015/SUMIFS($E$5:$E$1369,$B$5:$B$1369,B1015,$C$5:$C$1369,C1015)</f>
        <v>0.000710004435669721</v>
      </c>
      <c r="I1015" s="43" t="n">
        <f aca="false">IF(G1015="",H1015,p_beta_alloc*G1015+(1-p_beta_alloc)*H1015)*F1015^p_phi</f>
        <v>0.000327939703628026</v>
      </c>
      <c r="J1015" s="16" t="n">
        <f aca="false">INDEX(Sector_Params!$C$18:$E$18,MATCH(B1015,Sector_Params!$C$15:$E$15,0))*I1015/SUMIFS($I$5:$I$1369,$B$5:$B$1369,B1015,$C$5:$C$1369,C1015)</f>
        <v>0.134283549184064</v>
      </c>
      <c r="K1015" s="28" t="n">
        <f aca="false">INDEX(Sector_Params!$F$7:$H$7,MATCH(B1015,Sector_Params!$C$15:$E$15,0))</f>
        <v>0.24</v>
      </c>
      <c r="L1015" s="16" t="n">
        <f aca="false">J1015*K1015</f>
        <v>0.0322280518041753</v>
      </c>
      <c r="M1015" s="44" t="n">
        <f aca="false">Country_Data!$DW$149+Sector_Params!$E$7</f>
        <v>0.105</v>
      </c>
      <c r="N1015" s="44" t="n">
        <f aca="false">Country_Data!$DX$149+Sector_Params!$E$7</f>
        <v>0.15</v>
      </c>
      <c r="O1015" s="11" t="n">
        <f aca="false">IF(p_use_ibrd=1,p_r_ibrd,p_r_wb)</f>
        <v>0.06</v>
      </c>
      <c r="P1015" s="45" t="n">
        <f aca="false">Sector_Params!$D$7</f>
        <v>12</v>
      </c>
      <c r="Q1015" s="46" t="n">
        <f aca="false">M1015/(1-(1+M1015)^-P1015)</f>
        <v>0.150376745634766</v>
      </c>
      <c r="R1015" s="46" t="n">
        <f aca="false">N1015/(1-(1+N1015)^-P1015)</f>
        <v>0.18448077613084</v>
      </c>
      <c r="S1015" s="46" t="n">
        <f aca="false">O1015/(1-(1+O1015)^-P1015)</f>
        <v>0.119277029380664</v>
      </c>
      <c r="T1015" s="37" t="n">
        <f aca="false">IF(AND(p_eng=1,ISNUMBER(Country_Data!$DE$149)),Country_Data!$DE$149,Country_Data!$CM$149)*Sector_Params!$I$7</f>
        <v>0.13548456</v>
      </c>
      <c r="U1015" s="37" t="n">
        <f aca="false">IF(AND(p_eng=1,ISNUMBER(Country_Data!$DF$149)),Country_Data!$DF$149,Country_Data!$CN$149)*Sector_Params!$J$7</f>
        <v>0.002685825</v>
      </c>
      <c r="V1015" s="37" t="n">
        <f aca="false">IF(AND(p_eng=1,ISNUMBER(Country_Data!$DG$149)),Country_Data!$DG$149,p_a)</f>
        <v>0.506802090225564</v>
      </c>
      <c r="W1015" s="16" t="n">
        <f aca="false">T1015*L1015</f>
        <v>0.00436640341834589</v>
      </c>
      <c r="X1015" s="16" t="n">
        <f aca="false">U1015*L1015</f>
        <v>8.6558907236949E-005</v>
      </c>
      <c r="Y1015" s="16" t="n">
        <f aca="false">V1015*L1015</f>
        <v>0.0163332440182538</v>
      </c>
      <c r="Z1015" s="16" t="n">
        <f aca="false">Q1015*L1015</f>
        <v>0.00484634954846051</v>
      </c>
      <c r="AA1015" s="16" t="n">
        <f aca="false">R1015*L1015</f>
        <v>0.00594545601001915</v>
      </c>
      <c r="AB1015" s="16" t="n">
        <f aca="false">S1015*L1015</f>
        <v>0.00384406628192816</v>
      </c>
      <c r="AC1015" s="16" t="n">
        <f aca="false">Z1015-W1015</f>
        <v>0.000479946130114624</v>
      </c>
      <c r="AD1015" s="16" t="n">
        <f aca="false">AA1015-W1015</f>
        <v>0.00157905259167326</v>
      </c>
      <c r="AE1015" s="16" t="n">
        <f aca="false">AB1015-W1015</f>
        <v>-0.000522337136417732</v>
      </c>
      <c r="AF1015" s="16" t="n">
        <f aca="false">AE1015-X1015</f>
        <v>-0.000608896043654681</v>
      </c>
      <c r="AG1015" s="16" t="n">
        <f aca="false">AF1015-p_spc_lo*Y1015/1000</f>
        <v>-0.00142555824456737</v>
      </c>
      <c r="AH1015" s="16" t="n">
        <f aca="false">AF1015-p_spc_hi*Y1015/1000</f>
        <v>-0.00224222044548006</v>
      </c>
      <c r="AI1015" s="16" t="n">
        <f aca="false">Q1015*J1015</f>
        <v>0.0201931231185855</v>
      </c>
      <c r="AJ1015" s="16" t="n">
        <f aca="false">S1015*J1015</f>
        <v>0.0160169428413673</v>
      </c>
      <c r="AK1015" s="16" t="n">
        <f aca="false">T1015*J1015</f>
        <v>0.0181933475764412</v>
      </c>
      <c r="AL1015" s="16" t="n">
        <f aca="false">U1015*J1015</f>
        <v>0.000360662113487287</v>
      </c>
      <c r="AM1015" s="16" t="n">
        <f aca="false">AI1015-AJ1015</f>
        <v>0.00417618027721815</v>
      </c>
      <c r="AN1015" s="16" t="n">
        <f aca="false">J1015*Country_Data!$EB$149</f>
        <v>0.153649612059588</v>
      </c>
      <c r="AO1015" s="16" t="n">
        <f aca="false">L1015*Country_Data!$EB$149</f>
        <v>0.0368759068943012</v>
      </c>
    </row>
    <row r="1016" customFormat="false" ht="15" hidden="false" customHeight="false" outlineLevel="0" collapsed="false">
      <c r="A1016" s="14" t="str">
        <f aca="false">Country_Data!$A$149</f>
        <v>TJK</v>
      </c>
      <c r="B1016" s="14" t="str">
        <f aca="false">Country_Data!$E$149</f>
        <v>EMDC</v>
      </c>
      <c r="C1016" s="35" t="s">
        <v>477</v>
      </c>
      <c r="D1016" s="37" t="n">
        <f aca="false">IF(Country_Data!$CB$149="","",Country_Data!$CB$149)</f>
        <v>0.050204060192708</v>
      </c>
      <c r="E1016" s="40" t="n">
        <f aca="false">Country_Data!$BW$149</f>
        <v>57.32</v>
      </c>
      <c r="F1016" s="41" t="n">
        <f aca="false">Country_Data!$BX$149</f>
        <v>0.251674808094906</v>
      </c>
      <c r="G1016" s="42" t="n">
        <f aca="false">IF(D1016="","",D1016/SUMIFS($D$5:$D$1369,$B$5:$B$1369,B1016,$C$5:$C$1369,C1016))</f>
        <v>0.00158308688925526</v>
      </c>
      <c r="H1016" s="42" t="n">
        <f aca="false">E1016/SUMIFS($E$5:$E$1369,$B$5:$B$1369,B1016,$C$5:$C$1369,C1016)</f>
        <v>0.000710004435669721</v>
      </c>
      <c r="I1016" s="43" t="n">
        <f aca="false">IF(G1016="",H1016,p_beta_alloc*G1016+(1-p_beta_alloc)*H1016)*F1016^p_phi</f>
        <v>0.0005751898698754</v>
      </c>
      <c r="J1016" s="16" t="n">
        <f aca="false">INDEX(Sector_Params!$C$19:$E$19,MATCH(B1016,Sector_Params!$C$15:$E$15,0))*I1016/SUMIFS($I$5:$I$1369,$B$5:$B$1369,B1016,$C$5:$C$1369,C1016)</f>
        <v>0.185132105013252</v>
      </c>
      <c r="K1016" s="28" t="n">
        <f aca="false">INDEX(Sector_Params!$F$8:$H$8,MATCH(B1016,Sector_Params!$C$15:$E$15,0))</f>
        <v>0.24</v>
      </c>
      <c r="L1016" s="16" t="n">
        <f aca="false">J1016*K1016</f>
        <v>0.0444317052031806</v>
      </c>
      <c r="M1016" s="44" t="n">
        <f aca="false">Country_Data!$DW$149+Sector_Params!$E$8</f>
        <v>0.105</v>
      </c>
      <c r="N1016" s="44" t="n">
        <f aca="false">Country_Data!$DX$149+Sector_Params!$E$8</f>
        <v>0.15</v>
      </c>
      <c r="O1016" s="11" t="n">
        <f aca="false">IF(p_use_ibrd=1,p_r_ibrd,p_r_wb)</f>
        <v>0.06</v>
      </c>
      <c r="P1016" s="45" t="n">
        <f aca="false">Sector_Params!$D$8</f>
        <v>25</v>
      </c>
      <c r="Q1016" s="46" t="n">
        <f aca="false">M1016/(1-(1+M1016)^-P1016)</f>
        <v>0.114429319813103</v>
      </c>
      <c r="R1016" s="46" t="n">
        <f aca="false">N1016/(1-(1+N1016)^-P1016)</f>
        <v>0.154699402320206</v>
      </c>
      <c r="S1016" s="46" t="n">
        <f aca="false">O1016/(1-(1+O1016)^-P1016)</f>
        <v>0.078226718212274</v>
      </c>
      <c r="T1016" s="37" t="n">
        <f aca="false">Country_Data!$CM$149*Sector_Params!$I$8</f>
        <v>0.0928143615088448</v>
      </c>
      <c r="U1016" s="37" t="n">
        <f aca="false">Country_Data!$CN$149*Sector_Params!$J$8</f>
        <v>0.03225</v>
      </c>
      <c r="V1016" s="37" t="n">
        <f aca="false">p_a</f>
        <v>0.35</v>
      </c>
      <c r="W1016" s="16" t="n">
        <f aca="false">T1016*L1016</f>
        <v>0.00412390034918242</v>
      </c>
      <c r="X1016" s="16" t="n">
        <f aca="false">U1016*L1016</f>
        <v>0.00143292249280257</v>
      </c>
      <c r="Y1016" s="16" t="n">
        <f aca="false">V1016*L1016</f>
        <v>0.0155510968211132</v>
      </c>
      <c r="Z1016" s="16" t="n">
        <f aca="false">Q1016*L1016</f>
        <v>0.00508428980453627</v>
      </c>
      <c r="AA1016" s="16" t="n">
        <f aca="false">R1016*L1016</f>
        <v>0.00687355823899964</v>
      </c>
      <c r="AB1016" s="16" t="n">
        <f aca="false">S1016*L1016</f>
        <v>0.00347574648262003</v>
      </c>
      <c r="AC1016" s="16" t="n">
        <f aca="false">Z1016-W1016</f>
        <v>0.000960389455353856</v>
      </c>
      <c r="AD1016" s="16" t="n">
        <f aca="false">AA1016-W1016</f>
        <v>0.00274965788981722</v>
      </c>
      <c r="AE1016" s="16" t="n">
        <f aca="false">AB1016-W1016</f>
        <v>-0.000648153866562387</v>
      </c>
      <c r="AF1016" s="16" t="n">
        <f aca="false">AE1016-X1016</f>
        <v>-0.00208107635936496</v>
      </c>
      <c r="AG1016" s="16" t="n">
        <f aca="false">AF1016-p_spc_lo*Y1016/1000</f>
        <v>-0.00285863120042062</v>
      </c>
      <c r="AH1016" s="16" t="n">
        <f aca="false">AF1016-p_spc_hi*Y1016/1000</f>
        <v>-0.00363618604147628</v>
      </c>
      <c r="AI1016" s="16" t="n">
        <f aca="false">Q1016*J1016</f>
        <v>0.0211845408522345</v>
      </c>
      <c r="AJ1016" s="16" t="n">
        <f aca="false">S1016*J1016</f>
        <v>0.0144822770109168</v>
      </c>
      <c r="AK1016" s="16" t="n">
        <f aca="false">T1016*J1016</f>
        <v>0.0171829181215934</v>
      </c>
      <c r="AL1016" s="16" t="n">
        <f aca="false">U1016*J1016</f>
        <v>0.00597051038667739</v>
      </c>
      <c r="AM1016" s="16" t="n">
        <f aca="false">AI1016-AJ1016</f>
        <v>0.00670226384131768</v>
      </c>
      <c r="AN1016" s="16" t="n">
        <f aca="false">J1016*Country_Data!$EB$149</f>
        <v>0.211831429001558</v>
      </c>
      <c r="AO1016" s="16" t="n">
        <f aca="false">L1016*Country_Data!$EB$149</f>
        <v>0.0508395429603739</v>
      </c>
    </row>
    <row r="1017" customFormat="false" ht="15" hidden="false" customHeight="false" outlineLevel="0" collapsed="false">
      <c r="A1017" s="14" t="str">
        <f aca="false">Country_Data!$A$149</f>
        <v>TJK</v>
      </c>
      <c r="B1017" s="14" t="str">
        <f aca="false">Country_Data!$E$149</f>
        <v>EMDC</v>
      </c>
      <c r="C1017" s="35" t="s">
        <v>481</v>
      </c>
      <c r="D1017" s="37" t="n">
        <f aca="false">IF(Country_Data!$CC$149="","",Country_Data!$CC$149)</f>
        <v>0.0511824369150483</v>
      </c>
      <c r="E1017" s="40" t="n">
        <f aca="false">Country_Data!$BW$149</f>
        <v>57.32</v>
      </c>
      <c r="F1017" s="41" t="n">
        <f aca="false">Country_Data!$BX$149</f>
        <v>0.251674808094906</v>
      </c>
      <c r="G1017" s="42" t="n">
        <f aca="false">IF(D1017="","",D1017/SUMIFS($D$5:$D$1369,$B$5:$B$1369,B1017,$C$5:$C$1369,C1017))</f>
        <v>0.000731101870338162</v>
      </c>
      <c r="H1017" s="42" t="n">
        <f aca="false">E1017/SUMIFS($E$5:$E$1369,$B$5:$B$1369,B1017,$C$5:$C$1369,C1017)</f>
        <v>0.000710004435669721</v>
      </c>
      <c r="I1017" s="43" t="n">
        <f aca="false">IF(G1017="",H1017,p_beta_alloc*G1017+(1-p_beta_alloc)*H1017)*F1017^p_phi</f>
        <v>0.000361481350358521</v>
      </c>
      <c r="J1017" s="16" t="n">
        <f aca="false">INDEX(Sector_Params!$C$20:$E$20,MATCH(B1017,Sector_Params!$C$15:$E$15,0))*I1017/SUMIFS($I$5:$I$1369,$B$5:$B$1369,B1017,$C$5:$C$1369,C1017)</f>
        <v>0.0659776258387199</v>
      </c>
      <c r="K1017" s="28" t="n">
        <f aca="false">INDEX(Sector_Params!$F$9:$H$9,MATCH(B1017,Sector_Params!$C$15:$E$15,0))</f>
        <v>0.24</v>
      </c>
      <c r="L1017" s="16" t="n">
        <f aca="false">J1017*K1017</f>
        <v>0.0158346302012928</v>
      </c>
      <c r="M1017" s="44" t="n">
        <f aca="false">Country_Data!$DW$149+Sector_Params!$E$9</f>
        <v>0.105</v>
      </c>
      <c r="N1017" s="44" t="n">
        <f aca="false">Country_Data!$DX$149+Sector_Params!$E$9</f>
        <v>0.15</v>
      </c>
      <c r="O1017" s="11" t="n">
        <f aca="false">IF(p_use_ibrd=1,p_r_ibrd,p_r_wb)</f>
        <v>0.06</v>
      </c>
      <c r="P1017" s="45" t="n">
        <f aca="false">Sector_Params!$D$9</f>
        <v>25</v>
      </c>
      <c r="Q1017" s="46" t="n">
        <f aca="false">M1017/(1-(1+M1017)^-P1017)</f>
        <v>0.114429319813103</v>
      </c>
      <c r="R1017" s="46" t="n">
        <f aca="false">N1017/(1-(1+N1017)^-P1017)</f>
        <v>0.154699402320206</v>
      </c>
      <c r="S1017" s="46" t="n">
        <f aca="false">O1017/(1-(1+O1017)^-P1017)</f>
        <v>0.078226718212274</v>
      </c>
      <c r="T1017" s="37" t="n">
        <f aca="false">Country_Data!$CM$149*Sector_Params!$I$9</f>
        <v>0.0928143615088448</v>
      </c>
      <c r="U1017" s="37" t="n">
        <f aca="false">Country_Data!$CN$149*Sector_Params!$J$9</f>
        <v>0.03225</v>
      </c>
      <c r="V1017" s="37" t="n">
        <f aca="false">p_a</f>
        <v>0.35</v>
      </c>
      <c r="W1017" s="16" t="n">
        <f aca="false">T1017*L1017</f>
        <v>0.00146968109186166</v>
      </c>
      <c r="X1017" s="16" t="n">
        <f aca="false">U1017*L1017</f>
        <v>0.000510666823991692</v>
      </c>
      <c r="Y1017" s="16" t="n">
        <f aca="false">V1017*L1017</f>
        <v>0.00554212057045247</v>
      </c>
      <c r="Z1017" s="16" t="n">
        <f aca="false">Q1017*L1017</f>
        <v>0.00181194596342596</v>
      </c>
      <c r="AA1017" s="16" t="n">
        <f aca="false">R1017*L1017</f>
        <v>0.00244960782810148</v>
      </c>
      <c r="AB1017" s="16" t="n">
        <f aca="false">S1017*L1017</f>
        <v>0.00123869115475209</v>
      </c>
      <c r="AC1017" s="16" t="n">
        <f aca="false">Z1017-W1017</f>
        <v>0.000342264871564297</v>
      </c>
      <c r="AD1017" s="16" t="n">
        <f aca="false">AA1017-W1017</f>
        <v>0.000979926736239824</v>
      </c>
      <c r="AE1017" s="16" t="n">
        <f aca="false">AB1017-W1017</f>
        <v>-0.000230989937109566</v>
      </c>
      <c r="AF1017" s="16" t="n">
        <f aca="false">AE1017-X1017</f>
        <v>-0.000741656761101258</v>
      </c>
      <c r="AG1017" s="16" t="n">
        <f aca="false">AF1017-p_spc_lo*Y1017/1000</f>
        <v>-0.00101876278962388</v>
      </c>
      <c r="AH1017" s="16" t="n">
        <f aca="false">AF1017-p_spc_hi*Y1017/1000</f>
        <v>-0.00129586881814651</v>
      </c>
      <c r="AI1017" s="16" t="n">
        <f aca="false">Q1017*J1017</f>
        <v>0.00754977484760815</v>
      </c>
      <c r="AJ1017" s="16" t="n">
        <f aca="false">S1017*J1017</f>
        <v>0.00516121314480038</v>
      </c>
      <c r="AK1017" s="16" t="n">
        <f aca="false">T1017*J1017</f>
        <v>0.00612367121609024</v>
      </c>
      <c r="AL1017" s="16" t="n">
        <f aca="false">U1017*J1017</f>
        <v>0.00212777843329872</v>
      </c>
      <c r="AM1017" s="16" t="n">
        <f aca="false">AI1017-AJ1017</f>
        <v>0.00238856170280776</v>
      </c>
      <c r="AN1017" s="16" t="n">
        <f aca="false">J1017*Country_Data!$EB$149</f>
        <v>0.0754927664358686</v>
      </c>
      <c r="AO1017" s="16" t="n">
        <f aca="false">L1017*Country_Data!$EB$149</f>
        <v>0.0181182639446085</v>
      </c>
    </row>
    <row r="1018" customFormat="false" ht="15" hidden="false" customHeight="false" outlineLevel="0" collapsed="false">
      <c r="A1018" s="14" t="str">
        <f aca="false">Country_Data!$A$149</f>
        <v>TJK</v>
      </c>
      <c r="B1018" s="14" t="str">
        <f aca="false">Country_Data!$E$149</f>
        <v>EMDC</v>
      </c>
      <c r="C1018" s="35" t="s">
        <v>484</v>
      </c>
      <c r="D1018" s="37" t="n">
        <f aca="false">IF(Country_Data!$CD$149="","",Country_Data!$CD$149)</f>
        <v>0.0904910784696688</v>
      </c>
      <c r="E1018" s="40" t="n">
        <f aca="false">Country_Data!$BW$149</f>
        <v>57.32</v>
      </c>
      <c r="F1018" s="41" t="n">
        <f aca="false">Country_Data!$BX$149</f>
        <v>0.251674808094906</v>
      </c>
      <c r="G1018" s="42" t="n">
        <f aca="false">IF(D1018="","",D1018/SUMIFS($D$5:$D$1369,$B$5:$B$1369,B1018,$C$5:$C$1369,C1018))</f>
        <v>0.000505335240314689</v>
      </c>
      <c r="H1018" s="42" t="n">
        <f aca="false">E1018/SUMIFS($E$5:$E$1369,$B$5:$B$1369,B1018,$C$5:$C$1369,C1018)</f>
        <v>0.000710004435669721</v>
      </c>
      <c r="I1018" s="43" t="n">
        <f aca="false">IF(G1018="",H1018,p_beta_alloc*G1018+(1-p_beta_alloc)*H1018)*F1018^p_phi</f>
        <v>0.000304850950542387</v>
      </c>
      <c r="J1018" s="16" t="n">
        <f aca="false">INDEX(Sector_Params!$C$21:$E$21,MATCH(B1018,Sector_Params!$C$15:$E$15,0))*I1018/SUMIFS($I$5:$I$1369,$B$5:$B$1369,B1018,$C$5:$C$1369,C1018)</f>
        <v>0.0676128393552128</v>
      </c>
      <c r="K1018" s="28" t="n">
        <f aca="false">INDEX(Sector_Params!$F$10:$H$10,MATCH(B1018,Sector_Params!$C$15:$E$15,0))</f>
        <v>0.24</v>
      </c>
      <c r="L1018" s="16" t="n">
        <f aca="false">J1018*K1018</f>
        <v>0.0162270814452511</v>
      </c>
      <c r="M1018" s="44" t="n">
        <f aca="false">Country_Data!$DW$149+Sector_Params!$E$10</f>
        <v>0.105</v>
      </c>
      <c r="N1018" s="44" t="n">
        <f aca="false">Country_Data!$DX$149+Sector_Params!$E$10</f>
        <v>0.15</v>
      </c>
      <c r="O1018" s="11" t="n">
        <f aca="false">IF(p_use_ibrd=1,p_r_ibrd,p_r_wb)</f>
        <v>0.06</v>
      </c>
      <c r="P1018" s="45" t="n">
        <f aca="false">Sector_Params!$D$10</f>
        <v>20</v>
      </c>
      <c r="Q1018" s="46" t="n">
        <f aca="false">M1018/(1-(1+M1018)^-P1018)</f>
        <v>0.121493265267016</v>
      </c>
      <c r="R1018" s="46" t="n">
        <f aca="false">N1018/(1-(1+N1018)^-P1018)</f>
        <v>0.159761470405744</v>
      </c>
      <c r="S1018" s="46" t="n">
        <f aca="false">O1018/(1-(1+O1018)^-P1018)</f>
        <v>0.0871845569768514</v>
      </c>
      <c r="T1018" s="37" t="n">
        <f aca="false">0*Sector_Params!$I$10</f>
        <v>0</v>
      </c>
      <c r="U1018" s="37" t="n">
        <f aca="false">0*Sector_Params!$J$10</f>
        <v>0</v>
      </c>
      <c r="V1018" s="37" t="n">
        <f aca="false">1000*p_r_wb/(1-(1+p_r_wb)^-Sector_Params!$D$10)/p_cpt_fuel</f>
        <v>0.871845569768514</v>
      </c>
      <c r="W1018" s="16" t="n">
        <f aca="false">T1018*L1018</f>
        <v>0</v>
      </c>
      <c r="X1018" s="16" t="n">
        <f aca="false">U1018*L1018</f>
        <v>0</v>
      </c>
      <c r="Y1018" s="16" t="n">
        <f aca="false">V1018*L1018</f>
        <v>0.014147509068315</v>
      </c>
      <c r="Z1018" s="16" t="n">
        <f aca="false">Q1018*L1018</f>
        <v>0.00197148111053737</v>
      </c>
      <c r="AA1018" s="16" t="n">
        <f aca="false">R1018*L1018</f>
        <v>0.00259246239208708</v>
      </c>
      <c r="AB1018" s="16" t="n">
        <f aca="false">S1018*L1018</f>
        <v>0.0014147509068315</v>
      </c>
      <c r="AC1018" s="16" t="n">
        <f aca="false">Z1018-W1018</f>
        <v>0.00197148111053737</v>
      </c>
      <c r="AD1018" s="16" t="n">
        <f aca="false">AA1018-W1018</f>
        <v>0.00259246239208708</v>
      </c>
      <c r="AE1018" s="16" t="n">
        <f aca="false">AB1018-W1018</f>
        <v>0.0014147509068315</v>
      </c>
      <c r="AF1018" s="16" t="n">
        <f aca="false">AE1018-X1018</f>
        <v>0.0014147509068315</v>
      </c>
      <c r="AG1018" s="16" t="n">
        <f aca="false">AF1018-p_spc_lo*Y1018/1000</f>
        <v>0.00070737545341575</v>
      </c>
      <c r="AH1018" s="16" t="n">
        <f aca="false">AF1018-p_spc_hi*Y1018/1000</f>
        <v>0</v>
      </c>
      <c r="AI1018" s="16" t="n">
        <f aca="false">Q1018*J1018</f>
        <v>0.00821450462723902</v>
      </c>
      <c r="AJ1018" s="16" t="n">
        <f aca="false">S1018*J1018</f>
        <v>0.00589479544513125</v>
      </c>
      <c r="AK1018" s="16" t="n">
        <f aca="false">T1018*J1018</f>
        <v>0</v>
      </c>
      <c r="AL1018" s="16" t="n">
        <f aca="false">U1018*J1018</f>
        <v>0</v>
      </c>
      <c r="AM1018" s="16" t="n">
        <f aca="false">AI1018-AJ1018</f>
        <v>0.00231970918210777</v>
      </c>
      <c r="AN1018" s="16" t="n">
        <f aca="false">J1018*Country_Data!$EB$149</f>
        <v>0.0773638066635837</v>
      </c>
      <c r="AO1018" s="16" t="n">
        <f aca="false">L1018*Country_Data!$EB$149</f>
        <v>0.0185673135992601</v>
      </c>
    </row>
    <row r="1019" customFormat="false" ht="15" hidden="false" customHeight="false" outlineLevel="0" collapsed="false">
      <c r="A1019" s="14" t="str">
        <f aca="false">Country_Data!$A$149</f>
        <v>TJK</v>
      </c>
      <c r="B1019" s="14" t="str">
        <f aca="false">Country_Data!$E$149</f>
        <v>EMDC</v>
      </c>
      <c r="C1019" s="35" t="s">
        <v>488</v>
      </c>
      <c r="D1019" s="37" t="n">
        <f aca="false">IF(Country_Data!$CE$149="","",Country_Data!$CE$149)</f>
        <v>12.844</v>
      </c>
      <c r="E1019" s="40" t="n">
        <f aca="false">Country_Data!$BW$149</f>
        <v>57.32</v>
      </c>
      <c r="F1019" s="41" t="n">
        <f aca="false">Country_Data!$BX$149</f>
        <v>0.251674808094906</v>
      </c>
      <c r="G1019" s="42" t="n">
        <f aca="false">IF(D1019="","",D1019/SUMIFS($D$5:$D$1369,$B$5:$B$1369,B1019,$C$5:$C$1369,C1019))</f>
        <v>0.00105243233631949</v>
      </c>
      <c r="H1019" s="42" t="n">
        <f aca="false">E1019/SUMIFS($E$5:$E$1369,$B$5:$B$1369,B1019,$C$5:$C$1369,C1019)</f>
        <v>0.000710004435669721</v>
      </c>
      <c r="I1019" s="43" t="n">
        <f aca="false">IF(G1019="",H1019,p_beta_alloc*G1019+(1-p_beta_alloc)*H1019)*F1019^p_phi</f>
        <v>0.000442082601126781</v>
      </c>
      <c r="J1019" s="16" t="n">
        <f aca="false">INDEX(Sector_Params!$C$22:$E$22,MATCH(B1019,Sector_Params!$C$15:$E$15,0))*I1019/SUMIFS($I$5:$I$1369,$B$5:$B$1369,B1019,$C$5:$C$1369,C1019)</f>
        <v>0.266491100244853</v>
      </c>
      <c r="K1019" s="28" t="n">
        <f aca="false">INDEX(Sector_Params!$F$11:$H$11,MATCH(B1019,Sector_Params!$C$15:$E$15,0))</f>
        <v>0.24</v>
      </c>
      <c r="L1019" s="16" t="n">
        <f aca="false">J1019*K1019</f>
        <v>0.0639578640587646</v>
      </c>
      <c r="M1019" s="44" t="n">
        <f aca="false">Country_Data!$DW$149+Sector_Params!$E$11</f>
        <v>0.105</v>
      </c>
      <c r="N1019" s="44" t="n">
        <f aca="false">Country_Data!$DX$149+Sector_Params!$E$11</f>
        <v>0.15</v>
      </c>
      <c r="O1019" s="11" t="n">
        <f aca="false">IF(p_use_ibrd=1,p_r_ibrd,p_r_wb)</f>
        <v>0.06</v>
      </c>
      <c r="P1019" s="45" t="n">
        <f aca="false">Sector_Params!$D$11</f>
        <v>30</v>
      </c>
      <c r="Q1019" s="46" t="n">
        <f aca="false">M1019/(1-(1+M1019)^-P1019)</f>
        <v>0.110528481529605</v>
      </c>
      <c r="R1019" s="46" t="n">
        <f aca="false">N1019/(1-(1+N1019)^-P1019)</f>
        <v>0.152300198192734</v>
      </c>
      <c r="S1019" s="46" t="n">
        <f aca="false">O1019/(1-(1+O1019)^-P1019)</f>
        <v>0.0726489114900472</v>
      </c>
      <c r="T1019" s="37" t="n">
        <f aca="false">0*Sector_Params!$I$11</f>
        <v>0</v>
      </c>
      <c r="U1019" s="37" t="n">
        <f aca="false">p_c*Sector_Params!$J$11</f>
        <v>0.129</v>
      </c>
      <c r="V1019" s="37" t="n">
        <f aca="false">1000*p_r_wb/(1-(1+p_r_wb)^-Sector_Params!$D$11)/p_cpt_afolu</f>
        <v>1.45297822980094</v>
      </c>
      <c r="W1019" s="16" t="n">
        <f aca="false">T1019*L1019</f>
        <v>0</v>
      </c>
      <c r="X1019" s="16" t="n">
        <f aca="false">U1019*L1019</f>
        <v>0.00825056446358063</v>
      </c>
      <c r="Y1019" s="16" t="n">
        <f aca="false">V1019*L1019</f>
        <v>0.0929293841019532</v>
      </c>
      <c r="Z1019" s="16" t="n">
        <f aca="false">Q1019*L1019</f>
        <v>0.00706916559629216</v>
      </c>
      <c r="AA1019" s="16" t="n">
        <f aca="false">R1019*L1019</f>
        <v>0.00974079537213381</v>
      </c>
      <c r="AB1019" s="16" t="n">
        <f aca="false">S1019*L1019</f>
        <v>0.00464646920509766</v>
      </c>
      <c r="AC1019" s="16" t="n">
        <f aca="false">Z1019-W1019</f>
        <v>0.00706916559629216</v>
      </c>
      <c r="AD1019" s="16" t="n">
        <f aca="false">AA1019-W1019</f>
        <v>0.00974079537213381</v>
      </c>
      <c r="AE1019" s="16" t="n">
        <f aca="false">AB1019-W1019</f>
        <v>0.00464646920509766</v>
      </c>
      <c r="AF1019" s="16" t="n">
        <f aca="false">AE1019-X1019</f>
        <v>-0.00360409525848297</v>
      </c>
      <c r="AG1019" s="16" t="n">
        <f aca="false">AF1019-p_spc_lo*Y1019/1000</f>
        <v>-0.00825056446358063</v>
      </c>
      <c r="AH1019" s="16" t="n">
        <f aca="false">AF1019-p_spc_hi*Y1019/1000</f>
        <v>-0.0128970336686783</v>
      </c>
      <c r="AI1019" s="16" t="n">
        <f aca="false">Q1019*J1019</f>
        <v>0.0294548566512173</v>
      </c>
      <c r="AJ1019" s="16" t="n">
        <f aca="false">S1019*J1019</f>
        <v>0.0193602883545736</v>
      </c>
      <c r="AK1019" s="16" t="n">
        <f aca="false">T1019*J1019</f>
        <v>0</v>
      </c>
      <c r="AL1019" s="16" t="n">
        <f aca="false">U1019*J1019</f>
        <v>0.034377351931586</v>
      </c>
      <c r="AM1019" s="16" t="n">
        <f aca="false">AI1019-AJ1019</f>
        <v>0.0100945682966437</v>
      </c>
      <c r="AN1019" s="16" t="n">
        <f aca="false">J1019*Country_Data!$EB$149</f>
        <v>0.304923830348192</v>
      </c>
      <c r="AO1019" s="16" t="n">
        <f aca="false">L1019*Country_Data!$EB$149</f>
        <v>0.073181719283566</v>
      </c>
    </row>
    <row r="1020" customFormat="false" ht="15" hidden="false" customHeight="false" outlineLevel="0" collapsed="false">
      <c r="A1020" s="14" t="str">
        <f aca="false">Country_Data!$A$150</f>
        <v>NAM</v>
      </c>
      <c r="B1020" s="14" t="str">
        <f aca="false">Country_Data!$E$150</f>
        <v>EMDC</v>
      </c>
      <c r="C1020" s="35" t="s">
        <v>466</v>
      </c>
      <c r="D1020" s="37" t="n">
        <f aca="false">IF(Country_Data!$BZ$150="","",Country_Data!$BZ$150)</f>
        <v>4.33309048801264</v>
      </c>
      <c r="E1020" s="40" t="n">
        <f aca="false">Country_Data!$BW$150</f>
        <v>35.463</v>
      </c>
      <c r="F1020" s="41" t="n">
        <f aca="false">Country_Data!$BX$150</f>
        <v>0.377012661083383</v>
      </c>
      <c r="G1020" s="42" t="n">
        <f aca="false">IF(D1020="","",D1020/SUMIFS($D$5:$D$1369,$B$5:$B$1369,B1020,$C$5:$C$1369,C1020))</f>
        <v>0.000494674863119219</v>
      </c>
      <c r="H1020" s="42" t="n">
        <f aca="false">E1020/SUMIFS($E$5:$E$1369,$B$5:$B$1369,B1020,$C$5:$C$1369,C1020)</f>
        <v>0.000439268794524692</v>
      </c>
      <c r="I1020" s="43" t="n">
        <f aca="false">IF(G1020="",H1020,p_beta_alloc*G1020+(1-p_beta_alloc)*H1020)*F1020^p_phi</f>
        <v>0.000286727038540507</v>
      </c>
      <c r="J1020" s="16" t="n">
        <f aca="false">INDEX(Sector_Params!$C$16:$E$16,MATCH(B1020,Sector_Params!$C$15:$E$15,0))*I1020/SUMIFS($I$5:$I$1369,$B$5:$B$1369,B1020,$C$5:$C$1369,C1020)</f>
        <v>0.277329660833529</v>
      </c>
      <c r="K1020" s="28" t="n">
        <f aca="false">INDEX(Sector_Params!$F$5:$H$5,MATCH(B1020,Sector_Params!$C$15:$E$15,0))</f>
        <v>0.24</v>
      </c>
      <c r="L1020" s="16" t="n">
        <f aca="false">J1020*K1020</f>
        <v>0.0665591186000471</v>
      </c>
      <c r="M1020" s="44" t="n">
        <f aca="false">Country_Data!$DW$150+Sector_Params!$E$5</f>
        <v>0.06284</v>
      </c>
      <c r="N1020" s="44" t="n">
        <f aca="false">Country_Data!$DX$150+Sector_Params!$E$5</f>
        <v>0.10784</v>
      </c>
      <c r="O1020" s="11" t="n">
        <f aca="false">IF(p_use_ibrd=1,p_r_ibrd,p_r_wb)</f>
        <v>0.06</v>
      </c>
      <c r="P1020" s="45" t="n">
        <f aca="false">Sector_Params!$D$5</f>
        <v>25</v>
      </c>
      <c r="Q1020" s="46" t="n">
        <f aca="false">M1020/(1-(1+M1020)^-P1020)</f>
        <v>0.0803501271749406</v>
      </c>
      <c r="R1020" s="46" t="n">
        <f aca="false">N1020/(1-(1+N1020)^-P1020)</f>
        <v>0.116872011284555</v>
      </c>
      <c r="S1020" s="46" t="n">
        <f aca="false">O1020/(1-(1+O1020)^-P1020)</f>
        <v>0.078226718212274</v>
      </c>
      <c r="T1020" s="37" t="n">
        <f aca="false">IF(AND(p_eng=1,ISNUMBER(Country_Data!$CZ$150)),Country_Data!$CZ$150,Country_Data!$CM$150)*Sector_Params!$I$5</f>
        <v>-0.0118708088398035</v>
      </c>
      <c r="U1020" s="37" t="n">
        <f aca="false">IF(AND(p_eng=1,ISNUMBER(Country_Data!$DA$150)),Country_Data!$DA$150,Country_Data!$CN$150)*Sector_Params!$J$5</f>
        <v>5.11452964499137E-005</v>
      </c>
      <c r="V1020" s="37" t="n">
        <f aca="false">IF(AND(p_eng=1,ISNUMBER(Country_Data!$DB$150)),Country_Data!$DB$150,p_a)</f>
        <v>0.0530980239918552</v>
      </c>
      <c r="W1020" s="16" t="n">
        <f aca="false">T1020*L1020</f>
        <v>-0.000790110573446966</v>
      </c>
      <c r="X1020" s="16" t="n">
        <f aca="false">U1020*L1020</f>
        <v>3.40418585224437E-006</v>
      </c>
      <c r="Y1020" s="16" t="n">
        <f aca="false">V1020*L1020</f>
        <v>0.00353415767630203</v>
      </c>
      <c r="Z1020" s="16" t="n">
        <f aca="false">Q1020*L1020</f>
        <v>0.00534803364416574</v>
      </c>
      <c r="AA1020" s="16" t="n">
        <f aca="false">R1020*L1020</f>
        <v>0.00777889806011473</v>
      </c>
      <c r="AB1020" s="16" t="n">
        <f aca="false">S1020*L1020</f>
        <v>0.0052067014151832</v>
      </c>
      <c r="AC1020" s="16" t="n">
        <f aca="false">Z1020-W1020</f>
        <v>0.0061381442176127</v>
      </c>
      <c r="AD1020" s="16" t="n">
        <f aca="false">AA1020-W1020</f>
        <v>0.00856900863356169</v>
      </c>
      <c r="AE1020" s="16" t="n">
        <f aca="false">AB1020-W1020</f>
        <v>0.00599681198863017</v>
      </c>
      <c r="AF1020" s="16" t="n">
        <f aca="false">AE1020-X1020</f>
        <v>0.00599340780277792</v>
      </c>
      <c r="AG1020" s="16" t="n">
        <f aca="false">AF1020-p_spc_lo*Y1020/1000</f>
        <v>0.00581669991896282</v>
      </c>
      <c r="AH1020" s="16" t="n">
        <f aca="false">AF1020-p_spc_hi*Y1020/1000</f>
        <v>0.00563999203514772</v>
      </c>
      <c r="AI1020" s="16" t="n">
        <f aca="false">Q1020*J1020</f>
        <v>0.0222834735173572</v>
      </c>
      <c r="AJ1020" s="16" t="n">
        <f aca="false">S1020*J1020</f>
        <v>0.02169458922993</v>
      </c>
      <c r="AK1020" s="16" t="n">
        <f aca="false">T1020*J1020</f>
        <v>-0.00329212738936236</v>
      </c>
      <c r="AL1020" s="16" t="n">
        <f aca="false">U1020*J1020</f>
        <v>1.41841077176849E-005</v>
      </c>
      <c r="AM1020" s="16" t="n">
        <f aca="false">AI1020-AJ1020</f>
        <v>0.000588884287427233</v>
      </c>
      <c r="AN1020" s="16" t="n">
        <f aca="false">J1020*Country_Data!$EB$150</f>
        <v>0.318359254491093</v>
      </c>
      <c r="AO1020" s="16" t="n">
        <f aca="false">L1020*Country_Data!$EB$150</f>
        <v>0.0764062210778622</v>
      </c>
    </row>
    <row r="1021" customFormat="false" ht="15" hidden="false" customHeight="false" outlineLevel="0" collapsed="false">
      <c r="A1021" s="14" t="str">
        <f aca="false">Country_Data!$A$150</f>
        <v>NAM</v>
      </c>
      <c r="B1021" s="14" t="str">
        <f aca="false">Country_Data!$E$150</f>
        <v>EMDC</v>
      </c>
      <c r="C1021" s="35" t="s">
        <v>470</v>
      </c>
      <c r="D1021" s="37" t="n">
        <f aca="false">IF(Country_Data!$BZ$150="","",Country_Data!$BZ$150)</f>
        <v>4.33309048801264</v>
      </c>
      <c r="E1021" s="40" t="n">
        <f aca="false">Country_Data!$BW$150</f>
        <v>35.463</v>
      </c>
      <c r="F1021" s="41" t="n">
        <f aca="false">Country_Data!$BX$150</f>
        <v>0.377012661083383</v>
      </c>
      <c r="G1021" s="42" t="n">
        <f aca="false">IF(D1021="","",D1021/SUMIFS($D$5:$D$1369,$B$5:$B$1369,B1021,$C$5:$C$1369,C1021))</f>
        <v>0.000494674863119219</v>
      </c>
      <c r="H1021" s="42" t="n">
        <f aca="false">E1021/SUMIFS($E$5:$E$1369,$B$5:$B$1369,B1021,$C$5:$C$1369,C1021)</f>
        <v>0.000439268794524692</v>
      </c>
      <c r="I1021" s="43" t="n">
        <f aca="false">IF(G1021="",H1021,p_beta_alloc*G1021+(1-p_beta_alloc)*H1021)*F1021^p_phi</f>
        <v>0.000286727038540507</v>
      </c>
      <c r="J1021" s="16" t="n">
        <f aca="false">INDEX(Sector_Params!$C$17:$E$17,MATCH(B1021,Sector_Params!$C$15:$E$15,0))*I1021/SUMIFS($I$5:$I$1369,$B$5:$B$1369,B1021,$C$5:$C$1369,C1021)</f>
        <v>0.190168910285849</v>
      </c>
      <c r="K1021" s="28" t="n">
        <f aca="false">INDEX(Sector_Params!$F$6:$H$6,MATCH(B1021,Sector_Params!$C$15:$E$15,0))</f>
        <v>0.24</v>
      </c>
      <c r="L1021" s="16" t="n">
        <f aca="false">J1021*K1021</f>
        <v>0.0456405384686037</v>
      </c>
      <c r="M1021" s="44" t="n">
        <f aca="false">Country_Data!$DW$150+Sector_Params!$E$6</f>
        <v>0.06284</v>
      </c>
      <c r="N1021" s="44" t="n">
        <f aca="false">Country_Data!$DX$150+Sector_Params!$E$6</f>
        <v>0.10784</v>
      </c>
      <c r="O1021" s="11" t="n">
        <f aca="false">IF(p_use_ibrd=1,p_r_ibrd,p_r_wb)</f>
        <v>0.06</v>
      </c>
      <c r="P1021" s="45" t="n">
        <f aca="false">Sector_Params!$D$6</f>
        <v>40</v>
      </c>
      <c r="Q1021" s="46" t="n">
        <f aca="false">M1021/(1-(1+M1021)^-P1021)</f>
        <v>0.0688547605609273</v>
      </c>
      <c r="R1021" s="46" t="n">
        <f aca="false">N1021/(1-(1+N1021)^-P1021)</f>
        <v>0.109663818811374</v>
      </c>
      <c r="S1021" s="46" t="n">
        <f aca="false">O1021/(1-(1+O1021)^-P1021)</f>
        <v>0.0664615359206755</v>
      </c>
      <c r="T1021" s="37" t="n">
        <f aca="false">p_grid_credit*IF(AND(p_eng=1,ISNUMBER(Country_Data!$CZ$150)),Country_Data!$CZ$150,Country_Data!$CM$150)*Sector_Params!$I$6</f>
        <v>-0</v>
      </c>
      <c r="U1021" s="37" t="n">
        <f aca="false">p_grid_credit*IF(AND(p_eng=1,ISNUMBER(Country_Data!$DA$150)),Country_Data!$DA$150,Country_Data!$CN$150)*Sector_Params!$J$6</f>
        <v>0</v>
      </c>
      <c r="V1021" s="37" t="n">
        <f aca="false">p_grid_credit*IF(AND(p_eng=1,ISNUMBER(Country_Data!$DB$150)),Country_Data!$DB$150,p_a)</f>
        <v>0</v>
      </c>
      <c r="W1021" s="16" t="n">
        <f aca="false">T1021*L1021</f>
        <v>-0</v>
      </c>
      <c r="X1021" s="16" t="n">
        <f aca="false">U1021*L1021</f>
        <v>0</v>
      </c>
      <c r="Y1021" s="16" t="n">
        <f aca="false">V1021*L1021</f>
        <v>0</v>
      </c>
      <c r="Z1021" s="16" t="n">
        <f aca="false">Q1021*L1021</f>
        <v>0.0031425683481275</v>
      </c>
      <c r="AA1021" s="16" t="n">
        <f aca="false">R1021*L1021</f>
        <v>0.00500511574107451</v>
      </c>
      <c r="AB1021" s="16" t="n">
        <f aca="false">S1021*L1021</f>
        <v>0.00303334028687008</v>
      </c>
      <c r="AC1021" s="16" t="n">
        <f aca="false">Z1021-W1021</f>
        <v>0.0031425683481275</v>
      </c>
      <c r="AD1021" s="16" t="n">
        <f aca="false">AA1021-W1021</f>
        <v>0.00500511574107451</v>
      </c>
      <c r="AE1021" s="16" t="n">
        <f aca="false">AB1021-W1021</f>
        <v>0.00303334028687008</v>
      </c>
      <c r="AF1021" s="16" t="n">
        <f aca="false">AE1021-X1021</f>
        <v>0.00303334028687008</v>
      </c>
      <c r="AG1021" s="16" t="n">
        <f aca="false">AF1021-p_spc_lo*Y1021/1000</f>
        <v>0.00303334028687008</v>
      </c>
      <c r="AH1021" s="16" t="n">
        <f aca="false">AF1021-p_spc_hi*Y1021/1000</f>
        <v>0.00303334028687008</v>
      </c>
      <c r="AI1021" s="16" t="n">
        <f aca="false">Q1021*J1021</f>
        <v>0.0130940347838646</v>
      </c>
      <c r="AJ1021" s="16" t="n">
        <f aca="false">S1021*J1021</f>
        <v>0.0126389178619587</v>
      </c>
      <c r="AK1021" s="16" t="n">
        <f aca="false">T1021*J1021</f>
        <v>-0</v>
      </c>
      <c r="AL1021" s="16" t="n">
        <f aca="false">U1021*J1021</f>
        <v>0</v>
      </c>
      <c r="AM1021" s="16" t="n">
        <f aca="false">AI1021-AJ1021</f>
        <v>0.000455116921905934</v>
      </c>
      <c r="AN1021" s="16" t="n">
        <f aca="false">J1021*Country_Data!$EB$150</f>
        <v>0.218303488793892</v>
      </c>
      <c r="AO1021" s="16" t="n">
        <f aca="false">L1021*Country_Data!$EB$150</f>
        <v>0.0523928373105341</v>
      </c>
    </row>
    <row r="1022" customFormat="false" ht="15" hidden="false" customHeight="false" outlineLevel="0" collapsed="false">
      <c r="A1022" s="14" t="str">
        <f aca="false">Country_Data!$A$150</f>
        <v>NAM</v>
      </c>
      <c r="B1022" s="14" t="str">
        <f aca="false">Country_Data!$E$150</f>
        <v>EMDC</v>
      </c>
      <c r="C1022" s="35" t="s">
        <v>473</v>
      </c>
      <c r="D1022" s="37" t="n">
        <f aca="false">IF(Country_Data!$CA$150="","",Country_Data!$CA$150)</f>
        <v>0.0452837986650947</v>
      </c>
      <c r="E1022" s="40" t="n">
        <f aca="false">Country_Data!$BW$150</f>
        <v>35.463</v>
      </c>
      <c r="F1022" s="41" t="n">
        <f aca="false">Country_Data!$BX$150</f>
        <v>0.377012661083383</v>
      </c>
      <c r="G1022" s="42" t="n">
        <f aca="false">IF(D1022="","",D1022/SUMIFS($D$5:$D$1369,$B$5:$B$1369,B1022,$C$5:$C$1369,C1022))</f>
        <v>0.0010461611116306</v>
      </c>
      <c r="H1022" s="42" t="n">
        <f aca="false">E1022/SUMIFS($E$5:$E$1369,$B$5:$B$1369,B1022,$C$5:$C$1369,C1022)</f>
        <v>0.000439268794524692</v>
      </c>
      <c r="I1022" s="43" t="n">
        <f aca="false">IF(G1022="",H1022,p_beta_alloc*G1022+(1-p_beta_alloc)*H1022)*F1022^p_phi</f>
        <v>0.000456037057980427</v>
      </c>
      <c r="J1022" s="16" t="n">
        <f aca="false">INDEX(Sector_Params!$C$18:$E$18,MATCH(B1022,Sector_Params!$C$15:$E$15,0))*I1022/SUMIFS($I$5:$I$1369,$B$5:$B$1369,B1022,$C$5:$C$1369,C1022)</f>
        <v>0.186736384852416</v>
      </c>
      <c r="K1022" s="28" t="n">
        <f aca="false">INDEX(Sector_Params!$F$7:$H$7,MATCH(B1022,Sector_Params!$C$15:$E$15,0))</f>
        <v>0.24</v>
      </c>
      <c r="L1022" s="16" t="n">
        <f aca="false">J1022*K1022</f>
        <v>0.0448167323645799</v>
      </c>
      <c r="M1022" s="44" t="n">
        <f aca="false">Country_Data!$DW$150+Sector_Params!$E$7</f>
        <v>0.06284</v>
      </c>
      <c r="N1022" s="44" t="n">
        <f aca="false">Country_Data!$DX$150+Sector_Params!$E$7</f>
        <v>0.10784</v>
      </c>
      <c r="O1022" s="11" t="n">
        <f aca="false">IF(p_use_ibrd=1,p_r_ibrd,p_r_wb)</f>
        <v>0.06</v>
      </c>
      <c r="P1022" s="45" t="n">
        <f aca="false">Sector_Params!$D$7</f>
        <v>12</v>
      </c>
      <c r="Q1022" s="46" t="n">
        <f aca="false">M1022/(1-(1+M1022)^-P1022)</f>
        <v>0.121141119475499</v>
      </c>
      <c r="R1022" s="46" t="n">
        <f aca="false">N1022/(1-(1+N1022)^-P1022)</f>
        <v>0.152445746076794</v>
      </c>
      <c r="S1022" s="46" t="n">
        <f aca="false">O1022/(1-(1+O1022)^-P1022)</f>
        <v>0.119277029380664</v>
      </c>
      <c r="T1022" s="37" t="n">
        <f aca="false">IF(AND(p_eng=1,ISNUMBER(Country_Data!$DE$150)),Country_Data!$DE$150,Country_Data!$CM$150)*Sector_Params!$I$7</f>
        <v>0.14548374</v>
      </c>
      <c r="U1022" s="37" t="n">
        <f aca="false">IF(AND(p_eng=1,ISNUMBER(Country_Data!$DF$150)),Country_Data!$DF$150,Country_Data!$CN$150)*Sector_Params!$J$7</f>
        <v>0.004494375</v>
      </c>
      <c r="V1022" s="37" t="n">
        <f aca="false">IF(AND(p_eng=1,ISNUMBER(Country_Data!$DG$150)),Country_Data!$DG$150,p_a)</f>
        <v>0.520803987804878</v>
      </c>
      <c r="W1022" s="16" t="n">
        <f aca="false">T1022*L1022</f>
        <v>0.00652010583897813</v>
      </c>
      <c r="X1022" s="16" t="n">
        <f aca="false">U1022*L1022</f>
        <v>0.000201423201521059</v>
      </c>
      <c r="Y1022" s="16" t="n">
        <f aca="false">V1022*L1022</f>
        <v>0.0233407329358572</v>
      </c>
      <c r="Z1022" s="16" t="n">
        <f aca="false">Q1022*L1022</f>
        <v>0.00542914912987904</v>
      </c>
      <c r="AA1022" s="16" t="n">
        <f aca="false">R1022*L1022</f>
        <v>0.00683212020204238</v>
      </c>
      <c r="AB1022" s="16" t="n">
        <f aca="false">S1022*L1022</f>
        <v>0.00534560670299533</v>
      </c>
      <c r="AC1022" s="16" t="n">
        <f aca="false">Z1022-W1022</f>
        <v>-0.00109095670909909</v>
      </c>
      <c r="AD1022" s="16" t="n">
        <f aca="false">AA1022-W1022</f>
        <v>0.000312014363064249</v>
      </c>
      <c r="AE1022" s="16" t="n">
        <f aca="false">AB1022-W1022</f>
        <v>-0.0011744991359828</v>
      </c>
      <c r="AF1022" s="16" t="n">
        <f aca="false">AE1022-X1022</f>
        <v>-0.00137592233750386</v>
      </c>
      <c r="AG1022" s="16" t="n">
        <f aca="false">AF1022-p_spc_lo*Y1022/1000</f>
        <v>-0.00254295898429671</v>
      </c>
      <c r="AH1022" s="16" t="n">
        <f aca="false">AF1022-p_spc_hi*Y1022/1000</f>
        <v>-0.00370999563108957</v>
      </c>
      <c r="AI1022" s="16" t="n">
        <f aca="false">Q1022*J1022</f>
        <v>0.0226214547078293</v>
      </c>
      <c r="AJ1022" s="16" t="n">
        <f aca="false">S1022*J1022</f>
        <v>0.0222733612624806</v>
      </c>
      <c r="AK1022" s="16" t="n">
        <f aca="false">T1022*J1022</f>
        <v>0.0271671076624089</v>
      </c>
      <c r="AL1022" s="16" t="n">
        <f aca="false">U1022*J1022</f>
        <v>0.000839263339671078</v>
      </c>
      <c r="AM1022" s="16" t="n">
        <f aca="false">AI1022-AJ1022</f>
        <v>0.000348093445348786</v>
      </c>
      <c r="AN1022" s="16" t="n">
        <f aca="false">J1022*Country_Data!$EB$150</f>
        <v>0.214363137679897</v>
      </c>
      <c r="AO1022" s="16" t="n">
        <f aca="false">L1022*Country_Data!$EB$150</f>
        <v>0.0514471530431753</v>
      </c>
    </row>
    <row r="1023" customFormat="false" ht="15" hidden="false" customHeight="false" outlineLevel="0" collapsed="false">
      <c r="A1023" s="14" t="str">
        <f aca="false">Country_Data!$A$150</f>
        <v>NAM</v>
      </c>
      <c r="B1023" s="14" t="str">
        <f aca="false">Country_Data!$E$150</f>
        <v>EMDC</v>
      </c>
      <c r="C1023" s="35" t="s">
        <v>477</v>
      </c>
      <c r="D1023" s="37" t="n">
        <f aca="false">IF(Country_Data!$CB$150="","",Country_Data!$CB$150)</f>
        <v>0.00580480795747687</v>
      </c>
      <c r="E1023" s="40" t="n">
        <f aca="false">Country_Data!$BW$150</f>
        <v>35.463</v>
      </c>
      <c r="F1023" s="41" t="n">
        <f aca="false">Country_Data!$BX$150</f>
        <v>0.377012661083383</v>
      </c>
      <c r="G1023" s="42" t="n">
        <f aca="false">IF(D1023="","",D1023/SUMIFS($D$5:$D$1369,$B$5:$B$1369,B1023,$C$5:$C$1369,C1023))</f>
        <v>0.000183043270541313</v>
      </c>
      <c r="H1023" s="42" t="n">
        <f aca="false">E1023/SUMIFS($E$5:$E$1369,$B$5:$B$1369,B1023,$C$5:$C$1369,C1023)</f>
        <v>0.000439268794524692</v>
      </c>
      <c r="I1023" s="43" t="n">
        <f aca="false">IF(G1023="",H1023,p_beta_alloc*G1023+(1-p_beta_alloc)*H1023)*F1023^p_phi</f>
        <v>0.000191054025587093</v>
      </c>
      <c r="J1023" s="16" t="n">
        <f aca="false">INDEX(Sector_Params!$C$19:$E$19,MATCH(B1023,Sector_Params!$C$15:$E$15,0))*I1023/SUMIFS($I$5:$I$1369,$B$5:$B$1369,B1023,$C$5:$C$1369,C1023)</f>
        <v>0.0614931447521082</v>
      </c>
      <c r="K1023" s="28" t="n">
        <f aca="false">INDEX(Sector_Params!$F$8:$H$8,MATCH(B1023,Sector_Params!$C$15:$E$15,0))</f>
        <v>0.24</v>
      </c>
      <c r="L1023" s="16" t="n">
        <f aca="false">J1023*K1023</f>
        <v>0.014758354740506</v>
      </c>
      <c r="M1023" s="44" t="n">
        <f aca="false">Country_Data!$DW$150+Sector_Params!$E$8</f>
        <v>0.06284</v>
      </c>
      <c r="N1023" s="44" t="n">
        <f aca="false">Country_Data!$DX$150+Sector_Params!$E$8</f>
        <v>0.10784</v>
      </c>
      <c r="O1023" s="11" t="n">
        <f aca="false">IF(p_use_ibrd=1,p_r_ibrd,p_r_wb)</f>
        <v>0.06</v>
      </c>
      <c r="P1023" s="45" t="n">
        <f aca="false">Sector_Params!$D$8</f>
        <v>25</v>
      </c>
      <c r="Q1023" s="46" t="n">
        <f aca="false">M1023/(1-(1+M1023)^-P1023)</f>
        <v>0.0803501271749406</v>
      </c>
      <c r="R1023" s="46" t="n">
        <f aca="false">N1023/(1-(1+N1023)^-P1023)</f>
        <v>0.116872011284555</v>
      </c>
      <c r="S1023" s="46" t="n">
        <f aca="false">O1023/(1-(1+O1023)^-P1023)</f>
        <v>0.078226718212274</v>
      </c>
      <c r="T1023" s="37" t="n">
        <f aca="false">Country_Data!$CM$150*Sector_Params!$I$8</f>
        <v>0.20229558289465</v>
      </c>
      <c r="U1023" s="37" t="n">
        <f aca="false">Country_Data!$CN$150*Sector_Params!$J$8</f>
        <v>0.03225</v>
      </c>
      <c r="V1023" s="37" t="n">
        <f aca="false">p_a</f>
        <v>0.35</v>
      </c>
      <c r="W1023" s="16" t="n">
        <f aca="false">T1023*L1023</f>
        <v>0.00298554997479668</v>
      </c>
      <c r="X1023" s="16" t="n">
        <f aca="false">U1023*L1023</f>
        <v>0.000475956940381318</v>
      </c>
      <c r="Y1023" s="16" t="n">
        <f aca="false">V1023*L1023</f>
        <v>0.00516542415917709</v>
      </c>
      <c r="Z1023" s="16" t="n">
        <f aca="false">Q1023*L1023</f>
        <v>0.00118583568029254</v>
      </c>
      <c r="AA1023" s="16" t="n">
        <f aca="false">R1023*L1023</f>
        <v>0.00172483860177388</v>
      </c>
      <c r="AB1023" s="16" t="n">
        <f aca="false">S1023*L1023</f>
        <v>0.00115449765756234</v>
      </c>
      <c r="AC1023" s="16" t="n">
        <f aca="false">Z1023-W1023</f>
        <v>-0.00179971429450413</v>
      </c>
      <c r="AD1023" s="16" t="n">
        <f aca="false">AA1023-W1023</f>
        <v>-0.0012607113730228</v>
      </c>
      <c r="AE1023" s="16" t="n">
        <f aca="false">AB1023-W1023</f>
        <v>-0.00183105231723434</v>
      </c>
      <c r="AF1023" s="16" t="n">
        <f aca="false">AE1023-X1023</f>
        <v>-0.00230700925761565</v>
      </c>
      <c r="AG1023" s="16" t="n">
        <f aca="false">AF1023-p_spc_lo*Y1023/1000</f>
        <v>-0.00256528046557451</v>
      </c>
      <c r="AH1023" s="16" t="n">
        <f aca="false">AF1023-p_spc_hi*Y1023/1000</f>
        <v>-0.00282355167353336</v>
      </c>
      <c r="AI1023" s="16" t="n">
        <f aca="false">Q1023*J1023</f>
        <v>0.00494098200121893</v>
      </c>
      <c r="AJ1023" s="16" t="n">
        <f aca="false">S1023*J1023</f>
        <v>0.00481040690650974</v>
      </c>
      <c r="AK1023" s="16" t="n">
        <f aca="false">T1023*J1023</f>
        <v>0.0124397915616528</v>
      </c>
      <c r="AL1023" s="16" t="n">
        <f aca="false">U1023*J1023</f>
        <v>0.00198315391825549</v>
      </c>
      <c r="AM1023" s="16" t="n">
        <f aca="false">AI1023-AJ1023</f>
        <v>0.000130575094709188</v>
      </c>
      <c r="AN1023" s="16" t="n">
        <f aca="false">J1023*Country_Data!$EB$150</f>
        <v>0.0705907606880366</v>
      </c>
      <c r="AO1023" s="16" t="n">
        <f aca="false">L1023*Country_Data!$EB$150</f>
        <v>0.0169417825651288</v>
      </c>
    </row>
    <row r="1024" customFormat="false" ht="15" hidden="false" customHeight="false" outlineLevel="0" collapsed="false">
      <c r="A1024" s="14" t="str">
        <f aca="false">Country_Data!$A$150</f>
        <v>NAM</v>
      </c>
      <c r="B1024" s="14" t="str">
        <f aca="false">Country_Data!$E$150</f>
        <v>EMDC</v>
      </c>
      <c r="C1024" s="35" t="s">
        <v>481</v>
      </c>
      <c r="D1024" s="37" t="n">
        <f aca="false">IF(Country_Data!$CC$150="","",Country_Data!$CC$150)</f>
        <v>0.0125630383939252</v>
      </c>
      <c r="E1024" s="40" t="n">
        <f aca="false">Country_Data!$BW$150</f>
        <v>35.463</v>
      </c>
      <c r="F1024" s="41" t="n">
        <f aca="false">Country_Data!$BX$150</f>
        <v>0.377012661083383</v>
      </c>
      <c r="G1024" s="42" t="n">
        <f aca="false">IF(D1024="","",D1024/SUMIFS($D$5:$D$1369,$B$5:$B$1369,B1024,$C$5:$C$1369,C1024))</f>
        <v>0.000179453371518314</v>
      </c>
      <c r="H1024" s="42" t="n">
        <f aca="false">E1024/SUMIFS($E$5:$E$1369,$B$5:$B$1369,B1024,$C$5:$C$1369,C1024)</f>
        <v>0.000439268794524692</v>
      </c>
      <c r="I1024" s="43" t="n">
        <f aca="false">IF(G1024="",H1024,p_beta_alloc*G1024+(1-p_beta_alloc)*H1024)*F1024^p_phi</f>
        <v>0.000189951902234041</v>
      </c>
      <c r="J1024" s="16" t="n">
        <f aca="false">INDEX(Sector_Params!$C$20:$E$20,MATCH(B1024,Sector_Params!$C$15:$E$15,0))*I1024/SUMIFS($I$5:$I$1369,$B$5:$B$1369,B1024,$C$5:$C$1369,C1024)</f>
        <v>0.0346700473496647</v>
      </c>
      <c r="K1024" s="28" t="n">
        <f aca="false">INDEX(Sector_Params!$F$9:$H$9,MATCH(B1024,Sector_Params!$C$15:$E$15,0))</f>
        <v>0.24</v>
      </c>
      <c r="L1024" s="16" t="n">
        <f aca="false">J1024*K1024</f>
        <v>0.00832081136391953</v>
      </c>
      <c r="M1024" s="44" t="n">
        <f aca="false">Country_Data!$DW$150+Sector_Params!$E$9</f>
        <v>0.06284</v>
      </c>
      <c r="N1024" s="44" t="n">
        <f aca="false">Country_Data!$DX$150+Sector_Params!$E$9</f>
        <v>0.10784</v>
      </c>
      <c r="O1024" s="11" t="n">
        <f aca="false">IF(p_use_ibrd=1,p_r_ibrd,p_r_wb)</f>
        <v>0.06</v>
      </c>
      <c r="P1024" s="45" t="n">
        <f aca="false">Sector_Params!$D$9</f>
        <v>25</v>
      </c>
      <c r="Q1024" s="46" t="n">
        <f aca="false">M1024/(1-(1+M1024)^-P1024)</f>
        <v>0.0803501271749406</v>
      </c>
      <c r="R1024" s="46" t="n">
        <f aca="false">N1024/(1-(1+N1024)^-P1024)</f>
        <v>0.116872011284555</v>
      </c>
      <c r="S1024" s="46" t="n">
        <f aca="false">O1024/(1-(1+O1024)^-P1024)</f>
        <v>0.078226718212274</v>
      </c>
      <c r="T1024" s="37" t="n">
        <f aca="false">Country_Data!$CM$150*Sector_Params!$I$9</f>
        <v>0.20229558289465</v>
      </c>
      <c r="U1024" s="37" t="n">
        <f aca="false">Country_Data!$CN$150*Sector_Params!$J$9</f>
        <v>0.03225</v>
      </c>
      <c r="V1024" s="37" t="n">
        <f aca="false">p_a</f>
        <v>0.35</v>
      </c>
      <c r="W1024" s="16" t="n">
        <f aca="false">T1024*L1024</f>
        <v>0.00168326338502053</v>
      </c>
      <c r="X1024" s="16" t="n">
        <f aca="false">U1024*L1024</f>
        <v>0.000268346166486405</v>
      </c>
      <c r="Y1024" s="16" t="n">
        <f aca="false">V1024*L1024</f>
        <v>0.00291228397737183</v>
      </c>
      <c r="Z1024" s="16" t="n">
        <f aca="false">Q1024*L1024</f>
        <v>0.000668578251289625</v>
      </c>
      <c r="AA1024" s="16" t="n">
        <f aca="false">R1024*L1024</f>
        <v>0.000972469959620656</v>
      </c>
      <c r="AB1024" s="16" t="n">
        <f aca="false">S1024*L1024</f>
        <v>0.00065090976586282</v>
      </c>
      <c r="AC1024" s="16" t="n">
        <f aca="false">Z1024-W1024</f>
        <v>-0.0010146851337309</v>
      </c>
      <c r="AD1024" s="16" t="n">
        <f aca="false">AA1024-W1024</f>
        <v>-0.000710793425399871</v>
      </c>
      <c r="AE1024" s="16" t="n">
        <f aca="false">AB1024-W1024</f>
        <v>-0.00103235361915771</v>
      </c>
      <c r="AF1024" s="16" t="n">
        <f aca="false">AE1024-X1024</f>
        <v>-0.00130069978564411</v>
      </c>
      <c r="AG1024" s="16" t="n">
        <f aca="false">AF1024-p_spc_lo*Y1024/1000</f>
        <v>-0.0014463139845127</v>
      </c>
      <c r="AH1024" s="16" t="n">
        <f aca="false">AF1024-p_spc_hi*Y1024/1000</f>
        <v>-0.0015919281833813</v>
      </c>
      <c r="AI1024" s="16" t="n">
        <f aca="false">Q1024*J1024</f>
        <v>0.00278574271370677</v>
      </c>
      <c r="AJ1024" s="16" t="n">
        <f aca="false">S1024*J1024</f>
        <v>0.00271212402442842</v>
      </c>
      <c r="AK1024" s="16" t="n">
        <f aca="false">T1024*J1024</f>
        <v>0.00701359743758553</v>
      </c>
      <c r="AL1024" s="16" t="n">
        <f aca="false">U1024*J1024</f>
        <v>0.00111810902702669</v>
      </c>
      <c r="AM1024" s="16" t="n">
        <f aca="false">AI1024-AJ1024</f>
        <v>7.36186892783567E-005</v>
      </c>
      <c r="AN1024" s="16" t="n">
        <f aca="false">J1024*Country_Data!$EB$150</f>
        <v>0.0397993146287932</v>
      </c>
      <c r="AO1024" s="16" t="n">
        <f aca="false">L1024*Country_Data!$EB$150</f>
        <v>0.00955183551091036</v>
      </c>
    </row>
    <row r="1025" customFormat="false" ht="15" hidden="false" customHeight="false" outlineLevel="0" collapsed="false">
      <c r="A1025" s="14" t="str">
        <f aca="false">Country_Data!$A$150</f>
        <v>NAM</v>
      </c>
      <c r="B1025" s="14" t="str">
        <f aca="false">Country_Data!$E$150</f>
        <v>EMDC</v>
      </c>
      <c r="C1025" s="35" t="s">
        <v>484</v>
      </c>
      <c r="D1025" s="37" t="n">
        <f aca="false">IF(Country_Data!$CD$150="","",Country_Data!$CD$150)</f>
        <v>0.0505667631676429</v>
      </c>
      <c r="E1025" s="40" t="n">
        <f aca="false">Country_Data!$BW$150</f>
        <v>35.463</v>
      </c>
      <c r="F1025" s="41" t="n">
        <f aca="false">Country_Data!$BX$150</f>
        <v>0.377012661083383</v>
      </c>
      <c r="G1025" s="42" t="n">
        <f aca="false">IF(D1025="","",D1025/SUMIFS($D$5:$D$1369,$B$5:$B$1369,B1025,$C$5:$C$1369,C1025))</f>
        <v>0.000282383278544103</v>
      </c>
      <c r="H1025" s="42" t="n">
        <f aca="false">E1025/SUMIFS($E$5:$E$1369,$B$5:$B$1369,B1025,$C$5:$C$1369,C1025)</f>
        <v>0.000439268794524692</v>
      </c>
      <c r="I1025" s="43" t="n">
        <f aca="false">IF(G1025="",H1025,p_beta_alloc*G1025+(1-p_beta_alloc)*H1025)*F1025^p_phi</f>
        <v>0.000221552081942105</v>
      </c>
      <c r="J1025" s="16" t="n">
        <f aca="false">INDEX(Sector_Params!$C$21:$E$21,MATCH(B1025,Sector_Params!$C$15:$E$15,0))*I1025/SUMIFS($I$5:$I$1369,$B$5:$B$1369,B1025,$C$5:$C$1369,C1025)</f>
        <v>0.0491379977609145</v>
      </c>
      <c r="K1025" s="28" t="n">
        <f aca="false">INDEX(Sector_Params!$F$10:$H$10,MATCH(B1025,Sector_Params!$C$15:$E$15,0))</f>
        <v>0.24</v>
      </c>
      <c r="L1025" s="16" t="n">
        <f aca="false">J1025*K1025</f>
        <v>0.0117931194626195</v>
      </c>
      <c r="M1025" s="44" t="n">
        <f aca="false">Country_Data!$DW$150+Sector_Params!$E$10</f>
        <v>0.06284</v>
      </c>
      <c r="N1025" s="44" t="n">
        <f aca="false">Country_Data!$DX$150+Sector_Params!$E$10</f>
        <v>0.10784</v>
      </c>
      <c r="O1025" s="11" t="n">
        <f aca="false">IF(p_use_ibrd=1,p_r_ibrd,p_r_wb)</f>
        <v>0.06</v>
      </c>
      <c r="P1025" s="45" t="n">
        <f aca="false">Sector_Params!$D$10</f>
        <v>20</v>
      </c>
      <c r="Q1025" s="46" t="n">
        <f aca="false">M1025/(1-(1+M1025)^-P1025)</f>
        <v>0.0892053108791364</v>
      </c>
      <c r="R1025" s="46" t="n">
        <f aca="false">N1025/(1-(1+N1025)^-P1025)</f>
        <v>0.123806199646132</v>
      </c>
      <c r="S1025" s="46" t="n">
        <f aca="false">O1025/(1-(1+O1025)^-P1025)</f>
        <v>0.0871845569768514</v>
      </c>
      <c r="T1025" s="37" t="n">
        <f aca="false">0*Sector_Params!$I$10</f>
        <v>0</v>
      </c>
      <c r="U1025" s="37" t="n">
        <f aca="false">0*Sector_Params!$J$10</f>
        <v>0</v>
      </c>
      <c r="V1025" s="37" t="n">
        <f aca="false">1000*p_r_wb/(1-(1+p_r_wb)^-Sector_Params!$D$10)/p_cpt_fuel</f>
        <v>0.871845569768514</v>
      </c>
      <c r="W1025" s="16" t="n">
        <f aca="false">T1025*L1025</f>
        <v>0</v>
      </c>
      <c r="X1025" s="16" t="n">
        <f aca="false">U1025*L1025</f>
        <v>0</v>
      </c>
      <c r="Y1025" s="16" t="n">
        <f aca="false">V1025*L1025</f>
        <v>0.0102817789572356</v>
      </c>
      <c r="Z1025" s="16" t="n">
        <f aca="false">Q1025*L1025</f>
        <v>0.00105200888789777</v>
      </c>
      <c r="AA1025" s="16" t="n">
        <f aca="false">R1025*L1025</f>
        <v>0.00146006130263975</v>
      </c>
      <c r="AB1025" s="16" t="n">
        <f aca="false">S1025*L1025</f>
        <v>0.00102817789572356</v>
      </c>
      <c r="AC1025" s="16" t="n">
        <f aca="false">Z1025-W1025</f>
        <v>0.00105200888789777</v>
      </c>
      <c r="AD1025" s="16" t="n">
        <f aca="false">AA1025-W1025</f>
        <v>0.00146006130263975</v>
      </c>
      <c r="AE1025" s="16" t="n">
        <f aca="false">AB1025-W1025</f>
        <v>0.00102817789572356</v>
      </c>
      <c r="AF1025" s="16" t="n">
        <f aca="false">AE1025-X1025</f>
        <v>0.00102817789572356</v>
      </c>
      <c r="AG1025" s="16" t="n">
        <f aca="false">AF1025-p_spc_lo*Y1025/1000</f>
        <v>0.000514088947861782</v>
      </c>
      <c r="AH1025" s="16" t="n">
        <f aca="false">AF1025-p_spc_hi*Y1025/1000</f>
        <v>0</v>
      </c>
      <c r="AI1025" s="16" t="n">
        <f aca="false">Q1025*J1025</f>
        <v>0.00438337036624069</v>
      </c>
      <c r="AJ1025" s="16" t="n">
        <f aca="false">S1025*J1025</f>
        <v>0.00428407456551485</v>
      </c>
      <c r="AK1025" s="16" t="n">
        <f aca="false">T1025*J1025</f>
        <v>0</v>
      </c>
      <c r="AL1025" s="16" t="n">
        <f aca="false">U1025*J1025</f>
        <v>0</v>
      </c>
      <c r="AM1025" s="16" t="n">
        <f aca="false">AI1025-AJ1025</f>
        <v>9.92958007258408E-005</v>
      </c>
      <c r="AN1025" s="16" t="n">
        <f aca="false">J1025*Country_Data!$EB$150</f>
        <v>0.0564077289365019</v>
      </c>
      <c r="AO1025" s="16" t="n">
        <f aca="false">L1025*Country_Data!$EB$150</f>
        <v>0.0135378549447605</v>
      </c>
    </row>
    <row r="1026" customFormat="false" ht="15" hidden="false" customHeight="false" outlineLevel="0" collapsed="false">
      <c r="A1026" s="14" t="str">
        <f aca="false">Country_Data!$A$150</f>
        <v>NAM</v>
      </c>
      <c r="B1026" s="14" t="str">
        <f aca="false">Country_Data!$E$150</f>
        <v>EMDC</v>
      </c>
      <c r="C1026" s="35" t="s">
        <v>488</v>
      </c>
      <c r="D1026" s="37" t="n">
        <f aca="false">IF(Country_Data!$CE$150="","",Country_Data!$CE$150)</f>
        <v>19.355</v>
      </c>
      <c r="E1026" s="40" t="n">
        <f aca="false">Country_Data!$BW$150</f>
        <v>35.463</v>
      </c>
      <c r="F1026" s="41" t="n">
        <f aca="false">Country_Data!$BX$150</f>
        <v>0.377012661083383</v>
      </c>
      <c r="G1026" s="42" t="n">
        <f aca="false">IF(D1026="","",D1026/SUMIFS($D$5:$D$1369,$B$5:$B$1369,B1026,$C$5:$C$1369,C1026))</f>
        <v>0.00158594112966861</v>
      </c>
      <c r="H1026" s="42" t="n">
        <f aca="false">E1026/SUMIFS($E$5:$E$1369,$B$5:$B$1369,B1026,$C$5:$C$1369,C1026)</f>
        <v>0.000439268794524692</v>
      </c>
      <c r="I1026" s="43" t="n">
        <f aca="false">IF(G1026="",H1026,p_beta_alloc*G1026+(1-p_beta_alloc)*H1026)*F1026^p_phi</f>
        <v>0.000621753185252841</v>
      </c>
      <c r="J1026" s="16" t="n">
        <f aca="false">INDEX(Sector_Params!$C$22:$E$22,MATCH(B1026,Sector_Params!$C$15:$E$15,0))*I1026/SUMIFS($I$5:$I$1369,$B$5:$B$1369,B1026,$C$5:$C$1369,C1026)</f>
        <v>0.374798035472231</v>
      </c>
      <c r="K1026" s="28" t="n">
        <f aca="false">INDEX(Sector_Params!$F$11:$H$11,MATCH(B1026,Sector_Params!$C$15:$E$15,0))</f>
        <v>0.24</v>
      </c>
      <c r="L1026" s="16" t="n">
        <f aca="false">J1026*K1026</f>
        <v>0.0899515285133354</v>
      </c>
      <c r="M1026" s="44" t="n">
        <f aca="false">Country_Data!$DW$150+Sector_Params!$E$11</f>
        <v>0.06284</v>
      </c>
      <c r="N1026" s="44" t="n">
        <f aca="false">Country_Data!$DX$150+Sector_Params!$E$11</f>
        <v>0.10784</v>
      </c>
      <c r="O1026" s="11" t="n">
        <f aca="false">IF(p_use_ibrd=1,p_r_ibrd,p_r_wb)</f>
        <v>0.06</v>
      </c>
      <c r="P1026" s="45" t="n">
        <f aca="false">Sector_Params!$D$11</f>
        <v>30</v>
      </c>
      <c r="Q1026" s="46" t="n">
        <f aca="false">M1026/(1-(1+M1026)^-P1026)</f>
        <v>0.0748701809906876</v>
      </c>
      <c r="R1026" s="46" t="n">
        <f aca="false">N1026/(1-(1+N1026)^-P1026)</f>
        <v>0.11307675278849</v>
      </c>
      <c r="S1026" s="46" t="n">
        <f aca="false">O1026/(1-(1+O1026)^-P1026)</f>
        <v>0.0726489114900472</v>
      </c>
      <c r="T1026" s="37" t="n">
        <f aca="false">0*Sector_Params!$I$11</f>
        <v>0</v>
      </c>
      <c r="U1026" s="37" t="n">
        <f aca="false">p_c*Sector_Params!$J$11</f>
        <v>0.129</v>
      </c>
      <c r="V1026" s="37" t="n">
        <f aca="false">1000*p_r_wb/(1-(1+p_r_wb)^-Sector_Params!$D$11)/p_cpt_afolu</f>
        <v>1.45297822980094</v>
      </c>
      <c r="W1026" s="16" t="n">
        <f aca="false">T1026*L1026</f>
        <v>0</v>
      </c>
      <c r="X1026" s="16" t="n">
        <f aca="false">U1026*L1026</f>
        <v>0.0116037471782203</v>
      </c>
      <c r="Y1026" s="16" t="n">
        <f aca="false">V1026*L1026</f>
        <v>0.130697612667195</v>
      </c>
      <c r="Z1026" s="16" t="n">
        <f aca="false">Q1026*L1026</f>
        <v>0.00673468722018241</v>
      </c>
      <c r="AA1026" s="16" t="n">
        <f aca="false">R1026*L1026</f>
        <v>0.0101714267526492</v>
      </c>
      <c r="AB1026" s="16" t="n">
        <f aca="false">S1026*L1026</f>
        <v>0.00653488063335976</v>
      </c>
      <c r="AC1026" s="16" t="n">
        <f aca="false">Z1026-W1026</f>
        <v>0.00673468722018241</v>
      </c>
      <c r="AD1026" s="16" t="n">
        <f aca="false">AA1026-W1026</f>
        <v>0.0101714267526492</v>
      </c>
      <c r="AE1026" s="16" t="n">
        <f aca="false">AB1026-W1026</f>
        <v>0.00653488063335976</v>
      </c>
      <c r="AF1026" s="16" t="n">
        <f aca="false">AE1026-X1026</f>
        <v>-0.0050688665448605</v>
      </c>
      <c r="AG1026" s="16" t="n">
        <f aca="false">AF1026-p_spc_lo*Y1026/1000</f>
        <v>-0.0116037471782203</v>
      </c>
      <c r="AH1026" s="16" t="n">
        <f aca="false">AF1026-p_spc_hi*Y1026/1000</f>
        <v>-0.01813862781158</v>
      </c>
      <c r="AI1026" s="16" t="n">
        <f aca="false">Q1026*J1026</f>
        <v>0.0280611967507601</v>
      </c>
      <c r="AJ1026" s="16" t="n">
        <f aca="false">S1026*J1026</f>
        <v>0.0272286693056657</v>
      </c>
      <c r="AK1026" s="16" t="n">
        <f aca="false">T1026*J1026</f>
        <v>0</v>
      </c>
      <c r="AL1026" s="16" t="n">
        <f aca="false">U1026*J1026</f>
        <v>0.0483489465759178</v>
      </c>
      <c r="AM1026" s="16" t="n">
        <f aca="false">AI1026-AJ1026</f>
        <v>0.000832527445094405</v>
      </c>
      <c r="AN1026" s="16" t="n">
        <f aca="false">J1026*Country_Data!$EB$150</f>
        <v>0.430247607843465</v>
      </c>
      <c r="AO1026" s="16" t="n">
        <f aca="false">L1026*Country_Data!$EB$150</f>
        <v>0.103259425882432</v>
      </c>
    </row>
    <row r="1027" customFormat="false" ht="15" hidden="false" customHeight="false" outlineLevel="0" collapsed="false">
      <c r="A1027" s="14" t="str">
        <f aca="false">Country_Data!$A$151</f>
        <v>GNQ</v>
      </c>
      <c r="B1027" s="14" t="str">
        <f aca="false">Country_Data!$E$151</f>
        <v>EMDC</v>
      </c>
      <c r="C1027" s="35" t="s">
        <v>466</v>
      </c>
      <c r="D1027" s="37" t="n">
        <f aca="false">IF(Country_Data!$BZ$151="","",Country_Data!$BZ$151)</f>
        <v>1.02471033179963</v>
      </c>
      <c r="E1027" s="40" t="n">
        <f aca="false">Country_Data!$BW$151</f>
        <v>33.285</v>
      </c>
      <c r="F1027" s="41" t="n">
        <f aca="false">Country_Data!$BX$151</f>
        <v>0.383626258074208</v>
      </c>
      <c r="G1027" s="42" t="n">
        <f aca="false">IF(D1027="","",D1027/SUMIFS($D$5:$D$1369,$B$5:$B$1369,B1027,$C$5:$C$1369,C1027))</f>
        <v>0.000116983119674548</v>
      </c>
      <c r="H1027" s="42" t="n">
        <f aca="false">E1027/SUMIFS($E$5:$E$1369,$B$5:$B$1369,B1027,$C$5:$C$1369,C1027)</f>
        <v>0.000412290607837869</v>
      </c>
      <c r="I1027" s="43" t="n">
        <f aca="false">IF(G1027="",H1027,p_beta_alloc*G1027+(1-p_beta_alloc)*H1027)*F1027^p_phi</f>
        <v>0.000163909642803963</v>
      </c>
      <c r="J1027" s="16" t="n">
        <f aca="false">INDEX(Sector_Params!$C$16:$E$16,MATCH(B1027,Sector_Params!$C$15:$E$15,0))*I1027/SUMIFS($I$5:$I$1369,$B$5:$B$1369,B1027,$C$5:$C$1369,C1027)</f>
        <v>0.15853756198771</v>
      </c>
      <c r="K1027" s="28" t="n">
        <f aca="false">INDEX(Sector_Params!$F$5:$H$5,MATCH(B1027,Sector_Params!$C$15:$E$15,0))</f>
        <v>0.24</v>
      </c>
      <c r="L1027" s="16" t="n">
        <f aca="false">J1027*K1027</f>
        <v>0.0380490148770503</v>
      </c>
      <c r="M1027" s="44" t="n">
        <f aca="false">Country_Data!$DW$151+Sector_Params!$E$5</f>
        <v>0.105</v>
      </c>
      <c r="N1027" s="44" t="n">
        <f aca="false">Country_Data!$DX$151+Sector_Params!$E$5</f>
        <v>0.15</v>
      </c>
      <c r="O1027" s="11" t="n">
        <f aca="false">IF(p_use_ibrd=1,p_r_ibrd,p_r_wb)</f>
        <v>0.06</v>
      </c>
      <c r="P1027" s="45" t="n">
        <f aca="false">Sector_Params!$D$5</f>
        <v>25</v>
      </c>
      <c r="Q1027" s="46" t="n">
        <f aca="false">M1027/(1-(1+M1027)^-P1027)</f>
        <v>0.114429319813103</v>
      </c>
      <c r="R1027" s="46" t="n">
        <f aca="false">N1027/(1-(1+N1027)^-P1027)</f>
        <v>0.154699402320206</v>
      </c>
      <c r="S1027" s="46" t="n">
        <f aca="false">O1027/(1-(1+O1027)^-P1027)</f>
        <v>0.078226718212274</v>
      </c>
      <c r="T1027" s="37" t="n">
        <f aca="false">IF(AND(p_eng=1,ISNUMBER(Country_Data!$CZ$151)),Country_Data!$CZ$151,Country_Data!$CM$151)*Sector_Params!$I$5</f>
        <v>0.0464189928195413</v>
      </c>
      <c r="U1027" s="37" t="n">
        <f aca="false">IF(AND(p_eng=1,ISNUMBER(Country_Data!$DA$151)),Country_Data!$DA$151,Country_Data!$CN$151)*Sector_Params!$J$5</f>
        <v>4.44212419559382E-005</v>
      </c>
      <c r="V1027" s="37" t="n">
        <f aca="false">IF(AND(p_eng=1,ISNUMBER(Country_Data!$DB$151)),Country_Data!$DB$151,p_a)</f>
        <v>0.714383295009683</v>
      </c>
      <c r="W1027" s="16" t="n">
        <f aca="false">T1027*L1027</f>
        <v>0.00176619694836842</v>
      </c>
      <c r="X1027" s="16" t="n">
        <f aca="false">U1027*L1027</f>
        <v>1.69018449603854E-006</v>
      </c>
      <c r="Y1027" s="16" t="n">
        <f aca="false">V1027*L1027</f>
        <v>0.0271815806197397</v>
      </c>
      <c r="Z1027" s="16" t="n">
        <f aca="false">Q1027*L1027</f>
        <v>0.00435392289193952</v>
      </c>
      <c r="AA1027" s="16" t="n">
        <f aca="false">R1027*L1027</f>
        <v>0.00588615986035233</v>
      </c>
      <c r="AB1027" s="16" t="n">
        <f aca="false">S1027*L1027</f>
        <v>0.00297644956504163</v>
      </c>
      <c r="AC1027" s="16" t="n">
        <f aca="false">Z1027-W1027</f>
        <v>0.0025877259435711</v>
      </c>
      <c r="AD1027" s="16" t="n">
        <f aca="false">AA1027-W1027</f>
        <v>0.00411996291198391</v>
      </c>
      <c r="AE1027" s="16" t="n">
        <f aca="false">AB1027-W1027</f>
        <v>0.00121025261667322</v>
      </c>
      <c r="AF1027" s="16" t="n">
        <f aca="false">AE1027-X1027</f>
        <v>0.00120856243217718</v>
      </c>
      <c r="AG1027" s="16" t="n">
        <f aca="false">AF1027-p_spc_lo*Y1027/1000</f>
        <v>-0.000150516598809806</v>
      </c>
      <c r="AH1027" s="16" t="n">
        <f aca="false">AF1027-p_spc_hi*Y1027/1000</f>
        <v>-0.00150959562979679</v>
      </c>
      <c r="AI1027" s="16" t="n">
        <f aca="false">Q1027*J1027</f>
        <v>0.0181413453830813</v>
      </c>
      <c r="AJ1027" s="16" t="n">
        <f aca="false">S1027*J1027</f>
        <v>0.0124018731876735</v>
      </c>
      <c r="AK1027" s="16" t="n">
        <f aca="false">T1027*J1027</f>
        <v>0.00735915395153508</v>
      </c>
      <c r="AL1027" s="16" t="n">
        <f aca="false">U1027*J1027</f>
        <v>7.0424354001606E-006</v>
      </c>
      <c r="AM1027" s="16" t="n">
        <f aca="false">AI1027-AJ1027</f>
        <v>0.00573947219540784</v>
      </c>
      <c r="AN1027" s="16" t="n">
        <f aca="false">J1027*Country_Data!$EB$151</f>
        <v>0.181992434172193</v>
      </c>
      <c r="AO1027" s="16" t="n">
        <f aca="false">L1027*Country_Data!$EB$151</f>
        <v>0.0436781842013262</v>
      </c>
    </row>
    <row r="1028" customFormat="false" ht="15" hidden="false" customHeight="false" outlineLevel="0" collapsed="false">
      <c r="A1028" s="14" t="str">
        <f aca="false">Country_Data!$A$151</f>
        <v>GNQ</v>
      </c>
      <c r="B1028" s="14" t="str">
        <f aca="false">Country_Data!$E$151</f>
        <v>EMDC</v>
      </c>
      <c r="C1028" s="35" t="s">
        <v>470</v>
      </c>
      <c r="D1028" s="37" t="n">
        <f aca="false">IF(Country_Data!$BZ$151="","",Country_Data!$BZ$151)</f>
        <v>1.02471033179963</v>
      </c>
      <c r="E1028" s="40" t="n">
        <f aca="false">Country_Data!$BW$151</f>
        <v>33.285</v>
      </c>
      <c r="F1028" s="41" t="n">
        <f aca="false">Country_Data!$BX$151</f>
        <v>0.383626258074208</v>
      </c>
      <c r="G1028" s="42" t="n">
        <f aca="false">IF(D1028="","",D1028/SUMIFS($D$5:$D$1369,$B$5:$B$1369,B1028,$C$5:$C$1369,C1028))</f>
        <v>0.000116983119674548</v>
      </c>
      <c r="H1028" s="42" t="n">
        <f aca="false">E1028/SUMIFS($E$5:$E$1369,$B$5:$B$1369,B1028,$C$5:$C$1369,C1028)</f>
        <v>0.000412290607837869</v>
      </c>
      <c r="I1028" s="43" t="n">
        <f aca="false">IF(G1028="",H1028,p_beta_alloc*G1028+(1-p_beta_alloc)*H1028)*F1028^p_phi</f>
        <v>0.000163909642803963</v>
      </c>
      <c r="J1028" s="16" t="n">
        <f aca="false">INDEX(Sector_Params!$C$17:$E$17,MATCH(B1028,Sector_Params!$C$15:$E$15,0))*I1028/SUMIFS($I$5:$I$1369,$B$5:$B$1369,B1028,$C$5:$C$1369,C1028)</f>
        <v>0.108711471077287</v>
      </c>
      <c r="K1028" s="28" t="n">
        <f aca="false">INDEX(Sector_Params!$F$6:$H$6,MATCH(B1028,Sector_Params!$C$15:$E$15,0))</f>
        <v>0.24</v>
      </c>
      <c r="L1028" s="16" t="n">
        <f aca="false">J1028*K1028</f>
        <v>0.0260907530585488</v>
      </c>
      <c r="M1028" s="44" t="n">
        <f aca="false">Country_Data!$DW$151+Sector_Params!$E$6</f>
        <v>0.105</v>
      </c>
      <c r="N1028" s="44" t="n">
        <f aca="false">Country_Data!$DX$151+Sector_Params!$E$6</f>
        <v>0.15</v>
      </c>
      <c r="O1028" s="11" t="n">
        <f aca="false">IF(p_use_ibrd=1,p_r_ibrd,p_r_wb)</f>
        <v>0.06</v>
      </c>
      <c r="P1028" s="45" t="n">
        <f aca="false">Sector_Params!$D$6</f>
        <v>40</v>
      </c>
      <c r="Q1028" s="46" t="n">
        <f aca="false">M1028/(1-(1+M1028)^-P1028)</f>
        <v>0.10697140835497</v>
      </c>
      <c r="R1028" s="46" t="n">
        <f aca="false">N1028/(1-(1+N1028)^-P1028)</f>
        <v>0.150562085013545</v>
      </c>
      <c r="S1028" s="46" t="n">
        <f aca="false">O1028/(1-(1+O1028)^-P1028)</f>
        <v>0.0664615359206755</v>
      </c>
      <c r="T1028" s="37" t="n">
        <f aca="false">p_grid_credit*IF(AND(p_eng=1,ISNUMBER(Country_Data!$CZ$151)),Country_Data!$CZ$151,Country_Data!$CM$151)*Sector_Params!$I$6</f>
        <v>0</v>
      </c>
      <c r="U1028" s="37" t="n">
        <f aca="false">p_grid_credit*IF(AND(p_eng=1,ISNUMBER(Country_Data!$DA$151)),Country_Data!$DA$151,Country_Data!$CN$151)*Sector_Params!$J$6</f>
        <v>0</v>
      </c>
      <c r="V1028" s="37" t="n">
        <f aca="false">p_grid_credit*IF(AND(p_eng=1,ISNUMBER(Country_Data!$DB$151)),Country_Data!$DB$151,p_a)</f>
        <v>0</v>
      </c>
      <c r="W1028" s="16" t="n">
        <f aca="false">T1028*L1028</f>
        <v>0</v>
      </c>
      <c r="X1028" s="16" t="n">
        <f aca="false">U1028*L1028</f>
        <v>0</v>
      </c>
      <c r="Y1028" s="16" t="n">
        <f aca="false">V1028*L1028</f>
        <v>0</v>
      </c>
      <c r="Z1028" s="16" t="n">
        <f aca="false">Q1028*L1028</f>
        <v>0.00279096459971471</v>
      </c>
      <c r="AA1028" s="16" t="n">
        <f aca="false">R1028*L1028</f>
        <v>0.00392827818006863</v>
      </c>
      <c r="AB1028" s="16" t="n">
        <f aca="false">S1028*L1028</f>
        <v>0.00173403152159821</v>
      </c>
      <c r="AC1028" s="16" t="n">
        <f aca="false">Z1028-W1028</f>
        <v>0.00279096459971471</v>
      </c>
      <c r="AD1028" s="16" t="n">
        <f aca="false">AA1028-W1028</f>
        <v>0.00392827818006863</v>
      </c>
      <c r="AE1028" s="16" t="n">
        <f aca="false">AB1028-W1028</f>
        <v>0.00173403152159821</v>
      </c>
      <c r="AF1028" s="16" t="n">
        <f aca="false">AE1028-X1028</f>
        <v>0.00173403152159821</v>
      </c>
      <c r="AG1028" s="16" t="n">
        <f aca="false">AF1028-p_spc_lo*Y1028/1000</f>
        <v>0.00173403152159821</v>
      </c>
      <c r="AH1028" s="16" t="n">
        <f aca="false">AF1028-p_spc_hi*Y1028/1000</f>
        <v>0.00173403152159821</v>
      </c>
      <c r="AI1028" s="16" t="n">
        <f aca="false">Q1028*J1028</f>
        <v>0.011629019165478</v>
      </c>
      <c r="AJ1028" s="16" t="n">
        <f aca="false">S1028*J1028</f>
        <v>0.00722513133999256</v>
      </c>
      <c r="AK1028" s="16" t="n">
        <f aca="false">T1028*J1028</f>
        <v>0</v>
      </c>
      <c r="AL1028" s="16" t="n">
        <f aca="false">U1028*J1028</f>
        <v>0</v>
      </c>
      <c r="AM1028" s="16" t="n">
        <f aca="false">AI1028-AJ1028</f>
        <v>0.00440388782548542</v>
      </c>
      <c r="AN1028" s="16" t="n">
        <f aca="false">J1028*Country_Data!$EB$151</f>
        <v>0.124794812003789</v>
      </c>
      <c r="AO1028" s="16" t="n">
        <f aca="false">L1028*Country_Data!$EB$151</f>
        <v>0.0299507548809094</v>
      </c>
    </row>
    <row r="1029" customFormat="false" ht="15" hidden="false" customHeight="false" outlineLevel="0" collapsed="false">
      <c r="A1029" s="14" t="str">
        <f aca="false">Country_Data!$A$151</f>
        <v>GNQ</v>
      </c>
      <c r="B1029" s="14" t="str">
        <f aca="false">Country_Data!$E$151</f>
        <v>EMDC</v>
      </c>
      <c r="C1029" s="35" t="s">
        <v>473</v>
      </c>
      <c r="D1029" s="37" t="n">
        <f aca="false">IF(Country_Data!$CA$151="","",Country_Data!$CA$151)</f>
        <v>0.00676368727095083</v>
      </c>
      <c r="E1029" s="40" t="n">
        <f aca="false">Country_Data!$BW$151</f>
        <v>33.285</v>
      </c>
      <c r="F1029" s="41" t="n">
        <f aca="false">Country_Data!$BX$151</f>
        <v>0.383626258074208</v>
      </c>
      <c r="G1029" s="42" t="n">
        <f aca="false">IF(D1029="","",D1029/SUMIFS($D$5:$D$1369,$B$5:$B$1369,B1029,$C$5:$C$1369,C1029))</f>
        <v>0.000156256913127604</v>
      </c>
      <c r="H1029" s="42" t="n">
        <f aca="false">E1029/SUMIFS($E$5:$E$1369,$B$5:$B$1369,B1029,$C$5:$C$1369,C1029)</f>
        <v>0.000412290607837869</v>
      </c>
      <c r="I1029" s="43" t="n">
        <f aca="false">IF(G1029="",H1029,p_beta_alloc*G1029+(1-p_beta_alloc)*H1029)*F1029^p_phi</f>
        <v>0.000176072259464916</v>
      </c>
      <c r="J1029" s="16" t="n">
        <f aca="false">INDEX(Sector_Params!$C$18:$E$18,MATCH(B1029,Sector_Params!$C$15:$E$15,0))*I1029/SUMIFS($I$5:$I$1369,$B$5:$B$1369,B1029,$C$5:$C$1369,C1029)</f>
        <v>0.0720974241674151</v>
      </c>
      <c r="K1029" s="28" t="n">
        <f aca="false">INDEX(Sector_Params!$F$7:$H$7,MATCH(B1029,Sector_Params!$C$15:$E$15,0))</f>
        <v>0.24</v>
      </c>
      <c r="L1029" s="16" t="n">
        <f aca="false">J1029*K1029</f>
        <v>0.0173033818001796</v>
      </c>
      <c r="M1029" s="44" t="n">
        <f aca="false">Country_Data!$DW$151+Sector_Params!$E$7</f>
        <v>0.105</v>
      </c>
      <c r="N1029" s="44" t="n">
        <f aca="false">Country_Data!$DX$151+Sector_Params!$E$7</f>
        <v>0.15</v>
      </c>
      <c r="O1029" s="11" t="n">
        <f aca="false">IF(p_use_ibrd=1,p_r_ibrd,p_r_wb)</f>
        <v>0.06</v>
      </c>
      <c r="P1029" s="45" t="n">
        <f aca="false">Sector_Params!$D$7</f>
        <v>12</v>
      </c>
      <c r="Q1029" s="46" t="n">
        <f aca="false">M1029/(1-(1+M1029)^-P1029)</f>
        <v>0.150376745634766</v>
      </c>
      <c r="R1029" s="46" t="n">
        <f aca="false">N1029/(1-(1+N1029)^-P1029)</f>
        <v>0.18448077613084</v>
      </c>
      <c r="S1029" s="46" t="n">
        <f aca="false">O1029/(1-(1+O1029)^-P1029)</f>
        <v>0.119277029380664</v>
      </c>
      <c r="T1029" s="37" t="n">
        <f aca="false">IF(AND(p_eng=1,ISNUMBER(Country_Data!$DE$151)),Country_Data!$DE$151,Country_Data!$CM$151)*Sector_Params!$I$7</f>
        <v>0.14839542</v>
      </c>
      <c r="U1029" s="37" t="n">
        <f aca="false">IF(AND(p_eng=1,ISNUMBER(Country_Data!$DF$151)),Country_Data!$DF$151,Country_Data!$CN$151)*Sector_Params!$J$7</f>
        <v>0.004744575</v>
      </c>
      <c r="V1029" s="37" t="n">
        <f aca="false">IF(AND(p_eng=1,ISNUMBER(Country_Data!$DG$151)),Country_Data!$DG$151,p_a)</f>
        <v>0.365632640939597</v>
      </c>
      <c r="W1029" s="16" t="n">
        <f aca="false">T1029*L1029</f>
        <v>0.00256774260965801</v>
      </c>
      <c r="X1029" s="16" t="n">
        <f aca="false">U1029*L1029</f>
        <v>8.20971927045873E-005</v>
      </c>
      <c r="Y1029" s="16" t="n">
        <f aca="false">V1029*L1029</f>
        <v>0.00632668118478584</v>
      </c>
      <c r="Z1029" s="16" t="n">
        <f aca="false">Q1029*L1029</f>
        <v>0.00260202624358685</v>
      </c>
      <c r="AA1029" s="16" t="n">
        <f aca="false">R1029*L1029</f>
        <v>0.00319214130418538</v>
      </c>
      <c r="AB1029" s="16" t="n">
        <f aca="false">S1029*L1029</f>
        <v>0.00206389597936486</v>
      </c>
      <c r="AC1029" s="16" t="n">
        <f aca="false">Z1029-W1029</f>
        <v>3.42836339288343E-005</v>
      </c>
      <c r="AD1029" s="16" t="n">
        <f aca="false">AA1029-W1029</f>
        <v>0.000624398694527369</v>
      </c>
      <c r="AE1029" s="16" t="n">
        <f aca="false">AB1029-W1029</f>
        <v>-0.000503846630293148</v>
      </c>
      <c r="AF1029" s="16" t="n">
        <f aca="false">AE1029-X1029</f>
        <v>-0.000585943822997735</v>
      </c>
      <c r="AG1029" s="16" t="n">
        <f aca="false">AF1029-p_spc_lo*Y1029/1000</f>
        <v>-0.000902277882237027</v>
      </c>
      <c r="AH1029" s="16" t="n">
        <f aca="false">AF1029-p_spc_hi*Y1029/1000</f>
        <v>-0.00121861194147632</v>
      </c>
      <c r="AI1029" s="16" t="n">
        <f aca="false">Q1029*J1029</f>
        <v>0.0108417760149452</v>
      </c>
      <c r="AJ1029" s="16" t="n">
        <f aca="false">S1029*J1029</f>
        <v>0.00859956658068694</v>
      </c>
      <c r="AK1029" s="16" t="n">
        <f aca="false">T1029*J1029</f>
        <v>0.0106989275402417</v>
      </c>
      <c r="AL1029" s="16" t="n">
        <f aca="false">U1029*J1029</f>
        <v>0.000342071636269114</v>
      </c>
      <c r="AM1029" s="16" t="n">
        <f aca="false">AI1029-AJ1029</f>
        <v>0.00224220943425826</v>
      </c>
      <c r="AN1029" s="16" t="n">
        <f aca="false">J1029*Country_Data!$EB$151</f>
        <v>0.0827638924004026</v>
      </c>
      <c r="AO1029" s="16" t="n">
        <f aca="false">L1029*Country_Data!$EB$151</f>
        <v>0.0198633341760966</v>
      </c>
    </row>
    <row r="1030" customFormat="false" ht="15" hidden="false" customHeight="false" outlineLevel="0" collapsed="false">
      <c r="A1030" s="14" t="str">
        <f aca="false">Country_Data!$A$151</f>
        <v>GNQ</v>
      </c>
      <c r="B1030" s="14" t="str">
        <f aca="false">Country_Data!$E$151</f>
        <v>EMDC</v>
      </c>
      <c r="C1030" s="35" t="s">
        <v>477</v>
      </c>
      <c r="D1030" s="37" t="n">
        <f aca="false">IF(Country_Data!$CB$151="","",Country_Data!$CB$151)</f>
        <v>0.00322456174469772</v>
      </c>
      <c r="E1030" s="40" t="n">
        <f aca="false">Country_Data!$BW$151</f>
        <v>33.285</v>
      </c>
      <c r="F1030" s="41" t="n">
        <f aca="false">Country_Data!$BX$151</f>
        <v>0.383626258074208</v>
      </c>
      <c r="G1030" s="42" t="n">
        <f aca="false">IF(D1030="","",D1030/SUMIFS($D$5:$D$1369,$B$5:$B$1369,B1030,$C$5:$C$1369,C1030))</f>
        <v>0.000101680250601852</v>
      </c>
      <c r="H1030" s="42" t="n">
        <f aca="false">E1030/SUMIFS($E$5:$E$1369,$B$5:$B$1369,B1030,$C$5:$C$1369,C1030)</f>
        <v>0.000412290607837869</v>
      </c>
      <c r="I1030" s="43" t="n">
        <f aca="false">IF(G1030="",H1030,p_beta_alloc*G1030+(1-p_beta_alloc)*H1030)*F1030^p_phi</f>
        <v>0.000159170530180009</v>
      </c>
      <c r="J1030" s="16" t="n">
        <f aca="false">INDEX(Sector_Params!$C$19:$E$19,MATCH(B1030,Sector_Params!$C$15:$E$15,0))*I1030/SUMIFS($I$5:$I$1369,$B$5:$B$1369,B1030,$C$5:$C$1369,C1030)</f>
        <v>0.0512310401340757</v>
      </c>
      <c r="K1030" s="28" t="n">
        <f aca="false">INDEX(Sector_Params!$F$8:$H$8,MATCH(B1030,Sector_Params!$C$15:$E$15,0))</f>
        <v>0.24</v>
      </c>
      <c r="L1030" s="16" t="n">
        <f aca="false">J1030*K1030</f>
        <v>0.0122954496321782</v>
      </c>
      <c r="M1030" s="44" t="n">
        <f aca="false">Country_Data!$DW$151+Sector_Params!$E$8</f>
        <v>0.105</v>
      </c>
      <c r="N1030" s="44" t="n">
        <f aca="false">Country_Data!$DX$151+Sector_Params!$E$8</f>
        <v>0.15</v>
      </c>
      <c r="O1030" s="11" t="n">
        <f aca="false">IF(p_use_ibrd=1,p_r_ibrd,p_r_wb)</f>
        <v>0.06</v>
      </c>
      <c r="P1030" s="45" t="n">
        <f aca="false">Sector_Params!$D$8</f>
        <v>25</v>
      </c>
      <c r="Q1030" s="46" t="n">
        <f aca="false">M1030/(1-(1+M1030)^-P1030)</f>
        <v>0.114429319813103</v>
      </c>
      <c r="R1030" s="46" t="n">
        <f aca="false">N1030/(1-(1+N1030)^-P1030)</f>
        <v>0.154699402320206</v>
      </c>
      <c r="S1030" s="46" t="n">
        <f aca="false">O1030/(1-(1+O1030)^-P1030)</f>
        <v>0.078226718212274</v>
      </c>
      <c r="T1030" s="37" t="n">
        <f aca="false">Country_Data!$CM$151*Sector_Params!$I$8</f>
        <v>0.0620374230638584</v>
      </c>
      <c r="U1030" s="37" t="n">
        <f aca="false">Country_Data!$CN$151*Sector_Params!$J$8</f>
        <v>0.03225</v>
      </c>
      <c r="V1030" s="37" t="n">
        <f aca="false">p_a</f>
        <v>0.35</v>
      </c>
      <c r="W1030" s="16" t="n">
        <f aca="false">T1030*L1030</f>
        <v>0.0007627780105918</v>
      </c>
      <c r="X1030" s="16" t="n">
        <f aca="false">U1030*L1030</f>
        <v>0.000396528250637746</v>
      </c>
      <c r="Y1030" s="16" t="n">
        <f aca="false">V1030*L1030</f>
        <v>0.00430340737126236</v>
      </c>
      <c r="Z1030" s="16" t="n">
        <f aca="false">Q1030*L1030</f>
        <v>0.00140695993820642</v>
      </c>
      <c r="AA1030" s="16" t="n">
        <f aca="false">R1030*L1030</f>
        <v>0.00190209870935617</v>
      </c>
      <c r="AB1030" s="16" t="n">
        <f aca="false">S1030*L1030</f>
        <v>0.00096183267366961</v>
      </c>
      <c r="AC1030" s="16" t="n">
        <f aca="false">Z1030-W1030</f>
        <v>0.00064418192761462</v>
      </c>
      <c r="AD1030" s="16" t="n">
        <f aca="false">AA1030-W1030</f>
        <v>0.00113932069876437</v>
      </c>
      <c r="AE1030" s="16" t="n">
        <f aca="false">AB1030-W1030</f>
        <v>0.00019905466307781</v>
      </c>
      <c r="AF1030" s="16" t="n">
        <f aca="false">AE1030-X1030</f>
        <v>-0.000197473587559937</v>
      </c>
      <c r="AG1030" s="16" t="n">
        <f aca="false">AF1030-p_spc_lo*Y1030/1000</f>
        <v>-0.000412643956123055</v>
      </c>
      <c r="AH1030" s="16" t="n">
        <f aca="false">AF1030-p_spc_hi*Y1030/1000</f>
        <v>-0.000627814324686173</v>
      </c>
      <c r="AI1030" s="16" t="n">
        <f aca="false">Q1030*J1030</f>
        <v>0.00586233307586009</v>
      </c>
      <c r="AJ1030" s="16" t="n">
        <f aca="false">S1030*J1030</f>
        <v>0.00400763614029004</v>
      </c>
      <c r="AK1030" s="16" t="n">
        <f aca="false">T1030*J1030</f>
        <v>0.00317824171079917</v>
      </c>
      <c r="AL1030" s="16" t="n">
        <f aca="false">U1030*J1030</f>
        <v>0.00165220104432394</v>
      </c>
      <c r="AM1030" s="16" t="n">
        <f aca="false">AI1030-AJ1030</f>
        <v>0.00185469693557004</v>
      </c>
      <c r="AN1030" s="16" t="n">
        <f aca="false">J1030*Country_Data!$EB$151</f>
        <v>0.0588104268936376</v>
      </c>
      <c r="AO1030" s="16" t="n">
        <f aca="false">L1030*Country_Data!$EB$151</f>
        <v>0.014114502454473</v>
      </c>
    </row>
    <row r="1031" customFormat="false" ht="15" hidden="false" customHeight="false" outlineLevel="0" collapsed="false">
      <c r="A1031" s="14" t="str">
        <f aca="false">Country_Data!$A$151</f>
        <v>GNQ</v>
      </c>
      <c r="B1031" s="14" t="str">
        <f aca="false">Country_Data!$E$151</f>
        <v>EMDC</v>
      </c>
      <c r="C1031" s="35" t="s">
        <v>481</v>
      </c>
      <c r="D1031" s="37" t="n">
        <f aca="false">IF(Country_Data!$CC$151="","",Country_Data!$CC$151)</f>
        <v>0.0297766981226348</v>
      </c>
      <c r="E1031" s="40" t="n">
        <f aca="false">Country_Data!$BW$151</f>
        <v>33.285</v>
      </c>
      <c r="F1031" s="41" t="n">
        <f aca="false">Country_Data!$BX$151</f>
        <v>0.383626258074208</v>
      </c>
      <c r="G1031" s="42" t="n">
        <f aca="false">IF(D1031="","",D1031/SUMIFS($D$5:$D$1369,$B$5:$B$1369,B1031,$C$5:$C$1369,C1031))</f>
        <v>0.000425337303225445</v>
      </c>
      <c r="H1031" s="42" t="n">
        <f aca="false">E1031/SUMIFS($E$5:$E$1369,$B$5:$B$1369,B1031,$C$5:$C$1369,C1031)</f>
        <v>0.000412290607837869</v>
      </c>
      <c r="I1031" s="43" t="n">
        <f aca="false">IF(G1031="",H1031,p_beta_alloc*G1031+(1-p_beta_alloc)*H1031)*F1031^p_phi</f>
        <v>0.000259403186986636</v>
      </c>
      <c r="J1031" s="16" t="n">
        <f aca="false">INDEX(Sector_Params!$C$20:$E$20,MATCH(B1031,Sector_Params!$C$15:$E$15,0))*I1031/SUMIFS($I$5:$I$1369,$B$5:$B$1369,B1031,$C$5:$C$1369,C1031)</f>
        <v>0.0473463054052474</v>
      </c>
      <c r="K1031" s="28" t="n">
        <f aca="false">INDEX(Sector_Params!$F$9:$H$9,MATCH(B1031,Sector_Params!$C$15:$E$15,0))</f>
        <v>0.24</v>
      </c>
      <c r="L1031" s="16" t="n">
        <f aca="false">J1031*K1031</f>
        <v>0.0113631132972594</v>
      </c>
      <c r="M1031" s="44" t="n">
        <f aca="false">Country_Data!$DW$151+Sector_Params!$E$9</f>
        <v>0.105</v>
      </c>
      <c r="N1031" s="44" t="n">
        <f aca="false">Country_Data!$DX$151+Sector_Params!$E$9</f>
        <v>0.15</v>
      </c>
      <c r="O1031" s="11" t="n">
        <f aca="false">IF(p_use_ibrd=1,p_r_ibrd,p_r_wb)</f>
        <v>0.06</v>
      </c>
      <c r="P1031" s="45" t="n">
        <f aca="false">Sector_Params!$D$9</f>
        <v>25</v>
      </c>
      <c r="Q1031" s="46" t="n">
        <f aca="false">M1031/(1-(1+M1031)^-P1031)</f>
        <v>0.114429319813103</v>
      </c>
      <c r="R1031" s="46" t="n">
        <f aca="false">N1031/(1-(1+N1031)^-P1031)</f>
        <v>0.154699402320206</v>
      </c>
      <c r="S1031" s="46" t="n">
        <f aca="false">O1031/(1-(1+O1031)^-P1031)</f>
        <v>0.078226718212274</v>
      </c>
      <c r="T1031" s="37" t="n">
        <f aca="false">Country_Data!$CM$151*Sector_Params!$I$9</f>
        <v>0.0620374230638584</v>
      </c>
      <c r="U1031" s="37" t="n">
        <f aca="false">Country_Data!$CN$151*Sector_Params!$J$9</f>
        <v>0.03225</v>
      </c>
      <c r="V1031" s="37" t="n">
        <f aca="false">p_a</f>
        <v>0.35</v>
      </c>
      <c r="W1031" s="16" t="n">
        <f aca="false">T1031*L1031</f>
        <v>0.000704938266944635</v>
      </c>
      <c r="X1031" s="16" t="n">
        <f aca="false">U1031*L1031</f>
        <v>0.000366460403836615</v>
      </c>
      <c r="Y1031" s="16" t="n">
        <f aca="false">V1031*L1031</f>
        <v>0.00397708965404078</v>
      </c>
      <c r="Z1031" s="16" t="n">
        <f aca="false">Q1031*L1031</f>
        <v>0.00130027332556462</v>
      </c>
      <c r="AA1031" s="16" t="n">
        <f aca="false">R1031*L1031</f>
        <v>0.00175786683558281</v>
      </c>
      <c r="AB1031" s="16" t="n">
        <f aca="false">S1031*L1031</f>
        <v>0.000888899061918852</v>
      </c>
      <c r="AC1031" s="16" t="n">
        <f aca="false">Z1031-W1031</f>
        <v>0.000595335058619984</v>
      </c>
      <c r="AD1031" s="16" t="n">
        <f aca="false">AA1031-W1031</f>
        <v>0.00105292856863818</v>
      </c>
      <c r="AE1031" s="16" t="n">
        <f aca="false">AB1031-W1031</f>
        <v>0.000183960794974217</v>
      </c>
      <c r="AF1031" s="16" t="n">
        <f aca="false">AE1031-X1031</f>
        <v>-0.000182499608862398</v>
      </c>
      <c r="AG1031" s="16" t="n">
        <f aca="false">AF1031-p_spc_lo*Y1031/1000</f>
        <v>-0.000381354091564437</v>
      </c>
      <c r="AH1031" s="16" t="n">
        <f aca="false">AF1031-p_spc_hi*Y1031/1000</f>
        <v>-0.000580208574266475</v>
      </c>
      <c r="AI1031" s="16" t="n">
        <f aca="false">Q1031*J1031</f>
        <v>0.00541780552318591</v>
      </c>
      <c r="AJ1031" s="16" t="n">
        <f aca="false">S1031*J1031</f>
        <v>0.00370374609132855</v>
      </c>
      <c r="AK1031" s="16" t="n">
        <f aca="false">T1031*J1031</f>
        <v>0.00293724277893598</v>
      </c>
      <c r="AL1031" s="16" t="n">
        <f aca="false">U1031*J1031</f>
        <v>0.00152691834931923</v>
      </c>
      <c r="AM1031" s="16" t="n">
        <f aca="false">AI1031-AJ1031</f>
        <v>0.00171405943185736</v>
      </c>
      <c r="AN1031" s="16" t="n">
        <f aca="false">J1031*Country_Data!$EB$151</f>
        <v>0.0543509642871196</v>
      </c>
      <c r="AO1031" s="16" t="n">
        <f aca="false">L1031*Country_Data!$EB$151</f>
        <v>0.0130442314289087</v>
      </c>
    </row>
    <row r="1032" customFormat="false" ht="15" hidden="false" customHeight="false" outlineLevel="0" collapsed="false">
      <c r="A1032" s="14" t="str">
        <f aca="false">Country_Data!$A$151</f>
        <v>GNQ</v>
      </c>
      <c r="B1032" s="14" t="str">
        <f aca="false">Country_Data!$E$151</f>
        <v>EMDC</v>
      </c>
      <c r="C1032" s="35" t="s">
        <v>484</v>
      </c>
      <c r="D1032" s="37" t="n">
        <f aca="false">IF(Country_Data!$CD$151="","",Country_Data!$CD$151)</f>
        <v>0.0447295598236</v>
      </c>
      <c r="E1032" s="40" t="n">
        <f aca="false">Country_Data!$BW$151</f>
        <v>33.285</v>
      </c>
      <c r="F1032" s="41" t="n">
        <f aca="false">Country_Data!$BX$151</f>
        <v>0.383626258074208</v>
      </c>
      <c r="G1032" s="42" t="n">
        <f aca="false">IF(D1032="","",D1032/SUMIFS($D$5:$D$1369,$B$5:$B$1369,B1032,$C$5:$C$1369,C1032))</f>
        <v>0.00024978620262776</v>
      </c>
      <c r="H1032" s="42" t="n">
        <f aca="false">E1032/SUMIFS($E$5:$E$1369,$B$5:$B$1369,B1032,$C$5:$C$1369,C1032)</f>
        <v>0.000412290607837869</v>
      </c>
      <c r="I1032" s="43" t="n">
        <f aca="false">IF(G1032="",H1032,p_beta_alloc*G1032+(1-p_beta_alloc)*H1032)*F1032^p_phi</f>
        <v>0.000205037144054467</v>
      </c>
      <c r="J1032" s="16" t="n">
        <f aca="false">INDEX(Sector_Params!$C$21:$E$21,MATCH(B1032,Sector_Params!$C$15:$E$15,0))*I1032/SUMIFS($I$5:$I$1369,$B$5:$B$1369,B1032,$C$5:$C$1369,C1032)</f>
        <v>0.0454751525561628</v>
      </c>
      <c r="K1032" s="28" t="n">
        <f aca="false">INDEX(Sector_Params!$F$10:$H$10,MATCH(B1032,Sector_Params!$C$15:$E$15,0))</f>
        <v>0.24</v>
      </c>
      <c r="L1032" s="16" t="n">
        <f aca="false">J1032*K1032</f>
        <v>0.0109140366134791</v>
      </c>
      <c r="M1032" s="44" t="n">
        <f aca="false">Country_Data!$DW$151+Sector_Params!$E$10</f>
        <v>0.105</v>
      </c>
      <c r="N1032" s="44" t="n">
        <f aca="false">Country_Data!$DX$151+Sector_Params!$E$10</f>
        <v>0.15</v>
      </c>
      <c r="O1032" s="11" t="n">
        <f aca="false">IF(p_use_ibrd=1,p_r_ibrd,p_r_wb)</f>
        <v>0.06</v>
      </c>
      <c r="P1032" s="45" t="n">
        <f aca="false">Sector_Params!$D$10</f>
        <v>20</v>
      </c>
      <c r="Q1032" s="46" t="n">
        <f aca="false">M1032/(1-(1+M1032)^-P1032)</f>
        <v>0.121493265267016</v>
      </c>
      <c r="R1032" s="46" t="n">
        <f aca="false">N1032/(1-(1+N1032)^-P1032)</f>
        <v>0.159761470405744</v>
      </c>
      <c r="S1032" s="46" t="n">
        <f aca="false">O1032/(1-(1+O1032)^-P1032)</f>
        <v>0.0871845569768514</v>
      </c>
      <c r="T1032" s="37" t="n">
        <f aca="false">0*Sector_Params!$I$10</f>
        <v>0</v>
      </c>
      <c r="U1032" s="37" t="n">
        <f aca="false">0*Sector_Params!$J$10</f>
        <v>0</v>
      </c>
      <c r="V1032" s="37" t="n">
        <f aca="false">1000*p_r_wb/(1-(1+p_r_wb)^-Sector_Params!$D$10)/p_cpt_fuel</f>
        <v>0.871845569768514</v>
      </c>
      <c r="W1032" s="16" t="n">
        <f aca="false">T1032*L1032</f>
        <v>0</v>
      </c>
      <c r="X1032" s="16" t="n">
        <f aca="false">U1032*L1032</f>
        <v>0</v>
      </c>
      <c r="Y1032" s="16" t="n">
        <f aca="false">V1032*L1032</f>
        <v>0.00951535446975308</v>
      </c>
      <c r="Z1032" s="16" t="n">
        <f aca="false">Q1032*L1032</f>
        <v>0.00132598194541534</v>
      </c>
      <c r="AA1032" s="16" t="n">
        <f aca="false">R1032*L1032</f>
        <v>0.00174364253743154</v>
      </c>
      <c r="AB1032" s="16" t="n">
        <f aca="false">S1032*L1032</f>
        <v>0.000951535446975308</v>
      </c>
      <c r="AC1032" s="16" t="n">
        <f aca="false">Z1032-W1032</f>
        <v>0.00132598194541534</v>
      </c>
      <c r="AD1032" s="16" t="n">
        <f aca="false">AA1032-W1032</f>
        <v>0.00174364253743154</v>
      </c>
      <c r="AE1032" s="16" t="n">
        <f aca="false">AB1032-W1032</f>
        <v>0.000951535446975308</v>
      </c>
      <c r="AF1032" s="16" t="n">
        <f aca="false">AE1032-X1032</f>
        <v>0.000951535446975308</v>
      </c>
      <c r="AG1032" s="16" t="n">
        <f aca="false">AF1032-p_spc_lo*Y1032/1000</f>
        <v>0.000475767723487654</v>
      </c>
      <c r="AH1032" s="16" t="n">
        <f aca="false">AF1032-p_spc_hi*Y1032/1000</f>
        <v>0</v>
      </c>
      <c r="AI1032" s="16" t="n">
        <f aca="false">Q1032*J1032</f>
        <v>0.00552492477256392</v>
      </c>
      <c r="AJ1032" s="16" t="n">
        <f aca="false">S1032*J1032</f>
        <v>0.00396473102906379</v>
      </c>
      <c r="AK1032" s="16" t="n">
        <f aca="false">T1032*J1032</f>
        <v>0</v>
      </c>
      <c r="AL1032" s="16" t="n">
        <f aca="false">U1032*J1032</f>
        <v>0</v>
      </c>
      <c r="AM1032" s="16" t="n">
        <f aca="false">AI1032-AJ1032</f>
        <v>0.00156019374350013</v>
      </c>
      <c r="AN1032" s="16" t="n">
        <f aca="false">J1032*Country_Data!$EB$151</f>
        <v>0.0522029833452937</v>
      </c>
      <c r="AO1032" s="16" t="n">
        <f aca="false">L1032*Country_Data!$EB$151</f>
        <v>0.0125287160028705</v>
      </c>
    </row>
    <row r="1033" customFormat="false" ht="15" hidden="false" customHeight="false" outlineLevel="0" collapsed="false">
      <c r="A1033" s="14" t="str">
        <f aca="false">Country_Data!$A$151</f>
        <v>GNQ</v>
      </c>
      <c r="B1033" s="14" t="str">
        <f aca="false">Country_Data!$E$151</f>
        <v>EMDC</v>
      </c>
      <c r="C1033" s="35" t="s">
        <v>488</v>
      </c>
      <c r="D1033" s="37" t="n">
        <f aca="false">IF(Country_Data!$CE$151="","",Country_Data!$CE$151)</f>
        <v>11.174</v>
      </c>
      <c r="E1033" s="40" t="n">
        <f aca="false">Country_Data!$BW$151</f>
        <v>33.285</v>
      </c>
      <c r="F1033" s="41" t="n">
        <f aca="false">Country_Data!$BX$151</f>
        <v>0.383626258074208</v>
      </c>
      <c r="G1033" s="42" t="n">
        <f aca="false">IF(D1033="","",D1033/SUMIFS($D$5:$D$1369,$B$5:$B$1369,B1033,$C$5:$C$1369,C1033))</f>
        <v>0.000915593189507469</v>
      </c>
      <c r="H1033" s="42" t="n">
        <f aca="false">E1033/SUMIFS($E$5:$E$1369,$B$5:$B$1369,B1033,$C$5:$C$1369,C1033)</f>
        <v>0.000412290607837869</v>
      </c>
      <c r="I1033" s="43" t="n">
        <f aca="false">IF(G1033="",H1033,p_beta_alloc*G1033+(1-p_beta_alloc)*H1033)*F1033^p_phi</f>
        <v>0.000411229478423219</v>
      </c>
      <c r="J1033" s="16" t="n">
        <f aca="false">INDEX(Sector_Params!$C$22:$E$22,MATCH(B1033,Sector_Params!$C$15:$E$15,0))*I1033/SUMIFS($I$5:$I$1369,$B$5:$B$1369,B1033,$C$5:$C$1369,C1033)</f>
        <v>0.247892579076398</v>
      </c>
      <c r="K1033" s="28" t="n">
        <f aca="false">INDEX(Sector_Params!$F$11:$H$11,MATCH(B1033,Sector_Params!$C$15:$E$15,0))</f>
        <v>0.24</v>
      </c>
      <c r="L1033" s="16" t="n">
        <f aca="false">J1033*K1033</f>
        <v>0.0594942189783356</v>
      </c>
      <c r="M1033" s="44" t="n">
        <f aca="false">Country_Data!$DW$151+Sector_Params!$E$11</f>
        <v>0.105</v>
      </c>
      <c r="N1033" s="44" t="n">
        <f aca="false">Country_Data!$DX$151+Sector_Params!$E$11</f>
        <v>0.15</v>
      </c>
      <c r="O1033" s="11" t="n">
        <f aca="false">IF(p_use_ibrd=1,p_r_ibrd,p_r_wb)</f>
        <v>0.06</v>
      </c>
      <c r="P1033" s="45" t="n">
        <f aca="false">Sector_Params!$D$11</f>
        <v>30</v>
      </c>
      <c r="Q1033" s="46" t="n">
        <f aca="false">M1033/(1-(1+M1033)^-P1033)</f>
        <v>0.110528481529605</v>
      </c>
      <c r="R1033" s="46" t="n">
        <f aca="false">N1033/(1-(1+N1033)^-P1033)</f>
        <v>0.152300198192734</v>
      </c>
      <c r="S1033" s="46" t="n">
        <f aca="false">O1033/(1-(1+O1033)^-P1033)</f>
        <v>0.0726489114900472</v>
      </c>
      <c r="T1033" s="37" t="n">
        <f aca="false">0*Sector_Params!$I$11</f>
        <v>0</v>
      </c>
      <c r="U1033" s="37" t="n">
        <f aca="false">p_c*Sector_Params!$J$11</f>
        <v>0.129</v>
      </c>
      <c r="V1033" s="37" t="n">
        <f aca="false">1000*p_r_wb/(1-(1+p_r_wb)^-Sector_Params!$D$11)/p_cpt_afolu</f>
        <v>1.45297822980094</v>
      </c>
      <c r="W1033" s="16" t="n">
        <f aca="false">T1033*L1033</f>
        <v>0</v>
      </c>
      <c r="X1033" s="16" t="n">
        <f aca="false">U1033*L1033</f>
        <v>0.0076747542482053</v>
      </c>
      <c r="Y1033" s="16" t="n">
        <f aca="false">V1033*L1033</f>
        <v>0.0864438049745318</v>
      </c>
      <c r="Z1033" s="16" t="n">
        <f aca="false">Q1033*L1033</f>
        <v>0.00657580568346525</v>
      </c>
      <c r="AA1033" s="16" t="n">
        <f aca="false">R1033*L1033</f>
        <v>0.00906098134172245</v>
      </c>
      <c r="AB1033" s="16" t="n">
        <f aca="false">S1033*L1033</f>
        <v>0.00432219024872659</v>
      </c>
      <c r="AC1033" s="16" t="n">
        <f aca="false">Z1033-W1033</f>
        <v>0.00657580568346525</v>
      </c>
      <c r="AD1033" s="16" t="n">
        <f aca="false">AA1033-W1033</f>
        <v>0.00906098134172245</v>
      </c>
      <c r="AE1033" s="16" t="n">
        <f aca="false">AB1033-W1033</f>
        <v>0.00432219024872659</v>
      </c>
      <c r="AF1033" s="16" t="n">
        <f aca="false">AE1033-X1033</f>
        <v>-0.0033525639994787</v>
      </c>
      <c r="AG1033" s="16" t="n">
        <f aca="false">AF1033-p_spc_lo*Y1033/1000</f>
        <v>-0.0076747542482053</v>
      </c>
      <c r="AH1033" s="16" t="n">
        <f aca="false">AF1033-p_spc_hi*Y1033/1000</f>
        <v>-0.0119969444969319</v>
      </c>
      <c r="AI1033" s="16" t="n">
        <f aca="false">Q1033*J1033</f>
        <v>0.0273991903477719</v>
      </c>
      <c r="AJ1033" s="16" t="n">
        <f aca="false">S1033*J1033</f>
        <v>0.0180091260363608</v>
      </c>
      <c r="AK1033" s="16" t="n">
        <f aca="false">T1033*J1033</f>
        <v>0</v>
      </c>
      <c r="AL1033" s="16" t="n">
        <f aca="false">U1033*J1033</f>
        <v>0.0319781427008554</v>
      </c>
      <c r="AM1033" s="16" t="n">
        <f aca="false">AI1033-AJ1033</f>
        <v>0.00939006431141109</v>
      </c>
      <c r="AN1033" s="16" t="n">
        <f aca="false">J1033*Country_Data!$EB$151</f>
        <v>0.284567097624688</v>
      </c>
      <c r="AO1033" s="16" t="n">
        <f aca="false">L1033*Country_Data!$EB$151</f>
        <v>0.068296103429925</v>
      </c>
    </row>
    <row r="1034" customFormat="false" ht="15" hidden="false" customHeight="false" outlineLevel="0" collapsed="false">
      <c r="A1034" s="14" t="str">
        <f aca="false">Country_Data!$A$152</f>
        <v>SOM</v>
      </c>
      <c r="B1034" s="14" t="str">
        <f aca="false">Country_Data!$E$152</f>
        <v>EMDC</v>
      </c>
      <c r="C1034" s="35" t="s">
        <v>466</v>
      </c>
      <c r="D1034" s="37" t="n">
        <f aca="false">IF(Country_Data!$BZ$152="","",Country_Data!$BZ$152)</f>
        <v>0.539954901256612</v>
      </c>
      <c r="E1034" s="40" t="n">
        <f aca="false">Country_Data!$BW$152</f>
        <v>30.511</v>
      </c>
      <c r="F1034" s="41" t="n">
        <f aca="false">Country_Data!$BX$152</f>
        <v>0.398577562190685</v>
      </c>
      <c r="G1034" s="42" t="n">
        <f aca="false">IF(D1034="","",D1034/SUMIFS($D$5:$D$1369,$B$5:$B$1369,B1034,$C$5:$C$1369,C1034))</f>
        <v>6.16424045628855E-005</v>
      </c>
      <c r="H1034" s="42" t="n">
        <f aca="false">E1034/SUMIFS($E$5:$E$1369,$B$5:$B$1369,B1034,$C$5:$C$1369,C1034)</f>
        <v>0.000377929960514984</v>
      </c>
      <c r="I1034" s="43" t="n">
        <f aca="false">IF(G1034="",H1034,p_beta_alloc*G1034+(1-p_beta_alloc)*H1034)*F1034^p_phi</f>
        <v>0.000138757609454442</v>
      </c>
      <c r="J1034" s="16" t="n">
        <f aca="false">INDEX(Sector_Params!$C$16:$E$16,MATCH(B1034,Sector_Params!$C$15:$E$15,0))*I1034/SUMIFS($I$5:$I$1369,$B$5:$B$1369,B1034,$C$5:$C$1369,C1034)</f>
        <v>0.134209877673031</v>
      </c>
      <c r="K1034" s="28" t="n">
        <f aca="false">INDEX(Sector_Params!$F$5:$H$5,MATCH(B1034,Sector_Params!$C$15:$E$15,0))</f>
        <v>0.24</v>
      </c>
      <c r="L1034" s="16" t="n">
        <f aca="false">J1034*K1034</f>
        <v>0.0322103706415273</v>
      </c>
      <c r="M1034" s="44" t="n">
        <f aca="false">Country_Data!$DW$152+Sector_Params!$E$5</f>
        <v>0.105</v>
      </c>
      <c r="N1034" s="44" t="n">
        <f aca="false">Country_Data!$DX$152+Sector_Params!$E$5</f>
        <v>0.15</v>
      </c>
      <c r="O1034" s="11" t="n">
        <f aca="false">IF(p_use_ibrd=1,p_r_ibrd,p_r_wb)</f>
        <v>0.06</v>
      </c>
      <c r="P1034" s="45" t="n">
        <f aca="false">Sector_Params!$D$5</f>
        <v>25</v>
      </c>
      <c r="Q1034" s="46" t="n">
        <f aca="false">M1034/(1-(1+M1034)^-P1034)</f>
        <v>0.114429319813103</v>
      </c>
      <c r="R1034" s="46" t="n">
        <f aca="false">N1034/(1-(1+N1034)^-P1034)</f>
        <v>0.154699402320206</v>
      </c>
      <c r="S1034" s="46" t="n">
        <f aca="false">O1034/(1-(1+O1034)^-P1034)</f>
        <v>0.078226718212274</v>
      </c>
      <c r="T1034" s="37" t="n">
        <f aca="false">IF(AND(p_eng=1,ISNUMBER(Country_Data!$CZ$152)),Country_Data!$CZ$152,Country_Data!$CM$152)*Sector_Params!$I$5</f>
        <v>0.242121305521112</v>
      </c>
      <c r="U1034" s="37" t="n">
        <f aca="false">IF(AND(p_eng=1,ISNUMBER(Country_Data!$DA$152)),Country_Data!$DA$152,Country_Data!$CN$152)*Sector_Params!$J$5</f>
        <v>3.16994322607537E-005</v>
      </c>
      <c r="V1034" s="37" t="n">
        <f aca="false">IF(AND(p_eng=1,ISNUMBER(Country_Data!$DB$152)),Country_Data!$DB$152,p_a)</f>
        <v>1.47880803266788</v>
      </c>
      <c r="W1034" s="16" t="n">
        <f aca="false">T1034*L1034</f>
        <v>0.0077988169910455</v>
      </c>
      <c r="X1034" s="16" t="n">
        <f aca="false">U1034*L1034</f>
        <v>1.02105046224487E-006</v>
      </c>
      <c r="Y1034" s="16" t="n">
        <f aca="false">V1034*L1034</f>
        <v>0.0476329548399002</v>
      </c>
      <c r="Z1034" s="16" t="n">
        <f aca="false">Q1034*L1034</f>
        <v>0.00368581080343792</v>
      </c>
      <c r="AA1034" s="16" t="n">
        <f aca="false">R1034*L1034</f>
        <v>0.0049829250867566</v>
      </c>
      <c r="AB1034" s="16" t="n">
        <f aca="false">S1034*L1034</f>
        <v>0.00251971158768766</v>
      </c>
      <c r="AC1034" s="16" t="n">
        <f aca="false">Z1034-W1034</f>
        <v>-0.00411300618760758</v>
      </c>
      <c r="AD1034" s="16" t="n">
        <f aca="false">AA1034-W1034</f>
        <v>-0.0028158919042889</v>
      </c>
      <c r="AE1034" s="16" t="n">
        <f aca="false">AB1034-W1034</f>
        <v>-0.00527910540335784</v>
      </c>
      <c r="AF1034" s="16" t="n">
        <f aca="false">AE1034-X1034</f>
        <v>-0.00528012645382009</v>
      </c>
      <c r="AG1034" s="16" t="n">
        <f aca="false">AF1034-p_spc_lo*Y1034/1000</f>
        <v>-0.00766177419581509</v>
      </c>
      <c r="AH1034" s="16" t="n">
        <f aca="false">AF1034-p_spc_hi*Y1034/1000</f>
        <v>-0.0100434219378101</v>
      </c>
      <c r="AI1034" s="16" t="n">
        <f aca="false">Q1034*J1034</f>
        <v>0.0153575450143247</v>
      </c>
      <c r="AJ1034" s="16" t="n">
        <f aca="false">S1034*J1034</f>
        <v>0.0104987982820319</v>
      </c>
      <c r="AK1034" s="16" t="n">
        <f aca="false">T1034*J1034</f>
        <v>0.0324950707960229</v>
      </c>
      <c r="AL1034" s="16" t="n">
        <f aca="false">U1034*J1034</f>
        <v>4.25437692602027E-006</v>
      </c>
      <c r="AM1034" s="16" t="n">
        <f aca="false">AI1034-AJ1034</f>
        <v>0.00485874673229277</v>
      </c>
      <c r="AN1034" s="16" t="n">
        <f aca="false">J1034*Country_Data!$EB$152</f>
        <v>0.169999178385839</v>
      </c>
      <c r="AO1034" s="16" t="n">
        <f aca="false">L1034*Country_Data!$EB$152</f>
        <v>0.0407998028126013</v>
      </c>
    </row>
    <row r="1035" customFormat="false" ht="15" hidden="false" customHeight="false" outlineLevel="0" collapsed="false">
      <c r="A1035" s="14" t="str">
        <f aca="false">Country_Data!$A$152</f>
        <v>SOM</v>
      </c>
      <c r="B1035" s="14" t="str">
        <f aca="false">Country_Data!$E$152</f>
        <v>EMDC</v>
      </c>
      <c r="C1035" s="35" t="s">
        <v>470</v>
      </c>
      <c r="D1035" s="37" t="n">
        <f aca="false">IF(Country_Data!$BZ$152="","",Country_Data!$BZ$152)</f>
        <v>0.539954901256612</v>
      </c>
      <c r="E1035" s="40" t="n">
        <f aca="false">Country_Data!$BW$152</f>
        <v>30.511</v>
      </c>
      <c r="F1035" s="41" t="n">
        <f aca="false">Country_Data!$BX$152</f>
        <v>0.398577562190685</v>
      </c>
      <c r="G1035" s="42" t="n">
        <f aca="false">IF(D1035="","",D1035/SUMIFS($D$5:$D$1369,$B$5:$B$1369,B1035,$C$5:$C$1369,C1035))</f>
        <v>6.16424045628855E-005</v>
      </c>
      <c r="H1035" s="42" t="n">
        <f aca="false">E1035/SUMIFS($E$5:$E$1369,$B$5:$B$1369,B1035,$C$5:$C$1369,C1035)</f>
        <v>0.000377929960514984</v>
      </c>
      <c r="I1035" s="43" t="n">
        <f aca="false">IF(G1035="",H1035,p_beta_alloc*G1035+(1-p_beta_alloc)*H1035)*F1035^p_phi</f>
        <v>0.000138757609454442</v>
      </c>
      <c r="J1035" s="16" t="n">
        <f aca="false">INDEX(Sector_Params!$C$17:$E$17,MATCH(B1035,Sector_Params!$C$15:$E$15,0))*I1035/SUMIFS($I$5:$I$1369,$B$5:$B$1369,B1035,$C$5:$C$1369,C1035)</f>
        <v>0.0920296304043638</v>
      </c>
      <c r="K1035" s="28" t="n">
        <f aca="false">INDEX(Sector_Params!$F$6:$H$6,MATCH(B1035,Sector_Params!$C$15:$E$15,0))</f>
        <v>0.24</v>
      </c>
      <c r="L1035" s="16" t="n">
        <f aca="false">J1035*K1035</f>
        <v>0.0220871112970473</v>
      </c>
      <c r="M1035" s="44" t="n">
        <f aca="false">Country_Data!$DW$152+Sector_Params!$E$6</f>
        <v>0.105</v>
      </c>
      <c r="N1035" s="44" t="n">
        <f aca="false">Country_Data!$DX$152+Sector_Params!$E$6</f>
        <v>0.15</v>
      </c>
      <c r="O1035" s="11" t="n">
        <f aca="false">IF(p_use_ibrd=1,p_r_ibrd,p_r_wb)</f>
        <v>0.06</v>
      </c>
      <c r="P1035" s="45" t="n">
        <f aca="false">Sector_Params!$D$6</f>
        <v>40</v>
      </c>
      <c r="Q1035" s="46" t="n">
        <f aca="false">M1035/(1-(1+M1035)^-P1035)</f>
        <v>0.10697140835497</v>
      </c>
      <c r="R1035" s="46" t="n">
        <f aca="false">N1035/(1-(1+N1035)^-P1035)</f>
        <v>0.150562085013545</v>
      </c>
      <c r="S1035" s="46" t="n">
        <f aca="false">O1035/(1-(1+O1035)^-P1035)</f>
        <v>0.0664615359206755</v>
      </c>
      <c r="T1035" s="37" t="n">
        <f aca="false">p_grid_credit*IF(AND(p_eng=1,ISNUMBER(Country_Data!$CZ$152)),Country_Data!$CZ$152,Country_Data!$CM$152)*Sector_Params!$I$6</f>
        <v>0</v>
      </c>
      <c r="U1035" s="37" t="n">
        <f aca="false">p_grid_credit*IF(AND(p_eng=1,ISNUMBER(Country_Data!$DA$152)),Country_Data!$DA$152,Country_Data!$CN$152)*Sector_Params!$J$6</f>
        <v>0</v>
      </c>
      <c r="V1035" s="37" t="n">
        <f aca="false">p_grid_credit*IF(AND(p_eng=1,ISNUMBER(Country_Data!$DB$152)),Country_Data!$DB$152,p_a)</f>
        <v>0</v>
      </c>
      <c r="W1035" s="16" t="n">
        <f aca="false">T1035*L1035</f>
        <v>0</v>
      </c>
      <c r="X1035" s="16" t="n">
        <f aca="false">U1035*L1035</f>
        <v>0</v>
      </c>
      <c r="Y1035" s="16" t="n">
        <f aca="false">V1035*L1035</f>
        <v>0</v>
      </c>
      <c r="Z1035" s="16" t="n">
        <f aca="false">Q1035*L1035</f>
        <v>0.00236268940193813</v>
      </c>
      <c r="AA1035" s="16" t="n">
        <f aca="false">R1035*L1035</f>
        <v>0.00332548152880967</v>
      </c>
      <c r="AB1035" s="16" t="n">
        <f aca="false">S1035*L1035</f>
        <v>0.00146794334085267</v>
      </c>
      <c r="AC1035" s="16" t="n">
        <f aca="false">Z1035-W1035</f>
        <v>0.00236268940193813</v>
      </c>
      <c r="AD1035" s="16" t="n">
        <f aca="false">AA1035-W1035</f>
        <v>0.00332548152880967</v>
      </c>
      <c r="AE1035" s="16" t="n">
        <f aca="false">AB1035-W1035</f>
        <v>0.00146794334085267</v>
      </c>
      <c r="AF1035" s="16" t="n">
        <f aca="false">AE1035-X1035</f>
        <v>0.00146794334085267</v>
      </c>
      <c r="AG1035" s="16" t="n">
        <f aca="false">AF1035-p_spc_lo*Y1035/1000</f>
        <v>0.00146794334085267</v>
      </c>
      <c r="AH1035" s="16" t="n">
        <f aca="false">AF1035-p_spc_hi*Y1035/1000</f>
        <v>0.00146794334085267</v>
      </c>
      <c r="AI1035" s="16" t="n">
        <f aca="false">Q1035*J1035</f>
        <v>0.00984453917474219</v>
      </c>
      <c r="AJ1035" s="16" t="n">
        <f aca="false">S1035*J1035</f>
        <v>0.00611643058688611</v>
      </c>
      <c r="AK1035" s="16" t="n">
        <f aca="false">T1035*J1035</f>
        <v>0</v>
      </c>
      <c r="AL1035" s="16" t="n">
        <f aca="false">U1035*J1035</f>
        <v>0</v>
      </c>
      <c r="AM1035" s="16" t="n">
        <f aca="false">AI1035-AJ1035</f>
        <v>0.00372810858785608</v>
      </c>
      <c r="AN1035" s="16" t="n">
        <f aca="false">J1035*Country_Data!$EB$152</f>
        <v>0.116570865178861</v>
      </c>
      <c r="AO1035" s="16" t="n">
        <f aca="false">L1035*Country_Data!$EB$152</f>
        <v>0.0279770076429266</v>
      </c>
    </row>
    <row r="1036" customFormat="false" ht="15" hidden="false" customHeight="false" outlineLevel="0" collapsed="false">
      <c r="A1036" s="14" t="str">
        <f aca="false">Country_Data!$A$152</f>
        <v>SOM</v>
      </c>
      <c r="B1036" s="14" t="str">
        <f aca="false">Country_Data!$E$152</f>
        <v>EMDC</v>
      </c>
      <c r="C1036" s="35" t="s">
        <v>473</v>
      </c>
      <c r="D1036" s="37" t="n">
        <f aca="false">IF(Country_Data!$CA$152="","",Country_Data!$CA$152)</f>
        <v>0.00752410613242251</v>
      </c>
      <c r="E1036" s="40" t="n">
        <f aca="false">Country_Data!$BW$152</f>
        <v>30.511</v>
      </c>
      <c r="F1036" s="41" t="n">
        <f aca="false">Country_Data!$BX$152</f>
        <v>0.398577562190685</v>
      </c>
      <c r="G1036" s="42" t="n">
        <f aca="false">IF(D1036="","",D1036/SUMIFS($D$5:$D$1369,$B$5:$B$1369,B1036,$C$5:$C$1369,C1036))</f>
        <v>0.000173824358105123</v>
      </c>
      <c r="H1036" s="42" t="n">
        <f aca="false">E1036/SUMIFS($E$5:$E$1369,$B$5:$B$1369,B1036,$C$5:$C$1369,C1036)</f>
        <v>0.000377929960514984</v>
      </c>
      <c r="I1036" s="43" t="n">
        <f aca="false">IF(G1036="",H1036,p_beta_alloc*G1036+(1-p_beta_alloc)*H1036)*F1036^p_phi</f>
        <v>0.000174169525521305</v>
      </c>
      <c r="J1036" s="16" t="n">
        <f aca="false">INDEX(Sector_Params!$C$18:$E$18,MATCH(B1036,Sector_Params!$C$15:$E$15,0))*I1036/SUMIFS($I$5:$I$1369,$B$5:$B$1369,B1036,$C$5:$C$1369,C1036)</f>
        <v>0.0713182996385024</v>
      </c>
      <c r="K1036" s="28" t="n">
        <f aca="false">INDEX(Sector_Params!$F$7:$H$7,MATCH(B1036,Sector_Params!$C$15:$E$15,0))</f>
        <v>0.24</v>
      </c>
      <c r="L1036" s="16" t="n">
        <f aca="false">J1036*K1036</f>
        <v>0.0171163919132406</v>
      </c>
      <c r="M1036" s="44" t="n">
        <f aca="false">Country_Data!$DW$152+Sector_Params!$E$7</f>
        <v>0.105</v>
      </c>
      <c r="N1036" s="44" t="n">
        <f aca="false">Country_Data!$DX$152+Sector_Params!$E$7</f>
        <v>0.15</v>
      </c>
      <c r="O1036" s="11" t="n">
        <f aca="false">IF(p_use_ibrd=1,p_r_ibrd,p_r_wb)</f>
        <v>0.06</v>
      </c>
      <c r="P1036" s="45" t="n">
        <f aca="false">Sector_Params!$D$7</f>
        <v>12</v>
      </c>
      <c r="Q1036" s="46" t="n">
        <f aca="false">M1036/(1-(1+M1036)^-P1036)</f>
        <v>0.150376745634766</v>
      </c>
      <c r="R1036" s="46" t="n">
        <f aca="false">N1036/(1-(1+N1036)^-P1036)</f>
        <v>0.18448077613084</v>
      </c>
      <c r="S1036" s="46" t="n">
        <f aca="false">O1036/(1-(1+O1036)^-P1036)</f>
        <v>0.119277029380664</v>
      </c>
      <c r="T1036" s="37" t="n">
        <f aca="false">IF(AND(p_eng=1,ISNUMBER(Country_Data!$DE$152)),Country_Data!$DE$152,Country_Data!$CM$152)*Sector_Params!$I$7</f>
        <v>0.03871332</v>
      </c>
      <c r="U1036" s="37" t="n">
        <f aca="false">IF(AND(p_eng=1,ISNUMBER(Country_Data!$DF$152)),Country_Data!$DF$152,Country_Data!$CN$152)*Sector_Params!$J$7</f>
        <v>2.6325E-005</v>
      </c>
      <c r="V1036" s="37" t="n">
        <f aca="false">IF(AND(p_eng=1,ISNUMBER(Country_Data!$DG$152)),Country_Data!$DG$152,p_a)</f>
        <v>0.1862595</v>
      </c>
      <c r="W1036" s="16" t="n">
        <f aca="false">T1036*L1036</f>
        <v>0.000662632357382695</v>
      </c>
      <c r="X1036" s="16" t="n">
        <f aca="false">U1036*L1036</f>
        <v>4.50589017116058E-007</v>
      </c>
      <c r="Y1036" s="16" t="n">
        <f aca="false">V1036*L1036</f>
        <v>0.00318809059956423</v>
      </c>
      <c r="Z1036" s="16" t="n">
        <f aca="false">Q1036*L1036</f>
        <v>0.00257390731292234</v>
      </c>
      <c r="AA1036" s="16" t="n">
        <f aca="false">R1036*L1036</f>
        <v>0.00315764526471425</v>
      </c>
      <c r="AB1036" s="16" t="n">
        <f aca="false">S1036*L1036</f>
        <v>0.00204159238112655</v>
      </c>
      <c r="AC1036" s="16" t="n">
        <f aca="false">Z1036-W1036</f>
        <v>0.00191127495553964</v>
      </c>
      <c r="AD1036" s="16" t="n">
        <f aca="false">AA1036-W1036</f>
        <v>0.00249501290733155</v>
      </c>
      <c r="AE1036" s="16" t="n">
        <f aca="false">AB1036-W1036</f>
        <v>0.00137896002374385</v>
      </c>
      <c r="AF1036" s="16" t="n">
        <f aca="false">AE1036-X1036</f>
        <v>0.00137850943472674</v>
      </c>
      <c r="AG1036" s="16" t="n">
        <f aca="false">AF1036-p_spc_lo*Y1036/1000</f>
        <v>0.00121910490474853</v>
      </c>
      <c r="AH1036" s="16" t="n">
        <f aca="false">AF1036-p_spc_hi*Y1036/1000</f>
        <v>0.00105970037477031</v>
      </c>
      <c r="AI1036" s="16" t="n">
        <f aca="false">Q1036*J1036</f>
        <v>0.0107246138038431</v>
      </c>
      <c r="AJ1036" s="16" t="n">
        <f aca="false">S1036*J1036</f>
        <v>0.00850663492136062</v>
      </c>
      <c r="AK1036" s="16" t="n">
        <f aca="false">T1036*J1036</f>
        <v>0.00276096815576123</v>
      </c>
      <c r="AL1036" s="16" t="n">
        <f aca="false">U1036*J1036</f>
        <v>1.87745423798358E-006</v>
      </c>
      <c r="AM1036" s="16" t="n">
        <f aca="false">AI1036-AJ1036</f>
        <v>0.00221797888248246</v>
      </c>
      <c r="AN1036" s="16" t="n">
        <f aca="false">J1036*Country_Data!$EB$152</f>
        <v>0.0903365128754364</v>
      </c>
      <c r="AO1036" s="16" t="n">
        <f aca="false">L1036*Country_Data!$EB$152</f>
        <v>0.0216807630901047</v>
      </c>
    </row>
    <row r="1037" customFormat="false" ht="15" hidden="false" customHeight="false" outlineLevel="0" collapsed="false">
      <c r="A1037" s="14" t="str">
        <f aca="false">Country_Data!$A$152</f>
        <v>SOM</v>
      </c>
      <c r="B1037" s="14" t="str">
        <f aca="false">Country_Data!$E$152</f>
        <v>EMDC</v>
      </c>
      <c r="C1037" s="35" t="s">
        <v>477</v>
      </c>
      <c r="D1037" s="37" t="n">
        <f aca="false">IF(Country_Data!$CB$152="","",Country_Data!$CB$152)</f>
        <v>0.00436553352520269</v>
      </c>
      <c r="E1037" s="40" t="n">
        <f aca="false">Country_Data!$BW$152</f>
        <v>30.511</v>
      </c>
      <c r="F1037" s="41" t="n">
        <f aca="false">Country_Data!$BX$152</f>
        <v>0.398577562190685</v>
      </c>
      <c r="G1037" s="42" t="n">
        <f aca="false">IF(D1037="","",D1037/SUMIFS($D$5:$D$1369,$B$5:$B$1369,B1037,$C$5:$C$1369,C1037))</f>
        <v>0.000137658565100607</v>
      </c>
      <c r="H1037" s="42" t="n">
        <f aca="false">E1037/SUMIFS($E$5:$E$1369,$B$5:$B$1369,B1037,$C$5:$C$1369,C1037)</f>
        <v>0.000377929960514984</v>
      </c>
      <c r="I1037" s="43" t="n">
        <f aca="false">IF(G1037="",H1037,p_beta_alloc*G1037+(1-p_beta_alloc)*H1037)*F1037^p_phi</f>
        <v>0.000162753250568621</v>
      </c>
      <c r="J1037" s="16" t="n">
        <f aca="false">INDEX(Sector_Params!$C$19:$E$19,MATCH(B1037,Sector_Params!$C$15:$E$15,0))*I1037/SUMIFS($I$5:$I$1369,$B$5:$B$1369,B1037,$C$5:$C$1369,C1037)</f>
        <v>0.0523841838209792</v>
      </c>
      <c r="K1037" s="28" t="n">
        <f aca="false">INDEX(Sector_Params!$F$8:$H$8,MATCH(B1037,Sector_Params!$C$15:$E$15,0))</f>
        <v>0.24</v>
      </c>
      <c r="L1037" s="16" t="n">
        <f aca="false">J1037*K1037</f>
        <v>0.012572204117035</v>
      </c>
      <c r="M1037" s="44" t="n">
        <f aca="false">Country_Data!$DW$152+Sector_Params!$E$8</f>
        <v>0.105</v>
      </c>
      <c r="N1037" s="44" t="n">
        <f aca="false">Country_Data!$DX$152+Sector_Params!$E$8</f>
        <v>0.15</v>
      </c>
      <c r="O1037" s="11" t="n">
        <f aca="false">IF(p_use_ibrd=1,p_r_ibrd,p_r_wb)</f>
        <v>0.06</v>
      </c>
      <c r="P1037" s="45" t="n">
        <f aca="false">Sector_Params!$D$8</f>
        <v>25</v>
      </c>
      <c r="Q1037" s="46" t="n">
        <f aca="false">M1037/(1-(1+M1037)^-P1037)</f>
        <v>0.114429319813103</v>
      </c>
      <c r="R1037" s="46" t="n">
        <f aca="false">N1037/(1-(1+N1037)^-P1037)</f>
        <v>0.154699402320206</v>
      </c>
      <c r="S1037" s="46" t="n">
        <f aca="false">O1037/(1-(1+O1037)^-P1037)</f>
        <v>0.078226718212274</v>
      </c>
      <c r="T1037" s="37" t="n">
        <f aca="false">Country_Data!$CM$152*Sector_Params!$I$8</f>
        <v>0.25298770752769</v>
      </c>
      <c r="U1037" s="37" t="n">
        <f aca="false">Country_Data!$CN$152*Sector_Params!$J$8</f>
        <v>0.03225</v>
      </c>
      <c r="V1037" s="37" t="n">
        <f aca="false">p_a</f>
        <v>0.35</v>
      </c>
      <c r="W1037" s="16" t="n">
        <f aca="false">T1037*L1037</f>
        <v>0.00318061309813888</v>
      </c>
      <c r="X1037" s="16" t="n">
        <f aca="false">U1037*L1037</f>
        <v>0.000405453582774379</v>
      </c>
      <c r="Y1037" s="16" t="n">
        <f aca="false">V1037*L1037</f>
        <v>0.00440027144096225</v>
      </c>
      <c r="Z1037" s="16" t="n">
        <f aca="false">Q1037*L1037</f>
        <v>0.00143862876566381</v>
      </c>
      <c r="AA1037" s="16" t="n">
        <f aca="false">R1037*L1037</f>
        <v>0.00194491246275296</v>
      </c>
      <c r="AB1037" s="16" t="n">
        <f aca="false">S1037*L1037</f>
        <v>0.000983482268770488</v>
      </c>
      <c r="AC1037" s="16" t="n">
        <f aca="false">Z1037-W1037</f>
        <v>-0.00174198433247506</v>
      </c>
      <c r="AD1037" s="16" t="n">
        <f aca="false">AA1037-W1037</f>
        <v>-0.00123570063538592</v>
      </c>
      <c r="AE1037" s="16" t="n">
        <f aca="false">AB1037-W1037</f>
        <v>-0.00219713082936839</v>
      </c>
      <c r="AF1037" s="16" t="n">
        <f aca="false">AE1037-X1037</f>
        <v>-0.00260258441214277</v>
      </c>
      <c r="AG1037" s="16" t="n">
        <f aca="false">AF1037-p_spc_lo*Y1037/1000</f>
        <v>-0.00282259798419088</v>
      </c>
      <c r="AH1037" s="16" t="n">
        <f aca="false">AF1037-p_spc_hi*Y1037/1000</f>
        <v>-0.00304261155623899</v>
      </c>
      <c r="AI1037" s="16" t="n">
        <f aca="false">Q1037*J1037</f>
        <v>0.00599428652359922</v>
      </c>
      <c r="AJ1037" s="16" t="n">
        <f aca="false">S1037*J1037</f>
        <v>0.0040978427865437</v>
      </c>
      <c r="AK1037" s="16" t="n">
        <f aca="false">T1037*J1037</f>
        <v>0.0132525545755787</v>
      </c>
      <c r="AL1037" s="16" t="n">
        <f aca="false">U1037*J1037</f>
        <v>0.00168938992822658</v>
      </c>
      <c r="AM1037" s="16" t="n">
        <f aca="false">AI1037-AJ1037</f>
        <v>0.00189644373705552</v>
      </c>
      <c r="AN1037" s="16" t="n">
        <f aca="false">J1037*Country_Data!$EB$152</f>
        <v>0.0663532995065737</v>
      </c>
      <c r="AO1037" s="16" t="n">
        <f aca="false">L1037*Country_Data!$EB$152</f>
        <v>0.0159247918815777</v>
      </c>
    </row>
    <row r="1038" customFormat="false" ht="15" hidden="false" customHeight="false" outlineLevel="0" collapsed="false">
      <c r="A1038" s="14" t="str">
        <f aca="false">Country_Data!$A$152</f>
        <v>SOM</v>
      </c>
      <c r="B1038" s="14" t="str">
        <f aca="false">Country_Data!$E$152</f>
        <v>EMDC</v>
      </c>
      <c r="C1038" s="35" t="s">
        <v>481</v>
      </c>
      <c r="D1038" s="37" t="n">
        <f aca="false">IF(Country_Data!$CC$152="","",Country_Data!$CC$152)</f>
        <v>0.00686262881583719</v>
      </c>
      <c r="E1038" s="40" t="n">
        <f aca="false">Country_Data!$BW$152</f>
        <v>30.511</v>
      </c>
      <c r="F1038" s="41" t="n">
        <f aca="false">Country_Data!$BX$152</f>
        <v>0.398577562190685</v>
      </c>
      <c r="G1038" s="42" t="n">
        <f aca="false">IF(D1038="","",D1038/SUMIFS($D$5:$D$1369,$B$5:$B$1369,B1038,$C$5:$C$1369,C1038))</f>
        <v>9.80273911346333E-005</v>
      </c>
      <c r="H1038" s="42" t="n">
        <f aca="false">E1038/SUMIFS($E$5:$E$1369,$B$5:$B$1369,B1038,$C$5:$C$1369,C1038)</f>
        <v>0.000377929960514984</v>
      </c>
      <c r="I1038" s="43" t="n">
        <f aca="false">IF(G1038="",H1038,p_beta_alloc*G1038+(1-p_beta_alloc)*H1038)*F1038^p_phi</f>
        <v>0.000150243076143944</v>
      </c>
      <c r="J1038" s="16" t="n">
        <f aca="false">INDEX(Sector_Params!$C$20:$E$20,MATCH(B1038,Sector_Params!$C$15:$E$15,0))*I1038/SUMIFS($I$5:$I$1369,$B$5:$B$1369,B1038,$C$5:$C$1369,C1038)</f>
        <v>0.0274223869443112</v>
      </c>
      <c r="K1038" s="28" t="n">
        <f aca="false">INDEX(Sector_Params!$F$9:$H$9,MATCH(B1038,Sector_Params!$C$15:$E$15,0))</f>
        <v>0.24</v>
      </c>
      <c r="L1038" s="16" t="n">
        <f aca="false">J1038*K1038</f>
        <v>0.00658137286663468</v>
      </c>
      <c r="M1038" s="44" t="n">
        <f aca="false">Country_Data!$DW$152+Sector_Params!$E$9</f>
        <v>0.105</v>
      </c>
      <c r="N1038" s="44" t="n">
        <f aca="false">Country_Data!$DX$152+Sector_Params!$E$9</f>
        <v>0.15</v>
      </c>
      <c r="O1038" s="11" t="n">
        <f aca="false">IF(p_use_ibrd=1,p_r_ibrd,p_r_wb)</f>
        <v>0.06</v>
      </c>
      <c r="P1038" s="45" t="n">
        <f aca="false">Sector_Params!$D$9</f>
        <v>25</v>
      </c>
      <c r="Q1038" s="46" t="n">
        <f aca="false">M1038/(1-(1+M1038)^-P1038)</f>
        <v>0.114429319813103</v>
      </c>
      <c r="R1038" s="46" t="n">
        <f aca="false">N1038/(1-(1+N1038)^-P1038)</f>
        <v>0.154699402320206</v>
      </c>
      <c r="S1038" s="46" t="n">
        <f aca="false">O1038/(1-(1+O1038)^-P1038)</f>
        <v>0.078226718212274</v>
      </c>
      <c r="T1038" s="37" t="n">
        <f aca="false">Country_Data!$CM$152*Sector_Params!$I$9</f>
        <v>0.25298770752769</v>
      </c>
      <c r="U1038" s="37" t="n">
        <f aca="false">Country_Data!$CN$152*Sector_Params!$J$9</f>
        <v>0.03225</v>
      </c>
      <c r="V1038" s="37" t="n">
        <f aca="false">p_a</f>
        <v>0.35</v>
      </c>
      <c r="W1038" s="16" t="n">
        <f aca="false">T1038*L1038</f>
        <v>0.00166500643391485</v>
      </c>
      <c r="X1038" s="16" t="n">
        <f aca="false">U1038*L1038</f>
        <v>0.000212249274948968</v>
      </c>
      <c r="Y1038" s="16" t="n">
        <f aca="false">V1038*L1038</f>
        <v>0.00230348050332214</v>
      </c>
      <c r="Z1038" s="16" t="n">
        <f aca="false">Q1038*L1038</f>
        <v>0.00075310202056542</v>
      </c>
      <c r="AA1038" s="16" t="n">
        <f aca="false">R1038*L1038</f>
        <v>0.00101813444891481</v>
      </c>
      <c r="AB1038" s="16" t="n">
        <f aca="false">S1038*L1038</f>
        <v>0.000514839200688136</v>
      </c>
      <c r="AC1038" s="16" t="n">
        <f aca="false">Z1038-W1038</f>
        <v>-0.000911904413349431</v>
      </c>
      <c r="AD1038" s="16" t="n">
        <f aca="false">AA1038-W1038</f>
        <v>-0.000646871985000043</v>
      </c>
      <c r="AE1038" s="16" t="n">
        <f aca="false">AB1038-W1038</f>
        <v>-0.00115016723322671</v>
      </c>
      <c r="AF1038" s="16" t="n">
        <f aca="false">AE1038-X1038</f>
        <v>-0.00136241650817568</v>
      </c>
      <c r="AG1038" s="16" t="n">
        <f aca="false">AF1038-p_spc_lo*Y1038/1000</f>
        <v>-0.00147759053334179</v>
      </c>
      <c r="AH1038" s="16" t="n">
        <f aca="false">AF1038-p_spc_hi*Y1038/1000</f>
        <v>-0.0015927645585079</v>
      </c>
      <c r="AI1038" s="16" t="n">
        <f aca="false">Q1038*J1038</f>
        <v>0.00313792508568925</v>
      </c>
      <c r="AJ1038" s="16" t="n">
        <f aca="false">S1038*J1038</f>
        <v>0.00214516333620057</v>
      </c>
      <c r="AK1038" s="16" t="n">
        <f aca="false">T1038*J1038</f>
        <v>0.00693752680797855</v>
      </c>
      <c r="AL1038" s="16" t="n">
        <f aca="false">U1038*J1038</f>
        <v>0.000884371978954035</v>
      </c>
      <c r="AM1038" s="16" t="n">
        <f aca="false">AI1038-AJ1038</f>
        <v>0.000992761749488681</v>
      </c>
      <c r="AN1038" s="16" t="n">
        <f aca="false">J1038*Country_Data!$EB$152</f>
        <v>0.0347350234627941</v>
      </c>
      <c r="AO1038" s="16" t="n">
        <f aca="false">L1038*Country_Data!$EB$152</f>
        <v>0.00833640563107059</v>
      </c>
    </row>
    <row r="1039" customFormat="false" ht="15" hidden="false" customHeight="false" outlineLevel="0" collapsed="false">
      <c r="A1039" s="14" t="str">
        <f aca="false">Country_Data!$A$152</f>
        <v>SOM</v>
      </c>
      <c r="B1039" s="14" t="str">
        <f aca="false">Country_Data!$E$152</f>
        <v>EMDC</v>
      </c>
      <c r="C1039" s="35" t="s">
        <v>484</v>
      </c>
      <c r="D1039" s="37" t="n">
        <f aca="false">IF(Country_Data!$CD$152="","",Country_Data!$CD$152)</f>
        <v>0.0168084308289386</v>
      </c>
      <c r="E1039" s="40" t="n">
        <f aca="false">Country_Data!$BW$152</f>
        <v>30.511</v>
      </c>
      <c r="F1039" s="41" t="n">
        <f aca="false">Country_Data!$BX$152</f>
        <v>0.398577562190685</v>
      </c>
      <c r="G1039" s="42" t="n">
        <f aca="false">IF(D1039="","",D1039/SUMIFS($D$5:$D$1369,$B$5:$B$1369,B1039,$C$5:$C$1369,C1039))</f>
        <v>9.38644181934635E-005</v>
      </c>
      <c r="H1039" s="42" t="n">
        <f aca="false">E1039/SUMIFS($E$5:$E$1369,$B$5:$B$1369,B1039,$C$5:$C$1369,C1039)</f>
        <v>0.000377929960514984</v>
      </c>
      <c r="I1039" s="43" t="n">
        <f aca="false">IF(G1039="",H1039,p_beta_alloc*G1039+(1-p_beta_alloc)*H1039)*F1039^p_phi</f>
        <v>0.00014892897130153</v>
      </c>
      <c r="J1039" s="16" t="n">
        <f aca="false">INDEX(Sector_Params!$C$21:$E$21,MATCH(B1039,Sector_Params!$C$15:$E$15,0))*I1039/SUMIFS($I$5:$I$1369,$B$5:$B$1369,B1039,$C$5:$C$1369,C1039)</f>
        <v>0.0330309306696663</v>
      </c>
      <c r="K1039" s="28" t="n">
        <f aca="false">INDEX(Sector_Params!$F$10:$H$10,MATCH(B1039,Sector_Params!$C$15:$E$15,0))</f>
        <v>0.24</v>
      </c>
      <c r="L1039" s="16" t="n">
        <f aca="false">J1039*K1039</f>
        <v>0.00792742336071992</v>
      </c>
      <c r="M1039" s="44" t="n">
        <f aca="false">Country_Data!$DW$152+Sector_Params!$E$10</f>
        <v>0.105</v>
      </c>
      <c r="N1039" s="44" t="n">
        <f aca="false">Country_Data!$DX$152+Sector_Params!$E$10</f>
        <v>0.15</v>
      </c>
      <c r="O1039" s="11" t="n">
        <f aca="false">IF(p_use_ibrd=1,p_r_ibrd,p_r_wb)</f>
        <v>0.06</v>
      </c>
      <c r="P1039" s="45" t="n">
        <f aca="false">Sector_Params!$D$10</f>
        <v>20</v>
      </c>
      <c r="Q1039" s="46" t="n">
        <f aca="false">M1039/(1-(1+M1039)^-P1039)</f>
        <v>0.121493265267016</v>
      </c>
      <c r="R1039" s="46" t="n">
        <f aca="false">N1039/(1-(1+N1039)^-P1039)</f>
        <v>0.159761470405744</v>
      </c>
      <c r="S1039" s="46" t="n">
        <f aca="false">O1039/(1-(1+O1039)^-P1039)</f>
        <v>0.0871845569768514</v>
      </c>
      <c r="T1039" s="37" t="n">
        <f aca="false">0*Sector_Params!$I$10</f>
        <v>0</v>
      </c>
      <c r="U1039" s="37" t="n">
        <f aca="false">0*Sector_Params!$J$10</f>
        <v>0</v>
      </c>
      <c r="V1039" s="37" t="n">
        <f aca="false">1000*p_r_wb/(1-(1+p_r_wb)^-Sector_Params!$D$10)/p_cpt_fuel</f>
        <v>0.871845569768514</v>
      </c>
      <c r="W1039" s="16" t="n">
        <f aca="false">T1039*L1039</f>
        <v>0</v>
      </c>
      <c r="X1039" s="16" t="n">
        <f aca="false">U1039*L1039</f>
        <v>0</v>
      </c>
      <c r="Y1039" s="16" t="n">
        <f aca="false">V1039*L1039</f>
        <v>0.00691148893672308</v>
      </c>
      <c r="Z1039" s="16" t="n">
        <f aca="false">Q1039*L1039</f>
        <v>0.000963128549247886</v>
      </c>
      <c r="AA1039" s="16" t="n">
        <f aca="false">R1039*L1039</f>
        <v>0.00126649681263746</v>
      </c>
      <c r="AB1039" s="16" t="n">
        <f aca="false">S1039*L1039</f>
        <v>0.000691148893672308</v>
      </c>
      <c r="AC1039" s="16" t="n">
        <f aca="false">Z1039-W1039</f>
        <v>0.000963128549247886</v>
      </c>
      <c r="AD1039" s="16" t="n">
        <f aca="false">AA1039-W1039</f>
        <v>0.00126649681263746</v>
      </c>
      <c r="AE1039" s="16" t="n">
        <f aca="false">AB1039-W1039</f>
        <v>0.000691148893672308</v>
      </c>
      <c r="AF1039" s="16" t="n">
        <f aca="false">AE1039-X1039</f>
        <v>0.000691148893672308</v>
      </c>
      <c r="AG1039" s="16" t="n">
        <f aca="false">AF1039-p_spc_lo*Y1039/1000</f>
        <v>0.000345574446836154</v>
      </c>
      <c r="AH1039" s="16" t="n">
        <f aca="false">AF1039-p_spc_hi*Y1039/1000</f>
        <v>0</v>
      </c>
      <c r="AI1039" s="16" t="n">
        <f aca="false">Q1039*J1039</f>
        <v>0.00401303562186619</v>
      </c>
      <c r="AJ1039" s="16" t="n">
        <f aca="false">S1039*J1039</f>
        <v>0.00287978705696795</v>
      </c>
      <c r="AK1039" s="16" t="n">
        <f aca="false">T1039*J1039</f>
        <v>0</v>
      </c>
      <c r="AL1039" s="16" t="n">
        <f aca="false">U1039*J1039</f>
        <v>0</v>
      </c>
      <c r="AM1039" s="16" t="n">
        <f aca="false">AI1039-AJ1039</f>
        <v>0.00113324856489824</v>
      </c>
      <c r="AN1039" s="16" t="n">
        <f aca="false">J1039*Country_Data!$EB$152</f>
        <v>0.041839178848244</v>
      </c>
      <c r="AO1039" s="16" t="n">
        <f aca="false">L1039*Country_Data!$EB$152</f>
        <v>0.0100414029235786</v>
      </c>
    </row>
    <row r="1040" customFormat="false" ht="15" hidden="false" customHeight="false" outlineLevel="0" collapsed="false">
      <c r="A1040" s="14" t="str">
        <f aca="false">Country_Data!$A$152</f>
        <v>SOM</v>
      </c>
      <c r="B1040" s="14" t="str">
        <f aca="false">Country_Data!$E$152</f>
        <v>EMDC</v>
      </c>
      <c r="C1040" s="35" t="s">
        <v>488</v>
      </c>
      <c r="D1040" s="37" t="n">
        <f aca="false">IF(Country_Data!$CE$152="","",Country_Data!$CE$152)</f>
        <v>51.021</v>
      </c>
      <c r="E1040" s="40" t="n">
        <f aca="false">Country_Data!$BW$152</f>
        <v>30.511</v>
      </c>
      <c r="F1040" s="41" t="n">
        <f aca="false">Country_Data!$BX$152</f>
        <v>0.398577562190685</v>
      </c>
      <c r="G1040" s="42" t="n">
        <f aca="false">IF(D1040="","",D1040/SUMIFS($D$5:$D$1369,$B$5:$B$1369,B1040,$C$5:$C$1369,C1040))</f>
        <v>0.00418064078412928</v>
      </c>
      <c r="H1040" s="42" t="n">
        <f aca="false">E1040/SUMIFS($E$5:$E$1369,$B$5:$B$1369,B1040,$C$5:$C$1369,C1040)</f>
        <v>0.000377929960514984</v>
      </c>
      <c r="I1040" s="43" t="n">
        <f aca="false">IF(G1040="",H1040,p_beta_alloc*G1040+(1-p_beta_alloc)*H1040)*F1040^p_phi</f>
        <v>0.00143898122199684</v>
      </c>
      <c r="J1040" s="16" t="n">
        <f aca="false">INDEX(Sector_Params!$C$22:$E$22,MATCH(B1040,Sector_Params!$C$15:$E$15,0))*I1040/SUMIFS($I$5:$I$1369,$B$5:$B$1369,B1040,$C$5:$C$1369,C1040)</f>
        <v>0.867429951109176</v>
      </c>
      <c r="K1040" s="28" t="n">
        <f aca="false">INDEX(Sector_Params!$F$11:$H$11,MATCH(B1040,Sector_Params!$C$15:$E$15,0))</f>
        <v>0.24</v>
      </c>
      <c r="L1040" s="16" t="n">
        <f aca="false">J1040*K1040</f>
        <v>0.208183188266202</v>
      </c>
      <c r="M1040" s="44" t="n">
        <f aca="false">Country_Data!$DW$152+Sector_Params!$E$11</f>
        <v>0.105</v>
      </c>
      <c r="N1040" s="44" t="n">
        <f aca="false">Country_Data!$DX$152+Sector_Params!$E$11</f>
        <v>0.15</v>
      </c>
      <c r="O1040" s="11" t="n">
        <f aca="false">IF(p_use_ibrd=1,p_r_ibrd,p_r_wb)</f>
        <v>0.06</v>
      </c>
      <c r="P1040" s="45" t="n">
        <f aca="false">Sector_Params!$D$11</f>
        <v>30</v>
      </c>
      <c r="Q1040" s="46" t="n">
        <f aca="false">M1040/(1-(1+M1040)^-P1040)</f>
        <v>0.110528481529605</v>
      </c>
      <c r="R1040" s="46" t="n">
        <f aca="false">N1040/(1-(1+N1040)^-P1040)</f>
        <v>0.152300198192734</v>
      </c>
      <c r="S1040" s="46" t="n">
        <f aca="false">O1040/(1-(1+O1040)^-P1040)</f>
        <v>0.0726489114900472</v>
      </c>
      <c r="T1040" s="37" t="n">
        <f aca="false">0*Sector_Params!$I$11</f>
        <v>0</v>
      </c>
      <c r="U1040" s="37" t="n">
        <f aca="false">p_c*Sector_Params!$J$11</f>
        <v>0.129</v>
      </c>
      <c r="V1040" s="37" t="n">
        <f aca="false">1000*p_r_wb/(1-(1+p_r_wb)^-Sector_Params!$D$11)/p_cpt_afolu</f>
        <v>1.45297822980094</v>
      </c>
      <c r="W1040" s="16" t="n">
        <f aca="false">T1040*L1040</f>
        <v>0</v>
      </c>
      <c r="X1040" s="16" t="n">
        <f aca="false">U1040*L1040</f>
        <v>0.0268556312863401</v>
      </c>
      <c r="Y1040" s="16" t="n">
        <f aca="false">V1040*L1040</f>
        <v>0.302485640361343</v>
      </c>
      <c r="Z1040" s="16" t="n">
        <f aca="false">Q1040*L1040</f>
        <v>0.0230101716790552</v>
      </c>
      <c r="AA1040" s="16" t="n">
        <f aca="false">R1040*L1040</f>
        <v>0.0317063408333379</v>
      </c>
      <c r="AB1040" s="16" t="n">
        <f aca="false">S1040*L1040</f>
        <v>0.0151242820180672</v>
      </c>
      <c r="AC1040" s="16" t="n">
        <f aca="false">Z1040-W1040</f>
        <v>0.0230101716790552</v>
      </c>
      <c r="AD1040" s="16" t="n">
        <f aca="false">AA1040-W1040</f>
        <v>0.0317063408333379</v>
      </c>
      <c r="AE1040" s="16" t="n">
        <f aca="false">AB1040-W1040</f>
        <v>0.0151242820180672</v>
      </c>
      <c r="AF1040" s="16" t="n">
        <f aca="false">AE1040-X1040</f>
        <v>-0.0117313492682729</v>
      </c>
      <c r="AG1040" s="16" t="n">
        <f aca="false">AF1040-p_spc_lo*Y1040/1000</f>
        <v>-0.0268556312863401</v>
      </c>
      <c r="AH1040" s="16" t="n">
        <f aca="false">AF1040-p_spc_hi*Y1040/1000</f>
        <v>-0.0419799133044072</v>
      </c>
      <c r="AI1040" s="16" t="n">
        <f aca="false">Q1040*J1040</f>
        <v>0.0958757153293968</v>
      </c>
      <c r="AJ1040" s="16" t="n">
        <f aca="false">S1040*J1040</f>
        <v>0.0630178417419465</v>
      </c>
      <c r="AK1040" s="16" t="n">
        <f aca="false">T1040*J1040</f>
        <v>0</v>
      </c>
      <c r="AL1040" s="16" t="n">
        <f aca="false">U1040*J1040</f>
        <v>0.111898463693084</v>
      </c>
      <c r="AM1040" s="16" t="n">
        <f aca="false">AI1040-AJ1040</f>
        <v>0.0328578735874503</v>
      </c>
      <c r="AN1040" s="16" t="n">
        <f aca="false">J1040*Country_Data!$EB$152</f>
        <v>1.09874460473829</v>
      </c>
      <c r="AO1040" s="16" t="n">
        <f aca="false">L1040*Country_Data!$EB$152</f>
        <v>0.263698705137189</v>
      </c>
    </row>
    <row r="1041" customFormat="false" ht="15" hidden="false" customHeight="false" outlineLevel="0" collapsed="false">
      <c r="A1041" s="14" t="str">
        <f aca="false">Country_Data!$A$153</f>
        <v>MWI</v>
      </c>
      <c r="B1041" s="14" t="str">
        <f aca="false">Country_Data!$E$153</f>
        <v>EMDC</v>
      </c>
      <c r="C1041" s="35" t="s">
        <v>466</v>
      </c>
      <c r="D1041" s="37" t="n">
        <f aca="false">IF(Country_Data!$BZ$153="","",Country_Data!$BZ$153)</f>
        <v>2.13986858847065</v>
      </c>
      <c r="E1041" s="40" t="n">
        <f aca="false">Country_Data!$BW$153</f>
        <v>40.286</v>
      </c>
      <c r="F1041" s="41" t="n">
        <f aca="false">Country_Data!$BX$153</f>
        <v>0.292657498882987</v>
      </c>
      <c r="G1041" s="42" t="n">
        <f aca="false">IF(D1041="","",D1041/SUMIFS($D$5:$D$1369,$B$5:$B$1369,B1041,$C$5:$C$1369,C1041))</f>
        <v>0.00024429196759755</v>
      </c>
      <c r="H1041" s="42" t="n">
        <f aca="false">E1041/SUMIFS($E$5:$E$1369,$B$5:$B$1369,B1041,$C$5:$C$1369,C1041)</f>
        <v>0.000499009746953775</v>
      </c>
      <c r="I1041" s="43" t="n">
        <f aca="false">IF(G1041="",H1041,p_beta_alloc*G1041+(1-p_beta_alloc)*H1041)*F1041^p_phi</f>
        <v>0.000201055041341011</v>
      </c>
      <c r="J1041" s="16" t="n">
        <f aca="false">INDEX(Sector_Params!$C$16:$E$16,MATCH(B1041,Sector_Params!$C$15:$E$15,0))*I1041/SUMIFS($I$5:$I$1369,$B$5:$B$1369,B1041,$C$5:$C$1369,C1041)</f>
        <v>0.194465533169787</v>
      </c>
      <c r="K1041" s="28" t="n">
        <f aca="false">INDEX(Sector_Params!$F$5:$H$5,MATCH(B1041,Sector_Params!$C$15:$E$15,0))</f>
        <v>0.24</v>
      </c>
      <c r="L1041" s="16" t="n">
        <f aca="false">J1041*K1041</f>
        <v>0.0466717279607489</v>
      </c>
      <c r="M1041" s="44" t="n">
        <f aca="false">Country_Data!$DW$153+Sector_Params!$E$5</f>
        <v>0.105</v>
      </c>
      <c r="N1041" s="44" t="n">
        <f aca="false">Country_Data!$DX$153+Sector_Params!$E$5</f>
        <v>0.15</v>
      </c>
      <c r="O1041" s="11" t="n">
        <f aca="false">IF(p_use_ibrd=1,p_r_ibrd,p_r_wb)</f>
        <v>0.06</v>
      </c>
      <c r="P1041" s="45" t="n">
        <f aca="false">Sector_Params!$D$5</f>
        <v>25</v>
      </c>
      <c r="Q1041" s="46" t="n">
        <f aca="false">M1041/(1-(1+M1041)^-P1041)</f>
        <v>0.114429319813103</v>
      </c>
      <c r="R1041" s="46" t="n">
        <f aca="false">N1041/(1-(1+N1041)^-P1041)</f>
        <v>0.154699402320206</v>
      </c>
      <c r="S1041" s="46" t="n">
        <f aca="false">O1041/(1-(1+O1041)^-P1041)</f>
        <v>0.078226718212274</v>
      </c>
      <c r="T1041" s="37" t="n">
        <f aca="false">IF(AND(p_eng=1,ISNUMBER(Country_Data!$CZ$153)),Country_Data!$CZ$153,Country_Data!$CM$153)*Sector_Params!$I$5</f>
        <v>-0.000164669843866103</v>
      </c>
      <c r="U1041" s="37" t="n">
        <f aca="false">IF(AND(p_eng=1,ISNUMBER(Country_Data!$DA$153)),Country_Data!$DA$153,Country_Data!$CN$153)*Sector_Params!$J$5</f>
        <v>5.06823765194415E-005</v>
      </c>
      <c r="V1041" s="37" t="n">
        <f aca="false">IF(AND(p_eng=1,ISNUMBER(Country_Data!$DB$153)),Country_Data!$DB$153,p_a)</f>
        <v>0.0817598783731516</v>
      </c>
      <c r="W1041" s="16" t="n">
        <f aca="false">T1041*L1041</f>
        <v>-7.68542615625776E-006</v>
      </c>
      <c r="X1041" s="16" t="n">
        <f aca="false">U1041*L1041</f>
        <v>2.36543408931963E-006</v>
      </c>
      <c r="Y1041" s="16" t="n">
        <f aca="false">V1041*L1041</f>
        <v>0.00381587480153565</v>
      </c>
      <c r="Z1041" s="16" t="n">
        <f aca="false">Q1041*L1041</f>
        <v>0.0053406140850507</v>
      </c>
      <c r="AA1041" s="16" t="n">
        <f aca="false">R1041*L1041</f>
        <v>0.00722008842077913</v>
      </c>
      <c r="AB1041" s="16" t="n">
        <f aca="false">S1041*L1041</f>
        <v>0.00365097611166541</v>
      </c>
      <c r="AC1041" s="16" t="n">
        <f aca="false">Z1041-W1041</f>
        <v>0.00534829951120695</v>
      </c>
      <c r="AD1041" s="16" t="n">
        <f aca="false">AA1041-W1041</f>
        <v>0.00722777384693539</v>
      </c>
      <c r="AE1041" s="16" t="n">
        <f aca="false">AB1041-W1041</f>
        <v>0.00365866153782167</v>
      </c>
      <c r="AF1041" s="16" t="n">
        <f aca="false">AE1041-X1041</f>
        <v>0.00365629610373235</v>
      </c>
      <c r="AG1041" s="16" t="n">
        <f aca="false">AF1041-p_spc_lo*Y1041/1000</f>
        <v>0.00346550236365557</v>
      </c>
      <c r="AH1041" s="16" t="n">
        <f aca="false">AF1041-p_spc_hi*Y1041/1000</f>
        <v>0.00327470862357879</v>
      </c>
      <c r="AI1041" s="16" t="n">
        <f aca="false">Q1041*J1041</f>
        <v>0.0222525586877112</v>
      </c>
      <c r="AJ1041" s="16" t="n">
        <f aca="false">S1041*J1041</f>
        <v>0.0152124004652726</v>
      </c>
      <c r="AK1041" s="16" t="n">
        <f aca="false">T1041*J1041</f>
        <v>-3.20226089844073E-005</v>
      </c>
      <c r="AL1041" s="16" t="n">
        <f aca="false">U1041*J1041</f>
        <v>9.85597537216511E-006</v>
      </c>
      <c r="AM1041" s="16" t="n">
        <f aca="false">AI1041-AJ1041</f>
        <v>0.00704015822243868</v>
      </c>
      <c r="AN1041" s="16" t="n">
        <f aca="false">J1041*Country_Data!$EB$153</f>
        <v>0.237278100162206</v>
      </c>
      <c r="AO1041" s="16" t="n">
        <f aca="false">L1041*Country_Data!$EB$153</f>
        <v>0.0569467440389293</v>
      </c>
    </row>
    <row r="1042" customFormat="false" ht="15" hidden="false" customHeight="false" outlineLevel="0" collapsed="false">
      <c r="A1042" s="14" t="str">
        <f aca="false">Country_Data!$A$153</f>
        <v>MWI</v>
      </c>
      <c r="B1042" s="14" t="str">
        <f aca="false">Country_Data!$E$153</f>
        <v>EMDC</v>
      </c>
      <c r="C1042" s="35" t="s">
        <v>470</v>
      </c>
      <c r="D1042" s="37" t="n">
        <f aca="false">IF(Country_Data!$BZ$153="","",Country_Data!$BZ$153)</f>
        <v>2.13986858847065</v>
      </c>
      <c r="E1042" s="40" t="n">
        <f aca="false">Country_Data!$BW$153</f>
        <v>40.286</v>
      </c>
      <c r="F1042" s="41" t="n">
        <f aca="false">Country_Data!$BX$153</f>
        <v>0.292657498882987</v>
      </c>
      <c r="G1042" s="42" t="n">
        <f aca="false">IF(D1042="","",D1042/SUMIFS($D$5:$D$1369,$B$5:$B$1369,B1042,$C$5:$C$1369,C1042))</f>
        <v>0.00024429196759755</v>
      </c>
      <c r="H1042" s="42" t="n">
        <f aca="false">E1042/SUMIFS($E$5:$E$1369,$B$5:$B$1369,B1042,$C$5:$C$1369,C1042)</f>
        <v>0.000499009746953775</v>
      </c>
      <c r="I1042" s="43" t="n">
        <f aca="false">IF(G1042="",H1042,p_beta_alloc*G1042+(1-p_beta_alloc)*H1042)*F1042^p_phi</f>
        <v>0.000201055041341011</v>
      </c>
      <c r="J1042" s="16" t="n">
        <f aca="false">INDEX(Sector_Params!$C$17:$E$17,MATCH(B1042,Sector_Params!$C$15:$E$15,0))*I1042/SUMIFS($I$5:$I$1369,$B$5:$B$1369,B1042,$C$5:$C$1369,C1042)</f>
        <v>0.133347794173568</v>
      </c>
      <c r="K1042" s="28" t="n">
        <f aca="false">INDEX(Sector_Params!$F$6:$H$6,MATCH(B1042,Sector_Params!$C$15:$E$15,0))</f>
        <v>0.24</v>
      </c>
      <c r="L1042" s="16" t="n">
        <f aca="false">J1042*K1042</f>
        <v>0.0320034706016564</v>
      </c>
      <c r="M1042" s="44" t="n">
        <f aca="false">Country_Data!$DW$153+Sector_Params!$E$6</f>
        <v>0.105</v>
      </c>
      <c r="N1042" s="44" t="n">
        <f aca="false">Country_Data!$DX$153+Sector_Params!$E$6</f>
        <v>0.15</v>
      </c>
      <c r="O1042" s="11" t="n">
        <f aca="false">IF(p_use_ibrd=1,p_r_ibrd,p_r_wb)</f>
        <v>0.06</v>
      </c>
      <c r="P1042" s="45" t="n">
        <f aca="false">Sector_Params!$D$6</f>
        <v>40</v>
      </c>
      <c r="Q1042" s="46" t="n">
        <f aca="false">M1042/(1-(1+M1042)^-P1042)</f>
        <v>0.10697140835497</v>
      </c>
      <c r="R1042" s="46" t="n">
        <f aca="false">N1042/(1-(1+N1042)^-P1042)</f>
        <v>0.150562085013545</v>
      </c>
      <c r="S1042" s="46" t="n">
        <f aca="false">O1042/(1-(1+O1042)^-P1042)</f>
        <v>0.0664615359206755</v>
      </c>
      <c r="T1042" s="37" t="n">
        <f aca="false">p_grid_credit*IF(AND(p_eng=1,ISNUMBER(Country_Data!$CZ$153)),Country_Data!$CZ$153,Country_Data!$CM$153)*Sector_Params!$I$6</f>
        <v>-0</v>
      </c>
      <c r="U1042" s="37" t="n">
        <f aca="false">p_grid_credit*IF(AND(p_eng=1,ISNUMBER(Country_Data!$DA$153)),Country_Data!$DA$153,Country_Data!$CN$153)*Sector_Params!$J$6</f>
        <v>0</v>
      </c>
      <c r="V1042" s="37" t="n">
        <f aca="false">p_grid_credit*IF(AND(p_eng=1,ISNUMBER(Country_Data!$DB$153)),Country_Data!$DB$153,p_a)</f>
        <v>0</v>
      </c>
      <c r="W1042" s="16" t="n">
        <f aca="false">T1042*L1042</f>
        <v>-0</v>
      </c>
      <c r="X1042" s="16" t="n">
        <f aca="false">U1042*L1042</f>
        <v>0</v>
      </c>
      <c r="Y1042" s="16" t="n">
        <f aca="false">V1042*L1042</f>
        <v>0</v>
      </c>
      <c r="Z1042" s="16" t="n">
        <f aca="false">Q1042*L1042</f>
        <v>0.00342345632250608</v>
      </c>
      <c r="AA1042" s="16" t="n">
        <f aca="false">R1042*L1042</f>
        <v>0.00481850926145508</v>
      </c>
      <c r="AB1042" s="16" t="n">
        <f aca="false">S1042*L1042</f>
        <v>0.00212699981097827</v>
      </c>
      <c r="AC1042" s="16" t="n">
        <f aca="false">Z1042-W1042</f>
        <v>0.00342345632250608</v>
      </c>
      <c r="AD1042" s="16" t="n">
        <f aca="false">AA1042-W1042</f>
        <v>0.00481850926145508</v>
      </c>
      <c r="AE1042" s="16" t="n">
        <f aca="false">AB1042-W1042</f>
        <v>0.00212699981097827</v>
      </c>
      <c r="AF1042" s="16" t="n">
        <f aca="false">AE1042-X1042</f>
        <v>0.00212699981097827</v>
      </c>
      <c r="AG1042" s="16" t="n">
        <f aca="false">AF1042-p_spc_lo*Y1042/1000</f>
        <v>0.00212699981097827</v>
      </c>
      <c r="AH1042" s="16" t="n">
        <f aca="false">AF1042-p_spc_hi*Y1042/1000</f>
        <v>0.00212699981097827</v>
      </c>
      <c r="AI1042" s="16" t="n">
        <f aca="false">Q1042*J1042</f>
        <v>0.0142644013437753</v>
      </c>
      <c r="AJ1042" s="16" t="n">
        <f aca="false">S1042*J1042</f>
        <v>0.00886249921240946</v>
      </c>
      <c r="AK1042" s="16" t="n">
        <f aca="false">T1042*J1042</f>
        <v>-0</v>
      </c>
      <c r="AL1042" s="16" t="n">
        <f aca="false">U1042*J1042</f>
        <v>0</v>
      </c>
      <c r="AM1042" s="16" t="n">
        <f aca="false">AI1042-AJ1042</f>
        <v>0.00540190213136586</v>
      </c>
      <c r="AN1042" s="16" t="n">
        <f aca="false">J1042*Country_Data!$EB$153</f>
        <v>0.16270498296837</v>
      </c>
      <c r="AO1042" s="16" t="n">
        <f aca="false">L1042*Country_Data!$EB$153</f>
        <v>0.0390491959124087</v>
      </c>
    </row>
    <row r="1043" customFormat="false" ht="15" hidden="false" customHeight="false" outlineLevel="0" collapsed="false">
      <c r="A1043" s="14" t="str">
        <f aca="false">Country_Data!$A$153</f>
        <v>MWI</v>
      </c>
      <c r="B1043" s="14" t="str">
        <f aca="false">Country_Data!$E$153</f>
        <v>EMDC</v>
      </c>
      <c r="C1043" s="35" t="s">
        <v>473</v>
      </c>
      <c r="D1043" s="37" t="n">
        <f aca="false">IF(Country_Data!$CA$153="","",Country_Data!$CA$153)</f>
        <v>0.0203065163798791</v>
      </c>
      <c r="E1043" s="40" t="n">
        <f aca="false">Country_Data!$BW$153</f>
        <v>40.286</v>
      </c>
      <c r="F1043" s="41" t="n">
        <f aca="false">Country_Data!$BX$153</f>
        <v>0.292657498882987</v>
      </c>
      <c r="G1043" s="42" t="n">
        <f aca="false">IF(D1043="","",D1043/SUMIFS($D$5:$D$1369,$B$5:$B$1369,B1043,$C$5:$C$1369,C1043))</f>
        <v>0.000469127775839493</v>
      </c>
      <c r="H1043" s="42" t="n">
        <f aca="false">E1043/SUMIFS($E$5:$E$1369,$B$5:$B$1369,B1043,$C$5:$C$1369,C1043)</f>
        <v>0.000499009746953775</v>
      </c>
      <c r="I1043" s="43" t="n">
        <f aca="false">IF(G1043="",H1043,p_beta_alloc*G1043+(1-p_beta_alloc)*H1043)*F1043^p_phi</f>
        <v>0.00026187068569656</v>
      </c>
      <c r="J1043" s="16" t="n">
        <f aca="false">INDEX(Sector_Params!$C$18:$E$18,MATCH(B1043,Sector_Params!$C$15:$E$15,0))*I1043/SUMIFS($I$5:$I$1369,$B$5:$B$1369,B1043,$C$5:$C$1369,C1043)</f>
        <v>0.107229849614322</v>
      </c>
      <c r="K1043" s="28" t="n">
        <f aca="false">INDEX(Sector_Params!$F$7:$H$7,MATCH(B1043,Sector_Params!$C$15:$E$15,0))</f>
        <v>0.24</v>
      </c>
      <c r="L1043" s="16" t="n">
        <f aca="false">J1043*K1043</f>
        <v>0.0257351639074372</v>
      </c>
      <c r="M1043" s="44" t="n">
        <f aca="false">Country_Data!$DW$153+Sector_Params!$E$7</f>
        <v>0.105</v>
      </c>
      <c r="N1043" s="44" t="n">
        <f aca="false">Country_Data!$DX$153+Sector_Params!$E$7</f>
        <v>0.15</v>
      </c>
      <c r="O1043" s="11" t="n">
        <f aca="false">IF(p_use_ibrd=1,p_r_ibrd,p_r_wb)</f>
        <v>0.06</v>
      </c>
      <c r="P1043" s="45" t="n">
        <f aca="false">Sector_Params!$D$7</f>
        <v>12</v>
      </c>
      <c r="Q1043" s="46" t="n">
        <f aca="false">M1043/(1-(1+M1043)^-P1043)</f>
        <v>0.150376745634766</v>
      </c>
      <c r="R1043" s="46" t="n">
        <f aca="false">N1043/(1-(1+N1043)^-P1043)</f>
        <v>0.18448077613084</v>
      </c>
      <c r="S1043" s="46" t="n">
        <f aca="false">O1043/(1-(1+O1043)^-P1043)</f>
        <v>0.119277029380664</v>
      </c>
      <c r="T1043" s="37" t="n">
        <f aca="false">IF(AND(p_eng=1,ISNUMBER(Country_Data!$DE$153)),Country_Data!$DE$153,Country_Data!$CM$153)*Sector_Params!$I$7</f>
        <v>0.12664368</v>
      </c>
      <c r="U1043" s="37" t="n">
        <f aca="false">IF(AND(p_eng=1,ISNUMBER(Country_Data!$DF$153)),Country_Data!$DF$153,Country_Data!$CN$153)*Sector_Params!$J$7</f>
        <v>2.475E-005</v>
      </c>
      <c r="V1043" s="37" t="n">
        <f aca="false">IF(AND(p_eng=1,ISNUMBER(Country_Data!$DG$153)),Country_Data!$DG$153,p_a)</f>
        <v>0.514078450819672</v>
      </c>
      <c r="W1043" s="16" t="n">
        <f aca="false">T1043*L1043</f>
        <v>0.00325919586264103</v>
      </c>
      <c r="X1043" s="16" t="n">
        <f aca="false">U1043*L1043</f>
        <v>6.36945306709072E-007</v>
      </c>
      <c r="Y1043" s="16" t="n">
        <f aca="false">V1043*L1043</f>
        <v>0.0132298931931257</v>
      </c>
      <c r="Z1043" s="16" t="n">
        <f aca="false">Q1043*L1043</f>
        <v>0.00386997019677769</v>
      </c>
      <c r="AA1043" s="16" t="n">
        <f aca="false">R1043*L1043</f>
        <v>0.00474764301149839</v>
      </c>
      <c r="AB1043" s="16" t="n">
        <f aca="false">S1043*L1043</f>
        <v>0.00306961390150358</v>
      </c>
      <c r="AC1043" s="16" t="n">
        <f aca="false">Z1043-W1043</f>
        <v>0.000610774334136662</v>
      </c>
      <c r="AD1043" s="16" t="n">
        <f aca="false">AA1043-W1043</f>
        <v>0.00148844714885736</v>
      </c>
      <c r="AE1043" s="16" t="n">
        <f aca="false">AB1043-W1043</f>
        <v>-0.000189581961137448</v>
      </c>
      <c r="AF1043" s="16" t="n">
        <f aca="false">AE1043-X1043</f>
        <v>-0.000190218906444157</v>
      </c>
      <c r="AG1043" s="16" t="n">
        <f aca="false">AF1043-p_spc_lo*Y1043/1000</f>
        <v>-0.000851713566100441</v>
      </c>
      <c r="AH1043" s="16" t="n">
        <f aca="false">AF1043-p_spc_hi*Y1043/1000</f>
        <v>-0.00151320822575672</v>
      </c>
      <c r="AI1043" s="16" t="n">
        <f aca="false">Q1043*J1043</f>
        <v>0.0161248758199071</v>
      </c>
      <c r="AJ1043" s="16" t="n">
        <f aca="false">S1043*J1043</f>
        <v>0.0127900579229316</v>
      </c>
      <c r="AK1043" s="16" t="n">
        <f aca="false">T1043*J1043</f>
        <v>0.0135799827610043</v>
      </c>
      <c r="AL1043" s="16" t="n">
        <f aca="false">U1043*J1043</f>
        <v>2.65393877795447E-006</v>
      </c>
      <c r="AM1043" s="16" t="n">
        <f aca="false">AI1043-AJ1043</f>
        <v>0.00333481789697546</v>
      </c>
      <c r="AN1043" s="16" t="n">
        <f aca="false">J1043*Country_Data!$EB$153</f>
        <v>0.130837041312359</v>
      </c>
      <c r="AO1043" s="16" t="n">
        <f aca="false">L1043*Country_Data!$EB$153</f>
        <v>0.0314008899149661</v>
      </c>
    </row>
    <row r="1044" customFormat="false" ht="15" hidden="false" customHeight="false" outlineLevel="0" collapsed="false">
      <c r="A1044" s="14" t="str">
        <f aca="false">Country_Data!$A$153</f>
        <v>MWI</v>
      </c>
      <c r="B1044" s="14" t="str">
        <f aca="false">Country_Data!$E$153</f>
        <v>EMDC</v>
      </c>
      <c r="C1044" s="35" t="s">
        <v>477</v>
      </c>
      <c r="D1044" s="37" t="n">
        <f aca="false">IF(Country_Data!$CB$153="","",Country_Data!$CB$153)</f>
        <v>0.00319855627610295</v>
      </c>
      <c r="E1044" s="40" t="n">
        <f aca="false">Country_Data!$BW$153</f>
        <v>40.286</v>
      </c>
      <c r="F1044" s="41" t="n">
        <f aca="false">Country_Data!$BX$153</f>
        <v>0.292657498882987</v>
      </c>
      <c r="G1044" s="42" t="n">
        <f aca="false">IF(D1044="","",D1044/SUMIFS($D$5:$D$1369,$B$5:$B$1369,B1044,$C$5:$C$1369,C1044))</f>
        <v>0.000100860218990399</v>
      </c>
      <c r="H1044" s="42" t="n">
        <f aca="false">E1044/SUMIFS($E$5:$E$1369,$B$5:$B$1369,B1044,$C$5:$C$1369,C1044)</f>
        <v>0.000499009746953775</v>
      </c>
      <c r="I1044" s="43" t="n">
        <f aca="false">IF(G1044="",H1044,p_beta_alloc*G1044+(1-p_beta_alloc)*H1044)*F1044^p_phi</f>
        <v>0.000162258311047941</v>
      </c>
      <c r="J1044" s="16" t="n">
        <f aca="false">INDEX(Sector_Params!$C$19:$E$19,MATCH(B1044,Sector_Params!$C$15:$E$15,0))*I1044/SUMIFS($I$5:$I$1369,$B$5:$B$1369,B1044,$C$5:$C$1369,C1044)</f>
        <v>0.0522248813017302</v>
      </c>
      <c r="K1044" s="28" t="n">
        <f aca="false">INDEX(Sector_Params!$F$8:$H$8,MATCH(B1044,Sector_Params!$C$15:$E$15,0))</f>
        <v>0.24</v>
      </c>
      <c r="L1044" s="16" t="n">
        <f aca="false">J1044*K1044</f>
        <v>0.0125339715124152</v>
      </c>
      <c r="M1044" s="44" t="n">
        <f aca="false">Country_Data!$DW$153+Sector_Params!$E$8</f>
        <v>0.105</v>
      </c>
      <c r="N1044" s="44" t="n">
        <f aca="false">Country_Data!$DX$153+Sector_Params!$E$8</f>
        <v>0.15</v>
      </c>
      <c r="O1044" s="11" t="n">
        <f aca="false">IF(p_use_ibrd=1,p_r_ibrd,p_r_wb)</f>
        <v>0.06</v>
      </c>
      <c r="P1044" s="45" t="n">
        <f aca="false">Sector_Params!$D$8</f>
        <v>25</v>
      </c>
      <c r="Q1044" s="46" t="n">
        <f aca="false">M1044/(1-(1+M1044)^-P1044)</f>
        <v>0.114429319813103</v>
      </c>
      <c r="R1044" s="46" t="n">
        <f aca="false">N1044/(1-(1+N1044)^-P1044)</f>
        <v>0.154699402320206</v>
      </c>
      <c r="S1044" s="46" t="n">
        <f aca="false">O1044/(1-(1+O1044)^-P1044)</f>
        <v>0.078226718212274</v>
      </c>
      <c r="T1044" s="37" t="n">
        <f aca="false">Country_Data!$CM$153*Sector_Params!$I$8</f>
        <v>0.0670119644594688</v>
      </c>
      <c r="U1044" s="37" t="n">
        <f aca="false">Country_Data!$CN$153*Sector_Params!$J$8</f>
        <v>0.03225</v>
      </c>
      <c r="V1044" s="37" t="n">
        <f aca="false">p_a</f>
        <v>0.35</v>
      </c>
      <c r="W1044" s="16" t="n">
        <f aca="false">T1044*L1044</f>
        <v>0.000839926053525964</v>
      </c>
      <c r="X1044" s="16" t="n">
        <f aca="false">U1044*L1044</f>
        <v>0.000404220581275391</v>
      </c>
      <c r="Y1044" s="16" t="n">
        <f aca="false">V1044*L1044</f>
        <v>0.00438689002934533</v>
      </c>
      <c r="Z1044" s="16" t="n">
        <f aca="false">Q1044*L1044</f>
        <v>0.00143425383472249</v>
      </c>
      <c r="AA1044" s="16" t="n">
        <f aca="false">R1044*L1044</f>
        <v>0.00193899790166913</v>
      </c>
      <c r="AB1044" s="16" t="n">
        <f aca="false">S1044*L1044</f>
        <v>0.000980491457582376</v>
      </c>
      <c r="AC1044" s="16" t="n">
        <f aca="false">Z1044-W1044</f>
        <v>0.000594327781196526</v>
      </c>
      <c r="AD1044" s="16" t="n">
        <f aca="false">AA1044-W1044</f>
        <v>0.00109907184814317</v>
      </c>
      <c r="AE1044" s="16" t="n">
        <f aca="false">AB1044-W1044</f>
        <v>0.000140565404056412</v>
      </c>
      <c r="AF1044" s="16" t="n">
        <f aca="false">AE1044-X1044</f>
        <v>-0.000263655177218979</v>
      </c>
      <c r="AG1044" s="16" t="n">
        <f aca="false">AF1044-p_spc_lo*Y1044/1000</f>
        <v>-0.000482999678686246</v>
      </c>
      <c r="AH1044" s="16" t="n">
        <f aca="false">AF1044-p_spc_hi*Y1044/1000</f>
        <v>-0.000702344180153512</v>
      </c>
      <c r="AI1044" s="16" t="n">
        <f aca="false">Q1044*J1044</f>
        <v>0.00597605764467704</v>
      </c>
      <c r="AJ1044" s="16" t="n">
        <f aca="false">S1044*J1044</f>
        <v>0.0040853810732599</v>
      </c>
      <c r="AK1044" s="16" t="n">
        <f aca="false">T1044*J1044</f>
        <v>0.00349969188969152</v>
      </c>
      <c r="AL1044" s="16" t="n">
        <f aca="false">U1044*J1044</f>
        <v>0.0016842524219808</v>
      </c>
      <c r="AM1044" s="16" t="n">
        <f aca="false">AI1044-AJ1044</f>
        <v>0.00189067657141714</v>
      </c>
      <c r="AN1044" s="16" t="n">
        <f aca="false">J1044*Country_Data!$EB$153</f>
        <v>0.0637224520689328</v>
      </c>
      <c r="AO1044" s="16" t="n">
        <f aca="false">L1044*Country_Data!$EB$153</f>
        <v>0.0152933884965439</v>
      </c>
    </row>
    <row r="1045" customFormat="false" ht="15" hidden="false" customHeight="false" outlineLevel="0" collapsed="false">
      <c r="A1045" s="14" t="str">
        <f aca="false">Country_Data!$A$153</f>
        <v>MWI</v>
      </c>
      <c r="B1045" s="14" t="str">
        <f aca="false">Country_Data!$E$153</f>
        <v>EMDC</v>
      </c>
      <c r="C1045" s="35" t="s">
        <v>481</v>
      </c>
      <c r="D1045" s="37" t="n">
        <f aca="false">IF(Country_Data!$CC$153="","",Country_Data!$CC$153)</f>
        <v>0.00694693074061856</v>
      </c>
      <c r="E1045" s="40" t="n">
        <f aca="false">Country_Data!$BW$153</f>
        <v>40.286</v>
      </c>
      <c r="F1045" s="41" t="n">
        <f aca="false">Country_Data!$BX$153</f>
        <v>0.292657498882987</v>
      </c>
      <c r="G1045" s="42" t="n">
        <f aca="false">IF(D1045="","",D1045/SUMIFS($D$5:$D$1369,$B$5:$B$1369,B1045,$C$5:$C$1369,C1045))</f>
        <v>9.92315794968064E-005</v>
      </c>
      <c r="H1045" s="42" t="n">
        <f aca="false">E1045/SUMIFS($E$5:$E$1369,$B$5:$B$1369,B1045,$C$5:$C$1369,C1045)</f>
        <v>0.000499009746953775</v>
      </c>
      <c r="I1045" s="43" t="n">
        <f aca="false">IF(G1045="",H1045,p_beta_alloc*G1045+(1-p_beta_alloc)*H1045)*F1045^p_phi</f>
        <v>0.000161817781752362</v>
      </c>
      <c r="J1045" s="16" t="n">
        <f aca="false">INDEX(Sector_Params!$C$20:$E$20,MATCH(B1045,Sector_Params!$C$15:$E$15,0))*I1045/SUMIFS($I$5:$I$1369,$B$5:$B$1369,B1045,$C$5:$C$1369,C1045)</f>
        <v>0.029535003805646</v>
      </c>
      <c r="K1045" s="28" t="n">
        <f aca="false">INDEX(Sector_Params!$F$9:$H$9,MATCH(B1045,Sector_Params!$C$15:$E$15,0))</f>
        <v>0.24</v>
      </c>
      <c r="L1045" s="16" t="n">
        <f aca="false">J1045*K1045</f>
        <v>0.00708840091335505</v>
      </c>
      <c r="M1045" s="44" t="n">
        <f aca="false">Country_Data!$DW$153+Sector_Params!$E$9</f>
        <v>0.105</v>
      </c>
      <c r="N1045" s="44" t="n">
        <f aca="false">Country_Data!$DX$153+Sector_Params!$E$9</f>
        <v>0.15</v>
      </c>
      <c r="O1045" s="11" t="n">
        <f aca="false">IF(p_use_ibrd=1,p_r_ibrd,p_r_wb)</f>
        <v>0.06</v>
      </c>
      <c r="P1045" s="45" t="n">
        <f aca="false">Sector_Params!$D$9</f>
        <v>25</v>
      </c>
      <c r="Q1045" s="46" t="n">
        <f aca="false">M1045/(1-(1+M1045)^-P1045)</f>
        <v>0.114429319813103</v>
      </c>
      <c r="R1045" s="46" t="n">
        <f aca="false">N1045/(1-(1+N1045)^-P1045)</f>
        <v>0.154699402320206</v>
      </c>
      <c r="S1045" s="46" t="n">
        <f aca="false">O1045/(1-(1+O1045)^-P1045)</f>
        <v>0.078226718212274</v>
      </c>
      <c r="T1045" s="37" t="n">
        <f aca="false">Country_Data!$CM$153*Sector_Params!$I$9</f>
        <v>0.0670119644594688</v>
      </c>
      <c r="U1045" s="37" t="n">
        <f aca="false">Country_Data!$CN$153*Sector_Params!$J$9</f>
        <v>0.03225</v>
      </c>
      <c r="V1045" s="37" t="n">
        <f aca="false">p_a</f>
        <v>0.35</v>
      </c>
      <c r="W1045" s="16" t="n">
        <f aca="false">T1045*L1045</f>
        <v>0.000475007670080214</v>
      </c>
      <c r="X1045" s="16" t="n">
        <f aca="false">U1045*L1045</f>
        <v>0.0002286009294557</v>
      </c>
      <c r="Y1045" s="16" t="n">
        <f aca="false">V1045*L1045</f>
        <v>0.00248094031967427</v>
      </c>
      <c r="Z1045" s="16" t="n">
        <f aca="false">Q1045*L1045</f>
        <v>0.000811120895077799</v>
      </c>
      <c r="AA1045" s="16" t="n">
        <f aca="false">R1045*L1045</f>
        <v>0.00109657138470203</v>
      </c>
      <c r="AB1045" s="16" t="n">
        <f aca="false">S1045*L1045</f>
        <v>0.000554502340824651</v>
      </c>
      <c r="AC1045" s="16" t="n">
        <f aca="false">Z1045-W1045</f>
        <v>0.000336113224997584</v>
      </c>
      <c r="AD1045" s="16" t="n">
        <f aca="false">AA1045-W1045</f>
        <v>0.000621563714621817</v>
      </c>
      <c r="AE1045" s="16" t="n">
        <f aca="false">AB1045-W1045</f>
        <v>7.94946707444363E-005</v>
      </c>
      <c r="AF1045" s="16" t="n">
        <f aca="false">AE1045-X1045</f>
        <v>-0.000149106258711264</v>
      </c>
      <c r="AG1045" s="16" t="n">
        <f aca="false">AF1045-p_spc_lo*Y1045/1000</f>
        <v>-0.000273153274694977</v>
      </c>
      <c r="AH1045" s="16" t="n">
        <f aca="false">AF1045-p_spc_hi*Y1045/1000</f>
        <v>-0.000397200290678691</v>
      </c>
      <c r="AI1045" s="16" t="n">
        <f aca="false">Q1045*J1045</f>
        <v>0.00337967039615749</v>
      </c>
      <c r="AJ1045" s="16" t="n">
        <f aca="false">S1045*J1045</f>
        <v>0.00231042642010271</v>
      </c>
      <c r="AK1045" s="16" t="n">
        <f aca="false">T1045*J1045</f>
        <v>0.00197919862533423</v>
      </c>
      <c r="AL1045" s="16" t="n">
        <f aca="false">U1045*J1045</f>
        <v>0.000952503872732085</v>
      </c>
      <c r="AM1045" s="16" t="n">
        <f aca="false">AI1045-AJ1045</f>
        <v>0.00106924397605478</v>
      </c>
      <c r="AN1045" s="16" t="n">
        <f aca="false">J1045*Country_Data!$EB$153</f>
        <v>0.0360372837132456</v>
      </c>
      <c r="AO1045" s="16" t="n">
        <f aca="false">L1045*Country_Data!$EB$153</f>
        <v>0.00864894809117895</v>
      </c>
    </row>
    <row r="1046" customFormat="false" ht="15" hidden="false" customHeight="false" outlineLevel="0" collapsed="false">
      <c r="A1046" s="14" t="str">
        <f aca="false">Country_Data!$A$153</f>
        <v>MWI</v>
      </c>
      <c r="B1046" s="14" t="str">
        <f aca="false">Country_Data!$E$153</f>
        <v>EMDC</v>
      </c>
      <c r="C1046" s="35" t="s">
        <v>484</v>
      </c>
      <c r="D1046" s="37" t="n">
        <f aca="false">IF(Country_Data!$CD$153="","",Country_Data!$CD$153)</f>
        <v>0.0227484764781063</v>
      </c>
      <c r="E1046" s="40" t="n">
        <f aca="false">Country_Data!$BW$153</f>
        <v>40.286</v>
      </c>
      <c r="F1046" s="41" t="n">
        <f aca="false">Country_Data!$BX$153</f>
        <v>0.292657498882987</v>
      </c>
      <c r="G1046" s="42" t="n">
        <f aca="false">IF(D1046="","",D1046/SUMIFS($D$5:$D$1369,$B$5:$B$1369,B1046,$C$5:$C$1369,C1046))</f>
        <v>0.000127035803111906</v>
      </c>
      <c r="H1046" s="42" t="n">
        <f aca="false">E1046/SUMIFS($E$5:$E$1369,$B$5:$B$1369,B1046,$C$5:$C$1369,C1046)</f>
        <v>0.000499009746953775</v>
      </c>
      <c r="I1046" s="43" t="n">
        <f aca="false">IF(G1046="",H1046,p_beta_alloc*G1046+(1-p_beta_alloc)*H1046)*F1046^p_phi</f>
        <v>0.000169338522279327</v>
      </c>
      <c r="J1046" s="16" t="n">
        <f aca="false">INDEX(Sector_Params!$C$21:$E$21,MATCH(B1046,Sector_Params!$C$15:$E$15,0))*I1046/SUMIFS($I$5:$I$1369,$B$5:$B$1369,B1046,$C$5:$C$1369,C1046)</f>
        <v>0.0375575614350243</v>
      </c>
      <c r="K1046" s="28" t="n">
        <f aca="false">INDEX(Sector_Params!$F$10:$H$10,MATCH(B1046,Sector_Params!$C$15:$E$15,0))</f>
        <v>0.24</v>
      </c>
      <c r="L1046" s="16" t="n">
        <f aca="false">J1046*K1046</f>
        <v>0.00901381474440582</v>
      </c>
      <c r="M1046" s="44" t="n">
        <f aca="false">Country_Data!$DW$153+Sector_Params!$E$10</f>
        <v>0.105</v>
      </c>
      <c r="N1046" s="44" t="n">
        <f aca="false">Country_Data!$DX$153+Sector_Params!$E$10</f>
        <v>0.15</v>
      </c>
      <c r="O1046" s="11" t="n">
        <f aca="false">IF(p_use_ibrd=1,p_r_ibrd,p_r_wb)</f>
        <v>0.06</v>
      </c>
      <c r="P1046" s="45" t="n">
        <f aca="false">Sector_Params!$D$10</f>
        <v>20</v>
      </c>
      <c r="Q1046" s="46" t="n">
        <f aca="false">M1046/(1-(1+M1046)^-P1046)</f>
        <v>0.121493265267016</v>
      </c>
      <c r="R1046" s="46" t="n">
        <f aca="false">N1046/(1-(1+N1046)^-P1046)</f>
        <v>0.159761470405744</v>
      </c>
      <c r="S1046" s="46" t="n">
        <f aca="false">O1046/(1-(1+O1046)^-P1046)</f>
        <v>0.0871845569768514</v>
      </c>
      <c r="T1046" s="37" t="n">
        <f aca="false">0*Sector_Params!$I$10</f>
        <v>0</v>
      </c>
      <c r="U1046" s="37" t="n">
        <f aca="false">0*Sector_Params!$J$10</f>
        <v>0</v>
      </c>
      <c r="V1046" s="37" t="n">
        <f aca="false">1000*p_r_wb/(1-(1+p_r_wb)^-Sector_Params!$D$10)/p_cpt_fuel</f>
        <v>0.871845569768514</v>
      </c>
      <c r="W1046" s="16" t="n">
        <f aca="false">T1046*L1046</f>
        <v>0</v>
      </c>
      <c r="X1046" s="16" t="n">
        <f aca="false">U1046*L1046</f>
        <v>0</v>
      </c>
      <c r="Y1046" s="16" t="n">
        <f aca="false">V1046*L1046</f>
        <v>0.00785865445162433</v>
      </c>
      <c r="Z1046" s="16" t="n">
        <f aca="false">Q1046*L1046</f>
        <v>0.00109511778580984</v>
      </c>
      <c r="AA1046" s="16" t="n">
        <f aca="false">R1046*L1046</f>
        <v>0.00144006029753125</v>
      </c>
      <c r="AB1046" s="16" t="n">
        <f aca="false">S1046*L1046</f>
        <v>0.000785865445162433</v>
      </c>
      <c r="AC1046" s="16" t="n">
        <f aca="false">Z1046-W1046</f>
        <v>0.00109511778580984</v>
      </c>
      <c r="AD1046" s="16" t="n">
        <f aca="false">AA1046-W1046</f>
        <v>0.00144006029753125</v>
      </c>
      <c r="AE1046" s="16" t="n">
        <f aca="false">AB1046-W1046</f>
        <v>0.000785865445162433</v>
      </c>
      <c r="AF1046" s="16" t="n">
        <f aca="false">AE1046-X1046</f>
        <v>0.000785865445162433</v>
      </c>
      <c r="AG1046" s="16" t="n">
        <f aca="false">AF1046-p_spc_lo*Y1046/1000</f>
        <v>0.000392932722581216</v>
      </c>
      <c r="AH1046" s="16" t="n">
        <f aca="false">AF1046-p_spc_hi*Y1046/1000</f>
        <v>0</v>
      </c>
      <c r="AI1046" s="16" t="n">
        <f aca="false">Q1046*J1046</f>
        <v>0.00456299077420766</v>
      </c>
      <c r="AJ1046" s="16" t="n">
        <f aca="false">S1046*J1046</f>
        <v>0.00327443935484347</v>
      </c>
      <c r="AK1046" s="16" t="n">
        <f aca="false">T1046*J1046</f>
        <v>0</v>
      </c>
      <c r="AL1046" s="16" t="n">
        <f aca="false">U1046*J1046</f>
        <v>0</v>
      </c>
      <c r="AM1046" s="16" t="n">
        <f aca="false">AI1046-AJ1046</f>
        <v>0.00128855141936419</v>
      </c>
      <c r="AN1046" s="16" t="n">
        <f aca="false">J1046*Country_Data!$EB$153</f>
        <v>0.0458260478284715</v>
      </c>
      <c r="AO1046" s="16" t="n">
        <f aca="false">L1046*Country_Data!$EB$153</f>
        <v>0.0109982514788332</v>
      </c>
    </row>
    <row r="1047" customFormat="false" ht="15" hidden="false" customHeight="false" outlineLevel="0" collapsed="false">
      <c r="A1047" s="14" t="str">
        <f aca="false">Country_Data!$A$153</f>
        <v>MWI</v>
      </c>
      <c r="B1047" s="14" t="str">
        <f aca="false">Country_Data!$E$153</f>
        <v>EMDC</v>
      </c>
      <c r="C1047" s="35" t="s">
        <v>488</v>
      </c>
      <c r="D1047" s="37" t="n">
        <f aca="false">IF(Country_Data!$CE$153="","",Country_Data!$CE$153)</f>
        <v>23.648</v>
      </c>
      <c r="E1047" s="40" t="n">
        <f aca="false">Country_Data!$BW$153</f>
        <v>40.286</v>
      </c>
      <c r="F1047" s="41" t="n">
        <f aca="false">Country_Data!$BX$153</f>
        <v>0.292657498882987</v>
      </c>
      <c r="G1047" s="42" t="n">
        <f aca="false">IF(D1047="","",D1047/SUMIFS($D$5:$D$1369,$B$5:$B$1369,B1047,$C$5:$C$1369,C1047))</f>
        <v>0.00193770787054525</v>
      </c>
      <c r="H1047" s="42" t="n">
        <f aca="false">E1047/SUMIFS($E$5:$E$1369,$B$5:$B$1369,B1047,$C$5:$C$1369,C1047)</f>
        <v>0.000499009746953775</v>
      </c>
      <c r="I1047" s="43" t="n">
        <f aca="false">IF(G1047="",H1047,p_beta_alloc*G1047+(1-p_beta_alloc)*H1047)*F1047^p_phi</f>
        <v>0.000659105652162205</v>
      </c>
      <c r="J1047" s="16" t="n">
        <f aca="false">INDEX(Sector_Params!$C$22:$E$22,MATCH(B1047,Sector_Params!$C$15:$E$15,0))*I1047/SUMIFS($I$5:$I$1369,$B$5:$B$1369,B1047,$C$5:$C$1369,C1047)</f>
        <v>0.397314415845864</v>
      </c>
      <c r="K1047" s="28" t="n">
        <f aca="false">INDEX(Sector_Params!$F$11:$H$11,MATCH(B1047,Sector_Params!$C$15:$E$15,0))</f>
        <v>0.24</v>
      </c>
      <c r="L1047" s="16" t="n">
        <f aca="false">J1047*K1047</f>
        <v>0.0953554598030074</v>
      </c>
      <c r="M1047" s="44" t="n">
        <f aca="false">Country_Data!$DW$153+Sector_Params!$E$11</f>
        <v>0.105</v>
      </c>
      <c r="N1047" s="44" t="n">
        <f aca="false">Country_Data!$DX$153+Sector_Params!$E$11</f>
        <v>0.15</v>
      </c>
      <c r="O1047" s="11" t="n">
        <f aca="false">IF(p_use_ibrd=1,p_r_ibrd,p_r_wb)</f>
        <v>0.06</v>
      </c>
      <c r="P1047" s="45" t="n">
        <f aca="false">Sector_Params!$D$11</f>
        <v>30</v>
      </c>
      <c r="Q1047" s="46" t="n">
        <f aca="false">M1047/(1-(1+M1047)^-P1047)</f>
        <v>0.110528481529605</v>
      </c>
      <c r="R1047" s="46" t="n">
        <f aca="false">N1047/(1-(1+N1047)^-P1047)</f>
        <v>0.152300198192734</v>
      </c>
      <c r="S1047" s="46" t="n">
        <f aca="false">O1047/(1-(1+O1047)^-P1047)</f>
        <v>0.0726489114900472</v>
      </c>
      <c r="T1047" s="37" t="n">
        <f aca="false">0*Sector_Params!$I$11</f>
        <v>0</v>
      </c>
      <c r="U1047" s="37" t="n">
        <f aca="false">p_c*Sector_Params!$J$11</f>
        <v>0.129</v>
      </c>
      <c r="V1047" s="37" t="n">
        <f aca="false">1000*p_r_wb/(1-(1+p_r_wb)^-Sector_Params!$D$11)/p_cpt_afolu</f>
        <v>1.45297822980094</v>
      </c>
      <c r="W1047" s="16" t="n">
        <f aca="false">T1047*L1047</f>
        <v>0</v>
      </c>
      <c r="X1047" s="16" t="n">
        <f aca="false">U1047*L1047</f>
        <v>0.012300854314588</v>
      </c>
      <c r="Y1047" s="16" t="n">
        <f aca="false">V1047*L1047</f>
        <v>0.138549407186429</v>
      </c>
      <c r="Z1047" s="16" t="n">
        <f aca="false">Q1047*L1047</f>
        <v>0.0105394941775837</v>
      </c>
      <c r="AA1047" s="16" t="n">
        <f aca="false">R1047*L1047</f>
        <v>0.0145226554267573</v>
      </c>
      <c r="AB1047" s="16" t="n">
        <f aca="false">S1047*L1047</f>
        <v>0.00692747035932144</v>
      </c>
      <c r="AC1047" s="16" t="n">
        <f aca="false">Z1047-W1047</f>
        <v>0.0105394941775837</v>
      </c>
      <c r="AD1047" s="16" t="n">
        <f aca="false">AA1047-W1047</f>
        <v>0.0145226554267573</v>
      </c>
      <c r="AE1047" s="16" t="n">
        <f aca="false">AB1047-W1047</f>
        <v>0.00692747035932144</v>
      </c>
      <c r="AF1047" s="16" t="n">
        <f aca="false">AE1047-X1047</f>
        <v>-0.00537338395526652</v>
      </c>
      <c r="AG1047" s="16" t="n">
        <f aca="false">AF1047-p_spc_lo*Y1047/1000</f>
        <v>-0.012300854314588</v>
      </c>
      <c r="AH1047" s="16" t="n">
        <f aca="false">AF1047-p_spc_hi*Y1047/1000</f>
        <v>-0.0192283246739094</v>
      </c>
      <c r="AI1047" s="16" t="n">
        <f aca="false">Q1047*J1047</f>
        <v>0.0439145590732655</v>
      </c>
      <c r="AJ1047" s="16" t="n">
        <f aca="false">S1047*J1047</f>
        <v>0.028864459830506</v>
      </c>
      <c r="AK1047" s="16" t="n">
        <f aca="false">T1047*J1047</f>
        <v>0</v>
      </c>
      <c r="AL1047" s="16" t="n">
        <f aca="false">U1047*J1047</f>
        <v>0.0512535596441165</v>
      </c>
      <c r="AM1047" s="16" t="n">
        <f aca="false">AI1047-AJ1047</f>
        <v>0.0150500992427595</v>
      </c>
      <c r="AN1047" s="16" t="n">
        <f aca="false">J1047*Country_Data!$EB$153</f>
        <v>0.484785186466194</v>
      </c>
      <c r="AO1047" s="16" t="n">
        <f aca="false">L1047*Country_Data!$EB$153</f>
        <v>0.116348444751887</v>
      </c>
    </row>
    <row r="1048" customFormat="false" ht="15" hidden="false" customHeight="false" outlineLevel="0" collapsed="false">
      <c r="A1048" s="14" t="str">
        <f aca="false">Country_Data!$A$154</f>
        <v>XKX</v>
      </c>
      <c r="B1048" s="14" t="str">
        <f aca="false">Country_Data!$E$154</f>
        <v>EMDC</v>
      </c>
      <c r="C1048" s="35" t="s">
        <v>466</v>
      </c>
      <c r="D1048" s="37" t="n">
        <f aca="false">IF(Country_Data!$BZ$154="","",Country_Data!$BZ$154)</f>
        <v>6.41188722023268</v>
      </c>
      <c r="E1048" s="40" t="n">
        <f aca="false">Country_Data!$BW$154</f>
        <v>30.212</v>
      </c>
      <c r="F1048" s="41" t="n">
        <f aca="false">Country_Data!$BX$154</f>
        <v>0.370713623725672</v>
      </c>
      <c r="G1048" s="42" t="n">
        <f aca="false">IF(D1048="","",D1048/SUMIFS($D$5:$D$1369,$B$5:$B$1369,B1048,$C$5:$C$1369,C1048))</f>
        <v>0.000731994737192579</v>
      </c>
      <c r="H1048" s="42" t="n">
        <f aca="false">E1048/SUMIFS($E$5:$E$1369,$B$5:$B$1369,B1048,$C$5:$C$1369,C1048)</f>
        <v>0.000374226343518032</v>
      </c>
      <c r="I1048" s="43" t="n">
        <f aca="false">IF(G1048="",H1048,p_beta_alloc*G1048+(1-p_beta_alloc)*H1048)*F1048^p_phi</f>
        <v>0.000336768302632363</v>
      </c>
      <c r="J1048" s="16" t="n">
        <f aca="false">INDEX(Sector_Params!$C$16:$E$16,MATCH(B1048,Sector_Params!$C$15:$E$15,0))*I1048/SUMIFS($I$5:$I$1369,$B$5:$B$1369,B1048,$C$5:$C$1369,C1048)</f>
        <v>0.325730840118597</v>
      </c>
      <c r="K1048" s="28" t="n">
        <f aca="false">INDEX(Sector_Params!$F$5:$H$5,MATCH(B1048,Sector_Params!$C$15:$E$15,0))</f>
        <v>0.24</v>
      </c>
      <c r="L1048" s="16" t="n">
        <f aca="false">J1048*K1048</f>
        <v>0.0781754016284632</v>
      </c>
      <c r="M1048" s="44" t="n">
        <f aca="false">Country_Data!$DW$154+Sector_Params!$E$5</f>
        <v>0.105</v>
      </c>
      <c r="N1048" s="44" t="n">
        <f aca="false">Country_Data!$DX$154+Sector_Params!$E$5</f>
        <v>0.15</v>
      </c>
      <c r="O1048" s="11" t="n">
        <f aca="false">IF(p_use_ibrd=1,p_r_ibrd,p_r_wb)</f>
        <v>0.06</v>
      </c>
      <c r="P1048" s="45" t="n">
        <f aca="false">Sector_Params!$D$5</f>
        <v>25</v>
      </c>
      <c r="Q1048" s="46" t="n">
        <f aca="false">M1048/(1-(1+M1048)^-P1048)</f>
        <v>0.114429319813103</v>
      </c>
      <c r="R1048" s="46" t="n">
        <f aca="false">N1048/(1-(1+N1048)^-P1048)</f>
        <v>0.154699402320206</v>
      </c>
      <c r="S1048" s="46" t="n">
        <f aca="false">O1048/(1-(1+O1048)^-P1048)</f>
        <v>0.078226718212274</v>
      </c>
      <c r="T1048" s="37" t="n">
        <f aca="false">IF(AND(p_eng=1,ISNUMBER(Country_Data!$CZ$154)),Country_Data!$CZ$154,Country_Data!$CM$154)*Sector_Params!$I$5</f>
        <v>0.027854323888088</v>
      </c>
      <c r="U1048" s="37" t="n">
        <f aca="false">IF(AND(p_eng=1,ISNUMBER(Country_Data!$DA$154)),Country_Data!$DA$154,Country_Data!$CN$154)*Sector_Params!$J$5</f>
        <v>0</v>
      </c>
      <c r="V1048" s="37" t="n">
        <f aca="false">IF(AND(p_eng=1,ISNUMBER(Country_Data!$DB$154)),Country_Data!$DB$154,p_a)</f>
        <v>1.93913827375037</v>
      </c>
      <c r="W1048" s="16" t="n">
        <f aca="false">T1048*L1048</f>
        <v>0.00217752295704058</v>
      </c>
      <c r="X1048" s="16" t="n">
        <f aca="false">U1048*L1048</f>
        <v>0</v>
      </c>
      <c r="Y1048" s="16" t="n">
        <f aca="false">V1048*L1048</f>
        <v>0.15159291336356</v>
      </c>
      <c r="Z1048" s="16" t="n">
        <f aca="false">Q1048*L1048</f>
        <v>0.00894555803446121</v>
      </c>
      <c r="AA1048" s="16" t="n">
        <f aca="false">R1048*L1048</f>
        <v>0.0120936879080653</v>
      </c>
      <c r="AB1048" s="16" t="n">
        <f aca="false">S1048*L1048</f>
        <v>0.00611540511432113</v>
      </c>
      <c r="AC1048" s="16" t="n">
        <f aca="false">Z1048-W1048</f>
        <v>0.00676803507742063</v>
      </c>
      <c r="AD1048" s="16" t="n">
        <f aca="false">AA1048-W1048</f>
        <v>0.00991616495102477</v>
      </c>
      <c r="AE1048" s="16" t="n">
        <f aca="false">AB1048-W1048</f>
        <v>0.00393788215728056</v>
      </c>
      <c r="AF1048" s="16" t="n">
        <f aca="false">AE1048-X1048</f>
        <v>0.00393788215728056</v>
      </c>
      <c r="AG1048" s="16" t="n">
        <f aca="false">AF1048-p_spc_lo*Y1048/1000</f>
        <v>-0.00364176351089746</v>
      </c>
      <c r="AH1048" s="16" t="n">
        <f aca="false">AF1048-p_spc_hi*Y1048/1000</f>
        <v>-0.0112214091790755</v>
      </c>
      <c r="AI1048" s="16" t="n">
        <f aca="false">Q1048*J1048</f>
        <v>0.0372731584769217</v>
      </c>
      <c r="AJ1048" s="16" t="n">
        <f aca="false">S1048*J1048</f>
        <v>0.0254808546430047</v>
      </c>
      <c r="AK1048" s="16" t="n">
        <f aca="false">T1048*J1048</f>
        <v>0.0090730123210024</v>
      </c>
      <c r="AL1048" s="16" t="n">
        <f aca="false">U1048*J1048</f>
        <v>0</v>
      </c>
      <c r="AM1048" s="16" t="n">
        <f aca="false">AI1048-AJ1048</f>
        <v>0.011792303833917</v>
      </c>
      <c r="AN1048" s="16" t="n">
        <f aca="false">J1048*Country_Data!$EB$154</f>
        <v>0.372706988489442</v>
      </c>
      <c r="AO1048" s="16" t="n">
        <f aca="false">L1048*Country_Data!$EB$154</f>
        <v>0.089449677237466</v>
      </c>
    </row>
    <row r="1049" customFormat="false" ht="15" hidden="false" customHeight="false" outlineLevel="0" collapsed="false">
      <c r="A1049" s="14" t="str">
        <f aca="false">Country_Data!$A$154</f>
        <v>XKX</v>
      </c>
      <c r="B1049" s="14" t="str">
        <f aca="false">Country_Data!$E$154</f>
        <v>EMDC</v>
      </c>
      <c r="C1049" s="35" t="s">
        <v>470</v>
      </c>
      <c r="D1049" s="37" t="n">
        <f aca="false">IF(Country_Data!$BZ$154="","",Country_Data!$BZ$154)</f>
        <v>6.41188722023268</v>
      </c>
      <c r="E1049" s="40" t="n">
        <f aca="false">Country_Data!$BW$154</f>
        <v>30.212</v>
      </c>
      <c r="F1049" s="41" t="n">
        <f aca="false">Country_Data!$BX$154</f>
        <v>0.370713623725672</v>
      </c>
      <c r="G1049" s="42" t="n">
        <f aca="false">IF(D1049="","",D1049/SUMIFS($D$5:$D$1369,$B$5:$B$1369,B1049,$C$5:$C$1369,C1049))</f>
        <v>0.000731994737192579</v>
      </c>
      <c r="H1049" s="42" t="n">
        <f aca="false">E1049/SUMIFS($E$5:$E$1369,$B$5:$B$1369,B1049,$C$5:$C$1369,C1049)</f>
        <v>0.000374226343518032</v>
      </c>
      <c r="I1049" s="43" t="n">
        <f aca="false">IF(G1049="",H1049,p_beta_alloc*G1049+(1-p_beta_alloc)*H1049)*F1049^p_phi</f>
        <v>0.000336768302632363</v>
      </c>
      <c r="J1049" s="16" t="n">
        <f aca="false">INDEX(Sector_Params!$C$17:$E$17,MATCH(B1049,Sector_Params!$C$15:$E$15,0))*I1049/SUMIFS($I$5:$I$1369,$B$5:$B$1369,B1049,$C$5:$C$1369,C1049)</f>
        <v>0.223358290367038</v>
      </c>
      <c r="K1049" s="28" t="n">
        <f aca="false">INDEX(Sector_Params!$F$6:$H$6,MATCH(B1049,Sector_Params!$C$15:$E$15,0))</f>
        <v>0.24</v>
      </c>
      <c r="L1049" s="16" t="n">
        <f aca="false">J1049*K1049</f>
        <v>0.053605989688089</v>
      </c>
      <c r="M1049" s="44" t="n">
        <f aca="false">Country_Data!$DW$154+Sector_Params!$E$6</f>
        <v>0.105</v>
      </c>
      <c r="N1049" s="44" t="n">
        <f aca="false">Country_Data!$DX$154+Sector_Params!$E$6</f>
        <v>0.15</v>
      </c>
      <c r="O1049" s="11" t="n">
        <f aca="false">IF(p_use_ibrd=1,p_r_ibrd,p_r_wb)</f>
        <v>0.06</v>
      </c>
      <c r="P1049" s="45" t="n">
        <f aca="false">Sector_Params!$D$6</f>
        <v>40</v>
      </c>
      <c r="Q1049" s="46" t="n">
        <f aca="false">M1049/(1-(1+M1049)^-P1049)</f>
        <v>0.10697140835497</v>
      </c>
      <c r="R1049" s="46" t="n">
        <f aca="false">N1049/(1-(1+N1049)^-P1049)</f>
        <v>0.150562085013545</v>
      </c>
      <c r="S1049" s="46" t="n">
        <f aca="false">O1049/(1-(1+O1049)^-P1049)</f>
        <v>0.0664615359206755</v>
      </c>
      <c r="T1049" s="37" t="n">
        <f aca="false">p_grid_credit*IF(AND(p_eng=1,ISNUMBER(Country_Data!$CZ$154)),Country_Data!$CZ$154,Country_Data!$CM$154)*Sector_Params!$I$6</f>
        <v>0</v>
      </c>
      <c r="U1049" s="37" t="n">
        <f aca="false">p_grid_credit*IF(AND(p_eng=1,ISNUMBER(Country_Data!$DA$154)),Country_Data!$DA$154,Country_Data!$CN$154)*Sector_Params!$J$6</f>
        <v>0</v>
      </c>
      <c r="V1049" s="37" t="n">
        <f aca="false">p_grid_credit*IF(AND(p_eng=1,ISNUMBER(Country_Data!$DB$154)),Country_Data!$DB$154,p_a)</f>
        <v>0</v>
      </c>
      <c r="W1049" s="16" t="n">
        <f aca="false">T1049*L1049</f>
        <v>0</v>
      </c>
      <c r="X1049" s="16" t="n">
        <f aca="false">U1049*L1049</f>
        <v>0</v>
      </c>
      <c r="Y1049" s="16" t="n">
        <f aca="false">V1049*L1049</f>
        <v>0</v>
      </c>
      <c r="Z1049" s="16" t="n">
        <f aca="false">Q1049*L1049</f>
        <v>0.0057343082131969</v>
      </c>
      <c r="AA1049" s="16" t="n">
        <f aca="false">R1049*L1049</f>
        <v>0.00807102957665328</v>
      </c>
      <c r="AB1049" s="16" t="n">
        <f aca="false">S1049*L1049</f>
        <v>0.00356273640921829</v>
      </c>
      <c r="AC1049" s="16" t="n">
        <f aca="false">Z1049-W1049</f>
        <v>0.0057343082131969</v>
      </c>
      <c r="AD1049" s="16" t="n">
        <f aca="false">AA1049-W1049</f>
        <v>0.00807102957665328</v>
      </c>
      <c r="AE1049" s="16" t="n">
        <f aca="false">AB1049-W1049</f>
        <v>0.00356273640921829</v>
      </c>
      <c r="AF1049" s="16" t="n">
        <f aca="false">AE1049-X1049</f>
        <v>0.00356273640921829</v>
      </c>
      <c r="AG1049" s="16" t="n">
        <f aca="false">AF1049-p_spc_lo*Y1049/1000</f>
        <v>0.00356273640921829</v>
      </c>
      <c r="AH1049" s="16" t="n">
        <f aca="false">AF1049-p_spc_hi*Y1049/1000</f>
        <v>0.00356273640921829</v>
      </c>
      <c r="AI1049" s="16" t="n">
        <f aca="false">Q1049*J1049</f>
        <v>0.0238929508883204</v>
      </c>
      <c r="AJ1049" s="16" t="n">
        <f aca="false">S1049*J1049</f>
        <v>0.0148447350384095</v>
      </c>
      <c r="AK1049" s="16" t="n">
        <f aca="false">T1049*J1049</f>
        <v>0</v>
      </c>
      <c r="AL1049" s="16" t="n">
        <f aca="false">U1049*J1049</f>
        <v>0</v>
      </c>
      <c r="AM1049" s="16" t="n">
        <f aca="false">AI1049-AJ1049</f>
        <v>0.00904821584991089</v>
      </c>
      <c r="AN1049" s="16" t="n">
        <f aca="false">J1049*Country_Data!$EB$154</f>
        <v>0.25557050639276</v>
      </c>
      <c r="AO1049" s="16" t="n">
        <f aca="false">L1049*Country_Data!$EB$154</f>
        <v>0.0613369215342624</v>
      </c>
    </row>
    <row r="1050" customFormat="false" ht="15" hidden="false" customHeight="false" outlineLevel="0" collapsed="false">
      <c r="A1050" s="14" t="str">
        <f aca="false">Country_Data!$A$154</f>
        <v>XKX</v>
      </c>
      <c r="B1050" s="14" t="str">
        <f aca="false">Country_Data!$E$154</f>
        <v>EMDC</v>
      </c>
      <c r="C1050" s="35" t="s">
        <v>473</v>
      </c>
      <c r="D1050" s="37" t="n">
        <f aca="false">IF(Country_Data!$CA$154="","",Country_Data!$CA$154)</f>
        <v>0.0316608717104337</v>
      </c>
      <c r="E1050" s="40" t="n">
        <f aca="false">Country_Data!$BW$154</f>
        <v>30.212</v>
      </c>
      <c r="F1050" s="41" t="n">
        <f aca="false">Country_Data!$BX$154</f>
        <v>0.370713623725672</v>
      </c>
      <c r="G1050" s="42" t="n">
        <f aca="false">IF(D1050="","",D1050/SUMIFS($D$5:$D$1369,$B$5:$B$1369,B1050,$C$5:$C$1369,C1050))</f>
        <v>0.000731439802317472</v>
      </c>
      <c r="H1050" s="42" t="n">
        <f aca="false">E1050/SUMIFS($E$5:$E$1369,$B$5:$B$1369,B1050,$C$5:$C$1369,C1050)</f>
        <v>0.000374226343518032</v>
      </c>
      <c r="I1050" s="43" t="n">
        <f aca="false">IF(G1050="",H1050,p_beta_alloc*G1050+(1-p_beta_alloc)*H1050)*F1050^p_phi</f>
        <v>0.000336599363096478</v>
      </c>
      <c r="J1050" s="16" t="n">
        <f aca="false">INDEX(Sector_Params!$C$18:$E$18,MATCH(B1050,Sector_Params!$C$15:$E$15,0))*I1050/SUMIFS($I$5:$I$1369,$B$5:$B$1369,B1050,$C$5:$C$1369,C1050)</f>
        <v>0.137829474838336</v>
      </c>
      <c r="K1050" s="28" t="n">
        <f aca="false">INDEX(Sector_Params!$F$7:$H$7,MATCH(B1050,Sector_Params!$C$15:$E$15,0))</f>
        <v>0.24</v>
      </c>
      <c r="L1050" s="16" t="n">
        <f aca="false">J1050*K1050</f>
        <v>0.0330790739612006</v>
      </c>
      <c r="M1050" s="44" t="n">
        <f aca="false">Country_Data!$DW$154+Sector_Params!$E$7</f>
        <v>0.105</v>
      </c>
      <c r="N1050" s="44" t="n">
        <f aca="false">Country_Data!$DX$154+Sector_Params!$E$7</f>
        <v>0.15</v>
      </c>
      <c r="O1050" s="11" t="n">
        <f aca="false">IF(p_use_ibrd=1,p_r_ibrd,p_r_wb)</f>
        <v>0.06</v>
      </c>
      <c r="P1050" s="45" t="n">
        <f aca="false">Sector_Params!$D$7</f>
        <v>12</v>
      </c>
      <c r="Q1050" s="46" t="n">
        <f aca="false">M1050/(1-(1+M1050)^-P1050)</f>
        <v>0.150376745634766</v>
      </c>
      <c r="R1050" s="46" t="n">
        <f aca="false">N1050/(1-(1+N1050)^-P1050)</f>
        <v>0.18448077613084</v>
      </c>
      <c r="S1050" s="46" t="n">
        <f aca="false">O1050/(1-(1+O1050)^-P1050)</f>
        <v>0.119277029380664</v>
      </c>
      <c r="T1050" s="37" t="n">
        <f aca="false">IF(AND(p_eng=1,ISNUMBER(Country_Data!$DE$154)),Country_Data!$DE$154,Country_Data!$CM$154)*Sector_Params!$I$7</f>
        <v>0.178617195</v>
      </c>
      <c r="U1050" s="37" t="n">
        <f aca="false">IF(AND(p_eng=1,ISNUMBER(Country_Data!$DF$154)),Country_Data!$DF$154,Country_Data!$CN$154)*Sector_Params!$J$7</f>
        <v>0</v>
      </c>
      <c r="V1050" s="37" t="n">
        <f aca="false">IF(AND(p_eng=1,ISNUMBER(Country_Data!$DG$154)),Country_Data!$DG$154,p_a)</f>
        <v>0.0782424812606474</v>
      </c>
      <c r="W1050" s="16" t="n">
        <f aca="false">T1050*L1050</f>
        <v>0.00590849140414719</v>
      </c>
      <c r="X1050" s="16" t="n">
        <f aca="false">U1050*L1050</f>
        <v>0</v>
      </c>
      <c r="Y1050" s="16" t="n">
        <f aca="false">V1050*L1050</f>
        <v>0.00258818882452881</v>
      </c>
      <c r="Z1050" s="16" t="n">
        <f aca="false">Q1050*L1050</f>
        <v>0.00497432349089707</v>
      </c>
      <c r="AA1050" s="16" t="n">
        <f aca="false">R1050*L1050</f>
        <v>0.00610245323805174</v>
      </c>
      <c r="AB1050" s="16" t="n">
        <f aca="false">S1050*L1050</f>
        <v>0.00394557367675527</v>
      </c>
      <c r="AC1050" s="16" t="n">
        <f aca="false">Z1050-W1050</f>
        <v>-0.000934167913250125</v>
      </c>
      <c r="AD1050" s="16" t="n">
        <f aca="false">AA1050-W1050</f>
        <v>0.000193961833904542</v>
      </c>
      <c r="AE1050" s="16" t="n">
        <f aca="false">AB1050-W1050</f>
        <v>-0.00196291772739192</v>
      </c>
      <c r="AF1050" s="16" t="n">
        <f aca="false">AE1050-X1050</f>
        <v>-0.00196291772739192</v>
      </c>
      <c r="AG1050" s="16" t="n">
        <f aca="false">AF1050-p_spc_lo*Y1050/1000</f>
        <v>-0.00209232716861836</v>
      </c>
      <c r="AH1050" s="16" t="n">
        <f aca="false">AF1050-p_spc_hi*Y1050/1000</f>
        <v>-0.00222173660984481</v>
      </c>
      <c r="AI1050" s="16" t="n">
        <f aca="false">Q1050*J1050</f>
        <v>0.0207263478787378</v>
      </c>
      <c r="AJ1050" s="16" t="n">
        <f aca="false">S1050*J1050</f>
        <v>0.0164398903198136</v>
      </c>
      <c r="AK1050" s="16" t="n">
        <f aca="false">T1050*J1050</f>
        <v>0.0246187141839466</v>
      </c>
      <c r="AL1050" s="16" t="n">
        <f aca="false">U1050*J1050</f>
        <v>0</v>
      </c>
      <c r="AM1050" s="16" t="n">
        <f aca="false">AI1050-AJ1050</f>
        <v>0.00428645755892416</v>
      </c>
      <c r="AN1050" s="16" t="n">
        <f aca="false">J1050*Country_Data!$EB$154</f>
        <v>0.157706922910259</v>
      </c>
      <c r="AO1050" s="16" t="n">
        <f aca="false">L1050*Country_Data!$EB$154</f>
        <v>0.0378496614984622</v>
      </c>
    </row>
    <row r="1051" customFormat="false" ht="15" hidden="false" customHeight="false" outlineLevel="0" collapsed="false">
      <c r="A1051" s="14" t="str">
        <f aca="false">Country_Data!$A$154</f>
        <v>XKX</v>
      </c>
      <c r="B1051" s="14" t="str">
        <f aca="false">Country_Data!$E$154</f>
        <v>EMDC</v>
      </c>
      <c r="C1051" s="35" t="s">
        <v>477</v>
      </c>
      <c r="D1051" s="37" t="n">
        <f aca="false">IF(Country_Data!$CB$154="","",Country_Data!$CB$154)</f>
        <v>0.0153734849714838</v>
      </c>
      <c r="E1051" s="40" t="n">
        <f aca="false">Country_Data!$BW$154</f>
        <v>30.212</v>
      </c>
      <c r="F1051" s="41" t="n">
        <f aca="false">Country_Data!$BX$154</f>
        <v>0.370713623725672</v>
      </c>
      <c r="G1051" s="42" t="n">
        <f aca="false">IF(D1051="","",D1051/SUMIFS($D$5:$D$1369,$B$5:$B$1369,B1051,$C$5:$C$1369,C1051))</f>
        <v>0.000484772793417489</v>
      </c>
      <c r="H1051" s="42" t="n">
        <f aca="false">E1051/SUMIFS($E$5:$E$1369,$B$5:$B$1369,B1051,$C$5:$C$1369,C1051)</f>
        <v>0.000374226343518032</v>
      </c>
      <c r="I1051" s="43" t="n">
        <f aca="false">IF(G1051="",H1051,p_beta_alloc*G1051+(1-p_beta_alloc)*H1051)*F1051^p_phi</f>
        <v>0.000261506209159032</v>
      </c>
      <c r="J1051" s="16" t="n">
        <f aca="false">INDEX(Sector_Params!$C$19:$E$19,MATCH(B1051,Sector_Params!$C$15:$E$15,0))*I1051/SUMIFS($I$5:$I$1369,$B$5:$B$1369,B1051,$C$5:$C$1369,C1051)</f>
        <v>0.0841690674874629</v>
      </c>
      <c r="K1051" s="28" t="n">
        <f aca="false">INDEX(Sector_Params!$F$8:$H$8,MATCH(B1051,Sector_Params!$C$15:$E$15,0))</f>
        <v>0.24</v>
      </c>
      <c r="L1051" s="16" t="n">
        <f aca="false">J1051*K1051</f>
        <v>0.0202005761969911</v>
      </c>
      <c r="M1051" s="44" t="n">
        <f aca="false">Country_Data!$DW$154+Sector_Params!$E$8</f>
        <v>0.105</v>
      </c>
      <c r="N1051" s="44" t="n">
        <f aca="false">Country_Data!$DX$154+Sector_Params!$E$8</f>
        <v>0.15</v>
      </c>
      <c r="O1051" s="11" t="n">
        <f aca="false">IF(p_use_ibrd=1,p_r_ibrd,p_r_wb)</f>
        <v>0.06</v>
      </c>
      <c r="P1051" s="45" t="n">
        <f aca="false">Sector_Params!$D$8</f>
        <v>25</v>
      </c>
      <c r="Q1051" s="46" t="n">
        <f aca="false">M1051/(1-(1+M1051)^-P1051)</f>
        <v>0.114429319813103</v>
      </c>
      <c r="R1051" s="46" t="n">
        <f aca="false">N1051/(1-(1+N1051)^-P1051)</f>
        <v>0.154699402320206</v>
      </c>
      <c r="S1051" s="46" t="n">
        <f aca="false">O1051/(1-(1+O1051)^-P1051)</f>
        <v>0.078226718212274</v>
      </c>
      <c r="T1051" s="37" t="n">
        <f aca="false">Country_Data!$CM$154*Sector_Params!$I$8</f>
        <v>0.0822486595153768</v>
      </c>
      <c r="U1051" s="37" t="n">
        <f aca="false">Country_Data!$CN$154*Sector_Params!$J$8</f>
        <v>0.03225</v>
      </c>
      <c r="V1051" s="37" t="n">
        <f aca="false">p_a</f>
        <v>0.35</v>
      </c>
      <c r="W1051" s="16" t="n">
        <f aca="false">T1051*L1051</f>
        <v>0.00166147031364075</v>
      </c>
      <c r="X1051" s="16" t="n">
        <f aca="false">U1051*L1051</f>
        <v>0.000651468582352963</v>
      </c>
      <c r="Y1051" s="16" t="n">
        <f aca="false">V1051*L1051</f>
        <v>0.00707020166894688</v>
      </c>
      <c r="Z1051" s="16" t="n">
        <f aca="false">Q1051*L1051</f>
        <v>0.00231153819405446</v>
      </c>
      <c r="AA1051" s="16" t="n">
        <f aca="false">R1051*L1051</f>
        <v>0.00312501706419831</v>
      </c>
      <c r="AB1051" s="16" t="n">
        <f aca="false">S1051*L1051</f>
        <v>0.00158022478188759</v>
      </c>
      <c r="AC1051" s="16" t="n">
        <f aca="false">Z1051-W1051</f>
        <v>0.000650067880413711</v>
      </c>
      <c r="AD1051" s="16" t="n">
        <f aca="false">AA1051-W1051</f>
        <v>0.00146354675055757</v>
      </c>
      <c r="AE1051" s="16" t="n">
        <f aca="false">AB1051-W1051</f>
        <v>-8.12455317531552E-005</v>
      </c>
      <c r="AF1051" s="16" t="n">
        <f aca="false">AE1051-X1051</f>
        <v>-0.000732714114106118</v>
      </c>
      <c r="AG1051" s="16" t="n">
        <f aca="false">AF1051-p_spc_lo*Y1051/1000</f>
        <v>-0.00108622419755346</v>
      </c>
      <c r="AH1051" s="16" t="n">
        <f aca="false">AF1051-p_spc_hi*Y1051/1000</f>
        <v>-0.00143973428100081</v>
      </c>
      <c r="AI1051" s="16" t="n">
        <f aca="false">Q1051*J1051</f>
        <v>0.00963140914189357</v>
      </c>
      <c r="AJ1051" s="16" t="n">
        <f aca="false">S1051*J1051</f>
        <v>0.00658426992453163</v>
      </c>
      <c r="AK1051" s="16" t="n">
        <f aca="false">T1051*J1051</f>
        <v>0.00692279297350311</v>
      </c>
      <c r="AL1051" s="16" t="n">
        <f aca="false">U1051*J1051</f>
        <v>0.00271445242647068</v>
      </c>
      <c r="AM1051" s="16" t="n">
        <f aca="false">AI1051-AJ1051</f>
        <v>0.00304713921736194</v>
      </c>
      <c r="AN1051" s="16" t="n">
        <f aca="false">J1051*Country_Data!$EB$154</f>
        <v>0.0963077357237501</v>
      </c>
      <c r="AO1051" s="16" t="n">
        <f aca="false">L1051*Country_Data!$EB$154</f>
        <v>0.0231138565737</v>
      </c>
    </row>
    <row r="1052" customFormat="false" ht="15" hidden="false" customHeight="false" outlineLevel="0" collapsed="false">
      <c r="A1052" s="14" t="str">
        <f aca="false">Country_Data!$A$154</f>
        <v>XKX</v>
      </c>
      <c r="B1052" s="14" t="str">
        <f aca="false">Country_Data!$E$154</f>
        <v>EMDC</v>
      </c>
      <c r="C1052" s="35" t="s">
        <v>481</v>
      </c>
      <c r="D1052" s="37" t="n">
        <f aca="false">IF(Country_Data!$CC$154="","",Country_Data!$CC$154)</f>
        <v>0.0134687548538837</v>
      </c>
      <c r="E1052" s="40" t="n">
        <f aca="false">Country_Data!$BW$154</f>
        <v>30.212</v>
      </c>
      <c r="F1052" s="41" t="n">
        <f aca="false">Country_Data!$BX$154</f>
        <v>0.370713623725672</v>
      </c>
      <c r="G1052" s="42" t="n">
        <f aca="false">IF(D1052="","",D1052/SUMIFS($D$5:$D$1369,$B$5:$B$1369,B1052,$C$5:$C$1369,C1052))</f>
        <v>0.000192390836746295</v>
      </c>
      <c r="H1052" s="42" t="n">
        <f aca="false">E1052/SUMIFS($E$5:$E$1369,$B$5:$B$1369,B1052,$C$5:$C$1369,C1052)</f>
        <v>0.000374226343518032</v>
      </c>
      <c r="I1052" s="43" t="n">
        <f aca="false">IF(G1052="",H1052,p_beta_alloc*G1052+(1-p_beta_alloc)*H1052)*F1052^p_phi</f>
        <v>0.000172495995029651</v>
      </c>
      <c r="J1052" s="16" t="n">
        <f aca="false">INDEX(Sector_Params!$C$20:$E$20,MATCH(B1052,Sector_Params!$C$15:$E$15,0))*I1052/SUMIFS($I$5:$I$1369,$B$5:$B$1369,B1052,$C$5:$C$1369,C1052)</f>
        <v>0.031483992763268</v>
      </c>
      <c r="K1052" s="28" t="n">
        <f aca="false">INDEX(Sector_Params!$F$9:$H$9,MATCH(B1052,Sector_Params!$C$15:$E$15,0))</f>
        <v>0.24</v>
      </c>
      <c r="L1052" s="16" t="n">
        <f aca="false">J1052*K1052</f>
        <v>0.00755615826318432</v>
      </c>
      <c r="M1052" s="44" t="n">
        <f aca="false">Country_Data!$DW$154+Sector_Params!$E$9</f>
        <v>0.105</v>
      </c>
      <c r="N1052" s="44" t="n">
        <f aca="false">Country_Data!$DX$154+Sector_Params!$E$9</f>
        <v>0.15</v>
      </c>
      <c r="O1052" s="11" t="n">
        <f aca="false">IF(p_use_ibrd=1,p_r_ibrd,p_r_wb)</f>
        <v>0.06</v>
      </c>
      <c r="P1052" s="45" t="n">
        <f aca="false">Sector_Params!$D$9</f>
        <v>25</v>
      </c>
      <c r="Q1052" s="46" t="n">
        <f aca="false">M1052/(1-(1+M1052)^-P1052)</f>
        <v>0.114429319813103</v>
      </c>
      <c r="R1052" s="46" t="n">
        <f aca="false">N1052/(1-(1+N1052)^-P1052)</f>
        <v>0.154699402320206</v>
      </c>
      <c r="S1052" s="46" t="n">
        <f aca="false">O1052/(1-(1+O1052)^-P1052)</f>
        <v>0.078226718212274</v>
      </c>
      <c r="T1052" s="37" t="n">
        <f aca="false">Country_Data!$CM$154*Sector_Params!$I$9</f>
        <v>0.0822486595153768</v>
      </c>
      <c r="U1052" s="37" t="n">
        <f aca="false">Country_Data!$CN$154*Sector_Params!$J$9</f>
        <v>0.03225</v>
      </c>
      <c r="V1052" s="37" t="n">
        <f aca="false">p_a</f>
        <v>0.35</v>
      </c>
      <c r="W1052" s="16" t="n">
        <f aca="false">T1052*L1052</f>
        <v>0.000621483888232948</v>
      </c>
      <c r="X1052" s="16" t="n">
        <f aca="false">U1052*L1052</f>
        <v>0.000243686103987694</v>
      </c>
      <c r="Y1052" s="16" t="n">
        <f aca="false">V1052*L1052</f>
        <v>0.00264465539211451</v>
      </c>
      <c r="Z1052" s="16" t="n">
        <f aca="false">Q1052*L1052</f>
        <v>0.000864646050456341</v>
      </c>
      <c r="AA1052" s="16" t="n">
        <f aca="false">R1052*L1052</f>
        <v>0.0011689331671515</v>
      </c>
      <c r="AB1052" s="16" t="n">
        <f aca="false">S1052*L1052</f>
        <v>0.000591093463221465</v>
      </c>
      <c r="AC1052" s="16" t="n">
        <f aca="false">Z1052-W1052</f>
        <v>0.000243162162223393</v>
      </c>
      <c r="AD1052" s="16" t="n">
        <f aca="false">AA1052-W1052</f>
        <v>0.000547449278918555</v>
      </c>
      <c r="AE1052" s="16" t="n">
        <f aca="false">AB1052-W1052</f>
        <v>-3.03904250114831E-005</v>
      </c>
      <c r="AF1052" s="16" t="n">
        <f aca="false">AE1052-X1052</f>
        <v>-0.000274076528999177</v>
      </c>
      <c r="AG1052" s="16" t="n">
        <f aca="false">AF1052-p_spc_lo*Y1052/1000</f>
        <v>-0.000406309298604903</v>
      </c>
      <c r="AH1052" s="16" t="n">
        <f aca="false">AF1052-p_spc_hi*Y1052/1000</f>
        <v>-0.000538542068210628</v>
      </c>
      <c r="AI1052" s="16" t="n">
        <f aca="false">Q1052*J1052</f>
        <v>0.00360269187690142</v>
      </c>
      <c r="AJ1052" s="16" t="n">
        <f aca="false">S1052*J1052</f>
        <v>0.00246288943008944</v>
      </c>
      <c r="AK1052" s="16" t="n">
        <f aca="false">T1052*J1052</f>
        <v>0.00258951620097062</v>
      </c>
      <c r="AL1052" s="16" t="n">
        <f aca="false">U1052*J1052</f>
        <v>0.00101535876661539</v>
      </c>
      <c r="AM1052" s="16" t="n">
        <f aca="false">AI1052-AJ1052</f>
        <v>0.00113980244681199</v>
      </c>
      <c r="AN1052" s="16" t="n">
        <f aca="false">J1052*Country_Data!$EB$154</f>
        <v>0.0360245413794672</v>
      </c>
      <c r="AO1052" s="16" t="n">
        <f aca="false">L1052*Country_Data!$EB$154</f>
        <v>0.00864588993107212</v>
      </c>
    </row>
    <row r="1053" customFormat="false" ht="15" hidden="false" customHeight="false" outlineLevel="0" collapsed="false">
      <c r="A1053" s="14" t="str">
        <f aca="false">Country_Data!$A$154</f>
        <v>XKX</v>
      </c>
      <c r="B1053" s="14" t="str">
        <f aca="false">Country_Data!$E$154</f>
        <v>EMDC</v>
      </c>
      <c r="C1053" s="35" t="s">
        <v>484</v>
      </c>
      <c r="D1053" s="37" t="n">
        <f aca="false">IF(Country_Data!$CD$154="","",Country_Data!$CD$154)</f>
        <v>0.099340161631454</v>
      </c>
      <c r="E1053" s="40" t="n">
        <f aca="false">Country_Data!$BW$154</f>
        <v>30.212</v>
      </c>
      <c r="F1053" s="41" t="n">
        <f aca="false">Country_Data!$BX$154</f>
        <v>0.370713623725672</v>
      </c>
      <c r="G1053" s="42" t="n">
        <f aca="false">IF(D1053="","",D1053/SUMIFS($D$5:$D$1369,$B$5:$B$1369,B1053,$C$5:$C$1369,C1053))</f>
        <v>0.00055475175343122</v>
      </c>
      <c r="H1053" s="42" t="n">
        <f aca="false">E1053/SUMIFS($E$5:$E$1369,$B$5:$B$1369,B1053,$C$5:$C$1369,C1053)</f>
        <v>0.000374226343518032</v>
      </c>
      <c r="I1053" s="43" t="n">
        <f aca="false">IF(G1053="",H1053,p_beta_alloc*G1053+(1-p_beta_alloc)*H1053)*F1053^p_phi</f>
        <v>0.000282809993723202</v>
      </c>
      <c r="J1053" s="16" t="n">
        <f aca="false">INDEX(Sector_Params!$C$21:$E$21,MATCH(B1053,Sector_Params!$C$15:$E$15,0))*I1053/SUMIFS($I$5:$I$1369,$B$5:$B$1369,B1053,$C$5:$C$1369,C1053)</f>
        <v>0.0627243793717379</v>
      </c>
      <c r="K1053" s="28" t="n">
        <f aca="false">INDEX(Sector_Params!$F$10:$H$10,MATCH(B1053,Sector_Params!$C$15:$E$15,0))</f>
        <v>0.24</v>
      </c>
      <c r="L1053" s="16" t="n">
        <f aca="false">J1053*K1053</f>
        <v>0.0150538510492171</v>
      </c>
      <c r="M1053" s="44" t="n">
        <f aca="false">Country_Data!$DW$154+Sector_Params!$E$10</f>
        <v>0.105</v>
      </c>
      <c r="N1053" s="44" t="n">
        <f aca="false">Country_Data!$DX$154+Sector_Params!$E$10</f>
        <v>0.15</v>
      </c>
      <c r="O1053" s="11" t="n">
        <f aca="false">IF(p_use_ibrd=1,p_r_ibrd,p_r_wb)</f>
        <v>0.06</v>
      </c>
      <c r="P1053" s="45" t="n">
        <f aca="false">Sector_Params!$D$10</f>
        <v>20</v>
      </c>
      <c r="Q1053" s="46" t="n">
        <f aca="false">M1053/(1-(1+M1053)^-P1053)</f>
        <v>0.121493265267016</v>
      </c>
      <c r="R1053" s="46" t="n">
        <f aca="false">N1053/(1-(1+N1053)^-P1053)</f>
        <v>0.159761470405744</v>
      </c>
      <c r="S1053" s="46" t="n">
        <f aca="false">O1053/(1-(1+O1053)^-P1053)</f>
        <v>0.0871845569768514</v>
      </c>
      <c r="T1053" s="37" t="n">
        <f aca="false">0*Sector_Params!$I$10</f>
        <v>0</v>
      </c>
      <c r="U1053" s="37" t="n">
        <f aca="false">0*Sector_Params!$J$10</f>
        <v>0</v>
      </c>
      <c r="V1053" s="37" t="n">
        <f aca="false">1000*p_r_wb/(1-(1+p_r_wb)^-Sector_Params!$D$10)/p_cpt_fuel</f>
        <v>0.871845569768514</v>
      </c>
      <c r="W1053" s="16" t="n">
        <f aca="false">T1053*L1053</f>
        <v>0</v>
      </c>
      <c r="X1053" s="16" t="n">
        <f aca="false">U1053*L1053</f>
        <v>0</v>
      </c>
      <c r="Y1053" s="16" t="n">
        <f aca="false">V1053*L1053</f>
        <v>0.013124633345215</v>
      </c>
      <c r="Z1053" s="16" t="n">
        <f aca="false">Q1053*L1053</f>
        <v>0.00182894151881268</v>
      </c>
      <c r="AA1053" s="16" t="n">
        <f aca="false">R1053*L1053</f>
        <v>0.00240502537889198</v>
      </c>
      <c r="AB1053" s="16" t="n">
        <f aca="false">S1053*L1053</f>
        <v>0.0013124633345215</v>
      </c>
      <c r="AC1053" s="16" t="n">
        <f aca="false">Z1053-W1053</f>
        <v>0.00182894151881268</v>
      </c>
      <c r="AD1053" s="16" t="n">
        <f aca="false">AA1053-W1053</f>
        <v>0.00240502537889198</v>
      </c>
      <c r="AE1053" s="16" t="n">
        <f aca="false">AB1053-W1053</f>
        <v>0.0013124633345215</v>
      </c>
      <c r="AF1053" s="16" t="n">
        <f aca="false">AE1053-X1053</f>
        <v>0.0013124633345215</v>
      </c>
      <c r="AG1053" s="16" t="n">
        <f aca="false">AF1053-p_spc_lo*Y1053/1000</f>
        <v>0.000656231667260751</v>
      </c>
      <c r="AH1053" s="16" t="n">
        <f aca="false">AF1053-p_spc_hi*Y1053/1000</f>
        <v>0</v>
      </c>
      <c r="AI1053" s="16" t="n">
        <f aca="false">Q1053*J1053</f>
        <v>0.00762058966171952</v>
      </c>
      <c r="AJ1053" s="16" t="n">
        <f aca="false">S1053*J1053</f>
        <v>0.00546859722717293</v>
      </c>
      <c r="AK1053" s="16" t="n">
        <f aca="false">T1053*J1053</f>
        <v>0</v>
      </c>
      <c r="AL1053" s="16" t="n">
        <f aca="false">U1053*J1053</f>
        <v>0</v>
      </c>
      <c r="AM1053" s="16" t="n">
        <f aca="false">AI1053-AJ1053</f>
        <v>0.00215199243454659</v>
      </c>
      <c r="AN1053" s="16" t="n">
        <f aca="false">J1053*Country_Data!$EB$154</f>
        <v>0.0717703442879342</v>
      </c>
      <c r="AO1053" s="16" t="n">
        <f aca="false">L1053*Country_Data!$EB$154</f>
        <v>0.0172248826291042</v>
      </c>
    </row>
    <row r="1054" customFormat="false" ht="15" hidden="false" customHeight="false" outlineLevel="0" collapsed="false">
      <c r="A1054" s="14" t="str">
        <f aca="false">Country_Data!$A$154</f>
        <v>XKX</v>
      </c>
      <c r="B1054" s="14" t="str">
        <f aca="false">Country_Data!$E$154</f>
        <v>EMDC</v>
      </c>
      <c r="C1054" s="35" t="s">
        <v>488</v>
      </c>
      <c r="D1054" s="37" t="n">
        <f aca="false">IF(Country_Data!$CE$154="","",Country_Data!$CE$154)</f>
        <v>0</v>
      </c>
      <c r="E1054" s="40" t="n">
        <f aca="false">Country_Data!$BW$154</f>
        <v>30.212</v>
      </c>
      <c r="F1054" s="41" t="n">
        <f aca="false">Country_Data!$BX$154</f>
        <v>0.370713623725672</v>
      </c>
      <c r="G1054" s="42" t="n">
        <f aca="false">IF(D1054="","",D1054/SUMIFS($D$5:$D$1369,$B$5:$B$1369,B1054,$C$5:$C$1369,C1054))</f>
        <v>0</v>
      </c>
      <c r="H1054" s="42" t="n">
        <f aca="false">E1054/SUMIFS($E$5:$E$1369,$B$5:$B$1369,B1054,$C$5:$C$1369,C1054)</f>
        <v>0.000374226343518032</v>
      </c>
      <c r="I1054" s="43" t="n">
        <f aca="false">IF(G1054="",H1054,p_beta_alloc*G1054+(1-p_beta_alloc)*H1054)*F1054^p_phi</f>
        <v>0.000113926205805015</v>
      </c>
      <c r="J1054" s="16" t="n">
        <f aca="false">INDEX(Sector_Params!$C$22:$E$22,MATCH(B1054,Sector_Params!$C$15:$E$15,0))*I1054/SUMIFS($I$5:$I$1369,$B$5:$B$1369,B1054,$C$5:$C$1369,C1054)</f>
        <v>0.0686756724972155</v>
      </c>
      <c r="K1054" s="28" t="n">
        <f aca="false">INDEX(Sector_Params!$F$11:$H$11,MATCH(B1054,Sector_Params!$C$15:$E$15,0))</f>
        <v>0.24</v>
      </c>
      <c r="L1054" s="16" t="n">
        <f aca="false">J1054*K1054</f>
        <v>0.0164821613993317</v>
      </c>
      <c r="M1054" s="44" t="n">
        <f aca="false">Country_Data!$DW$154+Sector_Params!$E$11</f>
        <v>0.105</v>
      </c>
      <c r="N1054" s="44" t="n">
        <f aca="false">Country_Data!$DX$154+Sector_Params!$E$11</f>
        <v>0.15</v>
      </c>
      <c r="O1054" s="11" t="n">
        <f aca="false">IF(p_use_ibrd=1,p_r_ibrd,p_r_wb)</f>
        <v>0.06</v>
      </c>
      <c r="P1054" s="45" t="n">
        <f aca="false">Sector_Params!$D$11</f>
        <v>30</v>
      </c>
      <c r="Q1054" s="46" t="n">
        <f aca="false">M1054/(1-(1+M1054)^-P1054)</f>
        <v>0.110528481529605</v>
      </c>
      <c r="R1054" s="46" t="n">
        <f aca="false">N1054/(1-(1+N1054)^-P1054)</f>
        <v>0.152300198192734</v>
      </c>
      <c r="S1054" s="46" t="n">
        <f aca="false">O1054/(1-(1+O1054)^-P1054)</f>
        <v>0.0726489114900472</v>
      </c>
      <c r="T1054" s="37" t="n">
        <f aca="false">0*Sector_Params!$I$11</f>
        <v>0</v>
      </c>
      <c r="U1054" s="37" t="n">
        <f aca="false">p_c*Sector_Params!$J$11</f>
        <v>0.129</v>
      </c>
      <c r="V1054" s="37" t="n">
        <f aca="false">1000*p_r_wb/(1-(1+p_r_wb)^-Sector_Params!$D$11)/p_cpt_afolu</f>
        <v>1.45297822980094</v>
      </c>
      <c r="W1054" s="16" t="n">
        <f aca="false">T1054*L1054</f>
        <v>0</v>
      </c>
      <c r="X1054" s="16" t="n">
        <f aca="false">U1054*L1054</f>
        <v>0.00212619882051379</v>
      </c>
      <c r="Y1054" s="16" t="n">
        <f aca="false">V1054*L1054</f>
        <v>0.0239482216932945</v>
      </c>
      <c r="Z1054" s="16" t="n">
        <f aca="false">Q1054*L1054</f>
        <v>0.00182174827179401</v>
      </c>
      <c r="AA1054" s="16" t="n">
        <f aca="false">R1054*L1054</f>
        <v>0.00251023644776286</v>
      </c>
      <c r="AB1054" s="16" t="n">
        <f aca="false">S1054*L1054</f>
        <v>0.00119741108466472</v>
      </c>
      <c r="AC1054" s="16" t="n">
        <f aca="false">Z1054-W1054</f>
        <v>0.00182174827179401</v>
      </c>
      <c r="AD1054" s="16" t="n">
        <f aca="false">AA1054-W1054</f>
        <v>0.00251023644776286</v>
      </c>
      <c r="AE1054" s="16" t="n">
        <f aca="false">AB1054-W1054</f>
        <v>0.00119741108466472</v>
      </c>
      <c r="AF1054" s="16" t="n">
        <f aca="false">AE1054-X1054</f>
        <v>-0.00092878773584907</v>
      </c>
      <c r="AG1054" s="16" t="n">
        <f aca="false">AF1054-p_spc_lo*Y1054/1000</f>
        <v>-0.00212619882051379</v>
      </c>
      <c r="AH1054" s="16" t="n">
        <f aca="false">AF1054-p_spc_hi*Y1054/1000</f>
        <v>-0.00332360990517852</v>
      </c>
      <c r="AI1054" s="16" t="n">
        <f aca="false">Q1054*J1054</f>
        <v>0.0075906177991417</v>
      </c>
      <c r="AJ1054" s="16" t="n">
        <f aca="false">S1054*J1054</f>
        <v>0.00498921285276968</v>
      </c>
      <c r="AK1054" s="16" t="n">
        <f aca="false">T1054*J1054</f>
        <v>0</v>
      </c>
      <c r="AL1054" s="16" t="n">
        <f aca="false">U1054*J1054</f>
        <v>0.0088591617521408</v>
      </c>
      <c r="AM1054" s="16" t="n">
        <f aca="false">AI1054-AJ1054</f>
        <v>0.00260140494637202</v>
      </c>
      <c r="AN1054" s="16" t="n">
        <f aca="false">J1054*Country_Data!$EB$154</f>
        <v>0.0785799191430724</v>
      </c>
      <c r="AO1054" s="16" t="n">
        <f aca="false">L1054*Country_Data!$EB$154</f>
        <v>0.0188591805943374</v>
      </c>
    </row>
    <row r="1055" customFormat="false" ht="15" hidden="false" customHeight="false" outlineLevel="0" collapsed="false">
      <c r="A1055" s="14" t="str">
        <f aca="false">Country_Data!$A$155</f>
        <v>MRT</v>
      </c>
      <c r="B1055" s="14" t="str">
        <f aca="false">Country_Data!$E$155</f>
        <v>EMDC</v>
      </c>
      <c r="C1055" s="35" t="s">
        <v>466</v>
      </c>
      <c r="D1055" s="37" t="n">
        <f aca="false">IF(Country_Data!$BZ$155="","",Country_Data!$BZ$155)</f>
        <v>2.02833981230152</v>
      </c>
      <c r="E1055" s="40" t="n">
        <f aca="false">Country_Data!$BW$155</f>
        <v>38.147</v>
      </c>
      <c r="F1055" s="41" t="n">
        <f aca="false">Country_Data!$BX$155</f>
        <v>0.288436836448476</v>
      </c>
      <c r="G1055" s="42" t="n">
        <f aca="false">IF(D1055="","",D1055/SUMIFS($D$5:$D$1369,$B$5:$B$1369,B1055,$C$5:$C$1369,C1055))</f>
        <v>0.000231559604348283</v>
      </c>
      <c r="H1055" s="42" t="n">
        <f aca="false">E1055/SUMIFS($E$5:$E$1369,$B$5:$B$1369,B1055,$C$5:$C$1369,C1055)</f>
        <v>0.000472514640744816</v>
      </c>
      <c r="I1055" s="43" t="n">
        <f aca="false">IF(G1055="",H1055,p_beta_alloc*G1055+(1-p_beta_alloc)*H1055)*F1055^p_phi</f>
        <v>0.000189066169019639</v>
      </c>
      <c r="J1055" s="16" t="n">
        <f aca="false">INDEX(Sector_Params!$C$16:$E$16,MATCH(B1055,Sector_Params!$C$15:$E$15,0))*I1055/SUMIFS($I$5:$I$1369,$B$5:$B$1369,B1055,$C$5:$C$1369,C1055)</f>
        <v>0.182869591916438</v>
      </c>
      <c r="K1055" s="28" t="n">
        <f aca="false">INDEX(Sector_Params!$F$5:$H$5,MATCH(B1055,Sector_Params!$C$15:$E$15,0))</f>
        <v>0.24</v>
      </c>
      <c r="L1055" s="16" t="n">
        <f aca="false">J1055*K1055</f>
        <v>0.0438887020599452</v>
      </c>
      <c r="M1055" s="44" t="n">
        <f aca="false">Country_Data!$DW$155+Sector_Params!$E$5</f>
        <v>0.105</v>
      </c>
      <c r="N1055" s="44" t="n">
        <f aca="false">Country_Data!$DX$155+Sector_Params!$E$5</f>
        <v>0.15</v>
      </c>
      <c r="O1055" s="11" t="n">
        <f aca="false">IF(p_use_ibrd=1,p_r_ibrd,p_r_wb)</f>
        <v>0.06</v>
      </c>
      <c r="P1055" s="45" t="n">
        <f aca="false">Sector_Params!$D$5</f>
        <v>25</v>
      </c>
      <c r="Q1055" s="46" t="n">
        <f aca="false">M1055/(1-(1+M1055)^-P1055)</f>
        <v>0.114429319813103</v>
      </c>
      <c r="R1055" s="46" t="n">
        <f aca="false">N1055/(1-(1+N1055)^-P1055)</f>
        <v>0.154699402320206</v>
      </c>
      <c r="S1055" s="46" t="n">
        <f aca="false">O1055/(1-(1+O1055)^-P1055)</f>
        <v>0.078226718212274</v>
      </c>
      <c r="T1055" s="37" t="n">
        <f aca="false">IF(AND(p_eng=1,ISNUMBER(Country_Data!$CZ$155)),Country_Data!$CZ$155,Country_Data!$CM$155)*Sector_Params!$I$5</f>
        <v>0.236349045465367</v>
      </c>
      <c r="U1055" s="37" t="n">
        <f aca="false">IF(AND(p_eng=1,ISNUMBER(Country_Data!$DA$155)),Country_Data!$DA$155,Country_Data!$CN$155)*Sector_Params!$J$5</f>
        <v>0.00205068424176827</v>
      </c>
      <c r="V1055" s="37" t="n">
        <f aca="false">IF(AND(p_eng=1,ISNUMBER(Country_Data!$DB$155)),Country_Data!$DB$155,p_a)</f>
        <v>1.4456094436992</v>
      </c>
      <c r="W1055" s="16" t="n">
        <f aca="false">T1055*L1055</f>
        <v>0.0103730528385819</v>
      </c>
      <c r="X1055" s="16" t="n">
        <f aca="false">U1055*L1055</f>
        <v>9.00018697059921E-005</v>
      </c>
      <c r="Y1055" s="16" t="n">
        <f aca="false">V1055*L1055</f>
        <v>0.0634459221695575</v>
      </c>
      <c r="Z1055" s="16" t="n">
        <f aca="false">Q1055*L1055</f>
        <v>0.00502215432419948</v>
      </c>
      <c r="AA1055" s="16" t="n">
        <f aca="false">R1055*L1055</f>
        <v>0.00678955597728314</v>
      </c>
      <c r="AB1055" s="16" t="n">
        <f aca="false">S1055*L1055</f>
        <v>0.00343326912874578</v>
      </c>
      <c r="AC1055" s="16" t="n">
        <f aca="false">Z1055-W1055</f>
        <v>-0.00535089851438245</v>
      </c>
      <c r="AD1055" s="16" t="n">
        <f aca="false">AA1055-W1055</f>
        <v>-0.00358349686129879</v>
      </c>
      <c r="AE1055" s="16" t="n">
        <f aca="false">AB1055-W1055</f>
        <v>-0.00693978370983615</v>
      </c>
      <c r="AF1055" s="16" t="n">
        <f aca="false">AE1055-X1055</f>
        <v>-0.00702978557954214</v>
      </c>
      <c r="AG1055" s="16" t="n">
        <f aca="false">AF1055-p_spc_lo*Y1055/1000</f>
        <v>-0.01020208168802</v>
      </c>
      <c r="AH1055" s="16" t="n">
        <f aca="false">AF1055-p_spc_hi*Y1055/1000</f>
        <v>-0.0133743777964979</v>
      </c>
      <c r="AI1055" s="16" t="n">
        <f aca="false">Q1055*J1055</f>
        <v>0.0209256430174978</v>
      </c>
      <c r="AJ1055" s="16" t="n">
        <f aca="false">S1055*J1055</f>
        <v>0.0143052880364408</v>
      </c>
      <c r="AK1055" s="16" t="n">
        <f aca="false">T1055*J1055</f>
        <v>0.0432210534940914</v>
      </c>
      <c r="AL1055" s="16" t="n">
        <f aca="false">U1055*J1055</f>
        <v>0.000375007790441634</v>
      </c>
      <c r="AM1055" s="16" t="n">
        <f aca="false">AI1055-AJ1055</f>
        <v>0.00662035498105707</v>
      </c>
      <c r="AN1055" s="16" t="n">
        <f aca="false">J1055*Country_Data!$EB$155</f>
        <v>0.215733112782581</v>
      </c>
      <c r="AO1055" s="16" t="n">
        <f aca="false">L1055*Country_Data!$EB$155</f>
        <v>0.0517759470678194</v>
      </c>
    </row>
    <row r="1056" customFormat="false" ht="15" hidden="false" customHeight="false" outlineLevel="0" collapsed="false">
      <c r="A1056" s="14" t="str">
        <f aca="false">Country_Data!$A$155</f>
        <v>MRT</v>
      </c>
      <c r="B1056" s="14" t="str">
        <f aca="false">Country_Data!$E$155</f>
        <v>EMDC</v>
      </c>
      <c r="C1056" s="35" t="s">
        <v>470</v>
      </c>
      <c r="D1056" s="37" t="n">
        <f aca="false">IF(Country_Data!$BZ$155="","",Country_Data!$BZ$155)</f>
        <v>2.02833981230152</v>
      </c>
      <c r="E1056" s="40" t="n">
        <f aca="false">Country_Data!$BW$155</f>
        <v>38.147</v>
      </c>
      <c r="F1056" s="41" t="n">
        <f aca="false">Country_Data!$BX$155</f>
        <v>0.288436836448476</v>
      </c>
      <c r="G1056" s="42" t="n">
        <f aca="false">IF(D1056="","",D1056/SUMIFS($D$5:$D$1369,$B$5:$B$1369,B1056,$C$5:$C$1369,C1056))</f>
        <v>0.000231559604348283</v>
      </c>
      <c r="H1056" s="42" t="n">
        <f aca="false">E1056/SUMIFS($E$5:$E$1369,$B$5:$B$1369,B1056,$C$5:$C$1369,C1056)</f>
        <v>0.000472514640744816</v>
      </c>
      <c r="I1056" s="43" t="n">
        <f aca="false">IF(G1056="",H1056,p_beta_alloc*G1056+(1-p_beta_alloc)*H1056)*F1056^p_phi</f>
        <v>0.000189066169019639</v>
      </c>
      <c r="J1056" s="16" t="n">
        <f aca="false">INDEX(Sector_Params!$C$17:$E$17,MATCH(B1056,Sector_Params!$C$15:$E$15,0))*I1056/SUMIFS($I$5:$I$1369,$B$5:$B$1369,B1056,$C$5:$C$1369,C1056)</f>
        <v>0.125396291599843</v>
      </c>
      <c r="K1056" s="28" t="n">
        <f aca="false">INDEX(Sector_Params!$F$6:$H$6,MATCH(B1056,Sector_Params!$C$15:$E$15,0))</f>
        <v>0.24</v>
      </c>
      <c r="L1056" s="16" t="n">
        <f aca="false">J1056*K1056</f>
        <v>0.0300951099839624</v>
      </c>
      <c r="M1056" s="44" t="n">
        <f aca="false">Country_Data!$DW$155+Sector_Params!$E$6</f>
        <v>0.105</v>
      </c>
      <c r="N1056" s="44" t="n">
        <f aca="false">Country_Data!$DX$155+Sector_Params!$E$6</f>
        <v>0.15</v>
      </c>
      <c r="O1056" s="11" t="n">
        <f aca="false">IF(p_use_ibrd=1,p_r_ibrd,p_r_wb)</f>
        <v>0.06</v>
      </c>
      <c r="P1056" s="45" t="n">
        <f aca="false">Sector_Params!$D$6</f>
        <v>40</v>
      </c>
      <c r="Q1056" s="46" t="n">
        <f aca="false">M1056/(1-(1+M1056)^-P1056)</f>
        <v>0.10697140835497</v>
      </c>
      <c r="R1056" s="46" t="n">
        <f aca="false">N1056/(1-(1+N1056)^-P1056)</f>
        <v>0.150562085013545</v>
      </c>
      <c r="S1056" s="46" t="n">
        <f aca="false">O1056/(1-(1+O1056)^-P1056)</f>
        <v>0.0664615359206755</v>
      </c>
      <c r="T1056" s="37" t="n">
        <f aca="false">p_grid_credit*IF(AND(p_eng=1,ISNUMBER(Country_Data!$CZ$155)),Country_Data!$CZ$155,Country_Data!$CM$155)*Sector_Params!$I$6</f>
        <v>0</v>
      </c>
      <c r="U1056" s="37" t="n">
        <f aca="false">p_grid_credit*IF(AND(p_eng=1,ISNUMBER(Country_Data!$DA$155)),Country_Data!$DA$155,Country_Data!$CN$155)*Sector_Params!$J$6</f>
        <v>0</v>
      </c>
      <c r="V1056" s="37" t="n">
        <f aca="false">p_grid_credit*IF(AND(p_eng=1,ISNUMBER(Country_Data!$DB$155)),Country_Data!$DB$155,p_a)</f>
        <v>0</v>
      </c>
      <c r="W1056" s="16" t="n">
        <f aca="false">T1056*L1056</f>
        <v>0</v>
      </c>
      <c r="X1056" s="16" t="n">
        <f aca="false">U1056*L1056</f>
        <v>0</v>
      </c>
      <c r="Y1056" s="16" t="n">
        <f aca="false">V1056*L1056</f>
        <v>0</v>
      </c>
      <c r="Z1056" s="16" t="n">
        <f aca="false">Q1056*L1056</f>
        <v>0.00321931629958219</v>
      </c>
      <c r="AA1056" s="16" t="n">
        <f aca="false">R1056*L1056</f>
        <v>0.00453118250789734</v>
      </c>
      <c r="AB1056" s="16" t="n">
        <f aca="false">S1056*L1056</f>
        <v>0.0020001672332358</v>
      </c>
      <c r="AC1056" s="16" t="n">
        <f aca="false">Z1056-W1056</f>
        <v>0.00321931629958219</v>
      </c>
      <c r="AD1056" s="16" t="n">
        <f aca="false">AA1056-W1056</f>
        <v>0.00453118250789734</v>
      </c>
      <c r="AE1056" s="16" t="n">
        <f aca="false">AB1056-W1056</f>
        <v>0.0020001672332358</v>
      </c>
      <c r="AF1056" s="16" t="n">
        <f aca="false">AE1056-X1056</f>
        <v>0.0020001672332358</v>
      </c>
      <c r="AG1056" s="16" t="n">
        <f aca="false">AF1056-p_spc_lo*Y1056/1000</f>
        <v>0.0020001672332358</v>
      </c>
      <c r="AH1056" s="16" t="n">
        <f aca="false">AF1056-p_spc_hi*Y1056/1000</f>
        <v>0.0020001672332358</v>
      </c>
      <c r="AI1056" s="16" t="n">
        <f aca="false">Q1056*J1056</f>
        <v>0.0134138179149258</v>
      </c>
      <c r="AJ1056" s="16" t="n">
        <f aca="false">S1056*J1056</f>
        <v>0.00833403013848249</v>
      </c>
      <c r="AK1056" s="16" t="n">
        <f aca="false">T1056*J1056</f>
        <v>0</v>
      </c>
      <c r="AL1056" s="16" t="n">
        <f aca="false">U1056*J1056</f>
        <v>0</v>
      </c>
      <c r="AM1056" s="16" t="n">
        <f aca="false">AI1056-AJ1056</f>
        <v>0.0050797877764433</v>
      </c>
      <c r="AN1056" s="16" t="n">
        <f aca="false">J1056*Country_Data!$EB$155</f>
        <v>0.147931277336627</v>
      </c>
      <c r="AO1056" s="16" t="n">
        <f aca="false">L1056*Country_Data!$EB$155</f>
        <v>0.0355035065607905</v>
      </c>
    </row>
    <row r="1057" customFormat="false" ht="15" hidden="false" customHeight="false" outlineLevel="0" collapsed="false">
      <c r="A1057" s="14" t="str">
        <f aca="false">Country_Data!$A$155</f>
        <v>MRT</v>
      </c>
      <c r="B1057" s="14" t="str">
        <f aca="false">Country_Data!$E$155</f>
        <v>EMDC</v>
      </c>
      <c r="C1057" s="35" t="s">
        <v>473</v>
      </c>
      <c r="D1057" s="37" t="n">
        <f aca="false">IF(Country_Data!$CA$155="","",Country_Data!$CA$155)</f>
        <v>0.039073768786326</v>
      </c>
      <c r="E1057" s="40" t="n">
        <f aca="false">Country_Data!$BW$155</f>
        <v>38.147</v>
      </c>
      <c r="F1057" s="41" t="n">
        <f aca="false">Country_Data!$BX$155</f>
        <v>0.288436836448476</v>
      </c>
      <c r="G1057" s="42" t="n">
        <f aca="false">IF(D1057="","",D1057/SUMIFS($D$5:$D$1369,$B$5:$B$1369,B1057,$C$5:$C$1369,C1057))</f>
        <v>0.000902694972465031</v>
      </c>
      <c r="H1057" s="42" t="n">
        <f aca="false">E1057/SUMIFS($E$5:$E$1369,$B$5:$B$1369,B1057,$C$5:$C$1369,C1057)</f>
        <v>0.000472514640744816</v>
      </c>
      <c r="I1057" s="43" t="n">
        <f aca="false">IF(G1057="",H1057,p_beta_alloc*G1057+(1-p_beta_alloc)*H1057)*F1057^p_phi</f>
        <v>0.000369287209382564</v>
      </c>
      <c r="J1057" s="16" t="n">
        <f aca="false">INDEX(Sector_Params!$C$18:$E$18,MATCH(B1057,Sector_Params!$C$15:$E$15,0))*I1057/SUMIFS($I$5:$I$1369,$B$5:$B$1369,B1057,$C$5:$C$1369,C1057)</f>
        <v>0.151214374458352</v>
      </c>
      <c r="K1057" s="28" t="n">
        <f aca="false">INDEX(Sector_Params!$F$7:$H$7,MATCH(B1057,Sector_Params!$C$15:$E$15,0))</f>
        <v>0.24</v>
      </c>
      <c r="L1057" s="16" t="n">
        <f aca="false">J1057*K1057</f>
        <v>0.0362914498700044</v>
      </c>
      <c r="M1057" s="44" t="n">
        <f aca="false">Country_Data!$DW$155+Sector_Params!$E$7</f>
        <v>0.105</v>
      </c>
      <c r="N1057" s="44" t="n">
        <f aca="false">Country_Data!$DX$155+Sector_Params!$E$7</f>
        <v>0.15</v>
      </c>
      <c r="O1057" s="11" t="n">
        <f aca="false">IF(p_use_ibrd=1,p_r_ibrd,p_r_wb)</f>
        <v>0.06</v>
      </c>
      <c r="P1057" s="45" t="n">
        <f aca="false">Sector_Params!$D$7</f>
        <v>12</v>
      </c>
      <c r="Q1057" s="46" t="n">
        <f aca="false">M1057/(1-(1+M1057)^-P1057)</f>
        <v>0.150376745634766</v>
      </c>
      <c r="R1057" s="46" t="n">
        <f aca="false">N1057/(1-(1+N1057)^-P1057)</f>
        <v>0.18448077613084</v>
      </c>
      <c r="S1057" s="46" t="n">
        <f aca="false">O1057/(1-(1+O1057)^-P1057)</f>
        <v>0.119277029380664</v>
      </c>
      <c r="T1057" s="37" t="n">
        <f aca="false">IF(AND(p_eng=1,ISNUMBER(Country_Data!$DE$155)),Country_Data!$DE$155,Country_Data!$CM$155)*Sector_Params!$I$7</f>
        <v>-0.0172989</v>
      </c>
      <c r="U1057" s="37" t="n">
        <f aca="false">IF(AND(p_eng=1,ISNUMBER(Country_Data!$DF$155)),Country_Data!$DF$155,Country_Data!$CN$155)*Sector_Params!$J$7</f>
        <v>0.0007056</v>
      </c>
      <c r="V1057" s="37" t="n">
        <f aca="false">IF(AND(p_eng=1,ISNUMBER(Country_Data!$DG$155)),Country_Data!$DG$155,p_a)</f>
        <v>0.194049586956522</v>
      </c>
      <c r="W1057" s="16" t="n">
        <f aca="false">T1057*L1057</f>
        <v>-0.000627802162156218</v>
      </c>
      <c r="X1057" s="16" t="n">
        <f aca="false">U1057*L1057</f>
        <v>2.56072470282751E-005</v>
      </c>
      <c r="Y1057" s="16" t="n">
        <f aca="false">V1057*L1057</f>
        <v>0.00704234085732766</v>
      </c>
      <c r="Z1057" s="16" t="n">
        <f aca="false">Q1057*L1057</f>
        <v>0.0054573901258185</v>
      </c>
      <c r="AA1057" s="16" t="n">
        <f aca="false">R1057*L1057</f>
        <v>0.00669507483893186</v>
      </c>
      <c r="AB1057" s="16" t="n">
        <f aca="false">S1057*L1057</f>
        <v>0.00432873633241139</v>
      </c>
      <c r="AC1057" s="16" t="n">
        <f aca="false">Z1057-W1057</f>
        <v>0.00608519228797472</v>
      </c>
      <c r="AD1057" s="16" t="n">
        <f aca="false">AA1057-W1057</f>
        <v>0.00732287700108808</v>
      </c>
      <c r="AE1057" s="16" t="n">
        <f aca="false">AB1057-W1057</f>
        <v>0.00495653849456761</v>
      </c>
      <c r="AF1057" s="16" t="n">
        <f aca="false">AE1057-X1057</f>
        <v>0.00493093124753933</v>
      </c>
      <c r="AG1057" s="16" t="n">
        <f aca="false">AF1057-p_spc_lo*Y1057/1000</f>
        <v>0.00457881420467295</v>
      </c>
      <c r="AH1057" s="16" t="n">
        <f aca="false">AF1057-p_spc_hi*Y1057/1000</f>
        <v>0.00422669716180657</v>
      </c>
      <c r="AI1057" s="16" t="n">
        <f aca="false">Q1057*J1057</f>
        <v>0.0227391255242437</v>
      </c>
      <c r="AJ1057" s="16" t="n">
        <f aca="false">S1057*J1057</f>
        <v>0.0180364013850475</v>
      </c>
      <c r="AK1057" s="16" t="n">
        <f aca="false">T1057*J1057</f>
        <v>-0.00261584234231757</v>
      </c>
      <c r="AL1057" s="16" t="n">
        <f aca="false">U1057*J1057</f>
        <v>0.000106696862617813</v>
      </c>
      <c r="AM1057" s="16" t="n">
        <f aca="false">AI1057-AJ1057</f>
        <v>0.00470272413919629</v>
      </c>
      <c r="AN1057" s="16" t="n">
        <f aca="false">J1057*Country_Data!$EB$155</f>
        <v>0.178389131607389</v>
      </c>
      <c r="AO1057" s="16" t="n">
        <f aca="false">L1057*Country_Data!$EB$155</f>
        <v>0.0428133915857733</v>
      </c>
    </row>
    <row r="1058" customFormat="false" ht="15" hidden="false" customHeight="false" outlineLevel="0" collapsed="false">
      <c r="A1058" s="14" t="str">
        <f aca="false">Country_Data!$A$155</f>
        <v>MRT</v>
      </c>
      <c r="B1058" s="14" t="str">
        <f aca="false">Country_Data!$E$155</f>
        <v>EMDC</v>
      </c>
      <c r="C1058" s="35" t="s">
        <v>477</v>
      </c>
      <c r="D1058" s="37" t="n">
        <f aca="false">IF(Country_Data!$CB$155="","",Country_Data!$CB$155)</f>
        <v>0.00634254835927777</v>
      </c>
      <c r="E1058" s="40" t="n">
        <f aca="false">Country_Data!$BW$155</f>
        <v>38.147</v>
      </c>
      <c r="F1058" s="41" t="n">
        <f aca="false">Country_Data!$BX$155</f>
        <v>0.288436836448476</v>
      </c>
      <c r="G1058" s="42" t="n">
        <f aca="false">IF(D1058="","",D1058/SUMIFS($D$5:$D$1369,$B$5:$B$1369,B1058,$C$5:$C$1369,C1058))</f>
        <v>0.00019999986282979</v>
      </c>
      <c r="H1058" s="42" t="n">
        <f aca="false">E1058/SUMIFS($E$5:$E$1369,$B$5:$B$1369,B1058,$C$5:$C$1369,C1058)</f>
        <v>0.000472514640744816</v>
      </c>
      <c r="I1058" s="43" t="n">
        <f aca="false">IF(G1058="",H1058,p_beta_alloc*G1058+(1-p_beta_alloc)*H1058)*F1058^p_phi</f>
        <v>0.000180591381785571</v>
      </c>
      <c r="J1058" s="16" t="n">
        <f aca="false">INDEX(Sector_Params!$C$19:$E$19,MATCH(B1058,Sector_Params!$C$15:$E$15,0))*I1058/SUMIFS($I$5:$I$1369,$B$5:$B$1369,B1058,$C$5:$C$1369,C1058)</f>
        <v>0.0581256110516291</v>
      </c>
      <c r="K1058" s="28" t="n">
        <f aca="false">INDEX(Sector_Params!$F$8:$H$8,MATCH(B1058,Sector_Params!$C$15:$E$15,0))</f>
        <v>0.24</v>
      </c>
      <c r="L1058" s="16" t="n">
        <f aca="false">J1058*K1058</f>
        <v>0.013950146652391</v>
      </c>
      <c r="M1058" s="44" t="n">
        <f aca="false">Country_Data!$DW$155+Sector_Params!$E$8</f>
        <v>0.105</v>
      </c>
      <c r="N1058" s="44" t="n">
        <f aca="false">Country_Data!$DX$155+Sector_Params!$E$8</f>
        <v>0.15</v>
      </c>
      <c r="O1058" s="11" t="n">
        <f aca="false">IF(p_use_ibrd=1,p_r_ibrd,p_r_wb)</f>
        <v>0.06</v>
      </c>
      <c r="P1058" s="45" t="n">
        <f aca="false">Sector_Params!$D$8</f>
        <v>25</v>
      </c>
      <c r="Q1058" s="46" t="n">
        <f aca="false">M1058/(1-(1+M1058)^-P1058)</f>
        <v>0.114429319813103</v>
      </c>
      <c r="R1058" s="46" t="n">
        <f aca="false">N1058/(1-(1+N1058)^-P1058)</f>
        <v>0.154699402320206</v>
      </c>
      <c r="S1058" s="46" t="n">
        <f aca="false">O1058/(1-(1+O1058)^-P1058)</f>
        <v>0.078226718212274</v>
      </c>
      <c r="T1058" s="37" t="n">
        <f aca="false">Country_Data!$CM$155*Sector_Params!$I$8</f>
        <v>0.206860601873024</v>
      </c>
      <c r="U1058" s="37" t="n">
        <f aca="false">Country_Data!$CN$155*Sector_Params!$J$8</f>
        <v>0.03225</v>
      </c>
      <c r="V1058" s="37" t="n">
        <f aca="false">p_a</f>
        <v>0.35</v>
      </c>
      <c r="W1058" s="16" t="n">
        <f aca="false">T1058*L1058</f>
        <v>0.00288573573273054</v>
      </c>
      <c r="X1058" s="16" t="n">
        <f aca="false">U1058*L1058</f>
        <v>0.000449892229539609</v>
      </c>
      <c r="Y1058" s="16" t="n">
        <f aca="false">V1058*L1058</f>
        <v>0.00488255132833684</v>
      </c>
      <c r="Z1058" s="16" t="n">
        <f aca="false">Q1058*L1058</f>
        <v>0.00159630579272614</v>
      </c>
      <c r="AA1058" s="16" t="n">
        <f aca="false">R1058*L1058</f>
        <v>0.00215807934940411</v>
      </c>
      <c r="AB1058" s="16" t="n">
        <f aca="false">S1058*L1058</f>
        <v>0.00109127419119649</v>
      </c>
      <c r="AC1058" s="16" t="n">
        <f aca="false">Z1058-W1058</f>
        <v>-0.0012894299400044</v>
      </c>
      <c r="AD1058" s="16" t="n">
        <f aca="false">AA1058-W1058</f>
        <v>-0.00072765638332643</v>
      </c>
      <c r="AE1058" s="16" t="n">
        <f aca="false">AB1058-W1058</f>
        <v>-0.00179446154153406</v>
      </c>
      <c r="AF1058" s="16" t="n">
        <f aca="false">AE1058-X1058</f>
        <v>-0.00224435377107367</v>
      </c>
      <c r="AG1058" s="16" t="n">
        <f aca="false">AF1058-p_spc_lo*Y1058/1000</f>
        <v>-0.00248848133749051</v>
      </c>
      <c r="AH1058" s="16" t="n">
        <f aca="false">AF1058-p_spc_hi*Y1058/1000</f>
        <v>-0.00273260890390735</v>
      </c>
      <c r="AI1058" s="16" t="n">
        <f aca="false">Q1058*J1058</f>
        <v>0.00665127413635892</v>
      </c>
      <c r="AJ1058" s="16" t="n">
        <f aca="false">S1058*J1058</f>
        <v>0.00454697579665202</v>
      </c>
      <c r="AK1058" s="16" t="n">
        <f aca="false">T1058*J1058</f>
        <v>0.0120238988863773</v>
      </c>
      <c r="AL1058" s="16" t="n">
        <f aca="false">U1058*J1058</f>
        <v>0.00187455095641504</v>
      </c>
      <c r="AM1058" s="16" t="n">
        <f aca="false">AI1058-AJ1058</f>
        <v>0.00210429833970689</v>
      </c>
      <c r="AN1058" s="16" t="n">
        <f aca="false">J1058*Country_Data!$EB$155</f>
        <v>0.0685713730377189</v>
      </c>
      <c r="AO1058" s="16" t="n">
        <f aca="false">L1058*Country_Data!$EB$155</f>
        <v>0.0164571295290525</v>
      </c>
    </row>
    <row r="1059" customFormat="false" ht="15" hidden="false" customHeight="false" outlineLevel="0" collapsed="false">
      <c r="A1059" s="14" t="str">
        <f aca="false">Country_Data!$A$155</f>
        <v>MRT</v>
      </c>
      <c r="B1059" s="14" t="str">
        <f aca="false">Country_Data!$E$155</f>
        <v>EMDC</v>
      </c>
      <c r="C1059" s="35" t="s">
        <v>481</v>
      </c>
      <c r="D1059" s="37" t="n">
        <f aca="false">IF(Country_Data!$CC$155="","",Country_Data!$CC$155)</f>
        <v>0.0278046935819772</v>
      </c>
      <c r="E1059" s="40" t="n">
        <f aca="false">Country_Data!$BW$155</f>
        <v>38.147</v>
      </c>
      <c r="F1059" s="41" t="n">
        <f aca="false">Country_Data!$BX$155</f>
        <v>0.288436836448476</v>
      </c>
      <c r="G1059" s="42" t="n">
        <f aca="false">IF(D1059="","",D1059/SUMIFS($D$5:$D$1369,$B$5:$B$1369,B1059,$C$5:$C$1369,C1059))</f>
        <v>0.000397168730275645</v>
      </c>
      <c r="H1059" s="42" t="n">
        <f aca="false">E1059/SUMIFS($E$5:$E$1369,$B$5:$B$1369,B1059,$C$5:$C$1369,C1059)</f>
        <v>0.000472514640744816</v>
      </c>
      <c r="I1059" s="43" t="n">
        <f aca="false">IF(G1059="",H1059,p_beta_alloc*G1059+(1-p_beta_alloc)*H1059)*F1059^p_phi</f>
        <v>0.000233537449160894</v>
      </c>
      <c r="J1059" s="16" t="n">
        <f aca="false">INDEX(Sector_Params!$C$20:$E$20,MATCH(B1059,Sector_Params!$C$15:$E$15,0))*I1059/SUMIFS($I$5:$I$1369,$B$5:$B$1369,B1059,$C$5:$C$1369,C1059)</f>
        <v>0.0426252873759171</v>
      </c>
      <c r="K1059" s="28" t="n">
        <f aca="false">INDEX(Sector_Params!$F$9:$H$9,MATCH(B1059,Sector_Params!$C$15:$E$15,0))</f>
        <v>0.24</v>
      </c>
      <c r="L1059" s="16" t="n">
        <f aca="false">J1059*K1059</f>
        <v>0.0102300689702201</v>
      </c>
      <c r="M1059" s="44" t="n">
        <f aca="false">Country_Data!$DW$155+Sector_Params!$E$9</f>
        <v>0.105</v>
      </c>
      <c r="N1059" s="44" t="n">
        <f aca="false">Country_Data!$DX$155+Sector_Params!$E$9</f>
        <v>0.15</v>
      </c>
      <c r="O1059" s="11" t="n">
        <f aca="false">IF(p_use_ibrd=1,p_r_ibrd,p_r_wb)</f>
        <v>0.06</v>
      </c>
      <c r="P1059" s="45" t="n">
        <f aca="false">Sector_Params!$D$9</f>
        <v>25</v>
      </c>
      <c r="Q1059" s="46" t="n">
        <f aca="false">M1059/(1-(1+M1059)^-P1059)</f>
        <v>0.114429319813103</v>
      </c>
      <c r="R1059" s="46" t="n">
        <f aca="false">N1059/(1-(1+N1059)^-P1059)</f>
        <v>0.154699402320206</v>
      </c>
      <c r="S1059" s="46" t="n">
        <f aca="false">O1059/(1-(1+O1059)^-P1059)</f>
        <v>0.078226718212274</v>
      </c>
      <c r="T1059" s="37" t="n">
        <f aca="false">Country_Data!$CM$155*Sector_Params!$I$9</f>
        <v>0.206860601873024</v>
      </c>
      <c r="U1059" s="37" t="n">
        <f aca="false">Country_Data!$CN$155*Sector_Params!$J$9</f>
        <v>0.03225</v>
      </c>
      <c r="V1059" s="37" t="n">
        <f aca="false">p_a</f>
        <v>0.35</v>
      </c>
      <c r="W1059" s="16" t="n">
        <f aca="false">T1059*L1059</f>
        <v>0.00211619822438227</v>
      </c>
      <c r="X1059" s="16" t="n">
        <f aca="false">U1059*L1059</f>
        <v>0.000329919724289598</v>
      </c>
      <c r="Y1059" s="16" t="n">
        <f aca="false">V1059*L1059</f>
        <v>0.00358052413957703</v>
      </c>
      <c r="Z1059" s="16" t="n">
        <f aca="false">Q1059*L1059</f>
        <v>0.00117061983390342</v>
      </c>
      <c r="AA1059" s="16" t="n">
        <f aca="false">R1059*L1059</f>
        <v>0.00158258555538754</v>
      </c>
      <c r="AB1059" s="16" t="n">
        <f aca="false">S1059*L1059</f>
        <v>0.000800264722625535</v>
      </c>
      <c r="AC1059" s="16" t="n">
        <f aca="false">Z1059-W1059</f>
        <v>-0.000945578390478851</v>
      </c>
      <c r="AD1059" s="16" t="n">
        <f aca="false">AA1059-W1059</f>
        <v>-0.000533612668994733</v>
      </c>
      <c r="AE1059" s="16" t="n">
        <f aca="false">AB1059-W1059</f>
        <v>-0.00131593350175674</v>
      </c>
      <c r="AF1059" s="16" t="n">
        <f aca="false">AE1059-X1059</f>
        <v>-0.00164585322604633</v>
      </c>
      <c r="AG1059" s="16" t="n">
        <f aca="false">AF1059-p_spc_lo*Y1059/1000</f>
        <v>-0.00182487943302519</v>
      </c>
      <c r="AH1059" s="16" t="n">
        <f aca="false">AF1059-p_spc_hi*Y1059/1000</f>
        <v>-0.00200390564000404</v>
      </c>
      <c r="AI1059" s="16" t="n">
        <f aca="false">Q1059*J1059</f>
        <v>0.00487758264126425</v>
      </c>
      <c r="AJ1059" s="16" t="n">
        <f aca="false">S1059*J1059</f>
        <v>0.00333443634427306</v>
      </c>
      <c r="AK1059" s="16" t="n">
        <f aca="false">T1059*J1059</f>
        <v>0.0088174926015928</v>
      </c>
      <c r="AL1059" s="16" t="n">
        <f aca="false">U1059*J1059</f>
        <v>0.00137466551787333</v>
      </c>
      <c r="AM1059" s="16" t="n">
        <f aca="false">AI1059-AJ1059</f>
        <v>0.00154314629699119</v>
      </c>
      <c r="AN1059" s="16" t="n">
        <f aca="false">J1059*Country_Data!$EB$155</f>
        <v>0.050285483947821</v>
      </c>
      <c r="AO1059" s="16" t="n">
        <f aca="false">L1059*Country_Data!$EB$155</f>
        <v>0.012068516147477</v>
      </c>
    </row>
    <row r="1060" customFormat="false" ht="15" hidden="false" customHeight="false" outlineLevel="0" collapsed="false">
      <c r="A1060" s="14" t="str">
        <f aca="false">Country_Data!$A$155</f>
        <v>MRT</v>
      </c>
      <c r="B1060" s="14" t="str">
        <f aca="false">Country_Data!$E$155</f>
        <v>EMDC</v>
      </c>
      <c r="C1060" s="35" t="s">
        <v>484</v>
      </c>
      <c r="D1060" s="37" t="n">
        <f aca="false">IF(Country_Data!$CD$155="","",Country_Data!$CD$155)</f>
        <v>0.0659189874032955</v>
      </c>
      <c r="E1060" s="40" t="n">
        <f aca="false">Country_Data!$BW$155</f>
        <v>38.147</v>
      </c>
      <c r="F1060" s="41" t="n">
        <f aca="false">Country_Data!$BX$155</f>
        <v>0.288436836448476</v>
      </c>
      <c r="G1060" s="42" t="n">
        <f aca="false">IF(D1060="","",D1060/SUMIFS($D$5:$D$1369,$B$5:$B$1369,B1060,$C$5:$C$1369,C1060))</f>
        <v>0.000368115707140242</v>
      </c>
      <c r="H1060" s="42" t="n">
        <f aca="false">E1060/SUMIFS($E$5:$E$1369,$B$5:$B$1369,B1060,$C$5:$C$1369,C1060)</f>
        <v>0.000472514640744816</v>
      </c>
      <c r="I1060" s="43" t="n">
        <f aca="false">IF(G1060="",H1060,p_beta_alloc*G1060+(1-p_beta_alloc)*H1060)*F1060^p_phi</f>
        <v>0.00022573579497324</v>
      </c>
      <c r="J1060" s="16" t="n">
        <f aca="false">INDEX(Sector_Params!$C$21:$E$21,MATCH(B1060,Sector_Params!$C$15:$E$15,0))*I1060/SUMIFS($I$5:$I$1369,$B$5:$B$1369,B1060,$C$5:$C$1369,C1060)</f>
        <v>0.050065902747201</v>
      </c>
      <c r="K1060" s="28" t="n">
        <f aca="false">INDEX(Sector_Params!$F$10:$H$10,MATCH(B1060,Sector_Params!$C$15:$E$15,0))</f>
        <v>0.24</v>
      </c>
      <c r="L1060" s="16" t="n">
        <f aca="false">J1060*K1060</f>
        <v>0.0120158166593282</v>
      </c>
      <c r="M1060" s="44" t="n">
        <f aca="false">Country_Data!$DW$155+Sector_Params!$E$10</f>
        <v>0.105</v>
      </c>
      <c r="N1060" s="44" t="n">
        <f aca="false">Country_Data!$DX$155+Sector_Params!$E$10</f>
        <v>0.15</v>
      </c>
      <c r="O1060" s="11" t="n">
        <f aca="false">IF(p_use_ibrd=1,p_r_ibrd,p_r_wb)</f>
        <v>0.06</v>
      </c>
      <c r="P1060" s="45" t="n">
        <f aca="false">Sector_Params!$D$10</f>
        <v>20</v>
      </c>
      <c r="Q1060" s="46" t="n">
        <f aca="false">M1060/(1-(1+M1060)^-P1060)</f>
        <v>0.121493265267016</v>
      </c>
      <c r="R1060" s="46" t="n">
        <f aca="false">N1060/(1-(1+N1060)^-P1060)</f>
        <v>0.159761470405744</v>
      </c>
      <c r="S1060" s="46" t="n">
        <f aca="false">O1060/(1-(1+O1060)^-P1060)</f>
        <v>0.0871845569768514</v>
      </c>
      <c r="T1060" s="37" t="n">
        <f aca="false">0*Sector_Params!$I$10</f>
        <v>0</v>
      </c>
      <c r="U1060" s="37" t="n">
        <f aca="false">0*Sector_Params!$J$10</f>
        <v>0</v>
      </c>
      <c r="V1060" s="37" t="n">
        <f aca="false">1000*p_r_wb/(1-(1+p_r_wb)^-Sector_Params!$D$10)/p_cpt_fuel</f>
        <v>0.871845569768514</v>
      </c>
      <c r="W1060" s="16" t="n">
        <f aca="false">T1060*L1060</f>
        <v>0</v>
      </c>
      <c r="X1060" s="16" t="n">
        <f aca="false">U1060*L1060</f>
        <v>0</v>
      </c>
      <c r="Y1060" s="16" t="n">
        <f aca="false">V1060*L1060</f>
        <v>0.010475936521586</v>
      </c>
      <c r="Z1060" s="16" t="n">
        <f aca="false">Q1060*L1060</f>
        <v>0.0014598408007916</v>
      </c>
      <c r="AA1060" s="16" t="n">
        <f aca="false">R1060*L1060</f>
        <v>0.00191966453762011</v>
      </c>
      <c r="AB1060" s="16" t="n">
        <f aca="false">S1060*L1060</f>
        <v>0.0010475936521586</v>
      </c>
      <c r="AC1060" s="16" t="n">
        <f aca="false">Z1060-W1060</f>
        <v>0.0014598408007916</v>
      </c>
      <c r="AD1060" s="16" t="n">
        <f aca="false">AA1060-W1060</f>
        <v>0.00191966453762011</v>
      </c>
      <c r="AE1060" s="16" t="n">
        <f aca="false">AB1060-W1060</f>
        <v>0.0010475936521586</v>
      </c>
      <c r="AF1060" s="16" t="n">
        <f aca="false">AE1060-X1060</f>
        <v>0.0010475936521586</v>
      </c>
      <c r="AG1060" s="16" t="n">
        <f aca="false">AF1060-p_spc_lo*Y1060/1000</f>
        <v>0.000523796826079302</v>
      </c>
      <c r="AH1060" s="16" t="n">
        <f aca="false">AF1060-p_spc_hi*Y1060/1000</f>
        <v>0</v>
      </c>
      <c r="AI1060" s="16" t="n">
        <f aca="false">Q1060*J1060</f>
        <v>0.00608267000329833</v>
      </c>
      <c r="AJ1060" s="16" t="n">
        <f aca="false">S1060*J1060</f>
        <v>0.00436497355066085</v>
      </c>
      <c r="AK1060" s="16" t="n">
        <f aca="false">T1060*J1060</f>
        <v>0</v>
      </c>
      <c r="AL1060" s="16" t="n">
        <f aca="false">U1060*J1060</f>
        <v>0</v>
      </c>
      <c r="AM1060" s="16" t="n">
        <f aca="false">AI1060-AJ1060</f>
        <v>0.00171769645263748</v>
      </c>
      <c r="AN1060" s="16" t="n">
        <f aca="false">J1060*Country_Data!$EB$155</f>
        <v>0.0590632533858285</v>
      </c>
      <c r="AO1060" s="16" t="n">
        <f aca="false">L1060*Country_Data!$EB$155</f>
        <v>0.0141751808125988</v>
      </c>
    </row>
    <row r="1061" customFormat="false" ht="15" hidden="false" customHeight="false" outlineLevel="0" collapsed="false">
      <c r="A1061" s="14" t="str">
        <f aca="false">Country_Data!$A$155</f>
        <v>MRT</v>
      </c>
      <c r="B1061" s="14" t="str">
        <f aca="false">Country_Data!$E$155</f>
        <v>EMDC</v>
      </c>
      <c r="C1061" s="35" t="s">
        <v>488</v>
      </c>
      <c r="D1061" s="37" t="n">
        <f aca="false">IF(Country_Data!$CE$155="","",Country_Data!$CE$155)</f>
        <v>12.932</v>
      </c>
      <c r="E1061" s="40" t="n">
        <f aca="false">Country_Data!$BW$155</f>
        <v>38.147</v>
      </c>
      <c r="F1061" s="41" t="n">
        <f aca="false">Country_Data!$BX$155</f>
        <v>0.288436836448476</v>
      </c>
      <c r="G1061" s="42" t="n">
        <f aca="false">IF(D1061="","",D1061/SUMIFS($D$5:$D$1369,$B$5:$B$1369,B1061,$C$5:$C$1369,C1061))</f>
        <v>0.0010596430219</v>
      </c>
      <c r="H1061" s="42" t="n">
        <f aca="false">E1061/SUMIFS($E$5:$E$1369,$B$5:$B$1369,B1061,$C$5:$C$1369,C1061)</f>
        <v>0.000472514640744816</v>
      </c>
      <c r="I1061" s="43" t="n">
        <f aca="false">IF(G1061="",H1061,p_beta_alloc*G1061+(1-p_beta_alloc)*H1061)*F1061^p_phi</f>
        <v>0.000411432716974382</v>
      </c>
      <c r="J1061" s="16" t="n">
        <f aca="false">INDEX(Sector_Params!$C$22:$E$22,MATCH(B1061,Sector_Params!$C$15:$E$15,0))*I1061/SUMIFS($I$5:$I$1369,$B$5:$B$1369,B1061,$C$5:$C$1369,C1061)</f>
        <v>0.248015092979849</v>
      </c>
      <c r="K1061" s="28" t="n">
        <f aca="false">INDEX(Sector_Params!$F$11:$H$11,MATCH(B1061,Sector_Params!$C$15:$E$15,0))</f>
        <v>0.24</v>
      </c>
      <c r="L1061" s="16" t="n">
        <f aca="false">J1061*K1061</f>
        <v>0.0595236223151637</v>
      </c>
      <c r="M1061" s="44" t="n">
        <f aca="false">Country_Data!$DW$155+Sector_Params!$E$11</f>
        <v>0.105</v>
      </c>
      <c r="N1061" s="44" t="n">
        <f aca="false">Country_Data!$DX$155+Sector_Params!$E$11</f>
        <v>0.15</v>
      </c>
      <c r="O1061" s="11" t="n">
        <f aca="false">IF(p_use_ibrd=1,p_r_ibrd,p_r_wb)</f>
        <v>0.06</v>
      </c>
      <c r="P1061" s="45" t="n">
        <f aca="false">Sector_Params!$D$11</f>
        <v>30</v>
      </c>
      <c r="Q1061" s="46" t="n">
        <f aca="false">M1061/(1-(1+M1061)^-P1061)</f>
        <v>0.110528481529605</v>
      </c>
      <c r="R1061" s="46" t="n">
        <f aca="false">N1061/(1-(1+N1061)^-P1061)</f>
        <v>0.152300198192734</v>
      </c>
      <c r="S1061" s="46" t="n">
        <f aca="false">O1061/(1-(1+O1061)^-P1061)</f>
        <v>0.0726489114900472</v>
      </c>
      <c r="T1061" s="37" t="n">
        <f aca="false">0*Sector_Params!$I$11</f>
        <v>0</v>
      </c>
      <c r="U1061" s="37" t="n">
        <f aca="false">p_c*Sector_Params!$J$11</f>
        <v>0.129</v>
      </c>
      <c r="V1061" s="37" t="n">
        <f aca="false">1000*p_r_wb/(1-(1+p_r_wb)^-Sector_Params!$D$11)/p_cpt_afolu</f>
        <v>1.45297822980094</v>
      </c>
      <c r="W1061" s="16" t="n">
        <f aca="false">T1061*L1061</f>
        <v>0</v>
      </c>
      <c r="X1061" s="16" t="n">
        <f aca="false">U1061*L1061</f>
        <v>0.00767854727865612</v>
      </c>
      <c r="Y1061" s="16" t="n">
        <f aca="false">V1061*L1061</f>
        <v>0.0864865273828266</v>
      </c>
      <c r="Z1061" s="16" t="n">
        <f aca="false">Q1061*L1061</f>
        <v>0.00657905558963677</v>
      </c>
      <c r="AA1061" s="16" t="n">
        <f aca="false">R1061*L1061</f>
        <v>0.0090654594757489</v>
      </c>
      <c r="AB1061" s="16" t="n">
        <f aca="false">S1061*L1061</f>
        <v>0.00432432636914133</v>
      </c>
      <c r="AC1061" s="16" t="n">
        <f aca="false">Z1061-W1061</f>
        <v>0.00657905558963677</v>
      </c>
      <c r="AD1061" s="16" t="n">
        <f aca="false">AA1061-W1061</f>
        <v>0.0090654594757489</v>
      </c>
      <c r="AE1061" s="16" t="n">
        <f aca="false">AB1061-W1061</f>
        <v>0.00432432636914133</v>
      </c>
      <c r="AF1061" s="16" t="n">
        <f aca="false">AE1061-X1061</f>
        <v>-0.00335422090951479</v>
      </c>
      <c r="AG1061" s="16" t="n">
        <f aca="false">AF1061-p_spc_lo*Y1061/1000</f>
        <v>-0.00767854727865612</v>
      </c>
      <c r="AH1061" s="16" t="n">
        <f aca="false">AF1061-p_spc_hi*Y1061/1000</f>
        <v>-0.0120028736477974</v>
      </c>
      <c r="AI1061" s="16" t="n">
        <f aca="false">Q1061*J1061</f>
        <v>0.0274127316234865</v>
      </c>
      <c r="AJ1061" s="16" t="n">
        <f aca="false">S1061*J1061</f>
        <v>0.0180180265380889</v>
      </c>
      <c r="AK1061" s="16" t="n">
        <f aca="false">T1061*J1061</f>
        <v>0</v>
      </c>
      <c r="AL1061" s="16" t="n">
        <f aca="false">U1061*J1061</f>
        <v>0.0319939469944005</v>
      </c>
      <c r="AM1061" s="16" t="n">
        <f aca="false">AI1061-AJ1061</f>
        <v>0.00939470508539766</v>
      </c>
      <c r="AN1061" s="16" t="n">
        <f aca="false">J1061*Country_Data!$EB$155</f>
        <v>0.292585921283474</v>
      </c>
      <c r="AO1061" s="16" t="n">
        <f aca="false">L1061*Country_Data!$EB$155</f>
        <v>0.0702206211080337</v>
      </c>
    </row>
    <row r="1062" customFormat="false" ht="15" hidden="false" customHeight="false" outlineLevel="0" collapsed="false">
      <c r="A1062" s="14" t="str">
        <f aca="false">Country_Data!$A$156</f>
        <v>TGO</v>
      </c>
      <c r="B1062" s="14" t="str">
        <f aca="false">Country_Data!$E$156</f>
        <v>EMDC</v>
      </c>
      <c r="C1062" s="35" t="s">
        <v>466</v>
      </c>
      <c r="D1062" s="37" t="n">
        <f aca="false">IF(Country_Data!$BZ$156="","",Country_Data!$BZ$156)</f>
        <v>1.776227050734</v>
      </c>
      <c r="E1062" s="40" t="n">
        <f aca="false">Country_Data!$BW$156</f>
        <v>32.007</v>
      </c>
      <c r="F1062" s="41" t="n">
        <f aca="false">Country_Data!$BX$156</f>
        <v>0.332552254194395</v>
      </c>
      <c r="G1062" s="42" t="n">
        <f aca="false">IF(D1062="","",D1062/SUMIFS($D$5:$D$1369,$B$5:$B$1369,B1062,$C$5:$C$1369,C1062))</f>
        <v>0.000202777873118798</v>
      </c>
      <c r="H1062" s="42" t="n">
        <f aca="false">E1062/SUMIFS($E$5:$E$1369,$B$5:$B$1369,B1062,$C$5:$C$1369,C1062)</f>
        <v>0.00039646043217866</v>
      </c>
      <c r="I1062" s="43" t="n">
        <f aca="false">IF(G1062="",H1062,p_beta_alloc*G1062+(1-p_beta_alloc)*H1062)*F1062^p_phi</f>
        <v>0.000172782406874478</v>
      </c>
      <c r="J1062" s="16" t="n">
        <f aca="false">INDEX(Sector_Params!$C$16:$E$16,MATCH(B1062,Sector_Params!$C$15:$E$15,0))*I1062/SUMIFS($I$5:$I$1369,$B$5:$B$1369,B1062,$C$5:$C$1369,C1062)</f>
        <v>0.167119524340675</v>
      </c>
      <c r="K1062" s="28" t="n">
        <f aca="false">INDEX(Sector_Params!$F$5:$H$5,MATCH(B1062,Sector_Params!$C$15:$E$15,0))</f>
        <v>0.24</v>
      </c>
      <c r="L1062" s="16" t="n">
        <f aca="false">J1062*K1062</f>
        <v>0.040108685841762</v>
      </c>
      <c r="M1062" s="44" t="n">
        <f aca="false">Country_Data!$DW$156+Sector_Params!$E$5</f>
        <v>0.105</v>
      </c>
      <c r="N1062" s="44" t="n">
        <f aca="false">Country_Data!$DX$156+Sector_Params!$E$5</f>
        <v>0.15</v>
      </c>
      <c r="O1062" s="11" t="n">
        <f aca="false">IF(p_use_ibrd=1,p_r_ibrd,p_r_wb)</f>
        <v>0.06</v>
      </c>
      <c r="P1062" s="45" t="n">
        <f aca="false">Sector_Params!$D$5</f>
        <v>25</v>
      </c>
      <c r="Q1062" s="46" t="n">
        <f aca="false">M1062/(1-(1+M1062)^-P1062)</f>
        <v>0.114429319813103</v>
      </c>
      <c r="R1062" s="46" t="n">
        <f aca="false">N1062/(1-(1+N1062)^-P1062)</f>
        <v>0.154699402320206</v>
      </c>
      <c r="S1062" s="46" t="n">
        <f aca="false">O1062/(1-(1+O1062)^-P1062)</f>
        <v>0.078226718212274</v>
      </c>
      <c r="T1062" s="37" t="n">
        <f aca="false">IF(AND(p_eng=1,ISNUMBER(Country_Data!$CZ$156)),Country_Data!$CZ$156,Country_Data!$CM$156)*Sector_Params!$I$5</f>
        <v>0.124681733467958</v>
      </c>
      <c r="U1062" s="37" t="n">
        <f aca="false">IF(AND(p_eng=1,ISNUMBER(Country_Data!$DA$156)),Country_Data!$DA$156,Country_Data!$CN$156)*Sector_Params!$J$5</f>
        <v>6.18673880396718E-006</v>
      </c>
      <c r="V1062" s="37" t="n">
        <f aca="false">IF(AND(p_eng=1,ISNUMBER(Country_Data!$DB$156)),Country_Data!$DB$156,p_a)</f>
        <v>0.681878284680862</v>
      </c>
      <c r="W1062" s="16" t="n">
        <f aca="false">T1062*L1062</f>
        <v>0.00500082047787264</v>
      </c>
      <c r="X1062" s="16" t="n">
        <f aca="false">U1062*L1062</f>
        <v>2.48141963073358E-007</v>
      </c>
      <c r="Y1062" s="16" t="n">
        <f aca="false">V1062*L1062</f>
        <v>0.0273492419025842</v>
      </c>
      <c r="Z1062" s="16" t="n">
        <f aca="false">Q1062*L1062</f>
        <v>0.00458960963947027</v>
      </c>
      <c r="AA1062" s="16" t="n">
        <f aca="false">R1062*L1062</f>
        <v>0.0062047897275695</v>
      </c>
      <c r="AB1062" s="16" t="n">
        <f aca="false">S1062*L1062</f>
        <v>0.00313757086520814</v>
      </c>
      <c r="AC1062" s="16" t="n">
        <f aca="false">Z1062-W1062</f>
        <v>-0.000411210838402371</v>
      </c>
      <c r="AD1062" s="16" t="n">
        <f aca="false">AA1062-W1062</f>
        <v>0.00120396924969686</v>
      </c>
      <c r="AE1062" s="16" t="n">
        <f aca="false">AB1062-W1062</f>
        <v>-0.00186324961266451</v>
      </c>
      <c r="AF1062" s="16" t="n">
        <f aca="false">AE1062-X1062</f>
        <v>-0.00186349775462758</v>
      </c>
      <c r="AG1062" s="16" t="n">
        <f aca="false">AF1062-p_spc_lo*Y1062/1000</f>
        <v>-0.00323095984975679</v>
      </c>
      <c r="AH1062" s="16" t="n">
        <f aca="false">AF1062-p_spc_hi*Y1062/1000</f>
        <v>-0.004598421944886</v>
      </c>
      <c r="AI1062" s="16" t="n">
        <f aca="false">Q1062*J1062</f>
        <v>0.0191233734977928</v>
      </c>
      <c r="AJ1062" s="16" t="n">
        <f aca="false">S1062*J1062</f>
        <v>0.0130732119383672</v>
      </c>
      <c r="AK1062" s="16" t="n">
        <f aca="false">T1062*J1062</f>
        <v>0.020836751991136</v>
      </c>
      <c r="AL1062" s="16" t="n">
        <f aca="false">U1062*J1062</f>
        <v>1.03392484613899E-006</v>
      </c>
      <c r="AM1062" s="16" t="n">
        <f aca="false">AI1062-AJ1062</f>
        <v>0.00605016155942556</v>
      </c>
      <c r="AN1062" s="16" t="n">
        <f aca="false">J1062*Country_Data!$EB$156</f>
        <v>0.197152598280158</v>
      </c>
      <c r="AO1062" s="16" t="n">
        <f aca="false">L1062*Country_Data!$EB$156</f>
        <v>0.047316623587238</v>
      </c>
    </row>
    <row r="1063" customFormat="false" ht="15" hidden="false" customHeight="false" outlineLevel="0" collapsed="false">
      <c r="A1063" s="14" t="str">
        <f aca="false">Country_Data!$A$156</f>
        <v>TGO</v>
      </c>
      <c r="B1063" s="14" t="str">
        <f aca="false">Country_Data!$E$156</f>
        <v>EMDC</v>
      </c>
      <c r="C1063" s="35" t="s">
        <v>470</v>
      </c>
      <c r="D1063" s="37" t="n">
        <f aca="false">IF(Country_Data!$BZ$156="","",Country_Data!$BZ$156)</f>
        <v>1.776227050734</v>
      </c>
      <c r="E1063" s="40" t="n">
        <f aca="false">Country_Data!$BW$156</f>
        <v>32.007</v>
      </c>
      <c r="F1063" s="41" t="n">
        <f aca="false">Country_Data!$BX$156</f>
        <v>0.332552254194395</v>
      </c>
      <c r="G1063" s="42" t="n">
        <f aca="false">IF(D1063="","",D1063/SUMIFS($D$5:$D$1369,$B$5:$B$1369,B1063,$C$5:$C$1369,C1063))</f>
        <v>0.000202777873118798</v>
      </c>
      <c r="H1063" s="42" t="n">
        <f aca="false">E1063/SUMIFS($E$5:$E$1369,$B$5:$B$1369,B1063,$C$5:$C$1369,C1063)</f>
        <v>0.00039646043217866</v>
      </c>
      <c r="I1063" s="43" t="n">
        <f aca="false">IF(G1063="",H1063,p_beta_alloc*G1063+(1-p_beta_alloc)*H1063)*F1063^p_phi</f>
        <v>0.000172782406874478</v>
      </c>
      <c r="J1063" s="16" t="n">
        <f aca="false">INDEX(Sector_Params!$C$17:$E$17,MATCH(B1063,Sector_Params!$C$15:$E$15,0))*I1063/SUMIFS($I$5:$I$1369,$B$5:$B$1369,B1063,$C$5:$C$1369,C1063)</f>
        <v>0.114596245262177</v>
      </c>
      <c r="K1063" s="28" t="n">
        <f aca="false">INDEX(Sector_Params!$F$6:$H$6,MATCH(B1063,Sector_Params!$C$15:$E$15,0))</f>
        <v>0.24</v>
      </c>
      <c r="L1063" s="16" t="n">
        <f aca="false">J1063*K1063</f>
        <v>0.0275030988629225</v>
      </c>
      <c r="M1063" s="44" t="n">
        <f aca="false">Country_Data!$DW$156+Sector_Params!$E$6</f>
        <v>0.105</v>
      </c>
      <c r="N1063" s="44" t="n">
        <f aca="false">Country_Data!$DX$156+Sector_Params!$E$6</f>
        <v>0.15</v>
      </c>
      <c r="O1063" s="11" t="n">
        <f aca="false">IF(p_use_ibrd=1,p_r_ibrd,p_r_wb)</f>
        <v>0.06</v>
      </c>
      <c r="P1063" s="45" t="n">
        <f aca="false">Sector_Params!$D$6</f>
        <v>40</v>
      </c>
      <c r="Q1063" s="46" t="n">
        <f aca="false">M1063/(1-(1+M1063)^-P1063)</f>
        <v>0.10697140835497</v>
      </c>
      <c r="R1063" s="46" t="n">
        <f aca="false">N1063/(1-(1+N1063)^-P1063)</f>
        <v>0.150562085013545</v>
      </c>
      <c r="S1063" s="46" t="n">
        <f aca="false">O1063/(1-(1+O1063)^-P1063)</f>
        <v>0.0664615359206755</v>
      </c>
      <c r="T1063" s="37" t="n">
        <f aca="false">p_grid_credit*IF(AND(p_eng=1,ISNUMBER(Country_Data!$CZ$156)),Country_Data!$CZ$156,Country_Data!$CM$156)*Sector_Params!$I$6</f>
        <v>0</v>
      </c>
      <c r="U1063" s="37" t="n">
        <f aca="false">p_grid_credit*IF(AND(p_eng=1,ISNUMBER(Country_Data!$DA$156)),Country_Data!$DA$156,Country_Data!$CN$156)*Sector_Params!$J$6</f>
        <v>0</v>
      </c>
      <c r="V1063" s="37" t="n">
        <f aca="false">p_grid_credit*IF(AND(p_eng=1,ISNUMBER(Country_Data!$DB$156)),Country_Data!$DB$156,p_a)</f>
        <v>0</v>
      </c>
      <c r="W1063" s="16" t="n">
        <f aca="false">T1063*L1063</f>
        <v>0</v>
      </c>
      <c r="X1063" s="16" t="n">
        <f aca="false">U1063*L1063</f>
        <v>0</v>
      </c>
      <c r="Y1063" s="16" t="n">
        <f aca="false">V1063*L1063</f>
        <v>0</v>
      </c>
      <c r="Z1063" s="16" t="n">
        <f aca="false">Q1063*L1063</f>
        <v>0.0029420452194928</v>
      </c>
      <c r="AA1063" s="16" t="n">
        <f aca="false">R1063*L1063</f>
        <v>0.00414092390913527</v>
      </c>
      <c r="AB1063" s="16" t="n">
        <f aca="false">S1063*L1063</f>
        <v>0.00182789819300801</v>
      </c>
      <c r="AC1063" s="16" t="n">
        <f aca="false">Z1063-W1063</f>
        <v>0.0029420452194928</v>
      </c>
      <c r="AD1063" s="16" t="n">
        <f aca="false">AA1063-W1063</f>
        <v>0.00414092390913527</v>
      </c>
      <c r="AE1063" s="16" t="n">
        <f aca="false">AB1063-W1063</f>
        <v>0.00182789819300801</v>
      </c>
      <c r="AF1063" s="16" t="n">
        <f aca="false">AE1063-X1063</f>
        <v>0.00182789819300801</v>
      </c>
      <c r="AG1063" s="16" t="n">
        <f aca="false">AF1063-p_spc_lo*Y1063/1000</f>
        <v>0.00182789819300801</v>
      </c>
      <c r="AH1063" s="16" t="n">
        <f aca="false">AF1063-p_spc_hi*Y1063/1000</f>
        <v>0.00182789819300801</v>
      </c>
      <c r="AI1063" s="16" t="n">
        <f aca="false">Q1063*J1063</f>
        <v>0.0122585217478867</v>
      </c>
      <c r="AJ1063" s="16" t="n">
        <f aca="false">S1063*J1063</f>
        <v>0.00761624247086672</v>
      </c>
      <c r="AK1063" s="16" t="n">
        <f aca="false">T1063*J1063</f>
        <v>0</v>
      </c>
      <c r="AL1063" s="16" t="n">
        <f aca="false">U1063*J1063</f>
        <v>0</v>
      </c>
      <c r="AM1063" s="16" t="n">
        <f aca="false">AI1063-AJ1063</f>
        <v>0.00464227927701996</v>
      </c>
      <c r="AN1063" s="16" t="n">
        <f aca="false">J1063*Country_Data!$EB$156</f>
        <v>0.135190353106394</v>
      </c>
      <c r="AO1063" s="16" t="n">
        <f aca="false">L1063*Country_Data!$EB$156</f>
        <v>0.0324456847455347</v>
      </c>
    </row>
    <row r="1064" customFormat="false" ht="15" hidden="false" customHeight="false" outlineLevel="0" collapsed="false">
      <c r="A1064" s="14" t="str">
        <f aca="false">Country_Data!$A$156</f>
        <v>TGO</v>
      </c>
      <c r="B1064" s="14" t="str">
        <f aca="false">Country_Data!$E$156</f>
        <v>EMDC</v>
      </c>
      <c r="C1064" s="35" t="s">
        <v>473</v>
      </c>
      <c r="D1064" s="37" t="n">
        <f aca="false">IF(Country_Data!$CA$156="","",Country_Data!$CA$156)</f>
        <v>0.0200009104711512</v>
      </c>
      <c r="E1064" s="40" t="n">
        <f aca="false">Country_Data!$BW$156</f>
        <v>32.007</v>
      </c>
      <c r="F1064" s="41" t="n">
        <f aca="false">Country_Data!$BX$156</f>
        <v>0.332552254194395</v>
      </c>
      <c r="G1064" s="42" t="n">
        <f aca="false">IF(D1064="","",D1064/SUMIFS($D$5:$D$1369,$B$5:$B$1369,B1064,$C$5:$C$1369,C1064))</f>
        <v>0.000462067568290206</v>
      </c>
      <c r="H1064" s="42" t="n">
        <f aca="false">E1064/SUMIFS($E$5:$E$1369,$B$5:$B$1369,B1064,$C$5:$C$1369,C1064)</f>
        <v>0.00039646043217866</v>
      </c>
      <c r="I1064" s="43" t="n">
        <f aca="false">IF(G1064="",H1064,p_beta_alloc*G1064+(1-p_beta_alloc)*H1064)*F1064^p_phi</f>
        <v>0.000247545146861914</v>
      </c>
      <c r="J1064" s="16" t="n">
        <f aca="false">INDEX(Sector_Params!$C$18:$E$18,MATCH(B1064,Sector_Params!$C$15:$E$15,0))*I1064/SUMIFS($I$5:$I$1369,$B$5:$B$1369,B1064,$C$5:$C$1369,C1064)</f>
        <v>0.101363880421179</v>
      </c>
      <c r="K1064" s="28" t="n">
        <f aca="false">INDEX(Sector_Params!$F$7:$H$7,MATCH(B1064,Sector_Params!$C$15:$E$15,0))</f>
        <v>0.24</v>
      </c>
      <c r="L1064" s="16" t="n">
        <f aca="false">J1064*K1064</f>
        <v>0.0243273313010829</v>
      </c>
      <c r="M1064" s="44" t="n">
        <f aca="false">Country_Data!$DW$156+Sector_Params!$E$7</f>
        <v>0.105</v>
      </c>
      <c r="N1064" s="44" t="n">
        <f aca="false">Country_Data!$DX$156+Sector_Params!$E$7</f>
        <v>0.15</v>
      </c>
      <c r="O1064" s="11" t="n">
        <f aca="false">IF(p_use_ibrd=1,p_r_ibrd,p_r_wb)</f>
        <v>0.06</v>
      </c>
      <c r="P1064" s="45" t="n">
        <f aca="false">Sector_Params!$D$7</f>
        <v>12</v>
      </c>
      <c r="Q1064" s="46" t="n">
        <f aca="false">M1064/(1-(1+M1064)^-P1064)</f>
        <v>0.150376745634766</v>
      </c>
      <c r="R1064" s="46" t="n">
        <f aca="false">N1064/(1-(1+N1064)^-P1064)</f>
        <v>0.18448077613084</v>
      </c>
      <c r="S1064" s="46" t="n">
        <f aca="false">O1064/(1-(1+O1064)^-P1064)</f>
        <v>0.119277029380664</v>
      </c>
      <c r="T1064" s="37" t="n">
        <f aca="false">IF(AND(p_eng=1,ISNUMBER(Country_Data!$DE$156)),Country_Data!$DE$156,Country_Data!$CM$156)*Sector_Params!$I$7</f>
        <v>0.13251294</v>
      </c>
      <c r="U1064" s="37" t="n">
        <f aca="false">IF(AND(p_eng=1,ISNUMBER(Country_Data!$DF$156)),Country_Data!$DF$156,Country_Data!$CN$156)*Sector_Params!$J$7</f>
        <v>0.0011196</v>
      </c>
      <c r="V1064" s="37" t="n">
        <f aca="false">IF(AND(p_eng=1,ISNUMBER(Country_Data!$DG$156)),Country_Data!$DG$156,p_a)</f>
        <v>0.373259978873239</v>
      </c>
      <c r="W1064" s="16" t="n">
        <f aca="false">T1064*L1064</f>
        <v>0.00322368619306052</v>
      </c>
      <c r="X1064" s="16" t="n">
        <f aca="false">U1064*L1064</f>
        <v>2.72368801246924E-005</v>
      </c>
      <c r="Y1064" s="16" t="n">
        <f aca="false">V1064*L1064</f>
        <v>0.0090804191674845</v>
      </c>
      <c r="Z1064" s="16" t="n">
        <f aca="false">Q1064*L1064</f>
        <v>0.00365826491103562</v>
      </c>
      <c r="AA1064" s="16" t="n">
        <f aca="false">R1064*L1064</f>
        <v>0.00448792495961584</v>
      </c>
      <c r="AB1064" s="16" t="n">
        <f aca="false">S1064*L1064</f>
        <v>0.0029016918103524</v>
      </c>
      <c r="AC1064" s="16" t="n">
        <f aca="false">Z1064-W1064</f>
        <v>0.000434578717975098</v>
      </c>
      <c r="AD1064" s="16" t="n">
        <f aca="false">AA1064-W1064</f>
        <v>0.00126423876655532</v>
      </c>
      <c r="AE1064" s="16" t="n">
        <f aca="false">AB1064-W1064</f>
        <v>-0.000321994382708119</v>
      </c>
      <c r="AF1064" s="16" t="n">
        <f aca="false">AE1064-X1064</f>
        <v>-0.000349231262832812</v>
      </c>
      <c r="AG1064" s="16" t="n">
        <f aca="false">AF1064-p_spc_lo*Y1064/1000</f>
        <v>-0.000803252221207037</v>
      </c>
      <c r="AH1064" s="16" t="n">
        <f aca="false">AF1064-p_spc_hi*Y1064/1000</f>
        <v>-0.00125727317958126</v>
      </c>
      <c r="AI1064" s="16" t="n">
        <f aca="false">Q1064*J1064</f>
        <v>0.0152427704626484</v>
      </c>
      <c r="AJ1064" s="16" t="n">
        <f aca="false">S1064*J1064</f>
        <v>0.012090382543135</v>
      </c>
      <c r="AK1064" s="16" t="n">
        <f aca="false">T1064*J1064</f>
        <v>0.0134320258044188</v>
      </c>
      <c r="AL1064" s="16" t="n">
        <f aca="false">U1064*J1064</f>
        <v>0.000113487000519552</v>
      </c>
      <c r="AM1064" s="16" t="n">
        <f aca="false">AI1064-AJ1064</f>
        <v>0.0031523879195134</v>
      </c>
      <c r="AN1064" s="16" t="n">
        <f aca="false">J1064*Country_Data!$EB$156</f>
        <v>0.119579998062086</v>
      </c>
      <c r="AO1064" s="16" t="n">
        <f aca="false">L1064*Country_Data!$EB$156</f>
        <v>0.0286991995349007</v>
      </c>
    </row>
    <row r="1065" customFormat="false" ht="15" hidden="false" customHeight="false" outlineLevel="0" collapsed="false">
      <c r="A1065" s="14" t="str">
        <f aca="false">Country_Data!$A$156</f>
        <v>TGO</v>
      </c>
      <c r="B1065" s="14" t="str">
        <f aca="false">Country_Data!$E$156</f>
        <v>EMDC</v>
      </c>
      <c r="C1065" s="35" t="s">
        <v>477</v>
      </c>
      <c r="D1065" s="37" t="n">
        <f aca="false">IF(Country_Data!$CB$156="","",Country_Data!$CB$156)</f>
        <v>0.00694154735493264</v>
      </c>
      <c r="E1065" s="40" t="n">
        <f aca="false">Country_Data!$BW$156</f>
        <v>32.007</v>
      </c>
      <c r="F1065" s="41" t="n">
        <f aca="false">Country_Data!$BX$156</f>
        <v>0.332552254194395</v>
      </c>
      <c r="G1065" s="42" t="n">
        <f aca="false">IF(D1065="","",D1065/SUMIFS($D$5:$D$1369,$B$5:$B$1369,B1065,$C$5:$C$1369,C1065))</f>
        <v>0.000218888125114919</v>
      </c>
      <c r="H1065" s="42" t="n">
        <f aca="false">E1065/SUMIFS($E$5:$E$1369,$B$5:$B$1369,B1065,$C$5:$C$1369,C1065)</f>
        <v>0.00039646043217866</v>
      </c>
      <c r="I1065" s="43" t="n">
        <f aca="false">IF(G1065="",H1065,p_beta_alloc*G1065+(1-p_beta_alloc)*H1065)*F1065^p_phi</f>
        <v>0.000177427584077999</v>
      </c>
      <c r="J1065" s="16" t="n">
        <f aca="false">INDEX(Sector_Params!$C$19:$E$19,MATCH(B1065,Sector_Params!$C$15:$E$15,0))*I1065/SUMIFS($I$5:$I$1369,$B$5:$B$1369,B1065,$C$5:$C$1369,C1065)</f>
        <v>0.0571073029065885</v>
      </c>
      <c r="K1065" s="28" t="n">
        <f aca="false">INDEX(Sector_Params!$F$8:$H$8,MATCH(B1065,Sector_Params!$C$15:$E$15,0))</f>
        <v>0.24</v>
      </c>
      <c r="L1065" s="16" t="n">
        <f aca="false">J1065*K1065</f>
        <v>0.0137057526975813</v>
      </c>
      <c r="M1065" s="44" t="n">
        <f aca="false">Country_Data!$DW$156+Sector_Params!$E$8</f>
        <v>0.105</v>
      </c>
      <c r="N1065" s="44" t="n">
        <f aca="false">Country_Data!$DX$156+Sector_Params!$E$8</f>
        <v>0.15</v>
      </c>
      <c r="O1065" s="11" t="n">
        <f aca="false">IF(p_use_ibrd=1,p_r_ibrd,p_r_wb)</f>
        <v>0.06</v>
      </c>
      <c r="P1065" s="45" t="n">
        <f aca="false">Sector_Params!$D$8</f>
        <v>25</v>
      </c>
      <c r="Q1065" s="46" t="n">
        <f aca="false">M1065/(1-(1+M1065)^-P1065)</f>
        <v>0.114429319813103</v>
      </c>
      <c r="R1065" s="46" t="n">
        <f aca="false">N1065/(1-(1+N1065)^-P1065)</f>
        <v>0.154699402320206</v>
      </c>
      <c r="S1065" s="46" t="n">
        <f aca="false">O1065/(1-(1+O1065)^-P1065)</f>
        <v>0.078226718212274</v>
      </c>
      <c r="T1065" s="37" t="n">
        <f aca="false">Country_Data!$CM$156*Sector_Params!$I$8</f>
        <v>0.195977098640502</v>
      </c>
      <c r="U1065" s="37" t="n">
        <f aca="false">Country_Data!$CN$156*Sector_Params!$J$8</f>
        <v>0.03225</v>
      </c>
      <c r="V1065" s="37" t="n">
        <f aca="false">p_a</f>
        <v>0.35</v>
      </c>
      <c r="W1065" s="16" t="n">
        <f aca="false">T1065*L1065</f>
        <v>0.0026860136483562</v>
      </c>
      <c r="X1065" s="16" t="n">
        <f aca="false">U1065*L1065</f>
        <v>0.000442010524496995</v>
      </c>
      <c r="Y1065" s="16" t="n">
        <f aca="false">V1065*L1065</f>
        <v>0.00479701344415344</v>
      </c>
      <c r="Z1065" s="16" t="n">
        <f aca="false">Q1065*L1065</f>
        <v>0.00156833995871083</v>
      </c>
      <c r="AA1065" s="16" t="n">
        <f aca="false">R1065*L1065</f>
        <v>0.00212027175066438</v>
      </c>
      <c r="AB1065" s="16" t="n">
        <f aca="false">S1065*L1065</f>
        <v>0.0010721560541608</v>
      </c>
      <c r="AC1065" s="16" t="n">
        <f aca="false">Z1065-W1065</f>
        <v>-0.00111767368964537</v>
      </c>
      <c r="AD1065" s="16" t="n">
        <f aca="false">AA1065-W1065</f>
        <v>-0.000565741897691826</v>
      </c>
      <c r="AE1065" s="16" t="n">
        <f aca="false">AB1065-W1065</f>
        <v>-0.0016138575941954</v>
      </c>
      <c r="AF1065" s="16" t="n">
        <f aca="false">AE1065-X1065</f>
        <v>-0.0020558681186924</v>
      </c>
      <c r="AG1065" s="16" t="n">
        <f aca="false">AF1065-p_spc_lo*Y1065/1000</f>
        <v>-0.00229571879090007</v>
      </c>
      <c r="AH1065" s="16" t="n">
        <f aca="false">AF1065-p_spc_hi*Y1065/1000</f>
        <v>-0.00253556946310774</v>
      </c>
      <c r="AI1065" s="16" t="n">
        <f aca="false">Q1065*J1065</f>
        <v>0.00653474982796178</v>
      </c>
      <c r="AJ1065" s="16" t="n">
        <f aca="false">S1065*J1065</f>
        <v>0.00446731689233668</v>
      </c>
      <c r="AK1065" s="16" t="n">
        <f aca="false">T1065*J1065</f>
        <v>0.0111917235348175</v>
      </c>
      <c r="AL1065" s="16" t="n">
        <f aca="false">U1065*J1065</f>
        <v>0.00184171051873748</v>
      </c>
      <c r="AM1065" s="16" t="n">
        <f aca="false">AI1065-AJ1065</f>
        <v>0.00206743293562511</v>
      </c>
      <c r="AN1065" s="16" t="n">
        <f aca="false">J1065*Country_Data!$EB$156</f>
        <v>0.0673700645883523</v>
      </c>
      <c r="AO1065" s="16" t="n">
        <f aca="false">L1065*Country_Data!$EB$156</f>
        <v>0.0161688155012045</v>
      </c>
    </row>
    <row r="1066" customFormat="false" ht="15" hidden="false" customHeight="false" outlineLevel="0" collapsed="false">
      <c r="A1066" s="14" t="str">
        <f aca="false">Country_Data!$A$156</f>
        <v>TGO</v>
      </c>
      <c r="B1066" s="14" t="str">
        <f aca="false">Country_Data!$E$156</f>
        <v>EMDC</v>
      </c>
      <c r="C1066" s="35" t="s">
        <v>481</v>
      </c>
      <c r="D1066" s="37" t="n">
        <f aca="false">IF(Country_Data!$CC$156="","",Country_Data!$CC$156)</f>
        <v>0.00318506950017718</v>
      </c>
      <c r="E1066" s="40" t="n">
        <f aca="false">Country_Data!$BW$156</f>
        <v>32.007</v>
      </c>
      <c r="F1066" s="41" t="n">
        <f aca="false">Country_Data!$BX$156</f>
        <v>0.332552254194395</v>
      </c>
      <c r="G1066" s="42" t="n">
        <f aca="false">IF(D1066="","",D1066/SUMIFS($D$5:$D$1369,$B$5:$B$1369,B1066,$C$5:$C$1369,C1066))</f>
        <v>4.54962758534057E-005</v>
      </c>
      <c r="H1066" s="42" t="n">
        <f aca="false">E1066/SUMIFS($E$5:$E$1369,$B$5:$B$1369,B1066,$C$5:$C$1369,C1066)</f>
        <v>0.00039646043217866</v>
      </c>
      <c r="I1066" s="43" t="n">
        <f aca="false">IF(G1066="",H1066,p_beta_alloc*G1066+(1-p_beta_alloc)*H1066)*F1066^p_phi</f>
        <v>0.0001274323471531</v>
      </c>
      <c r="J1066" s="16" t="n">
        <f aca="false">INDEX(Sector_Params!$C$20:$E$20,MATCH(B1066,Sector_Params!$C$15:$E$15,0))*I1066/SUMIFS($I$5:$I$1369,$B$5:$B$1369,B1066,$C$5:$C$1369,C1066)</f>
        <v>0.0232589695481614</v>
      </c>
      <c r="K1066" s="28" t="n">
        <f aca="false">INDEX(Sector_Params!$F$9:$H$9,MATCH(B1066,Sector_Params!$C$15:$E$15,0))</f>
        <v>0.24</v>
      </c>
      <c r="L1066" s="16" t="n">
        <f aca="false">J1066*K1066</f>
        <v>0.00558215269155875</v>
      </c>
      <c r="M1066" s="44" t="n">
        <f aca="false">Country_Data!$DW$156+Sector_Params!$E$9</f>
        <v>0.105</v>
      </c>
      <c r="N1066" s="44" t="n">
        <f aca="false">Country_Data!$DX$156+Sector_Params!$E$9</f>
        <v>0.15</v>
      </c>
      <c r="O1066" s="11" t="n">
        <f aca="false">IF(p_use_ibrd=1,p_r_ibrd,p_r_wb)</f>
        <v>0.06</v>
      </c>
      <c r="P1066" s="45" t="n">
        <f aca="false">Sector_Params!$D$9</f>
        <v>25</v>
      </c>
      <c r="Q1066" s="46" t="n">
        <f aca="false">M1066/(1-(1+M1066)^-P1066)</f>
        <v>0.114429319813103</v>
      </c>
      <c r="R1066" s="46" t="n">
        <f aca="false">N1066/(1-(1+N1066)^-P1066)</f>
        <v>0.154699402320206</v>
      </c>
      <c r="S1066" s="46" t="n">
        <f aca="false">O1066/(1-(1+O1066)^-P1066)</f>
        <v>0.078226718212274</v>
      </c>
      <c r="T1066" s="37" t="n">
        <f aca="false">Country_Data!$CM$156*Sector_Params!$I$9</f>
        <v>0.195977098640502</v>
      </c>
      <c r="U1066" s="37" t="n">
        <f aca="false">Country_Data!$CN$156*Sector_Params!$J$9</f>
        <v>0.03225</v>
      </c>
      <c r="V1066" s="37" t="n">
        <f aca="false">p_a</f>
        <v>0.35</v>
      </c>
      <c r="W1066" s="16" t="n">
        <f aca="false">T1066*L1066</f>
        <v>0.00109397408865995</v>
      </c>
      <c r="X1066" s="16" t="n">
        <f aca="false">U1066*L1066</f>
        <v>0.00018002442430277</v>
      </c>
      <c r="Y1066" s="16" t="n">
        <f aca="false">V1066*L1066</f>
        <v>0.00195375344204556</v>
      </c>
      <c r="Z1066" s="16" t="n">
        <f aca="false">Q1066*L1066</f>
        <v>0.000638761935587951</v>
      </c>
      <c r="AA1066" s="16" t="n">
        <f aca="false">R1066*L1066</f>
        <v>0.00086355568504427</v>
      </c>
      <c r="AB1066" s="16" t="n">
        <f aca="false">S1066*L1066</f>
        <v>0.000436673485620453</v>
      </c>
      <c r="AC1066" s="16" t="n">
        <f aca="false">Z1066-W1066</f>
        <v>-0.000455212153071999</v>
      </c>
      <c r="AD1066" s="16" t="n">
        <f aca="false">AA1066-W1066</f>
        <v>-0.00023041840361568</v>
      </c>
      <c r="AE1066" s="16" t="n">
        <f aca="false">AB1066-W1066</f>
        <v>-0.000657300603039497</v>
      </c>
      <c r="AF1066" s="16" t="n">
        <f aca="false">AE1066-X1066</f>
        <v>-0.000837325027342267</v>
      </c>
      <c r="AG1066" s="16" t="n">
        <f aca="false">AF1066-p_spc_lo*Y1066/1000</f>
        <v>-0.000935012699444545</v>
      </c>
      <c r="AH1066" s="16" t="n">
        <f aca="false">AF1066-p_spc_hi*Y1066/1000</f>
        <v>-0.00103270037154682</v>
      </c>
      <c r="AI1066" s="16" t="n">
        <f aca="false">Q1066*J1066</f>
        <v>0.0026615080649498</v>
      </c>
      <c r="AJ1066" s="16" t="n">
        <f aca="false">S1066*J1066</f>
        <v>0.00181947285675189</v>
      </c>
      <c r="AK1066" s="16" t="n">
        <f aca="false">T1066*J1066</f>
        <v>0.00455822536941646</v>
      </c>
      <c r="AL1066" s="16" t="n">
        <f aca="false">U1066*J1066</f>
        <v>0.000750101767928206</v>
      </c>
      <c r="AM1066" s="16" t="n">
        <f aca="false">AI1066-AJ1066</f>
        <v>0.000842035208197911</v>
      </c>
      <c r="AN1066" s="16" t="n">
        <f aca="false">J1066*Country_Data!$EB$156</f>
        <v>0.0274388423365267</v>
      </c>
      <c r="AO1066" s="16" t="n">
        <f aca="false">L1066*Country_Data!$EB$156</f>
        <v>0.0065853221607664</v>
      </c>
    </row>
    <row r="1067" customFormat="false" ht="15" hidden="false" customHeight="false" outlineLevel="0" collapsed="false">
      <c r="A1067" s="14" t="str">
        <f aca="false">Country_Data!$A$156</f>
        <v>TGO</v>
      </c>
      <c r="B1067" s="14" t="str">
        <f aca="false">Country_Data!$E$156</f>
        <v>EMDC</v>
      </c>
      <c r="C1067" s="35" t="s">
        <v>484</v>
      </c>
      <c r="D1067" s="37" t="n">
        <f aca="false">IF(Country_Data!$CD$156="","",Country_Data!$CD$156)</f>
        <v>0.0293897601965915</v>
      </c>
      <c r="E1067" s="40" t="n">
        <f aca="false">Country_Data!$BW$156</f>
        <v>32.007</v>
      </c>
      <c r="F1067" s="41" t="n">
        <f aca="false">Country_Data!$BX$156</f>
        <v>0.332552254194395</v>
      </c>
      <c r="G1067" s="42" t="n">
        <f aca="false">IF(D1067="","",D1067/SUMIFS($D$5:$D$1369,$B$5:$B$1369,B1067,$C$5:$C$1369,C1067))</f>
        <v>0.000164123157585238</v>
      </c>
      <c r="H1067" s="42" t="n">
        <f aca="false">E1067/SUMIFS($E$5:$E$1369,$B$5:$B$1369,B1067,$C$5:$C$1369,C1067)</f>
        <v>0.00039646043217866</v>
      </c>
      <c r="I1067" s="43" t="n">
        <f aca="false">IF(G1067="",H1067,p_beta_alloc*G1067+(1-p_beta_alloc)*H1067)*F1067^p_phi</f>
        <v>0.000161636833021983</v>
      </c>
      <c r="J1067" s="16" t="n">
        <f aca="false">INDEX(Sector_Params!$C$21:$E$21,MATCH(B1067,Sector_Params!$C$15:$E$15,0))*I1067/SUMIFS($I$5:$I$1369,$B$5:$B$1369,B1067,$C$5:$C$1369,C1067)</f>
        <v>0.0358494051127491</v>
      </c>
      <c r="K1067" s="28" t="n">
        <f aca="false">INDEX(Sector_Params!$F$10:$H$10,MATCH(B1067,Sector_Params!$C$15:$E$15,0))</f>
        <v>0.24</v>
      </c>
      <c r="L1067" s="16" t="n">
        <f aca="false">J1067*K1067</f>
        <v>0.00860385722705979</v>
      </c>
      <c r="M1067" s="44" t="n">
        <f aca="false">Country_Data!$DW$156+Sector_Params!$E$10</f>
        <v>0.105</v>
      </c>
      <c r="N1067" s="44" t="n">
        <f aca="false">Country_Data!$DX$156+Sector_Params!$E$10</f>
        <v>0.15</v>
      </c>
      <c r="O1067" s="11" t="n">
        <f aca="false">IF(p_use_ibrd=1,p_r_ibrd,p_r_wb)</f>
        <v>0.06</v>
      </c>
      <c r="P1067" s="45" t="n">
        <f aca="false">Sector_Params!$D$10</f>
        <v>20</v>
      </c>
      <c r="Q1067" s="46" t="n">
        <f aca="false">M1067/(1-(1+M1067)^-P1067)</f>
        <v>0.121493265267016</v>
      </c>
      <c r="R1067" s="46" t="n">
        <f aca="false">N1067/(1-(1+N1067)^-P1067)</f>
        <v>0.159761470405744</v>
      </c>
      <c r="S1067" s="46" t="n">
        <f aca="false">O1067/(1-(1+O1067)^-P1067)</f>
        <v>0.0871845569768514</v>
      </c>
      <c r="T1067" s="37" t="n">
        <f aca="false">0*Sector_Params!$I$10</f>
        <v>0</v>
      </c>
      <c r="U1067" s="37" t="n">
        <f aca="false">0*Sector_Params!$J$10</f>
        <v>0</v>
      </c>
      <c r="V1067" s="37" t="n">
        <f aca="false">1000*p_r_wb/(1-(1+p_r_wb)^-Sector_Params!$D$10)/p_cpt_fuel</f>
        <v>0.871845569768514</v>
      </c>
      <c r="W1067" s="16" t="n">
        <f aca="false">T1067*L1067</f>
        <v>0</v>
      </c>
      <c r="X1067" s="16" t="n">
        <f aca="false">U1067*L1067</f>
        <v>0</v>
      </c>
      <c r="Y1067" s="16" t="n">
        <f aca="false">V1067*L1067</f>
        <v>0.00750123480633289</v>
      </c>
      <c r="Z1067" s="16" t="n">
        <f aca="false">Q1067*L1067</f>
        <v>0.00104531070840671</v>
      </c>
      <c r="AA1067" s="16" t="n">
        <f aca="false">R1067*L1067</f>
        <v>0.00137456488175616</v>
      </c>
      <c r="AB1067" s="16" t="n">
        <f aca="false">S1067*L1067</f>
        <v>0.000750123480633289</v>
      </c>
      <c r="AC1067" s="16" t="n">
        <f aca="false">Z1067-W1067</f>
        <v>0.00104531070840671</v>
      </c>
      <c r="AD1067" s="16" t="n">
        <f aca="false">AA1067-W1067</f>
        <v>0.00137456488175616</v>
      </c>
      <c r="AE1067" s="16" t="n">
        <f aca="false">AB1067-W1067</f>
        <v>0.000750123480633289</v>
      </c>
      <c r="AF1067" s="16" t="n">
        <f aca="false">AE1067-X1067</f>
        <v>0.000750123480633289</v>
      </c>
      <c r="AG1067" s="16" t="n">
        <f aca="false">AF1067-p_spc_lo*Y1067/1000</f>
        <v>0.000375061740316645</v>
      </c>
      <c r="AH1067" s="16" t="n">
        <f aca="false">AF1067-p_spc_hi*Y1067/1000</f>
        <v>0</v>
      </c>
      <c r="AI1067" s="16" t="n">
        <f aca="false">Q1067*J1067</f>
        <v>0.00435546128502796</v>
      </c>
      <c r="AJ1067" s="16" t="n">
        <f aca="false">S1067*J1067</f>
        <v>0.0031255145026387</v>
      </c>
      <c r="AK1067" s="16" t="n">
        <f aca="false">T1067*J1067</f>
        <v>0</v>
      </c>
      <c r="AL1067" s="16" t="n">
        <f aca="false">U1067*J1067</f>
        <v>0</v>
      </c>
      <c r="AM1067" s="16" t="n">
        <f aca="false">AI1067-AJ1067</f>
        <v>0.00122994678238925</v>
      </c>
      <c r="AN1067" s="16" t="n">
        <f aca="false">J1067*Country_Data!$EB$156</f>
        <v>0.0422919069011272</v>
      </c>
      <c r="AO1067" s="16" t="n">
        <f aca="false">L1067*Country_Data!$EB$156</f>
        <v>0.0101500576562705</v>
      </c>
    </row>
    <row r="1068" customFormat="false" ht="15" hidden="false" customHeight="false" outlineLevel="0" collapsed="false">
      <c r="A1068" s="14" t="str">
        <f aca="false">Country_Data!$A$156</f>
        <v>TGO</v>
      </c>
      <c r="B1068" s="14" t="str">
        <f aca="false">Country_Data!$E$156</f>
        <v>EMDC</v>
      </c>
      <c r="C1068" s="35" t="s">
        <v>488</v>
      </c>
      <c r="D1068" s="37" t="n">
        <f aca="false">IF(Country_Data!$CE$156="","",Country_Data!$CE$156)</f>
        <v>9.701</v>
      </c>
      <c r="E1068" s="40" t="n">
        <f aca="false">Country_Data!$BW$156</f>
        <v>32.007</v>
      </c>
      <c r="F1068" s="41" t="n">
        <f aca="false">Country_Data!$BX$156</f>
        <v>0.332552254194395</v>
      </c>
      <c r="G1068" s="42" t="n">
        <f aca="false">IF(D1068="","",D1068/SUMIFS($D$5:$D$1369,$B$5:$B$1369,B1068,$C$5:$C$1369,C1068))</f>
        <v>0.000794896145642738</v>
      </c>
      <c r="H1068" s="42" t="n">
        <f aca="false">E1068/SUMIFS($E$5:$E$1369,$B$5:$B$1369,B1068,$C$5:$C$1369,C1068)</f>
        <v>0.00039646043217866</v>
      </c>
      <c r="I1068" s="43" t="n">
        <f aca="false">IF(G1068="",H1068,p_beta_alloc*G1068+(1-p_beta_alloc)*H1068)*F1068^p_phi</f>
        <v>0.00034351184685956</v>
      </c>
      <c r="J1068" s="16" t="n">
        <f aca="false">INDEX(Sector_Params!$C$22:$E$22,MATCH(B1068,Sector_Params!$C$15:$E$15,0))*I1068/SUMIFS($I$5:$I$1369,$B$5:$B$1369,B1068,$C$5:$C$1369,C1068)</f>
        <v>0.207071822739508</v>
      </c>
      <c r="K1068" s="28" t="n">
        <f aca="false">INDEX(Sector_Params!$F$11:$H$11,MATCH(B1068,Sector_Params!$C$15:$E$15,0))</f>
        <v>0.24</v>
      </c>
      <c r="L1068" s="16" t="n">
        <f aca="false">J1068*K1068</f>
        <v>0.0496972374574819</v>
      </c>
      <c r="M1068" s="44" t="n">
        <f aca="false">Country_Data!$DW$156+Sector_Params!$E$11</f>
        <v>0.105</v>
      </c>
      <c r="N1068" s="44" t="n">
        <f aca="false">Country_Data!$DX$156+Sector_Params!$E$11</f>
        <v>0.15</v>
      </c>
      <c r="O1068" s="11" t="n">
        <f aca="false">IF(p_use_ibrd=1,p_r_ibrd,p_r_wb)</f>
        <v>0.06</v>
      </c>
      <c r="P1068" s="45" t="n">
        <f aca="false">Sector_Params!$D$11</f>
        <v>30</v>
      </c>
      <c r="Q1068" s="46" t="n">
        <f aca="false">M1068/(1-(1+M1068)^-P1068)</f>
        <v>0.110528481529605</v>
      </c>
      <c r="R1068" s="46" t="n">
        <f aca="false">N1068/(1-(1+N1068)^-P1068)</f>
        <v>0.152300198192734</v>
      </c>
      <c r="S1068" s="46" t="n">
        <f aca="false">O1068/(1-(1+O1068)^-P1068)</f>
        <v>0.0726489114900472</v>
      </c>
      <c r="T1068" s="37" t="n">
        <f aca="false">0*Sector_Params!$I$11</f>
        <v>0</v>
      </c>
      <c r="U1068" s="37" t="n">
        <f aca="false">p_c*Sector_Params!$J$11</f>
        <v>0.129</v>
      </c>
      <c r="V1068" s="37" t="n">
        <f aca="false">1000*p_r_wb/(1-(1+p_r_wb)^-Sector_Params!$D$11)/p_cpt_afolu</f>
        <v>1.45297822980094</v>
      </c>
      <c r="W1068" s="16" t="n">
        <f aca="false">T1068*L1068</f>
        <v>0</v>
      </c>
      <c r="X1068" s="16" t="n">
        <f aca="false">U1068*L1068</f>
        <v>0.00641094363201517</v>
      </c>
      <c r="Y1068" s="16" t="n">
        <f aca="false">V1068*L1068</f>
        <v>0.0722090041069693</v>
      </c>
      <c r="Z1068" s="16" t="n">
        <f aca="false">Q1068*L1068</f>
        <v>0.00549296019239169</v>
      </c>
      <c r="AA1068" s="16" t="n">
        <f aca="false">R1068*L1068</f>
        <v>0.00756889911440588</v>
      </c>
      <c r="AB1068" s="16" t="n">
        <f aca="false">S1068*L1068</f>
        <v>0.00361045020534846</v>
      </c>
      <c r="AC1068" s="16" t="n">
        <f aca="false">Z1068-W1068</f>
        <v>0.00549296019239169</v>
      </c>
      <c r="AD1068" s="16" t="n">
        <f aca="false">AA1068-W1068</f>
        <v>0.00756889911440588</v>
      </c>
      <c r="AE1068" s="16" t="n">
        <f aca="false">AB1068-W1068</f>
        <v>0.00361045020534846</v>
      </c>
      <c r="AF1068" s="16" t="n">
        <f aca="false">AE1068-X1068</f>
        <v>-0.00280049342666671</v>
      </c>
      <c r="AG1068" s="16" t="n">
        <f aca="false">AF1068-p_spc_lo*Y1068/1000</f>
        <v>-0.00641094363201517</v>
      </c>
      <c r="AH1068" s="16" t="n">
        <f aca="false">AF1068-p_spc_hi*Y1068/1000</f>
        <v>-0.0100213938373636</v>
      </c>
      <c r="AI1068" s="16" t="n">
        <f aca="false">Q1068*J1068</f>
        <v>0.0228873341349654</v>
      </c>
      <c r="AJ1068" s="16" t="n">
        <f aca="false">S1068*J1068</f>
        <v>0.0150435425222853</v>
      </c>
      <c r="AK1068" s="16" t="n">
        <f aca="false">T1068*J1068</f>
        <v>0</v>
      </c>
      <c r="AL1068" s="16" t="n">
        <f aca="false">U1068*J1068</f>
        <v>0.0267122651333965</v>
      </c>
      <c r="AM1068" s="16" t="n">
        <f aca="false">AI1068-AJ1068</f>
        <v>0.00784379161268012</v>
      </c>
      <c r="AN1068" s="16" t="n">
        <f aca="false">J1068*Country_Data!$EB$156</f>
        <v>0.244284730014434</v>
      </c>
      <c r="AO1068" s="16" t="n">
        <f aca="false">L1068*Country_Data!$EB$156</f>
        <v>0.0586283352034642</v>
      </c>
    </row>
    <row r="1069" customFormat="false" ht="15" hidden="false" customHeight="false" outlineLevel="0" collapsed="false">
      <c r="A1069" s="14" t="str">
        <f aca="false">Country_Data!$A$157</f>
        <v>LIE</v>
      </c>
      <c r="B1069" s="14" t="str">
        <f aca="false">Country_Data!$E$157</f>
        <v>EMDC</v>
      </c>
      <c r="C1069" s="35" t="s">
        <v>466</v>
      </c>
      <c r="D1069" s="37" t="str">
        <f aca="false">IF(Country_Data!$BZ$157="","",Country_Data!$BZ$157)</f>
        <v/>
      </c>
      <c r="E1069" s="40" t="n">
        <f aca="false">Country_Data!$BW$157</f>
        <v>7.72</v>
      </c>
      <c r="F1069" s="41" t="n">
        <f aca="false">Country_Data!$BX$157</f>
        <v>1.09650259067358</v>
      </c>
      <c r="G1069" s="42" t="str">
        <f aca="false">IF(D1069="","",D1069/SUMIFS($D$5:$D$1369,$B$5:$B$1369,B1069,$C$5:$C$1369,C1069))</f>
        <v/>
      </c>
      <c r="H1069" s="42" t="n">
        <f aca="false">E1069/SUMIFS($E$5:$E$1369,$B$5:$B$1369,B1069,$C$5:$C$1369,C1069)</f>
        <v>9.56251612590762E-005</v>
      </c>
      <c r="I1069" s="43" t="n">
        <f aca="false">IF(G1069="",H1069,p_beta_alloc*G1069+(1-p_beta_alloc)*H1069)*F1069^p_phi</f>
        <v>0.000100132950130513</v>
      </c>
      <c r="J1069" s="16" t="n">
        <f aca="false">INDEX(Sector_Params!$C$16:$E$16,MATCH(B1069,Sector_Params!$C$15:$E$15,0))*I1069/SUMIFS($I$5:$I$1369,$B$5:$B$1369,B1069,$C$5:$C$1369,C1069)</f>
        <v>0.0968511279553871</v>
      </c>
      <c r="K1069" s="28" t="n">
        <f aca="false">INDEX(Sector_Params!$F$5:$H$5,MATCH(B1069,Sector_Params!$C$15:$E$15,0))</f>
        <v>0.24</v>
      </c>
      <c r="L1069" s="16" t="n">
        <f aca="false">J1069*K1069</f>
        <v>0.0232442707092929</v>
      </c>
      <c r="M1069" s="44" t="n">
        <f aca="false">Country_Data!$DW$157+Sector_Params!$E$5</f>
        <v>0.105</v>
      </c>
      <c r="N1069" s="44" t="n">
        <f aca="false">Country_Data!$DX$157+Sector_Params!$E$5</f>
        <v>0.15</v>
      </c>
      <c r="O1069" s="11" t="n">
        <f aca="false">IF(p_use_ibrd=1,p_r_ibrd,p_r_wb)</f>
        <v>0.06</v>
      </c>
      <c r="P1069" s="45" t="n">
        <f aca="false">Sector_Params!$D$5</f>
        <v>25</v>
      </c>
      <c r="Q1069" s="46" t="n">
        <f aca="false">M1069/(1-(1+M1069)^-P1069)</f>
        <v>0.114429319813103</v>
      </c>
      <c r="R1069" s="46" t="n">
        <f aca="false">N1069/(1-(1+N1069)^-P1069)</f>
        <v>0.154699402320206</v>
      </c>
      <c r="S1069" s="46" t="n">
        <f aca="false">O1069/(1-(1+O1069)^-P1069)</f>
        <v>0.078226718212274</v>
      </c>
      <c r="T1069" s="37" t="n">
        <f aca="false">IF(AND(p_eng=1,ISNUMBER(Country_Data!$CZ$157)),Country_Data!$CZ$157,Country_Data!$CM$157)*Sector_Params!$I$5</f>
        <v>0.133</v>
      </c>
      <c r="U1069" s="37" t="n">
        <f aca="false">IF(AND(p_eng=1,ISNUMBER(Country_Data!$DA$157)),Country_Data!$DA$157,Country_Data!$CN$157)*Sector_Params!$J$5</f>
        <v>0.129</v>
      </c>
      <c r="V1069" s="37" t="n">
        <f aca="false">IF(AND(p_eng=1,ISNUMBER(Country_Data!$DB$157)),Country_Data!$DB$157,p_a)</f>
        <v>0.35</v>
      </c>
      <c r="W1069" s="16" t="n">
        <f aca="false">T1069*L1069</f>
        <v>0.00309148800433596</v>
      </c>
      <c r="X1069" s="16" t="n">
        <f aca="false">U1069*L1069</f>
        <v>0.00299851092149878</v>
      </c>
      <c r="Y1069" s="16" t="n">
        <f aca="false">V1069*L1069</f>
        <v>0.00813549474825251</v>
      </c>
      <c r="Z1069" s="16" t="n">
        <f aca="false">Q1069*L1069</f>
        <v>0.00265982608681603</v>
      </c>
      <c r="AA1069" s="16" t="n">
        <f aca="false">R1069*L1069</f>
        <v>0.00359587478609669</v>
      </c>
      <c r="AB1069" s="16" t="n">
        <f aca="false">S1069*L1069</f>
        <v>0.00181832301482567</v>
      </c>
      <c r="AC1069" s="16" t="n">
        <f aca="false">Z1069-W1069</f>
        <v>-0.000431661917519929</v>
      </c>
      <c r="AD1069" s="16" t="n">
        <f aca="false">AA1069-W1069</f>
        <v>0.000504386781760737</v>
      </c>
      <c r="AE1069" s="16" t="n">
        <f aca="false">AB1069-W1069</f>
        <v>-0.00127316498951029</v>
      </c>
      <c r="AF1069" s="16" t="n">
        <f aca="false">AE1069-X1069</f>
        <v>-0.00427167591100907</v>
      </c>
      <c r="AG1069" s="16" t="n">
        <f aca="false">AF1069-p_spc_lo*Y1069/1000</f>
        <v>-0.0046784506484217</v>
      </c>
      <c r="AH1069" s="16" t="n">
        <f aca="false">AF1069-p_spc_hi*Y1069/1000</f>
        <v>-0.00508522538583432</v>
      </c>
      <c r="AI1069" s="16" t="n">
        <f aca="false">Q1069*J1069</f>
        <v>0.0110826086950668</v>
      </c>
      <c r="AJ1069" s="16" t="n">
        <f aca="false">S1069*J1069</f>
        <v>0.00757634589510695</v>
      </c>
      <c r="AK1069" s="16" t="n">
        <f aca="false">T1069*J1069</f>
        <v>0.0128812000180665</v>
      </c>
      <c r="AL1069" s="16" t="n">
        <f aca="false">U1069*J1069</f>
        <v>0.0124937955062449</v>
      </c>
      <c r="AM1069" s="16" t="n">
        <f aca="false">AI1069-AJ1069</f>
        <v>0.00350626279995983</v>
      </c>
      <c r="AN1069" s="16" t="n">
        <f aca="false">J1069*Country_Data!$EB$157</f>
        <v>0.111179787981664</v>
      </c>
      <c r="AO1069" s="16" t="n">
        <f aca="false">L1069*Country_Data!$EB$157</f>
        <v>0.0266831491155992</v>
      </c>
    </row>
    <row r="1070" customFormat="false" ht="15" hidden="false" customHeight="false" outlineLevel="0" collapsed="false">
      <c r="A1070" s="14" t="str">
        <f aca="false">Country_Data!$A$157</f>
        <v>LIE</v>
      </c>
      <c r="B1070" s="14" t="str">
        <f aca="false">Country_Data!$E$157</f>
        <v>EMDC</v>
      </c>
      <c r="C1070" s="35" t="s">
        <v>470</v>
      </c>
      <c r="D1070" s="37" t="str">
        <f aca="false">IF(Country_Data!$BZ$157="","",Country_Data!$BZ$157)</f>
        <v/>
      </c>
      <c r="E1070" s="40" t="n">
        <f aca="false">Country_Data!$BW$157</f>
        <v>7.72</v>
      </c>
      <c r="F1070" s="41" t="n">
        <f aca="false">Country_Data!$BX$157</f>
        <v>1.09650259067358</v>
      </c>
      <c r="G1070" s="42" t="str">
        <f aca="false">IF(D1070="","",D1070/SUMIFS($D$5:$D$1369,$B$5:$B$1369,B1070,$C$5:$C$1369,C1070))</f>
        <v/>
      </c>
      <c r="H1070" s="42" t="n">
        <f aca="false">E1070/SUMIFS($E$5:$E$1369,$B$5:$B$1369,B1070,$C$5:$C$1369,C1070)</f>
        <v>9.56251612590762E-005</v>
      </c>
      <c r="I1070" s="43" t="n">
        <f aca="false">IF(G1070="",H1070,p_beta_alloc*G1070+(1-p_beta_alloc)*H1070)*F1070^p_phi</f>
        <v>0.000100132950130513</v>
      </c>
      <c r="J1070" s="16" t="n">
        <f aca="false">INDEX(Sector_Params!$C$17:$E$17,MATCH(B1070,Sector_Params!$C$15:$E$15,0))*I1070/SUMIFS($I$5:$I$1369,$B$5:$B$1369,B1070,$C$5:$C$1369,C1070)</f>
        <v>0.0664122020265511</v>
      </c>
      <c r="K1070" s="28" t="n">
        <f aca="false">INDEX(Sector_Params!$F$6:$H$6,MATCH(B1070,Sector_Params!$C$15:$E$15,0))</f>
        <v>0.24</v>
      </c>
      <c r="L1070" s="16" t="n">
        <f aca="false">J1070*K1070</f>
        <v>0.0159389284863723</v>
      </c>
      <c r="M1070" s="44" t="n">
        <f aca="false">Country_Data!$DW$157+Sector_Params!$E$6</f>
        <v>0.105</v>
      </c>
      <c r="N1070" s="44" t="n">
        <f aca="false">Country_Data!$DX$157+Sector_Params!$E$6</f>
        <v>0.15</v>
      </c>
      <c r="O1070" s="11" t="n">
        <f aca="false">IF(p_use_ibrd=1,p_r_ibrd,p_r_wb)</f>
        <v>0.06</v>
      </c>
      <c r="P1070" s="45" t="n">
        <f aca="false">Sector_Params!$D$6</f>
        <v>40</v>
      </c>
      <c r="Q1070" s="46" t="n">
        <f aca="false">M1070/(1-(1+M1070)^-P1070)</f>
        <v>0.10697140835497</v>
      </c>
      <c r="R1070" s="46" t="n">
        <f aca="false">N1070/(1-(1+N1070)^-P1070)</f>
        <v>0.150562085013545</v>
      </c>
      <c r="S1070" s="46" t="n">
        <f aca="false">O1070/(1-(1+O1070)^-P1070)</f>
        <v>0.0664615359206755</v>
      </c>
      <c r="T1070" s="37" t="n">
        <f aca="false">p_grid_credit*IF(AND(p_eng=1,ISNUMBER(Country_Data!$CZ$157)),Country_Data!$CZ$157,Country_Data!$CM$157)*Sector_Params!$I$6</f>
        <v>0</v>
      </c>
      <c r="U1070" s="37" t="n">
        <f aca="false">p_grid_credit*IF(AND(p_eng=1,ISNUMBER(Country_Data!$DA$157)),Country_Data!$DA$157,Country_Data!$CN$157)*Sector_Params!$J$6</f>
        <v>0</v>
      </c>
      <c r="V1070" s="37" t="n">
        <f aca="false">p_grid_credit*IF(AND(p_eng=1,ISNUMBER(Country_Data!$DB$157)),Country_Data!$DB$157,p_a)</f>
        <v>0</v>
      </c>
      <c r="W1070" s="16" t="n">
        <f aca="false">T1070*L1070</f>
        <v>0</v>
      </c>
      <c r="X1070" s="16" t="n">
        <f aca="false">U1070*L1070</f>
        <v>0</v>
      </c>
      <c r="Y1070" s="16" t="n">
        <f aca="false">V1070*L1070</f>
        <v>0</v>
      </c>
      <c r="Z1070" s="16" t="n">
        <f aca="false">Q1070*L1070</f>
        <v>0.0017050096278564</v>
      </c>
      <c r="AA1070" s="16" t="n">
        <f aca="false">R1070*L1070</f>
        <v>0.00239979830579</v>
      </c>
      <c r="AB1070" s="16" t="n">
        <f aca="false">S1070*L1070</f>
        <v>0.00105932566813411</v>
      </c>
      <c r="AC1070" s="16" t="n">
        <f aca="false">Z1070-W1070</f>
        <v>0.0017050096278564</v>
      </c>
      <c r="AD1070" s="16" t="n">
        <f aca="false">AA1070-W1070</f>
        <v>0.00239979830579</v>
      </c>
      <c r="AE1070" s="16" t="n">
        <f aca="false">AB1070-W1070</f>
        <v>0.00105932566813411</v>
      </c>
      <c r="AF1070" s="16" t="n">
        <f aca="false">AE1070-X1070</f>
        <v>0.00105932566813411</v>
      </c>
      <c r="AG1070" s="16" t="n">
        <f aca="false">AF1070-p_spc_lo*Y1070/1000</f>
        <v>0.00105932566813411</v>
      </c>
      <c r="AH1070" s="16" t="n">
        <f aca="false">AF1070-p_spc_hi*Y1070/1000</f>
        <v>0.00105932566813411</v>
      </c>
      <c r="AI1070" s="16" t="n">
        <f aca="false">Q1070*J1070</f>
        <v>0.00710420678273499</v>
      </c>
      <c r="AJ1070" s="16" t="n">
        <f aca="false">S1070*J1070</f>
        <v>0.00441385695055879</v>
      </c>
      <c r="AK1070" s="16" t="n">
        <f aca="false">T1070*J1070</f>
        <v>0</v>
      </c>
      <c r="AL1070" s="16" t="n">
        <f aca="false">U1070*J1070</f>
        <v>0</v>
      </c>
      <c r="AM1070" s="16" t="n">
        <f aca="false">AI1070-AJ1070</f>
        <v>0.0026903498321762</v>
      </c>
      <c r="AN1070" s="16" t="n">
        <f aca="false">J1070*Country_Data!$EB$157</f>
        <v>0.0762375689017121</v>
      </c>
      <c r="AO1070" s="16" t="n">
        <f aca="false">L1070*Country_Data!$EB$157</f>
        <v>0.0182970165364109</v>
      </c>
    </row>
    <row r="1071" customFormat="false" ht="15" hidden="false" customHeight="false" outlineLevel="0" collapsed="false">
      <c r="A1071" s="14" t="str">
        <f aca="false">Country_Data!$A$157</f>
        <v>LIE</v>
      </c>
      <c r="B1071" s="14" t="str">
        <f aca="false">Country_Data!$E$157</f>
        <v>EMDC</v>
      </c>
      <c r="C1071" s="35" t="s">
        <v>473</v>
      </c>
      <c r="D1071" s="37" t="str">
        <f aca="false">IF(Country_Data!$CA$157="","",Country_Data!$CA$157)</f>
        <v/>
      </c>
      <c r="E1071" s="40" t="n">
        <f aca="false">Country_Data!$BW$157</f>
        <v>7.72</v>
      </c>
      <c r="F1071" s="41" t="n">
        <f aca="false">Country_Data!$BX$157</f>
        <v>1.09650259067358</v>
      </c>
      <c r="G1071" s="42" t="str">
        <f aca="false">IF(D1071="","",D1071/SUMIFS($D$5:$D$1369,$B$5:$B$1369,B1071,$C$5:$C$1369,C1071))</f>
        <v/>
      </c>
      <c r="H1071" s="42" t="n">
        <f aca="false">E1071/SUMIFS($E$5:$E$1369,$B$5:$B$1369,B1071,$C$5:$C$1369,C1071)</f>
        <v>9.56251612590762E-005</v>
      </c>
      <c r="I1071" s="43" t="n">
        <f aca="false">IF(G1071="",H1071,p_beta_alloc*G1071+(1-p_beta_alloc)*H1071)*F1071^p_phi</f>
        <v>0.000100132950130513</v>
      </c>
      <c r="J1071" s="16" t="n">
        <f aca="false">INDEX(Sector_Params!$C$18:$E$18,MATCH(B1071,Sector_Params!$C$15:$E$15,0))*I1071/SUMIFS($I$5:$I$1369,$B$5:$B$1369,B1071,$C$5:$C$1369,C1071)</f>
        <v>0.041002073811251</v>
      </c>
      <c r="K1071" s="28" t="n">
        <f aca="false">INDEX(Sector_Params!$F$7:$H$7,MATCH(B1071,Sector_Params!$C$15:$E$15,0))</f>
        <v>0.24</v>
      </c>
      <c r="L1071" s="16" t="n">
        <f aca="false">J1071*K1071</f>
        <v>0.00984049771470024</v>
      </c>
      <c r="M1071" s="44" t="n">
        <f aca="false">Country_Data!$DW$157+Sector_Params!$E$7</f>
        <v>0.105</v>
      </c>
      <c r="N1071" s="44" t="n">
        <f aca="false">Country_Data!$DX$157+Sector_Params!$E$7</f>
        <v>0.15</v>
      </c>
      <c r="O1071" s="11" t="n">
        <f aca="false">IF(p_use_ibrd=1,p_r_ibrd,p_r_wb)</f>
        <v>0.06</v>
      </c>
      <c r="P1071" s="45" t="n">
        <f aca="false">Sector_Params!$D$7</f>
        <v>12</v>
      </c>
      <c r="Q1071" s="46" t="n">
        <f aca="false">M1071/(1-(1+M1071)^-P1071)</f>
        <v>0.150376745634766</v>
      </c>
      <c r="R1071" s="46" t="n">
        <f aca="false">N1071/(1-(1+N1071)^-P1071)</f>
        <v>0.18448077613084</v>
      </c>
      <c r="S1071" s="46" t="n">
        <f aca="false">O1071/(1-(1+O1071)^-P1071)</f>
        <v>0.119277029380664</v>
      </c>
      <c r="T1071" s="37" t="n">
        <f aca="false">IF(AND(p_eng=1,ISNUMBER(Country_Data!$DE$157)),Country_Data!$DE$157,Country_Data!$CM$157)*Sector_Params!$I$7</f>
        <v>0.133</v>
      </c>
      <c r="U1071" s="37" t="n">
        <f aca="false">IF(AND(p_eng=1,ISNUMBER(Country_Data!$DF$157)),Country_Data!$DF$157,Country_Data!$CN$157)*Sector_Params!$J$7</f>
        <v>0.129</v>
      </c>
      <c r="V1071" s="37" t="n">
        <f aca="false">IF(AND(p_eng=1,ISNUMBER(Country_Data!$DG$157)),Country_Data!$DG$157,p_a)</f>
        <v>0.35</v>
      </c>
      <c r="W1071" s="16" t="n">
        <f aca="false">T1071*L1071</f>
        <v>0.00130878619605513</v>
      </c>
      <c r="X1071" s="16" t="n">
        <f aca="false">U1071*L1071</f>
        <v>0.00126942420519633</v>
      </c>
      <c r="Y1071" s="16" t="n">
        <f aca="false">V1071*L1071</f>
        <v>0.00344417420014508</v>
      </c>
      <c r="Z1071" s="16" t="n">
        <f aca="false">Q1071*L1071</f>
        <v>0.00147978202176297</v>
      </c>
      <c r="AA1071" s="16" t="n">
        <f aca="false">R1071*L1071</f>
        <v>0.00181538265592165</v>
      </c>
      <c r="AB1071" s="16" t="n">
        <f aca="false">S1071*L1071</f>
        <v>0.00117374533503665</v>
      </c>
      <c r="AC1071" s="16" t="n">
        <f aca="false">Z1071-W1071</f>
        <v>0.000170995825707839</v>
      </c>
      <c r="AD1071" s="16" t="n">
        <f aca="false">AA1071-W1071</f>
        <v>0.000506596459866521</v>
      </c>
      <c r="AE1071" s="16" t="n">
        <f aca="false">AB1071-W1071</f>
        <v>-0.000135040861018479</v>
      </c>
      <c r="AF1071" s="16" t="n">
        <f aca="false">AE1071-X1071</f>
        <v>-0.00140446506621481</v>
      </c>
      <c r="AG1071" s="16" t="n">
        <f aca="false">AF1071-p_spc_lo*Y1071/1000</f>
        <v>-0.00157667377622206</v>
      </c>
      <c r="AH1071" s="16" t="n">
        <f aca="false">AF1071-p_spc_hi*Y1071/1000</f>
        <v>-0.00174888248622932</v>
      </c>
      <c r="AI1071" s="16" t="n">
        <f aca="false">Q1071*J1071</f>
        <v>0.00616575842401238</v>
      </c>
      <c r="AJ1071" s="16" t="n">
        <f aca="false">S1071*J1071</f>
        <v>0.00489060556265272</v>
      </c>
      <c r="AK1071" s="16" t="n">
        <f aca="false">T1071*J1071</f>
        <v>0.00545327581689638</v>
      </c>
      <c r="AL1071" s="16" t="n">
        <f aca="false">U1071*J1071</f>
        <v>0.00528926752165138</v>
      </c>
      <c r="AM1071" s="16" t="n">
        <f aca="false">AI1071-AJ1071</f>
        <v>0.00127515286135966</v>
      </c>
      <c r="AN1071" s="16" t="n">
        <f aca="false">J1071*Country_Data!$EB$157</f>
        <v>0.0470681340463402</v>
      </c>
      <c r="AO1071" s="16" t="n">
        <f aca="false">L1071*Country_Data!$EB$157</f>
        <v>0.0112963521711216</v>
      </c>
    </row>
    <row r="1072" customFormat="false" ht="15" hidden="false" customHeight="false" outlineLevel="0" collapsed="false">
      <c r="A1072" s="14" t="str">
        <f aca="false">Country_Data!$A$157</f>
        <v>LIE</v>
      </c>
      <c r="B1072" s="14" t="str">
        <f aca="false">Country_Data!$E$157</f>
        <v>EMDC</v>
      </c>
      <c r="C1072" s="35" t="s">
        <v>477</v>
      </c>
      <c r="D1072" s="37" t="str">
        <f aca="false">IF(Country_Data!$CB$157="","",Country_Data!$CB$157)</f>
        <v/>
      </c>
      <c r="E1072" s="40" t="n">
        <f aca="false">Country_Data!$BW$157</f>
        <v>7.72</v>
      </c>
      <c r="F1072" s="41" t="n">
        <f aca="false">Country_Data!$BX$157</f>
        <v>1.09650259067358</v>
      </c>
      <c r="G1072" s="42" t="str">
        <f aca="false">IF(D1072="","",D1072/SUMIFS($D$5:$D$1369,$B$5:$B$1369,B1072,$C$5:$C$1369,C1072))</f>
        <v/>
      </c>
      <c r="H1072" s="42" t="n">
        <f aca="false">E1072/SUMIFS($E$5:$E$1369,$B$5:$B$1369,B1072,$C$5:$C$1369,C1072)</f>
        <v>9.56251612590762E-005</v>
      </c>
      <c r="I1072" s="43" t="n">
        <f aca="false">IF(G1072="",H1072,p_beta_alloc*G1072+(1-p_beta_alloc)*H1072)*F1072^p_phi</f>
        <v>0.000100132950130513</v>
      </c>
      <c r="J1072" s="16" t="n">
        <f aca="false">INDEX(Sector_Params!$C$19:$E$19,MATCH(B1072,Sector_Params!$C$15:$E$15,0))*I1072/SUMIFS($I$5:$I$1369,$B$5:$B$1369,B1072,$C$5:$C$1369,C1072)</f>
        <v>0.0322290513267638</v>
      </c>
      <c r="K1072" s="28" t="n">
        <f aca="false">INDEX(Sector_Params!$F$8:$H$8,MATCH(B1072,Sector_Params!$C$15:$E$15,0))</f>
        <v>0.24</v>
      </c>
      <c r="L1072" s="16" t="n">
        <f aca="false">J1072*K1072</f>
        <v>0.00773497231842331</v>
      </c>
      <c r="M1072" s="44" t="n">
        <f aca="false">Country_Data!$DW$157+Sector_Params!$E$8</f>
        <v>0.105</v>
      </c>
      <c r="N1072" s="44" t="n">
        <f aca="false">Country_Data!$DX$157+Sector_Params!$E$8</f>
        <v>0.15</v>
      </c>
      <c r="O1072" s="11" t="n">
        <f aca="false">IF(p_use_ibrd=1,p_r_ibrd,p_r_wb)</f>
        <v>0.06</v>
      </c>
      <c r="P1072" s="45" t="n">
        <f aca="false">Sector_Params!$D$8</f>
        <v>25</v>
      </c>
      <c r="Q1072" s="46" t="n">
        <f aca="false">M1072/(1-(1+M1072)^-P1072)</f>
        <v>0.114429319813103</v>
      </c>
      <c r="R1072" s="46" t="n">
        <f aca="false">N1072/(1-(1+N1072)^-P1072)</f>
        <v>0.154699402320206</v>
      </c>
      <c r="S1072" s="46" t="n">
        <f aca="false">O1072/(1-(1+O1072)^-P1072)</f>
        <v>0.078226718212274</v>
      </c>
      <c r="T1072" s="37" t="n">
        <f aca="false">Country_Data!$CM$157*Sector_Params!$I$8</f>
        <v>0.133</v>
      </c>
      <c r="U1072" s="37" t="n">
        <f aca="false">Country_Data!$CN$157*Sector_Params!$J$8</f>
        <v>0.129</v>
      </c>
      <c r="V1072" s="37" t="n">
        <f aca="false">p_a</f>
        <v>0.35</v>
      </c>
      <c r="W1072" s="16" t="n">
        <f aca="false">T1072*L1072</f>
        <v>0.0010287513183503</v>
      </c>
      <c r="X1072" s="16" t="n">
        <f aca="false">U1072*L1072</f>
        <v>0.000997811429076607</v>
      </c>
      <c r="Y1072" s="16" t="n">
        <f aca="false">V1072*L1072</f>
        <v>0.00270724031144816</v>
      </c>
      <c r="Z1072" s="16" t="n">
        <f aca="false">Q1072*L1072</f>
        <v>0.000885107621170363</v>
      </c>
      <c r="AA1072" s="16" t="n">
        <f aca="false">R1072*L1072</f>
        <v>0.00119659559462343</v>
      </c>
      <c r="AB1072" s="16" t="n">
        <f aca="false">S1072*L1072</f>
        <v>0.00060508149993304</v>
      </c>
      <c r="AC1072" s="16" t="n">
        <f aca="false">Z1072-W1072</f>
        <v>-0.000143643697179938</v>
      </c>
      <c r="AD1072" s="16" t="n">
        <f aca="false">AA1072-W1072</f>
        <v>0.000167844276273128</v>
      </c>
      <c r="AE1072" s="16" t="n">
        <f aca="false">AB1072-W1072</f>
        <v>-0.000423669818417261</v>
      </c>
      <c r="AF1072" s="16" t="n">
        <f aca="false">AE1072-X1072</f>
        <v>-0.00142148124749387</v>
      </c>
      <c r="AG1072" s="16" t="n">
        <f aca="false">AF1072-p_spc_lo*Y1072/1000</f>
        <v>-0.00155684326306628</v>
      </c>
      <c r="AH1072" s="16" t="n">
        <f aca="false">AF1072-p_spc_hi*Y1072/1000</f>
        <v>-0.00169220527863868</v>
      </c>
      <c r="AI1072" s="16" t="n">
        <f aca="false">Q1072*J1072</f>
        <v>0.00368794842154318</v>
      </c>
      <c r="AJ1072" s="16" t="n">
        <f aca="false">S1072*J1072</f>
        <v>0.00252117291638767</v>
      </c>
      <c r="AK1072" s="16" t="n">
        <f aca="false">T1072*J1072</f>
        <v>0.00428646382645959</v>
      </c>
      <c r="AL1072" s="16" t="n">
        <f aca="false">U1072*J1072</f>
        <v>0.00415754762115253</v>
      </c>
      <c r="AM1072" s="16" t="n">
        <f aca="false">AI1072-AJ1072</f>
        <v>0.00116677550515551</v>
      </c>
      <c r="AN1072" s="16" t="n">
        <f aca="false">J1072*Country_Data!$EB$157</f>
        <v>0.0369971849477097</v>
      </c>
      <c r="AO1072" s="16" t="n">
        <f aca="false">L1072*Country_Data!$EB$157</f>
        <v>0.00887932438745032</v>
      </c>
    </row>
    <row r="1073" customFormat="false" ht="15" hidden="false" customHeight="false" outlineLevel="0" collapsed="false">
      <c r="A1073" s="14" t="str">
        <f aca="false">Country_Data!$A$157</f>
        <v>LIE</v>
      </c>
      <c r="B1073" s="14" t="str">
        <f aca="false">Country_Data!$E$157</f>
        <v>EMDC</v>
      </c>
      <c r="C1073" s="35" t="s">
        <v>481</v>
      </c>
      <c r="D1073" s="37" t="str">
        <f aca="false">IF(Country_Data!$CC$157="","",Country_Data!$CC$157)</f>
        <v/>
      </c>
      <c r="E1073" s="40" t="n">
        <f aca="false">Country_Data!$BW$157</f>
        <v>7.72</v>
      </c>
      <c r="F1073" s="41" t="n">
        <f aca="false">Country_Data!$BX$157</f>
        <v>1.09650259067358</v>
      </c>
      <c r="G1073" s="42" t="str">
        <f aca="false">IF(D1073="","",D1073/SUMIFS($D$5:$D$1369,$B$5:$B$1369,B1073,$C$5:$C$1369,C1073))</f>
        <v/>
      </c>
      <c r="H1073" s="42" t="n">
        <f aca="false">E1073/SUMIFS($E$5:$E$1369,$B$5:$B$1369,B1073,$C$5:$C$1369,C1073)</f>
        <v>9.56251612590762E-005</v>
      </c>
      <c r="I1073" s="43" t="n">
        <f aca="false">IF(G1073="",H1073,p_beta_alloc*G1073+(1-p_beta_alloc)*H1073)*F1073^p_phi</f>
        <v>0.000100132950130513</v>
      </c>
      <c r="J1073" s="16" t="n">
        <f aca="false">INDEX(Sector_Params!$C$20:$E$20,MATCH(B1073,Sector_Params!$C$15:$E$15,0))*I1073/SUMIFS($I$5:$I$1369,$B$5:$B$1369,B1073,$C$5:$C$1369,C1073)</f>
        <v>0.0182762798448267</v>
      </c>
      <c r="K1073" s="28" t="n">
        <f aca="false">INDEX(Sector_Params!$F$9:$H$9,MATCH(B1073,Sector_Params!$C$15:$E$15,0))</f>
        <v>0.24</v>
      </c>
      <c r="L1073" s="16" t="n">
        <f aca="false">J1073*K1073</f>
        <v>0.00438630716275841</v>
      </c>
      <c r="M1073" s="44" t="n">
        <f aca="false">Country_Data!$DW$157+Sector_Params!$E$9</f>
        <v>0.105</v>
      </c>
      <c r="N1073" s="44" t="n">
        <f aca="false">Country_Data!$DX$157+Sector_Params!$E$9</f>
        <v>0.15</v>
      </c>
      <c r="O1073" s="11" t="n">
        <f aca="false">IF(p_use_ibrd=1,p_r_ibrd,p_r_wb)</f>
        <v>0.06</v>
      </c>
      <c r="P1073" s="45" t="n">
        <f aca="false">Sector_Params!$D$9</f>
        <v>25</v>
      </c>
      <c r="Q1073" s="46" t="n">
        <f aca="false">M1073/(1-(1+M1073)^-P1073)</f>
        <v>0.114429319813103</v>
      </c>
      <c r="R1073" s="46" t="n">
        <f aca="false">N1073/(1-(1+N1073)^-P1073)</f>
        <v>0.154699402320206</v>
      </c>
      <c r="S1073" s="46" t="n">
        <f aca="false">O1073/(1-(1+O1073)^-P1073)</f>
        <v>0.078226718212274</v>
      </c>
      <c r="T1073" s="37" t="n">
        <f aca="false">Country_Data!$CM$157*Sector_Params!$I$9</f>
        <v>0.133</v>
      </c>
      <c r="U1073" s="37" t="n">
        <f aca="false">Country_Data!$CN$157*Sector_Params!$J$9</f>
        <v>0.129</v>
      </c>
      <c r="V1073" s="37" t="n">
        <f aca="false">p_a</f>
        <v>0.35</v>
      </c>
      <c r="W1073" s="16" t="n">
        <f aca="false">T1073*L1073</f>
        <v>0.000583378852646868</v>
      </c>
      <c r="X1073" s="16" t="n">
        <f aca="false">U1073*L1073</f>
        <v>0.000565833623995834</v>
      </c>
      <c r="Y1073" s="16" t="n">
        <f aca="false">V1073*L1073</f>
        <v>0.00153520750696544</v>
      </c>
      <c r="Z1073" s="16" t="n">
        <f aca="false">Q1073*L1073</f>
        <v>0.000501922145125787</v>
      </c>
      <c r="AA1073" s="16" t="n">
        <f aca="false">R1073*L1073</f>
        <v>0.000678559096471566</v>
      </c>
      <c r="AB1073" s="16" t="n">
        <f aca="false">S1073*L1073</f>
        <v>0.000343126414413581</v>
      </c>
      <c r="AC1073" s="16" t="n">
        <f aca="false">Z1073-W1073</f>
        <v>-8.14567075210805E-005</v>
      </c>
      <c r="AD1073" s="16" t="n">
        <f aca="false">AA1073-W1073</f>
        <v>9.51802438246979E-005</v>
      </c>
      <c r="AE1073" s="16" t="n">
        <f aca="false">AB1073-W1073</f>
        <v>-0.000240252438233287</v>
      </c>
      <c r="AF1073" s="16" t="n">
        <f aca="false">AE1073-X1073</f>
        <v>-0.000806086062229122</v>
      </c>
      <c r="AG1073" s="16" t="n">
        <f aca="false">AF1073-p_spc_lo*Y1073/1000</f>
        <v>-0.000882846437577394</v>
      </c>
      <c r="AH1073" s="16" t="n">
        <f aca="false">AF1073-p_spc_hi*Y1073/1000</f>
        <v>-0.000959606812925666</v>
      </c>
      <c r="AI1073" s="16" t="n">
        <f aca="false">Q1073*J1073</f>
        <v>0.00209134227135745</v>
      </c>
      <c r="AJ1073" s="16" t="n">
        <f aca="false">S1073*J1073</f>
        <v>0.00142969339338992</v>
      </c>
      <c r="AK1073" s="16" t="n">
        <f aca="false">T1073*J1073</f>
        <v>0.00243074521936195</v>
      </c>
      <c r="AL1073" s="16" t="n">
        <f aca="false">U1073*J1073</f>
        <v>0.00235764009998264</v>
      </c>
      <c r="AM1073" s="16" t="n">
        <f aca="false">AI1073-AJ1073</f>
        <v>0.000661648877967528</v>
      </c>
      <c r="AN1073" s="16" t="n">
        <f aca="false">J1073*Country_Data!$EB$157</f>
        <v>0.0209801678218695</v>
      </c>
      <c r="AO1073" s="16" t="n">
        <f aca="false">L1073*Country_Data!$EB$157</f>
        <v>0.00503524027724869</v>
      </c>
    </row>
    <row r="1074" customFormat="false" ht="15" hidden="false" customHeight="false" outlineLevel="0" collapsed="false">
      <c r="A1074" s="14" t="str">
        <f aca="false">Country_Data!$A$157</f>
        <v>LIE</v>
      </c>
      <c r="B1074" s="14" t="str">
        <f aca="false">Country_Data!$E$157</f>
        <v>EMDC</v>
      </c>
      <c r="C1074" s="35" t="s">
        <v>484</v>
      </c>
      <c r="D1074" s="37" t="str">
        <f aca="false">IF(Country_Data!$CD$157="","",Country_Data!$CD$157)</f>
        <v/>
      </c>
      <c r="E1074" s="40" t="n">
        <f aca="false">Country_Data!$BW$157</f>
        <v>7.72</v>
      </c>
      <c r="F1074" s="41" t="n">
        <f aca="false">Country_Data!$BX$157</f>
        <v>1.09650259067358</v>
      </c>
      <c r="G1074" s="42" t="str">
        <f aca="false">IF(D1074="","",D1074/SUMIFS($D$5:$D$1369,$B$5:$B$1369,B1074,$C$5:$C$1369,C1074))</f>
        <v/>
      </c>
      <c r="H1074" s="42" t="n">
        <f aca="false">E1074/SUMIFS($E$5:$E$1369,$B$5:$B$1369,B1074,$C$5:$C$1369,C1074)</f>
        <v>9.56251612590762E-005</v>
      </c>
      <c r="I1074" s="43" t="n">
        <f aca="false">IF(G1074="",H1074,p_beta_alloc*G1074+(1-p_beta_alloc)*H1074)*F1074^p_phi</f>
        <v>0.000100132950130513</v>
      </c>
      <c r="J1074" s="16" t="n">
        <f aca="false">INDEX(Sector_Params!$C$21:$E$21,MATCH(B1074,Sector_Params!$C$15:$E$15,0))*I1074/SUMIFS($I$5:$I$1369,$B$5:$B$1369,B1074,$C$5:$C$1369,C1074)</f>
        <v>0.0222084696120918</v>
      </c>
      <c r="K1074" s="28" t="n">
        <f aca="false">INDEX(Sector_Params!$F$10:$H$10,MATCH(B1074,Sector_Params!$C$15:$E$15,0))</f>
        <v>0.24</v>
      </c>
      <c r="L1074" s="16" t="n">
        <f aca="false">J1074*K1074</f>
        <v>0.00533003270690202</v>
      </c>
      <c r="M1074" s="44" t="n">
        <f aca="false">Country_Data!$DW$157+Sector_Params!$E$10</f>
        <v>0.105</v>
      </c>
      <c r="N1074" s="44" t="n">
        <f aca="false">Country_Data!$DX$157+Sector_Params!$E$10</f>
        <v>0.15</v>
      </c>
      <c r="O1074" s="11" t="n">
        <f aca="false">IF(p_use_ibrd=1,p_r_ibrd,p_r_wb)</f>
        <v>0.06</v>
      </c>
      <c r="P1074" s="45" t="n">
        <f aca="false">Sector_Params!$D$10</f>
        <v>20</v>
      </c>
      <c r="Q1074" s="46" t="n">
        <f aca="false">M1074/(1-(1+M1074)^-P1074)</f>
        <v>0.121493265267016</v>
      </c>
      <c r="R1074" s="46" t="n">
        <f aca="false">N1074/(1-(1+N1074)^-P1074)</f>
        <v>0.159761470405744</v>
      </c>
      <c r="S1074" s="46" t="n">
        <f aca="false">O1074/(1-(1+O1074)^-P1074)</f>
        <v>0.0871845569768514</v>
      </c>
      <c r="T1074" s="37" t="n">
        <f aca="false">0*Sector_Params!$I$10</f>
        <v>0</v>
      </c>
      <c r="U1074" s="37" t="n">
        <f aca="false">0*Sector_Params!$J$10</f>
        <v>0</v>
      </c>
      <c r="V1074" s="37" t="n">
        <f aca="false">1000*p_r_wb/(1-(1+p_r_wb)^-Sector_Params!$D$10)/p_cpt_fuel</f>
        <v>0.871845569768514</v>
      </c>
      <c r="W1074" s="16" t="n">
        <f aca="false">T1074*L1074</f>
        <v>0</v>
      </c>
      <c r="X1074" s="16" t="n">
        <f aca="false">U1074*L1074</f>
        <v>0</v>
      </c>
      <c r="Y1074" s="16" t="n">
        <f aca="false">V1074*L1074</f>
        <v>0.00464696540223381</v>
      </c>
      <c r="Z1074" s="16" t="n">
        <f aca="false">Q1074*L1074</f>
        <v>0.00064756307754152</v>
      </c>
      <c r="AA1074" s="16" t="n">
        <f aca="false">R1074*L1074</f>
        <v>0.000851533862565374</v>
      </c>
      <c r="AB1074" s="16" t="n">
        <f aca="false">S1074*L1074</f>
        <v>0.000464696540223381</v>
      </c>
      <c r="AC1074" s="16" t="n">
        <f aca="false">Z1074-W1074</f>
        <v>0.00064756307754152</v>
      </c>
      <c r="AD1074" s="16" t="n">
        <f aca="false">AA1074-W1074</f>
        <v>0.000851533862565374</v>
      </c>
      <c r="AE1074" s="16" t="n">
        <f aca="false">AB1074-W1074</f>
        <v>0.000464696540223381</v>
      </c>
      <c r="AF1074" s="16" t="n">
        <f aca="false">AE1074-X1074</f>
        <v>0.000464696540223381</v>
      </c>
      <c r="AG1074" s="16" t="n">
        <f aca="false">AF1074-p_spc_lo*Y1074/1000</f>
        <v>0.00023234827011169</v>
      </c>
      <c r="AH1074" s="16" t="n">
        <f aca="false">AF1074-p_spc_hi*Y1074/1000</f>
        <v>0</v>
      </c>
      <c r="AI1074" s="16" t="n">
        <f aca="false">Q1074*J1074</f>
        <v>0.00269817948975633</v>
      </c>
      <c r="AJ1074" s="16" t="n">
        <f aca="false">S1074*J1074</f>
        <v>0.00193623558426409</v>
      </c>
      <c r="AK1074" s="16" t="n">
        <f aca="false">T1074*J1074</f>
        <v>0</v>
      </c>
      <c r="AL1074" s="16" t="n">
        <f aca="false">U1074*J1074</f>
        <v>0</v>
      </c>
      <c r="AM1074" s="16" t="n">
        <f aca="false">AI1074-AJ1074</f>
        <v>0.000761943905492245</v>
      </c>
      <c r="AN1074" s="16" t="n">
        <f aca="false">J1074*Country_Data!$EB$157</f>
        <v>0.0254941062122368</v>
      </c>
      <c r="AO1074" s="16" t="n">
        <f aca="false">L1074*Country_Data!$EB$157</f>
        <v>0.00611858549093684</v>
      </c>
    </row>
    <row r="1075" customFormat="false" ht="15" hidden="false" customHeight="false" outlineLevel="0" collapsed="false">
      <c r="A1075" s="14" t="str">
        <f aca="false">Country_Data!$A$157</f>
        <v>LIE</v>
      </c>
      <c r="B1075" s="14" t="str">
        <f aca="false">Country_Data!$E$157</f>
        <v>EMDC</v>
      </c>
      <c r="C1075" s="35" t="s">
        <v>488</v>
      </c>
      <c r="D1075" s="37" t="str">
        <f aca="false">IF(Country_Data!$CE$157="","",Country_Data!$CE$157)</f>
        <v/>
      </c>
      <c r="E1075" s="40" t="n">
        <f aca="false">Country_Data!$BW$157</f>
        <v>7.72</v>
      </c>
      <c r="F1075" s="41" t="n">
        <f aca="false">Country_Data!$BX$157</f>
        <v>1.09650259067358</v>
      </c>
      <c r="G1075" s="42" t="str">
        <f aca="false">IF(D1075="","",D1075/SUMIFS($D$5:$D$1369,$B$5:$B$1369,B1075,$C$5:$C$1369,C1075))</f>
        <v/>
      </c>
      <c r="H1075" s="42" t="n">
        <f aca="false">E1075/SUMIFS($E$5:$E$1369,$B$5:$B$1369,B1075,$C$5:$C$1369,C1075)</f>
        <v>9.56251612590762E-005</v>
      </c>
      <c r="I1075" s="43" t="n">
        <f aca="false">IF(G1075="",H1075,p_beta_alloc*G1075+(1-p_beta_alloc)*H1075)*F1075^p_phi</f>
        <v>0.000100132950130513</v>
      </c>
      <c r="J1075" s="16" t="n">
        <f aca="false">INDEX(Sector_Params!$C$22:$E$22,MATCH(B1075,Sector_Params!$C$15:$E$15,0))*I1075/SUMIFS($I$5:$I$1369,$B$5:$B$1369,B1075,$C$5:$C$1369,C1075)</f>
        <v>0.0603609822757777</v>
      </c>
      <c r="K1075" s="28" t="n">
        <f aca="false">INDEX(Sector_Params!$F$11:$H$11,MATCH(B1075,Sector_Params!$C$15:$E$15,0))</f>
        <v>0.24</v>
      </c>
      <c r="L1075" s="16" t="n">
        <f aca="false">J1075*K1075</f>
        <v>0.0144866357461866</v>
      </c>
      <c r="M1075" s="44" t="n">
        <f aca="false">Country_Data!$DW$157+Sector_Params!$E$11</f>
        <v>0.105</v>
      </c>
      <c r="N1075" s="44" t="n">
        <f aca="false">Country_Data!$DX$157+Sector_Params!$E$11</f>
        <v>0.15</v>
      </c>
      <c r="O1075" s="11" t="n">
        <f aca="false">IF(p_use_ibrd=1,p_r_ibrd,p_r_wb)</f>
        <v>0.06</v>
      </c>
      <c r="P1075" s="45" t="n">
        <f aca="false">Sector_Params!$D$11</f>
        <v>30</v>
      </c>
      <c r="Q1075" s="46" t="n">
        <f aca="false">M1075/(1-(1+M1075)^-P1075)</f>
        <v>0.110528481529605</v>
      </c>
      <c r="R1075" s="46" t="n">
        <f aca="false">N1075/(1-(1+N1075)^-P1075)</f>
        <v>0.152300198192734</v>
      </c>
      <c r="S1075" s="46" t="n">
        <f aca="false">O1075/(1-(1+O1075)^-P1075)</f>
        <v>0.0726489114900472</v>
      </c>
      <c r="T1075" s="37" t="n">
        <f aca="false">0*Sector_Params!$I$11</f>
        <v>0</v>
      </c>
      <c r="U1075" s="37" t="n">
        <f aca="false">p_c*Sector_Params!$J$11</f>
        <v>0.129</v>
      </c>
      <c r="V1075" s="37" t="n">
        <f aca="false">1000*p_r_wb/(1-(1+p_r_wb)^-Sector_Params!$D$11)/p_cpt_afolu</f>
        <v>1.45297822980094</v>
      </c>
      <c r="W1075" s="16" t="n">
        <f aca="false">T1075*L1075</f>
        <v>0</v>
      </c>
      <c r="X1075" s="16" t="n">
        <f aca="false">U1075*L1075</f>
        <v>0.00186877601125808</v>
      </c>
      <c r="Y1075" s="16" t="n">
        <f aca="false">V1075*L1075</f>
        <v>0.0210487663622653</v>
      </c>
      <c r="Z1075" s="16" t="n">
        <f aca="false">Q1075*L1075</f>
        <v>0.00160118585149851</v>
      </c>
      <c r="AA1075" s="16" t="n">
        <f aca="false">R1075*L1075</f>
        <v>0.00220631749529017</v>
      </c>
      <c r="AB1075" s="16" t="n">
        <f aca="false">S1075*L1075</f>
        <v>0.00105243831811327</v>
      </c>
      <c r="AC1075" s="16" t="n">
        <f aca="false">Z1075-W1075</f>
        <v>0.00160118585149851</v>
      </c>
      <c r="AD1075" s="16" t="n">
        <f aca="false">AA1075-W1075</f>
        <v>0.00220631749529017</v>
      </c>
      <c r="AE1075" s="16" t="n">
        <f aca="false">AB1075-W1075</f>
        <v>0.00105243831811327</v>
      </c>
      <c r="AF1075" s="16" t="n">
        <f aca="false">AE1075-X1075</f>
        <v>-0.000816337693144809</v>
      </c>
      <c r="AG1075" s="16" t="n">
        <f aca="false">AF1075-p_spc_lo*Y1075/1000</f>
        <v>-0.00186877601125808</v>
      </c>
      <c r="AH1075" s="16" t="n">
        <f aca="false">AF1075-p_spc_hi*Y1075/1000</f>
        <v>-0.00292121432937134</v>
      </c>
      <c r="AI1075" s="16" t="n">
        <f aca="false">Q1075*J1075</f>
        <v>0.00667160771457712</v>
      </c>
      <c r="AJ1075" s="16" t="n">
        <f aca="false">S1075*J1075</f>
        <v>0.00438515965880528</v>
      </c>
      <c r="AK1075" s="16" t="n">
        <f aca="false">T1075*J1075</f>
        <v>0</v>
      </c>
      <c r="AL1075" s="16" t="n">
        <f aca="false">U1075*J1075</f>
        <v>0.00778656671357532</v>
      </c>
      <c r="AM1075" s="16" t="n">
        <f aca="false">AI1075-AJ1075</f>
        <v>0.00228644805577184</v>
      </c>
      <c r="AN1075" s="16" t="n">
        <f aca="false">J1075*Country_Data!$EB$157</f>
        <v>0.0692911002015092</v>
      </c>
      <c r="AO1075" s="16" t="n">
        <f aca="false">L1075*Country_Data!$EB$157</f>
        <v>0.0166298640483622</v>
      </c>
    </row>
    <row r="1076" customFormat="false" ht="15" hidden="false" customHeight="false" outlineLevel="0" collapsed="false">
      <c r="A1076" s="14" t="str">
        <f aca="false">Country_Data!$A$158</f>
        <v>MNE</v>
      </c>
      <c r="B1076" s="14" t="str">
        <f aca="false">Country_Data!$E$158</f>
        <v>EMDC</v>
      </c>
      <c r="C1076" s="35" t="s">
        <v>466</v>
      </c>
      <c r="D1076" s="37" t="str">
        <f aca="false">IF(Country_Data!$BZ$158="","",Country_Data!$BZ$158)</f>
        <v/>
      </c>
      <c r="E1076" s="40" t="n">
        <f aca="false">Country_Data!$BW$158</f>
        <v>20.316</v>
      </c>
      <c r="F1076" s="41" t="n">
        <f aca="false">Country_Data!$BX$158</f>
        <v>0.407166765111242</v>
      </c>
      <c r="G1076" s="42" t="str">
        <f aca="false">IF(D1076="","",D1076/SUMIFS($D$5:$D$1369,$B$5:$B$1369,B1076,$C$5:$C$1369,C1076))</f>
        <v/>
      </c>
      <c r="H1076" s="42" t="n">
        <f aca="false">E1076/SUMIFS($E$5:$E$1369,$B$5:$B$1369,B1076,$C$5:$C$1369,C1076)</f>
        <v>0.000251647768929973</v>
      </c>
      <c r="I1076" s="43" t="n">
        <f aca="false">IF(G1076="",H1076,p_beta_alloc*G1076+(1-p_beta_alloc)*H1076)*F1076^p_phi</f>
        <v>0.000160575486010952</v>
      </c>
      <c r="J1076" s="16" t="n">
        <f aca="false">INDEX(Sector_Params!$C$16:$E$16,MATCH(B1076,Sector_Params!$C$15:$E$15,0))*I1076/SUMIFS($I$5:$I$1369,$B$5:$B$1369,B1076,$C$5:$C$1369,C1076)</f>
        <v>0.155312681009347</v>
      </c>
      <c r="K1076" s="28" t="n">
        <f aca="false">INDEX(Sector_Params!$F$5:$H$5,MATCH(B1076,Sector_Params!$C$15:$E$15,0))</f>
        <v>0.24</v>
      </c>
      <c r="L1076" s="16" t="n">
        <f aca="false">J1076*K1076</f>
        <v>0.0372750434422433</v>
      </c>
      <c r="M1076" s="44" t="n">
        <f aca="false">Country_Data!$DW$158+Sector_Params!$E$5</f>
        <v>0.10976</v>
      </c>
      <c r="N1076" s="44" t="n">
        <f aca="false">Country_Data!$DX$158+Sector_Params!$E$5</f>
        <v>0.15476</v>
      </c>
      <c r="O1076" s="11" t="n">
        <f aca="false">IF(p_use_ibrd=1,p_r_ibrd,p_r_wb)</f>
        <v>0.06</v>
      </c>
      <c r="P1076" s="45" t="n">
        <f aca="false">Sector_Params!$D$5</f>
        <v>25</v>
      </c>
      <c r="Q1076" s="46" t="n">
        <f aca="false">M1076/(1-(1+M1076)^-P1076)</f>
        <v>0.118532224917246</v>
      </c>
      <c r="R1076" s="46" t="n">
        <f aca="false">N1076/(1-(1+N1076)^-P1076)</f>
        <v>0.159119432165426</v>
      </c>
      <c r="S1076" s="46" t="n">
        <f aca="false">O1076/(1-(1+O1076)^-P1076)</f>
        <v>0.078226718212274</v>
      </c>
      <c r="T1076" s="37" t="n">
        <f aca="false">IF(AND(p_eng=1,ISNUMBER(Country_Data!$CZ$158)),Country_Data!$CZ$158,Country_Data!$CM$158)*Sector_Params!$I$5</f>
        <v>0.133</v>
      </c>
      <c r="U1076" s="37" t="n">
        <f aca="false">IF(AND(p_eng=1,ISNUMBER(Country_Data!$DA$158)),Country_Data!$DA$158,Country_Data!$CN$158)*Sector_Params!$J$5</f>
        <v>0.129</v>
      </c>
      <c r="V1076" s="37" t="n">
        <f aca="false">IF(AND(p_eng=1,ISNUMBER(Country_Data!$DB$158)),Country_Data!$DB$158,p_a)</f>
        <v>0.35</v>
      </c>
      <c r="W1076" s="16" t="n">
        <f aca="false">T1076*L1076</f>
        <v>0.00495758077781835</v>
      </c>
      <c r="X1076" s="16" t="n">
        <f aca="false">U1076*L1076</f>
        <v>0.00480848060404938</v>
      </c>
      <c r="Y1076" s="16" t="n">
        <f aca="false">V1076*L1076</f>
        <v>0.0130462652047851</v>
      </c>
      <c r="Z1076" s="16" t="n">
        <f aca="false">Q1076*L1076</f>
        <v>0.00441829383309608</v>
      </c>
      <c r="AA1076" s="16" t="n">
        <f aca="false">R1076*L1076</f>
        <v>0.00593118374647133</v>
      </c>
      <c r="AB1076" s="16" t="n">
        <f aca="false">S1076*L1076</f>
        <v>0.00291590431970663</v>
      </c>
      <c r="AC1076" s="16" t="n">
        <f aca="false">Z1076-W1076</f>
        <v>-0.000539286944722276</v>
      </c>
      <c r="AD1076" s="16" t="n">
        <f aca="false">AA1076-W1076</f>
        <v>0.000973602968652975</v>
      </c>
      <c r="AE1076" s="16" t="n">
        <f aca="false">AB1076-W1076</f>
        <v>-0.00204167645811172</v>
      </c>
      <c r="AF1076" s="16" t="n">
        <f aca="false">AE1076-X1076</f>
        <v>-0.0068501570621611</v>
      </c>
      <c r="AG1076" s="16" t="n">
        <f aca="false">AF1076-p_spc_lo*Y1076/1000</f>
        <v>-0.00750247032240036</v>
      </c>
      <c r="AH1076" s="16" t="n">
        <f aca="false">AF1076-p_spc_hi*Y1076/1000</f>
        <v>-0.00815478358263961</v>
      </c>
      <c r="AI1076" s="16" t="n">
        <f aca="false">Q1076*J1076</f>
        <v>0.0184095576379003</v>
      </c>
      <c r="AJ1076" s="16" t="n">
        <f aca="false">S1076*J1076</f>
        <v>0.012149601332111</v>
      </c>
      <c r="AK1076" s="16" t="n">
        <f aca="false">T1076*J1076</f>
        <v>0.0206565865742431</v>
      </c>
      <c r="AL1076" s="16" t="n">
        <f aca="false">U1076*J1076</f>
        <v>0.0200353358502058</v>
      </c>
      <c r="AM1076" s="16" t="n">
        <f aca="false">AI1076-AJ1076</f>
        <v>0.00625995630578935</v>
      </c>
      <c r="AN1076" s="16" t="n">
        <f aca="false">J1076*Country_Data!$EB$158</f>
        <v>0.189505550316831</v>
      </c>
      <c r="AO1076" s="16" t="n">
        <f aca="false">L1076*Country_Data!$EB$158</f>
        <v>0.0454813320760394</v>
      </c>
    </row>
    <row r="1077" customFormat="false" ht="15" hidden="false" customHeight="false" outlineLevel="0" collapsed="false">
      <c r="A1077" s="14" t="str">
        <f aca="false">Country_Data!$A$158</f>
        <v>MNE</v>
      </c>
      <c r="B1077" s="14" t="str">
        <f aca="false">Country_Data!$E$158</f>
        <v>EMDC</v>
      </c>
      <c r="C1077" s="35" t="s">
        <v>470</v>
      </c>
      <c r="D1077" s="37" t="str">
        <f aca="false">IF(Country_Data!$BZ$158="","",Country_Data!$BZ$158)</f>
        <v/>
      </c>
      <c r="E1077" s="40" t="n">
        <f aca="false">Country_Data!$BW$158</f>
        <v>20.316</v>
      </c>
      <c r="F1077" s="41" t="n">
        <f aca="false">Country_Data!$BX$158</f>
        <v>0.407166765111242</v>
      </c>
      <c r="G1077" s="42" t="str">
        <f aca="false">IF(D1077="","",D1077/SUMIFS($D$5:$D$1369,$B$5:$B$1369,B1077,$C$5:$C$1369,C1077))</f>
        <v/>
      </c>
      <c r="H1077" s="42" t="n">
        <f aca="false">E1077/SUMIFS($E$5:$E$1369,$B$5:$B$1369,B1077,$C$5:$C$1369,C1077)</f>
        <v>0.000251647768929973</v>
      </c>
      <c r="I1077" s="43" t="n">
        <f aca="false">IF(G1077="",H1077,p_beta_alloc*G1077+(1-p_beta_alloc)*H1077)*F1077^p_phi</f>
        <v>0.000160575486010952</v>
      </c>
      <c r="J1077" s="16" t="n">
        <f aca="false">INDEX(Sector_Params!$C$17:$E$17,MATCH(B1077,Sector_Params!$C$15:$E$15,0))*I1077/SUMIFS($I$5:$I$1369,$B$5:$B$1369,B1077,$C$5:$C$1369,C1077)</f>
        <v>0.106500124120695</v>
      </c>
      <c r="K1077" s="28" t="n">
        <f aca="false">INDEX(Sector_Params!$F$6:$H$6,MATCH(B1077,Sector_Params!$C$15:$E$15,0))</f>
        <v>0.24</v>
      </c>
      <c r="L1077" s="16" t="n">
        <f aca="false">J1077*K1077</f>
        <v>0.0255600297889668</v>
      </c>
      <c r="M1077" s="44" t="n">
        <f aca="false">Country_Data!$DW$158+Sector_Params!$E$6</f>
        <v>0.10976</v>
      </c>
      <c r="N1077" s="44" t="n">
        <f aca="false">Country_Data!$DX$158+Sector_Params!$E$6</f>
        <v>0.15476</v>
      </c>
      <c r="O1077" s="11" t="n">
        <f aca="false">IF(p_use_ibrd=1,p_r_ibrd,p_r_wb)</f>
        <v>0.06</v>
      </c>
      <c r="P1077" s="45" t="n">
        <f aca="false">Sector_Params!$D$6</f>
        <v>40</v>
      </c>
      <c r="Q1077" s="46" t="n">
        <f aca="false">M1077/(1-(1+M1077)^-P1077)</f>
        <v>0.111490109767875</v>
      </c>
      <c r="R1077" s="46" t="n">
        <f aca="false">N1077/(1-(1+N1077)^-P1077)</f>
        <v>0.155251321798294</v>
      </c>
      <c r="S1077" s="46" t="n">
        <f aca="false">O1077/(1-(1+O1077)^-P1077)</f>
        <v>0.0664615359206755</v>
      </c>
      <c r="T1077" s="37" t="n">
        <f aca="false">p_grid_credit*IF(AND(p_eng=1,ISNUMBER(Country_Data!$CZ$158)),Country_Data!$CZ$158,Country_Data!$CM$158)*Sector_Params!$I$6</f>
        <v>0</v>
      </c>
      <c r="U1077" s="37" t="n">
        <f aca="false">p_grid_credit*IF(AND(p_eng=1,ISNUMBER(Country_Data!$DA$158)),Country_Data!$DA$158,Country_Data!$CN$158)*Sector_Params!$J$6</f>
        <v>0</v>
      </c>
      <c r="V1077" s="37" t="n">
        <f aca="false">p_grid_credit*IF(AND(p_eng=1,ISNUMBER(Country_Data!$DB$158)),Country_Data!$DB$158,p_a)</f>
        <v>0</v>
      </c>
      <c r="W1077" s="16" t="n">
        <f aca="false">T1077*L1077</f>
        <v>0</v>
      </c>
      <c r="X1077" s="16" t="n">
        <f aca="false">U1077*L1077</f>
        <v>0</v>
      </c>
      <c r="Y1077" s="16" t="n">
        <f aca="false">V1077*L1077</f>
        <v>0</v>
      </c>
      <c r="Z1077" s="16" t="n">
        <f aca="false">Q1077*L1077</f>
        <v>0.00284969052684205</v>
      </c>
      <c r="AA1077" s="16" t="n">
        <f aca="false">R1077*L1077</f>
        <v>0.00396822840994086</v>
      </c>
      <c r="AB1077" s="16" t="n">
        <f aca="false">S1077*L1077</f>
        <v>0.00169875883795295</v>
      </c>
      <c r="AC1077" s="16" t="n">
        <f aca="false">Z1077-W1077</f>
        <v>0.00284969052684205</v>
      </c>
      <c r="AD1077" s="16" t="n">
        <f aca="false">AA1077-W1077</f>
        <v>0.00396822840994086</v>
      </c>
      <c r="AE1077" s="16" t="n">
        <f aca="false">AB1077-W1077</f>
        <v>0.00169875883795295</v>
      </c>
      <c r="AF1077" s="16" t="n">
        <f aca="false">AE1077-X1077</f>
        <v>0.00169875883795295</v>
      </c>
      <c r="AG1077" s="16" t="n">
        <f aca="false">AF1077-p_spc_lo*Y1077/1000</f>
        <v>0.00169875883795295</v>
      </c>
      <c r="AH1077" s="16" t="n">
        <f aca="false">AF1077-p_spc_hi*Y1077/1000</f>
        <v>0.00169875883795295</v>
      </c>
      <c r="AI1077" s="16" t="n">
        <f aca="false">Q1077*J1077</f>
        <v>0.0118737105285086</v>
      </c>
      <c r="AJ1077" s="16" t="n">
        <f aca="false">S1077*J1077</f>
        <v>0.00707816182480397</v>
      </c>
      <c r="AK1077" s="16" t="n">
        <f aca="false">T1077*J1077</f>
        <v>0</v>
      </c>
      <c r="AL1077" s="16" t="n">
        <f aca="false">U1077*J1077</f>
        <v>0</v>
      </c>
      <c r="AM1077" s="16" t="n">
        <f aca="false">AI1077-AJ1077</f>
        <v>0.00479554870370459</v>
      </c>
      <c r="AN1077" s="16" t="n">
        <f aca="false">J1077*Country_Data!$EB$158</f>
        <v>0.129946663074398</v>
      </c>
      <c r="AO1077" s="16" t="n">
        <f aca="false">L1077*Country_Data!$EB$158</f>
        <v>0.0311871991378556</v>
      </c>
    </row>
    <row r="1078" customFormat="false" ht="15" hidden="false" customHeight="false" outlineLevel="0" collapsed="false">
      <c r="A1078" s="14" t="str">
        <f aca="false">Country_Data!$A$158</f>
        <v>MNE</v>
      </c>
      <c r="B1078" s="14" t="str">
        <f aca="false">Country_Data!$E$158</f>
        <v>EMDC</v>
      </c>
      <c r="C1078" s="35" t="s">
        <v>473</v>
      </c>
      <c r="D1078" s="37" t="str">
        <f aca="false">IF(Country_Data!$CA$158="","",Country_Data!$CA$158)</f>
        <v/>
      </c>
      <c r="E1078" s="40" t="n">
        <f aca="false">Country_Data!$BW$158</f>
        <v>20.316</v>
      </c>
      <c r="F1078" s="41" t="n">
        <f aca="false">Country_Data!$BX$158</f>
        <v>0.407166765111242</v>
      </c>
      <c r="G1078" s="42" t="str">
        <f aca="false">IF(D1078="","",D1078/SUMIFS($D$5:$D$1369,$B$5:$B$1369,B1078,$C$5:$C$1369,C1078))</f>
        <v/>
      </c>
      <c r="H1078" s="42" t="n">
        <f aca="false">E1078/SUMIFS($E$5:$E$1369,$B$5:$B$1369,B1078,$C$5:$C$1369,C1078)</f>
        <v>0.000251647768929973</v>
      </c>
      <c r="I1078" s="43" t="n">
        <f aca="false">IF(G1078="",H1078,p_beta_alloc*G1078+(1-p_beta_alloc)*H1078)*F1078^p_phi</f>
        <v>0.000160575486010952</v>
      </c>
      <c r="J1078" s="16" t="n">
        <f aca="false">INDEX(Sector_Params!$C$18:$E$18,MATCH(B1078,Sector_Params!$C$15:$E$15,0))*I1078/SUMIFS($I$5:$I$1369,$B$5:$B$1369,B1078,$C$5:$C$1369,C1078)</f>
        <v>0.065751862110495</v>
      </c>
      <c r="K1078" s="28" t="n">
        <f aca="false">INDEX(Sector_Params!$F$7:$H$7,MATCH(B1078,Sector_Params!$C$15:$E$15,0))</f>
        <v>0.24</v>
      </c>
      <c r="L1078" s="16" t="n">
        <f aca="false">J1078*K1078</f>
        <v>0.0157804469065188</v>
      </c>
      <c r="M1078" s="44" t="n">
        <f aca="false">Country_Data!$DW$158+Sector_Params!$E$7</f>
        <v>0.10976</v>
      </c>
      <c r="N1078" s="44" t="n">
        <f aca="false">Country_Data!$DX$158+Sector_Params!$E$7</f>
        <v>0.15476</v>
      </c>
      <c r="O1078" s="11" t="n">
        <f aca="false">IF(p_use_ibrd=1,p_r_ibrd,p_r_wb)</f>
        <v>0.06</v>
      </c>
      <c r="P1078" s="45" t="n">
        <f aca="false">Sector_Params!$D$7</f>
        <v>12</v>
      </c>
      <c r="Q1078" s="46" t="n">
        <f aca="false">M1078/(1-(1+M1078)^-P1078)</f>
        <v>0.153851223282882</v>
      </c>
      <c r="R1078" s="46" t="n">
        <f aca="false">N1078/(1-(1+N1078)^-P1078)</f>
        <v>0.188242408319949</v>
      </c>
      <c r="S1078" s="46" t="n">
        <f aca="false">O1078/(1-(1+O1078)^-P1078)</f>
        <v>0.119277029380664</v>
      </c>
      <c r="T1078" s="37" t="n">
        <f aca="false">IF(AND(p_eng=1,ISNUMBER(Country_Data!$DE$158)),Country_Data!$DE$158,Country_Data!$CM$158)*Sector_Params!$I$7</f>
        <v>0.133</v>
      </c>
      <c r="U1078" s="37" t="n">
        <f aca="false">IF(AND(p_eng=1,ISNUMBER(Country_Data!$DF$158)),Country_Data!$DF$158,Country_Data!$CN$158)*Sector_Params!$J$7</f>
        <v>0.129</v>
      </c>
      <c r="V1078" s="37" t="n">
        <f aca="false">IF(AND(p_eng=1,ISNUMBER(Country_Data!$DG$158)),Country_Data!$DG$158,p_a)</f>
        <v>0.35</v>
      </c>
      <c r="W1078" s="16" t="n">
        <f aca="false">T1078*L1078</f>
        <v>0.002098799438567</v>
      </c>
      <c r="X1078" s="16" t="n">
        <f aca="false">U1078*L1078</f>
        <v>0.00203567765094093</v>
      </c>
      <c r="Y1078" s="16" t="n">
        <f aca="false">V1078*L1078</f>
        <v>0.00552315641728158</v>
      </c>
      <c r="Z1078" s="16" t="n">
        <f aca="false">Q1078*L1078</f>
        <v>0.00242784106051849</v>
      </c>
      <c r="AA1078" s="16" t="n">
        <f aca="false">R1078*L1078</f>
        <v>0.00297054933004819</v>
      </c>
      <c r="AB1078" s="16" t="n">
        <f aca="false">S1078*L1078</f>
        <v>0.00188224482930885</v>
      </c>
      <c r="AC1078" s="16" t="n">
        <f aca="false">Z1078-W1078</f>
        <v>0.000329041621951485</v>
      </c>
      <c r="AD1078" s="16" t="n">
        <f aca="false">AA1078-W1078</f>
        <v>0.000871749891481189</v>
      </c>
      <c r="AE1078" s="16" t="n">
        <f aca="false">AB1078-W1078</f>
        <v>-0.000216554609258156</v>
      </c>
      <c r="AF1078" s="16" t="n">
        <f aca="false">AE1078-X1078</f>
        <v>-0.00225223226019908</v>
      </c>
      <c r="AG1078" s="16" t="n">
        <f aca="false">AF1078-p_spc_lo*Y1078/1000</f>
        <v>-0.00252839008106316</v>
      </c>
      <c r="AH1078" s="16" t="n">
        <f aca="false">AF1078-p_spc_hi*Y1078/1000</f>
        <v>-0.00280454790192724</v>
      </c>
      <c r="AI1078" s="16" t="n">
        <f aca="false">Q1078*J1078</f>
        <v>0.010116004418827</v>
      </c>
      <c r="AJ1078" s="16" t="n">
        <f aca="false">S1078*J1078</f>
        <v>0.00784268678878686</v>
      </c>
      <c r="AK1078" s="16" t="n">
        <f aca="false">T1078*J1078</f>
        <v>0.00874499766069584</v>
      </c>
      <c r="AL1078" s="16" t="n">
        <f aca="false">U1078*J1078</f>
        <v>0.00848199021225386</v>
      </c>
      <c r="AM1078" s="16" t="n">
        <f aca="false">AI1078-AJ1078</f>
        <v>0.00227331763004017</v>
      </c>
      <c r="AN1078" s="16" t="n">
        <f aca="false">J1078*Country_Data!$EB$158</f>
        <v>0.0802274658619529</v>
      </c>
      <c r="AO1078" s="16" t="n">
        <f aca="false">L1078*Country_Data!$EB$158</f>
        <v>0.0192545918068687</v>
      </c>
    </row>
    <row r="1079" customFormat="false" ht="15" hidden="false" customHeight="false" outlineLevel="0" collapsed="false">
      <c r="A1079" s="14" t="str">
        <f aca="false">Country_Data!$A$158</f>
        <v>MNE</v>
      </c>
      <c r="B1079" s="14" t="str">
        <f aca="false">Country_Data!$E$158</f>
        <v>EMDC</v>
      </c>
      <c r="C1079" s="35" t="s">
        <v>477</v>
      </c>
      <c r="D1079" s="37" t="str">
        <f aca="false">IF(Country_Data!$CB$158="","",Country_Data!$CB$158)</f>
        <v/>
      </c>
      <c r="E1079" s="40" t="n">
        <f aca="false">Country_Data!$BW$158</f>
        <v>20.316</v>
      </c>
      <c r="F1079" s="41" t="n">
        <f aca="false">Country_Data!$BX$158</f>
        <v>0.407166765111242</v>
      </c>
      <c r="G1079" s="42" t="str">
        <f aca="false">IF(D1079="","",D1079/SUMIFS($D$5:$D$1369,$B$5:$B$1369,B1079,$C$5:$C$1369,C1079))</f>
        <v/>
      </c>
      <c r="H1079" s="42" t="n">
        <f aca="false">E1079/SUMIFS($E$5:$E$1369,$B$5:$B$1369,B1079,$C$5:$C$1369,C1079)</f>
        <v>0.000251647768929973</v>
      </c>
      <c r="I1079" s="43" t="n">
        <f aca="false">IF(G1079="",H1079,p_beta_alloc*G1079+(1-p_beta_alloc)*H1079)*F1079^p_phi</f>
        <v>0.000160575486010952</v>
      </c>
      <c r="J1079" s="16" t="n">
        <f aca="false">INDEX(Sector_Params!$C$19:$E$19,MATCH(B1079,Sector_Params!$C$15:$E$15,0))*I1079/SUMIFS($I$5:$I$1369,$B$5:$B$1369,B1079,$C$5:$C$1369,C1079)</f>
        <v>0.0516832428658268</v>
      </c>
      <c r="K1079" s="28" t="n">
        <f aca="false">INDEX(Sector_Params!$F$8:$H$8,MATCH(B1079,Sector_Params!$C$15:$E$15,0))</f>
        <v>0.24</v>
      </c>
      <c r="L1079" s="16" t="n">
        <f aca="false">J1079*K1079</f>
        <v>0.0124039782877984</v>
      </c>
      <c r="M1079" s="44" t="n">
        <f aca="false">Country_Data!$DW$158+Sector_Params!$E$8</f>
        <v>0.10976</v>
      </c>
      <c r="N1079" s="44" t="n">
        <f aca="false">Country_Data!$DX$158+Sector_Params!$E$8</f>
        <v>0.15476</v>
      </c>
      <c r="O1079" s="11" t="n">
        <f aca="false">IF(p_use_ibrd=1,p_r_ibrd,p_r_wb)</f>
        <v>0.06</v>
      </c>
      <c r="P1079" s="45" t="n">
        <f aca="false">Sector_Params!$D$8</f>
        <v>25</v>
      </c>
      <c r="Q1079" s="46" t="n">
        <f aca="false">M1079/(1-(1+M1079)^-P1079)</f>
        <v>0.118532224917246</v>
      </c>
      <c r="R1079" s="46" t="n">
        <f aca="false">N1079/(1-(1+N1079)^-P1079)</f>
        <v>0.159119432165426</v>
      </c>
      <c r="S1079" s="46" t="n">
        <f aca="false">O1079/(1-(1+O1079)^-P1079)</f>
        <v>0.078226718212274</v>
      </c>
      <c r="T1079" s="37" t="n">
        <f aca="false">Country_Data!$CM$158*Sector_Params!$I$8</f>
        <v>0.133</v>
      </c>
      <c r="U1079" s="37" t="n">
        <f aca="false">Country_Data!$CN$158*Sector_Params!$J$8</f>
        <v>0.129</v>
      </c>
      <c r="V1079" s="37" t="n">
        <f aca="false">p_a</f>
        <v>0.35</v>
      </c>
      <c r="W1079" s="16" t="n">
        <f aca="false">T1079*L1079</f>
        <v>0.00164972911227719</v>
      </c>
      <c r="X1079" s="16" t="n">
        <f aca="false">U1079*L1079</f>
        <v>0.001600113199126</v>
      </c>
      <c r="Y1079" s="16" t="n">
        <f aca="false">V1079*L1079</f>
        <v>0.00434139240072945</v>
      </c>
      <c r="Z1079" s="16" t="n">
        <f aca="false">Q1079*L1079</f>
        <v>0.00147027114427795</v>
      </c>
      <c r="AA1079" s="16" t="n">
        <f aca="false">R1079*L1079</f>
        <v>0.00197371398174676</v>
      </c>
      <c r="AB1079" s="16" t="n">
        <f aca="false">S1079*L1079</f>
        <v>0.000970322514230772</v>
      </c>
      <c r="AC1079" s="16" t="n">
        <f aca="false">Z1079-W1079</f>
        <v>-0.000179457967999237</v>
      </c>
      <c r="AD1079" s="16" t="n">
        <f aca="false">AA1079-W1079</f>
        <v>0.000323984869469567</v>
      </c>
      <c r="AE1079" s="16" t="n">
        <f aca="false">AB1079-W1079</f>
        <v>-0.000679406598046419</v>
      </c>
      <c r="AF1079" s="16" t="n">
        <f aca="false">AE1079-X1079</f>
        <v>-0.00227951979717242</v>
      </c>
      <c r="AG1079" s="16" t="n">
        <f aca="false">AF1079-p_spc_lo*Y1079/1000</f>
        <v>-0.00249658941720889</v>
      </c>
      <c r="AH1079" s="16" t="n">
        <f aca="false">AF1079-p_spc_hi*Y1079/1000</f>
        <v>-0.00271365903724536</v>
      </c>
      <c r="AI1079" s="16" t="n">
        <f aca="false">Q1079*J1079</f>
        <v>0.00612612976782481</v>
      </c>
      <c r="AJ1079" s="16" t="n">
        <f aca="false">S1079*J1079</f>
        <v>0.00404301047596155</v>
      </c>
      <c r="AK1079" s="16" t="n">
        <f aca="false">T1079*J1079</f>
        <v>0.00687387130115496</v>
      </c>
      <c r="AL1079" s="16" t="n">
        <f aca="false">U1079*J1079</f>
        <v>0.00666713832969165</v>
      </c>
      <c r="AM1079" s="16" t="n">
        <f aca="false">AI1079-AJ1079</f>
        <v>0.00208311929186326</v>
      </c>
      <c r="AN1079" s="16" t="n">
        <f aca="false">J1079*Country_Data!$EB$158</f>
        <v>0.0630615692021793</v>
      </c>
      <c r="AO1079" s="16" t="n">
        <f aca="false">L1079*Country_Data!$EB$158</f>
        <v>0.015134776608523</v>
      </c>
    </row>
    <row r="1080" customFormat="false" ht="15" hidden="false" customHeight="false" outlineLevel="0" collapsed="false">
      <c r="A1080" s="14" t="str">
        <f aca="false">Country_Data!$A$158</f>
        <v>MNE</v>
      </c>
      <c r="B1080" s="14" t="str">
        <f aca="false">Country_Data!$E$158</f>
        <v>EMDC</v>
      </c>
      <c r="C1080" s="35" t="s">
        <v>481</v>
      </c>
      <c r="D1080" s="37" t="str">
        <f aca="false">IF(Country_Data!$CC$158="","",Country_Data!$CC$158)</f>
        <v/>
      </c>
      <c r="E1080" s="40" t="n">
        <f aca="false">Country_Data!$BW$158</f>
        <v>20.316</v>
      </c>
      <c r="F1080" s="41" t="n">
        <f aca="false">Country_Data!$BX$158</f>
        <v>0.407166765111242</v>
      </c>
      <c r="G1080" s="42" t="str">
        <f aca="false">IF(D1080="","",D1080/SUMIFS($D$5:$D$1369,$B$5:$B$1369,B1080,$C$5:$C$1369,C1080))</f>
        <v/>
      </c>
      <c r="H1080" s="42" t="n">
        <f aca="false">E1080/SUMIFS($E$5:$E$1369,$B$5:$B$1369,B1080,$C$5:$C$1369,C1080)</f>
        <v>0.000251647768929973</v>
      </c>
      <c r="I1080" s="43" t="n">
        <f aca="false">IF(G1080="",H1080,p_beta_alloc*G1080+(1-p_beta_alloc)*H1080)*F1080^p_phi</f>
        <v>0.000160575486010952</v>
      </c>
      <c r="J1080" s="16" t="n">
        <f aca="false">INDEX(Sector_Params!$C$20:$E$20,MATCH(B1080,Sector_Params!$C$15:$E$15,0))*I1080/SUMIFS($I$5:$I$1369,$B$5:$B$1369,B1080,$C$5:$C$1369,C1080)</f>
        <v>0.0293082598158759</v>
      </c>
      <c r="K1080" s="28" t="n">
        <f aca="false">INDEX(Sector_Params!$F$9:$H$9,MATCH(B1080,Sector_Params!$C$15:$E$15,0))</f>
        <v>0.24</v>
      </c>
      <c r="L1080" s="16" t="n">
        <f aca="false">J1080*K1080</f>
        <v>0.00703398235581021</v>
      </c>
      <c r="M1080" s="44" t="n">
        <f aca="false">Country_Data!$DW$158+Sector_Params!$E$9</f>
        <v>0.10976</v>
      </c>
      <c r="N1080" s="44" t="n">
        <f aca="false">Country_Data!$DX$158+Sector_Params!$E$9</f>
        <v>0.15476</v>
      </c>
      <c r="O1080" s="11" t="n">
        <f aca="false">IF(p_use_ibrd=1,p_r_ibrd,p_r_wb)</f>
        <v>0.06</v>
      </c>
      <c r="P1080" s="45" t="n">
        <f aca="false">Sector_Params!$D$9</f>
        <v>25</v>
      </c>
      <c r="Q1080" s="46" t="n">
        <f aca="false">M1080/(1-(1+M1080)^-P1080)</f>
        <v>0.118532224917246</v>
      </c>
      <c r="R1080" s="46" t="n">
        <f aca="false">N1080/(1-(1+N1080)^-P1080)</f>
        <v>0.159119432165426</v>
      </c>
      <c r="S1080" s="46" t="n">
        <f aca="false">O1080/(1-(1+O1080)^-P1080)</f>
        <v>0.078226718212274</v>
      </c>
      <c r="T1080" s="37" t="n">
        <f aca="false">Country_Data!$CM$158*Sector_Params!$I$9</f>
        <v>0.133</v>
      </c>
      <c r="U1080" s="37" t="n">
        <f aca="false">Country_Data!$CN$158*Sector_Params!$J$9</f>
        <v>0.129</v>
      </c>
      <c r="V1080" s="37" t="n">
        <f aca="false">p_a</f>
        <v>0.35</v>
      </c>
      <c r="W1080" s="16" t="n">
        <f aca="false">T1080*L1080</f>
        <v>0.000935519653322758</v>
      </c>
      <c r="X1080" s="16" t="n">
        <f aca="false">U1080*L1080</f>
        <v>0.000907383723899517</v>
      </c>
      <c r="Y1080" s="16" t="n">
        <f aca="false">V1080*L1080</f>
        <v>0.00246189382453357</v>
      </c>
      <c r="Z1080" s="16" t="n">
        <f aca="false">Q1080*L1080</f>
        <v>0.000833753578662832</v>
      </c>
      <c r="AA1080" s="16" t="n">
        <f aca="false">R1080*L1080</f>
        <v>0.00111924327831814</v>
      </c>
      <c r="AB1080" s="16" t="n">
        <f aca="false">S1080*L1080</f>
        <v>0.000550245355658072</v>
      </c>
      <c r="AC1080" s="16" t="n">
        <f aca="false">Z1080-W1080</f>
        <v>-0.000101766074659925</v>
      </c>
      <c r="AD1080" s="16" t="n">
        <f aca="false">AA1080-W1080</f>
        <v>0.000183723624995387</v>
      </c>
      <c r="AE1080" s="16" t="n">
        <f aca="false">AB1080-W1080</f>
        <v>-0.000385274297664686</v>
      </c>
      <c r="AF1080" s="16" t="n">
        <f aca="false">AE1080-X1080</f>
        <v>-0.0012926580215642</v>
      </c>
      <c r="AG1080" s="16" t="n">
        <f aca="false">AF1080-p_spc_lo*Y1080/1000</f>
        <v>-0.00141575271279088</v>
      </c>
      <c r="AH1080" s="16" t="n">
        <f aca="false">AF1080-p_spc_hi*Y1080/1000</f>
        <v>-0.00153884740401756</v>
      </c>
      <c r="AI1080" s="16" t="n">
        <f aca="false">Q1080*J1080</f>
        <v>0.00347397324442847</v>
      </c>
      <c r="AJ1080" s="16" t="n">
        <f aca="false">S1080*J1080</f>
        <v>0.00229268898190863</v>
      </c>
      <c r="AK1080" s="16" t="n">
        <f aca="false">T1080*J1080</f>
        <v>0.00389799855551149</v>
      </c>
      <c r="AL1080" s="16" t="n">
        <f aca="false">U1080*J1080</f>
        <v>0.00378076551624799</v>
      </c>
      <c r="AM1080" s="16" t="n">
        <f aca="false">AI1080-AJ1080</f>
        <v>0.00118128426251984</v>
      </c>
      <c r="AN1080" s="16" t="n">
        <f aca="false">J1080*Country_Data!$EB$158</f>
        <v>0.0357606208916191</v>
      </c>
      <c r="AO1080" s="16" t="n">
        <f aca="false">L1080*Country_Data!$EB$158</f>
        <v>0.00858254901398858</v>
      </c>
    </row>
    <row r="1081" customFormat="false" ht="15" hidden="false" customHeight="false" outlineLevel="0" collapsed="false">
      <c r="A1081" s="14" t="str">
        <f aca="false">Country_Data!$A$158</f>
        <v>MNE</v>
      </c>
      <c r="B1081" s="14" t="str">
        <f aca="false">Country_Data!$E$158</f>
        <v>EMDC</v>
      </c>
      <c r="C1081" s="35" t="s">
        <v>484</v>
      </c>
      <c r="D1081" s="37" t="str">
        <f aca="false">IF(Country_Data!$CD$158="","",Country_Data!$CD$158)</f>
        <v/>
      </c>
      <c r="E1081" s="40" t="n">
        <f aca="false">Country_Data!$BW$158</f>
        <v>20.316</v>
      </c>
      <c r="F1081" s="41" t="n">
        <f aca="false">Country_Data!$BX$158</f>
        <v>0.407166765111242</v>
      </c>
      <c r="G1081" s="42" t="str">
        <f aca="false">IF(D1081="","",D1081/SUMIFS($D$5:$D$1369,$B$5:$B$1369,B1081,$C$5:$C$1369,C1081))</f>
        <v/>
      </c>
      <c r="H1081" s="42" t="n">
        <f aca="false">E1081/SUMIFS($E$5:$E$1369,$B$5:$B$1369,B1081,$C$5:$C$1369,C1081)</f>
        <v>0.000251647768929973</v>
      </c>
      <c r="I1081" s="43" t="n">
        <f aca="false">IF(G1081="",H1081,p_beta_alloc*G1081+(1-p_beta_alloc)*H1081)*F1081^p_phi</f>
        <v>0.000160575486010952</v>
      </c>
      <c r="J1081" s="16" t="n">
        <f aca="false">INDEX(Sector_Params!$C$21:$E$21,MATCH(B1081,Sector_Params!$C$15:$E$15,0))*I1081/SUMIFS($I$5:$I$1369,$B$5:$B$1369,B1081,$C$5:$C$1369,C1081)</f>
        <v>0.0356140091435737</v>
      </c>
      <c r="K1081" s="28" t="n">
        <f aca="false">INDEX(Sector_Params!$F$10:$H$10,MATCH(B1081,Sector_Params!$C$15:$E$15,0))</f>
        <v>0.24</v>
      </c>
      <c r="L1081" s="16" t="n">
        <f aca="false">J1081*K1081</f>
        <v>0.00854736219445769</v>
      </c>
      <c r="M1081" s="44" t="n">
        <f aca="false">Country_Data!$DW$158+Sector_Params!$E$10</f>
        <v>0.10976</v>
      </c>
      <c r="N1081" s="44" t="n">
        <f aca="false">Country_Data!$DX$158+Sector_Params!$E$10</f>
        <v>0.15476</v>
      </c>
      <c r="O1081" s="11" t="n">
        <f aca="false">IF(p_use_ibrd=1,p_r_ibrd,p_r_wb)</f>
        <v>0.06</v>
      </c>
      <c r="P1081" s="45" t="n">
        <f aca="false">Sector_Params!$D$10</f>
        <v>20</v>
      </c>
      <c r="Q1081" s="46" t="n">
        <f aca="false">M1081/(1-(1+M1081)^-P1081)</f>
        <v>0.125378598812073</v>
      </c>
      <c r="R1081" s="46" t="n">
        <f aca="false">N1081/(1-(1+N1081)^-P1081)</f>
        <v>0.163985070055108</v>
      </c>
      <c r="S1081" s="46" t="n">
        <f aca="false">O1081/(1-(1+O1081)^-P1081)</f>
        <v>0.0871845569768514</v>
      </c>
      <c r="T1081" s="37" t="n">
        <f aca="false">0*Sector_Params!$I$10</f>
        <v>0</v>
      </c>
      <c r="U1081" s="37" t="n">
        <f aca="false">0*Sector_Params!$J$10</f>
        <v>0</v>
      </c>
      <c r="V1081" s="37" t="n">
        <f aca="false">1000*p_r_wb/(1-(1+p_r_wb)^-Sector_Params!$D$10)/p_cpt_fuel</f>
        <v>0.871845569768514</v>
      </c>
      <c r="W1081" s="16" t="n">
        <f aca="false">T1081*L1081</f>
        <v>0</v>
      </c>
      <c r="X1081" s="16" t="n">
        <f aca="false">U1081*L1081</f>
        <v>0</v>
      </c>
      <c r="Y1081" s="16" t="n">
        <f aca="false">V1081*L1081</f>
        <v>0.00745197986244482</v>
      </c>
      <c r="Z1081" s="16" t="n">
        <f aca="false">Q1081*L1081</f>
        <v>0.00107165629548039</v>
      </c>
      <c r="AA1081" s="16" t="n">
        <f aca="false">R1081*L1081</f>
        <v>0.00140163978824452</v>
      </c>
      <c r="AB1081" s="16" t="n">
        <f aca="false">S1081*L1081</f>
        <v>0.000745197986244482</v>
      </c>
      <c r="AC1081" s="16" t="n">
        <f aca="false">Z1081-W1081</f>
        <v>0.00107165629548039</v>
      </c>
      <c r="AD1081" s="16" t="n">
        <f aca="false">AA1081-W1081</f>
        <v>0.00140163978824452</v>
      </c>
      <c r="AE1081" s="16" t="n">
        <f aca="false">AB1081-W1081</f>
        <v>0.000745197986244482</v>
      </c>
      <c r="AF1081" s="16" t="n">
        <f aca="false">AE1081-X1081</f>
        <v>0.000745197986244482</v>
      </c>
      <c r="AG1081" s="16" t="n">
        <f aca="false">AF1081-p_spc_lo*Y1081/1000</f>
        <v>0.000372598993122241</v>
      </c>
      <c r="AH1081" s="16" t="n">
        <f aca="false">AF1081-p_spc_hi*Y1081/1000</f>
        <v>0</v>
      </c>
      <c r="AI1081" s="16" t="n">
        <f aca="false">Q1081*J1081</f>
        <v>0.00446523456450161</v>
      </c>
      <c r="AJ1081" s="16" t="n">
        <f aca="false">S1081*J1081</f>
        <v>0.00310499160935201</v>
      </c>
      <c r="AK1081" s="16" t="n">
        <f aca="false">T1081*J1081</f>
        <v>0</v>
      </c>
      <c r="AL1081" s="16" t="n">
        <f aca="false">U1081*J1081</f>
        <v>0</v>
      </c>
      <c r="AM1081" s="16" t="n">
        <f aca="false">AI1081-AJ1081</f>
        <v>0.0013602429551496</v>
      </c>
      <c r="AN1081" s="16" t="n">
        <f aca="false">J1081*Country_Data!$EB$158</f>
        <v>0.0434546127069651</v>
      </c>
      <c r="AO1081" s="16" t="n">
        <f aca="false">L1081*Country_Data!$EB$158</f>
        <v>0.0104291070496716</v>
      </c>
    </row>
    <row r="1082" customFormat="false" ht="15" hidden="false" customHeight="false" outlineLevel="0" collapsed="false">
      <c r="A1082" s="14" t="str">
        <f aca="false">Country_Data!$A$158</f>
        <v>MNE</v>
      </c>
      <c r="B1082" s="14" t="str">
        <f aca="false">Country_Data!$E$158</f>
        <v>EMDC</v>
      </c>
      <c r="C1082" s="35" t="s">
        <v>488</v>
      </c>
      <c r="D1082" s="37" t="str">
        <f aca="false">IF(Country_Data!$CE$158="","",Country_Data!$CE$158)</f>
        <v/>
      </c>
      <c r="E1082" s="40" t="n">
        <f aca="false">Country_Data!$BW$158</f>
        <v>20.316</v>
      </c>
      <c r="F1082" s="41" t="n">
        <f aca="false">Country_Data!$BX$158</f>
        <v>0.407166765111242</v>
      </c>
      <c r="G1082" s="42" t="str">
        <f aca="false">IF(D1082="","",D1082/SUMIFS($D$5:$D$1369,$B$5:$B$1369,B1082,$C$5:$C$1369,C1082))</f>
        <v/>
      </c>
      <c r="H1082" s="42" t="n">
        <f aca="false">E1082/SUMIFS($E$5:$E$1369,$B$5:$B$1369,B1082,$C$5:$C$1369,C1082)</f>
        <v>0.000251647768929973</v>
      </c>
      <c r="I1082" s="43" t="n">
        <f aca="false">IF(G1082="",H1082,p_beta_alloc*G1082+(1-p_beta_alloc)*H1082)*F1082^p_phi</f>
        <v>0.000160575486010952</v>
      </c>
      <c r="J1082" s="16" t="n">
        <f aca="false">INDEX(Sector_Params!$C$22:$E$22,MATCH(B1082,Sector_Params!$C$15:$E$15,0))*I1082/SUMIFS($I$5:$I$1369,$B$5:$B$1369,B1082,$C$5:$C$1369,C1082)</f>
        <v>0.0967962499097281</v>
      </c>
      <c r="K1082" s="28" t="n">
        <f aca="false">INDEX(Sector_Params!$F$11:$H$11,MATCH(B1082,Sector_Params!$C$15:$E$15,0))</f>
        <v>0.24</v>
      </c>
      <c r="L1082" s="16" t="n">
        <f aca="false">J1082*K1082</f>
        <v>0.0232310999783347</v>
      </c>
      <c r="M1082" s="44" t="n">
        <f aca="false">Country_Data!$DW$158+Sector_Params!$E$11</f>
        <v>0.10976</v>
      </c>
      <c r="N1082" s="44" t="n">
        <f aca="false">Country_Data!$DX$158+Sector_Params!$E$11</f>
        <v>0.15476</v>
      </c>
      <c r="O1082" s="11" t="n">
        <f aca="false">IF(p_use_ibrd=1,p_r_ibrd,p_r_wb)</f>
        <v>0.06</v>
      </c>
      <c r="P1082" s="45" t="n">
        <f aca="false">Sector_Params!$D$11</f>
        <v>30</v>
      </c>
      <c r="Q1082" s="46" t="n">
        <f aca="false">M1082/(1-(1+M1082)^-P1082)</f>
        <v>0.114807766467857</v>
      </c>
      <c r="R1082" s="46" t="n">
        <f aca="false">N1082/(1-(1+N1082)^-P1082)</f>
        <v>0.156852861509488</v>
      </c>
      <c r="S1082" s="46" t="n">
        <f aca="false">O1082/(1-(1+O1082)^-P1082)</f>
        <v>0.0726489114900472</v>
      </c>
      <c r="T1082" s="37" t="n">
        <f aca="false">0*Sector_Params!$I$11</f>
        <v>0</v>
      </c>
      <c r="U1082" s="37" t="n">
        <f aca="false">p_c*Sector_Params!$J$11</f>
        <v>0.129</v>
      </c>
      <c r="V1082" s="37" t="n">
        <f aca="false">1000*p_r_wb/(1-(1+p_r_wb)^-Sector_Params!$D$11)/p_cpt_afolu</f>
        <v>1.45297822980094</v>
      </c>
      <c r="W1082" s="16" t="n">
        <f aca="false">T1082*L1082</f>
        <v>0</v>
      </c>
      <c r="X1082" s="16" t="n">
        <f aca="false">U1082*L1082</f>
        <v>0.00299681189720518</v>
      </c>
      <c r="Y1082" s="16" t="n">
        <f aca="false">V1082*L1082</f>
        <v>0.0337542825228496</v>
      </c>
      <c r="Z1082" s="16" t="n">
        <f aca="false">Q1082*L1082</f>
        <v>0.00266711070110408</v>
      </c>
      <c r="AA1082" s="16" t="n">
        <f aca="false">R1082*L1082</f>
        <v>0.00364386450761481</v>
      </c>
      <c r="AB1082" s="16" t="n">
        <f aca="false">S1082*L1082</f>
        <v>0.00168771412614248</v>
      </c>
      <c r="AC1082" s="16" t="n">
        <f aca="false">Z1082-W1082</f>
        <v>0.00266711070110408</v>
      </c>
      <c r="AD1082" s="16" t="n">
        <f aca="false">AA1082-W1082</f>
        <v>0.00364386450761481</v>
      </c>
      <c r="AE1082" s="16" t="n">
        <f aca="false">AB1082-W1082</f>
        <v>0.00168771412614248</v>
      </c>
      <c r="AF1082" s="16" t="n">
        <f aca="false">AE1082-X1082</f>
        <v>-0.0013090977710627</v>
      </c>
      <c r="AG1082" s="16" t="n">
        <f aca="false">AF1082-p_spc_lo*Y1082/1000</f>
        <v>-0.00299681189720518</v>
      </c>
      <c r="AH1082" s="16" t="n">
        <f aca="false">AF1082-p_spc_hi*Y1082/1000</f>
        <v>-0.00468452602334766</v>
      </c>
      <c r="AI1082" s="16" t="n">
        <f aca="false">Q1082*J1082</f>
        <v>0.0111129612546003</v>
      </c>
      <c r="AJ1082" s="16" t="n">
        <f aca="false">S1082*J1082</f>
        <v>0.00703214219226033</v>
      </c>
      <c r="AK1082" s="16" t="n">
        <f aca="false">T1082*J1082</f>
        <v>0</v>
      </c>
      <c r="AL1082" s="16" t="n">
        <f aca="false">U1082*J1082</f>
        <v>0.0124867162383549</v>
      </c>
      <c r="AM1082" s="16" t="n">
        <f aca="false">AI1082-AJ1082</f>
        <v>0.00408081906234002</v>
      </c>
      <c r="AN1082" s="16" t="n">
        <f aca="false">J1082*Country_Data!$EB$158</f>
        <v>0.118106432060397</v>
      </c>
      <c r="AO1082" s="16" t="n">
        <f aca="false">L1082*Country_Data!$EB$158</f>
        <v>0.0283455436944953</v>
      </c>
    </row>
    <row r="1083" customFormat="false" ht="15" hidden="false" customHeight="false" outlineLevel="0" collapsed="false">
      <c r="A1083" s="14" t="str">
        <f aca="false">Country_Data!$A$159</f>
        <v>YEM</v>
      </c>
      <c r="B1083" s="14" t="str">
        <f aca="false">Country_Data!$E$159</f>
        <v>EMDC</v>
      </c>
      <c r="C1083" s="35" t="s">
        <v>466</v>
      </c>
      <c r="D1083" s="37" t="n">
        <f aca="false">IF(Country_Data!$BZ$159="","",Country_Data!$BZ$159)</f>
        <v>3.06132660712531</v>
      </c>
      <c r="E1083" s="40" t="n">
        <f aca="false">Country_Data!$BW$159</f>
        <v>29.245</v>
      </c>
      <c r="F1083" s="41" t="n">
        <f aca="false">Country_Data!$BX$159</f>
        <v>0.275534279363994</v>
      </c>
      <c r="G1083" s="42" t="n">
        <f aca="false">IF(D1083="","",D1083/SUMIFS($D$5:$D$1369,$B$5:$B$1369,B1083,$C$5:$C$1369,C1083))</f>
        <v>0.000349487582715471</v>
      </c>
      <c r="H1083" s="42" t="n">
        <f aca="false">E1083/SUMIFS($E$5:$E$1369,$B$5:$B$1369,B1083,$C$5:$C$1369,C1083)</f>
        <v>0.000362248425002809</v>
      </c>
      <c r="I1083" s="43" t="n">
        <f aca="false">IF(G1083="",H1083,p_beta_alloc*G1083+(1-p_beta_alloc)*H1083)*F1083^p_phi</f>
        <v>0.000186799952284468</v>
      </c>
      <c r="J1083" s="16" t="n">
        <f aca="false">INDEX(Sector_Params!$C$16:$E$16,MATCH(B1083,Sector_Params!$C$15:$E$15,0))*I1083/SUMIFS($I$5:$I$1369,$B$5:$B$1369,B1083,$C$5:$C$1369,C1083)</f>
        <v>0.180677649636633</v>
      </c>
      <c r="K1083" s="28" t="n">
        <f aca="false">INDEX(Sector_Params!$F$5:$H$5,MATCH(B1083,Sector_Params!$C$15:$E$15,0))</f>
        <v>0.24</v>
      </c>
      <c r="L1083" s="16" t="n">
        <f aca="false">J1083*K1083</f>
        <v>0.0433626359127919</v>
      </c>
      <c r="M1083" s="44" t="n">
        <f aca="false">Country_Data!$DW$159+Sector_Params!$E$5</f>
        <v>0.14592</v>
      </c>
      <c r="N1083" s="44" t="n">
        <f aca="false">Country_Data!$DX$159+Sector_Params!$E$5</f>
        <v>0.19092</v>
      </c>
      <c r="O1083" s="11" t="n">
        <f aca="false">IF(p_use_ibrd=1,p_r_ibrd,p_r_wb)</f>
        <v>0.06</v>
      </c>
      <c r="P1083" s="45" t="n">
        <f aca="false">Sector_Params!$D$5</f>
        <v>25</v>
      </c>
      <c r="Q1083" s="46" t="n">
        <f aca="false">M1083/(1-(1+M1083)^-P1083)</f>
        <v>0.150930958986769</v>
      </c>
      <c r="R1083" s="46" t="n">
        <f aca="false">N1083/(1-(1+N1083)^-P1083)</f>
        <v>0.193370904618436</v>
      </c>
      <c r="S1083" s="46" t="n">
        <f aca="false">O1083/(1-(1+O1083)^-P1083)</f>
        <v>0.078226718212274</v>
      </c>
      <c r="T1083" s="37" t="n">
        <f aca="false">IF(AND(p_eng=1,ISNUMBER(Country_Data!$CZ$159)),Country_Data!$CZ$159,Country_Data!$CM$159)*Sector_Params!$I$5</f>
        <v>0.284267299418934</v>
      </c>
      <c r="U1083" s="37" t="n">
        <f aca="false">IF(AND(p_eng=1,ISNUMBER(Country_Data!$DA$159)),Country_Data!$DA$159,Country_Data!$CN$159)*Sector_Params!$J$5</f>
        <v>0.0619759752495121</v>
      </c>
      <c r="V1083" s="37" t="n">
        <f aca="false">IF(AND(p_eng=1,ISNUMBER(Country_Data!$DB$159)),Country_Data!$DB$159,p_a)</f>
        <v>1.64976747269899</v>
      </c>
      <c r="W1083" s="16" t="n">
        <f aca="false">T1083*L1083</f>
        <v>0.0123265794066158</v>
      </c>
      <c r="X1083" s="16" t="n">
        <f aca="false">U1083*L1083</f>
        <v>0.0026874416500848</v>
      </c>
      <c r="Y1083" s="16" t="n">
        <f aca="false">V1083*L1083</f>
        <v>0.0715382662594131</v>
      </c>
      <c r="Z1083" s="16" t="n">
        <f aca="false">Q1083*L1083</f>
        <v>0.0065447642225118</v>
      </c>
      <c r="AA1083" s="16" t="n">
        <f aca="false">R1083*L1083</f>
        <v>0.00838507213309647</v>
      </c>
      <c r="AB1083" s="16" t="n">
        <f aca="false">S1083*L1083</f>
        <v>0.0033921167004914</v>
      </c>
      <c r="AC1083" s="16" t="n">
        <f aca="false">Z1083-W1083</f>
        <v>-0.00578181518410402</v>
      </c>
      <c r="AD1083" s="16" t="n">
        <f aca="false">AA1083-W1083</f>
        <v>-0.00394150727351935</v>
      </c>
      <c r="AE1083" s="16" t="n">
        <f aca="false">AB1083-W1083</f>
        <v>-0.00893446270612442</v>
      </c>
      <c r="AF1083" s="16" t="n">
        <f aca="false">AE1083-X1083</f>
        <v>-0.0116219043562092</v>
      </c>
      <c r="AG1083" s="16" t="n">
        <f aca="false">AF1083-p_spc_lo*Y1083/1000</f>
        <v>-0.0151988176691799</v>
      </c>
      <c r="AH1083" s="16" t="n">
        <f aca="false">AF1083-p_spc_hi*Y1083/1000</f>
        <v>-0.0187757309821505</v>
      </c>
      <c r="AI1083" s="16" t="n">
        <f aca="false">Q1083*J1083</f>
        <v>0.0272698509271325</v>
      </c>
      <c r="AJ1083" s="16" t="n">
        <f aca="false">S1083*J1083</f>
        <v>0.0141338195853808</v>
      </c>
      <c r="AK1083" s="16" t="n">
        <f aca="false">T1083*J1083</f>
        <v>0.0513607475275659</v>
      </c>
      <c r="AL1083" s="16" t="n">
        <f aca="false">U1083*J1083</f>
        <v>0.01119767354202</v>
      </c>
      <c r="AM1083" s="16" t="n">
        <f aca="false">AI1083-AJ1083</f>
        <v>0.0131360313417516</v>
      </c>
      <c r="AN1083" s="16" t="n">
        <f aca="false">J1083*Country_Data!$EB$159</f>
        <v>0.228858356206402</v>
      </c>
      <c r="AO1083" s="16" t="n">
        <f aca="false">L1083*Country_Data!$EB$159</f>
        <v>0.0549260054895364</v>
      </c>
    </row>
    <row r="1084" customFormat="false" ht="15" hidden="false" customHeight="false" outlineLevel="0" collapsed="false">
      <c r="A1084" s="14" t="str">
        <f aca="false">Country_Data!$A$159</f>
        <v>YEM</v>
      </c>
      <c r="B1084" s="14" t="str">
        <f aca="false">Country_Data!$E$159</f>
        <v>EMDC</v>
      </c>
      <c r="C1084" s="35" t="s">
        <v>470</v>
      </c>
      <c r="D1084" s="37" t="n">
        <f aca="false">IF(Country_Data!$BZ$159="","",Country_Data!$BZ$159)</f>
        <v>3.06132660712531</v>
      </c>
      <c r="E1084" s="40" t="n">
        <f aca="false">Country_Data!$BW$159</f>
        <v>29.245</v>
      </c>
      <c r="F1084" s="41" t="n">
        <f aca="false">Country_Data!$BX$159</f>
        <v>0.275534279363994</v>
      </c>
      <c r="G1084" s="42" t="n">
        <f aca="false">IF(D1084="","",D1084/SUMIFS($D$5:$D$1369,$B$5:$B$1369,B1084,$C$5:$C$1369,C1084))</f>
        <v>0.000349487582715471</v>
      </c>
      <c r="H1084" s="42" t="n">
        <f aca="false">E1084/SUMIFS($E$5:$E$1369,$B$5:$B$1369,B1084,$C$5:$C$1369,C1084)</f>
        <v>0.000362248425002809</v>
      </c>
      <c r="I1084" s="43" t="n">
        <f aca="false">IF(G1084="",H1084,p_beta_alloc*G1084+(1-p_beta_alloc)*H1084)*F1084^p_phi</f>
        <v>0.000186799952284468</v>
      </c>
      <c r="J1084" s="16" t="n">
        <f aca="false">INDEX(Sector_Params!$C$17:$E$17,MATCH(B1084,Sector_Params!$C$15:$E$15,0))*I1084/SUMIFS($I$5:$I$1369,$B$5:$B$1369,B1084,$C$5:$C$1369,C1084)</f>
        <v>0.12389324546512</v>
      </c>
      <c r="K1084" s="28" t="n">
        <f aca="false">INDEX(Sector_Params!$F$6:$H$6,MATCH(B1084,Sector_Params!$C$15:$E$15,0))</f>
        <v>0.24</v>
      </c>
      <c r="L1084" s="16" t="n">
        <f aca="false">J1084*K1084</f>
        <v>0.0297343789116287</v>
      </c>
      <c r="M1084" s="44" t="n">
        <f aca="false">Country_Data!$DW$159+Sector_Params!$E$6</f>
        <v>0.14592</v>
      </c>
      <c r="N1084" s="44" t="n">
        <f aca="false">Country_Data!$DX$159+Sector_Params!$E$6</f>
        <v>0.19092</v>
      </c>
      <c r="O1084" s="11" t="n">
        <f aca="false">IF(p_use_ibrd=1,p_r_ibrd,p_r_wb)</f>
        <v>0.06</v>
      </c>
      <c r="P1084" s="45" t="n">
        <f aca="false">Sector_Params!$D$6</f>
        <v>40</v>
      </c>
      <c r="Q1084" s="46" t="n">
        <f aca="false">M1084/(1-(1+M1084)^-P1084)</f>
        <v>0.146550689925989</v>
      </c>
      <c r="R1084" s="46" t="n">
        <f aca="false">N1084/(1-(1+N1084)^-P1084)</f>
        <v>0.191096176690774</v>
      </c>
      <c r="S1084" s="46" t="n">
        <f aca="false">O1084/(1-(1+O1084)^-P1084)</f>
        <v>0.0664615359206755</v>
      </c>
      <c r="T1084" s="37" t="n">
        <f aca="false">p_grid_credit*IF(AND(p_eng=1,ISNUMBER(Country_Data!$CZ$159)),Country_Data!$CZ$159,Country_Data!$CM$159)*Sector_Params!$I$6</f>
        <v>0</v>
      </c>
      <c r="U1084" s="37" t="n">
        <f aca="false">p_grid_credit*IF(AND(p_eng=1,ISNUMBER(Country_Data!$DA$159)),Country_Data!$DA$159,Country_Data!$CN$159)*Sector_Params!$J$6</f>
        <v>0</v>
      </c>
      <c r="V1084" s="37" t="n">
        <f aca="false">p_grid_credit*IF(AND(p_eng=1,ISNUMBER(Country_Data!$DB$159)),Country_Data!$DB$159,p_a)</f>
        <v>0</v>
      </c>
      <c r="W1084" s="16" t="n">
        <f aca="false">T1084*L1084</f>
        <v>0</v>
      </c>
      <c r="X1084" s="16" t="n">
        <f aca="false">U1084*L1084</f>
        <v>0</v>
      </c>
      <c r="Y1084" s="16" t="n">
        <f aca="false">V1084*L1084</f>
        <v>0</v>
      </c>
      <c r="Z1084" s="16" t="n">
        <f aca="false">Q1084*L1084</f>
        <v>0.00435759374401998</v>
      </c>
      <c r="AA1084" s="16" t="n">
        <f aca="false">R1084*L1084</f>
        <v>0.00568212612628702</v>
      </c>
      <c r="AB1084" s="16" t="n">
        <f aca="false">S1084*L1084</f>
        <v>0.00197619249211419</v>
      </c>
      <c r="AC1084" s="16" t="n">
        <f aca="false">Z1084-W1084</f>
        <v>0.00435759374401998</v>
      </c>
      <c r="AD1084" s="16" t="n">
        <f aca="false">AA1084-W1084</f>
        <v>0.00568212612628702</v>
      </c>
      <c r="AE1084" s="16" t="n">
        <f aca="false">AB1084-W1084</f>
        <v>0.00197619249211419</v>
      </c>
      <c r="AF1084" s="16" t="n">
        <f aca="false">AE1084-X1084</f>
        <v>0.00197619249211419</v>
      </c>
      <c r="AG1084" s="16" t="n">
        <f aca="false">AF1084-p_spc_lo*Y1084/1000</f>
        <v>0.00197619249211419</v>
      </c>
      <c r="AH1084" s="16" t="n">
        <f aca="false">AF1084-p_spc_hi*Y1084/1000</f>
        <v>0.00197619249211419</v>
      </c>
      <c r="AI1084" s="16" t="n">
        <f aca="false">Q1084*J1084</f>
        <v>0.0181566406000832</v>
      </c>
      <c r="AJ1084" s="16" t="n">
        <f aca="false">S1084*J1084</f>
        <v>0.00823413538380912</v>
      </c>
      <c r="AK1084" s="16" t="n">
        <f aca="false">T1084*J1084</f>
        <v>0</v>
      </c>
      <c r="AL1084" s="16" t="n">
        <f aca="false">U1084*J1084</f>
        <v>0</v>
      </c>
      <c r="AM1084" s="16" t="n">
        <f aca="false">AI1084-AJ1084</f>
        <v>0.00992250521627413</v>
      </c>
      <c r="AN1084" s="16" t="n">
        <f aca="false">J1084*Country_Data!$EB$159</f>
        <v>0.156931444255818</v>
      </c>
      <c r="AO1084" s="16" t="n">
        <f aca="false">L1084*Country_Data!$EB$159</f>
        <v>0.0376635466213964</v>
      </c>
    </row>
    <row r="1085" customFormat="false" ht="15" hidden="false" customHeight="false" outlineLevel="0" collapsed="false">
      <c r="A1085" s="14" t="str">
        <f aca="false">Country_Data!$A$159</f>
        <v>YEM</v>
      </c>
      <c r="B1085" s="14" t="str">
        <f aca="false">Country_Data!$E$159</f>
        <v>EMDC</v>
      </c>
      <c r="C1085" s="35" t="s">
        <v>473</v>
      </c>
      <c r="D1085" s="37" t="n">
        <f aca="false">IF(Country_Data!$CA$159="","",Country_Data!$CA$159)</f>
        <v>0.0529667445978203</v>
      </c>
      <c r="E1085" s="40" t="n">
        <f aca="false">Country_Data!$BW$159</f>
        <v>29.245</v>
      </c>
      <c r="F1085" s="41" t="n">
        <f aca="false">Country_Data!$BX$159</f>
        <v>0.275534279363994</v>
      </c>
      <c r="G1085" s="42" t="n">
        <f aca="false">IF(D1085="","",D1085/SUMIFS($D$5:$D$1369,$B$5:$B$1369,B1085,$C$5:$C$1369,C1085))</f>
        <v>0.00122365503869757</v>
      </c>
      <c r="H1085" s="42" t="n">
        <f aca="false">E1085/SUMIFS($E$5:$E$1369,$B$5:$B$1369,B1085,$C$5:$C$1369,C1085)</f>
        <v>0.000362248425002809</v>
      </c>
      <c r="I1085" s="43" t="n">
        <f aca="false">IF(G1085="",H1085,p_beta_alloc*G1085+(1-p_beta_alloc)*H1085)*F1085^p_phi</f>
        <v>0.000416231142072926</v>
      </c>
      <c r="J1085" s="16" t="n">
        <f aca="false">INDEX(Sector_Params!$C$18:$E$18,MATCH(B1085,Sector_Params!$C$15:$E$15,0))*I1085/SUMIFS($I$5:$I$1369,$B$5:$B$1369,B1085,$C$5:$C$1369,C1085)</f>
        <v>0.170436804144602</v>
      </c>
      <c r="K1085" s="28" t="n">
        <f aca="false">INDEX(Sector_Params!$F$7:$H$7,MATCH(B1085,Sector_Params!$C$15:$E$15,0))</f>
        <v>0.24</v>
      </c>
      <c r="L1085" s="16" t="n">
        <f aca="false">J1085*K1085</f>
        <v>0.0409048329947045</v>
      </c>
      <c r="M1085" s="44" t="n">
        <f aca="false">Country_Data!$DW$159+Sector_Params!$E$7</f>
        <v>0.14592</v>
      </c>
      <c r="N1085" s="44" t="n">
        <f aca="false">Country_Data!$DX$159+Sector_Params!$E$7</f>
        <v>0.19092</v>
      </c>
      <c r="O1085" s="11" t="n">
        <f aca="false">IF(p_use_ibrd=1,p_r_ibrd,p_r_wb)</f>
        <v>0.06</v>
      </c>
      <c r="P1085" s="45" t="n">
        <f aca="false">Sector_Params!$D$7</f>
        <v>12</v>
      </c>
      <c r="Q1085" s="46" t="n">
        <f aca="false">M1085/(1-(1+M1085)^-P1085)</f>
        <v>0.181278588413487</v>
      </c>
      <c r="R1085" s="46" t="n">
        <f aca="false">N1085/(1-(1+N1085)^-P1085)</f>
        <v>0.217661836147636</v>
      </c>
      <c r="S1085" s="46" t="n">
        <f aca="false">O1085/(1-(1+O1085)^-P1085)</f>
        <v>0.119277029380664</v>
      </c>
      <c r="T1085" s="37" t="n">
        <f aca="false">IF(AND(p_eng=1,ISNUMBER(Country_Data!$DE$159)),Country_Data!$DE$159,Country_Data!$CM$159)*Sector_Params!$I$7</f>
        <v>0.1166895</v>
      </c>
      <c r="U1085" s="37" t="n">
        <f aca="false">IF(AND(p_eng=1,ISNUMBER(Country_Data!$DF$159)),Country_Data!$DF$159,Country_Data!$CN$159)*Sector_Params!$J$7</f>
        <v>0.003699675</v>
      </c>
      <c r="V1085" s="37" t="n">
        <f aca="false">IF(AND(p_eng=1,ISNUMBER(Country_Data!$DG$159)),Country_Data!$DG$159,p_a)</f>
        <v>0.146143671428571</v>
      </c>
      <c r="W1085" s="16" t="n">
        <f aca="false">T1085*L1085</f>
        <v>0.00477316450973557</v>
      </c>
      <c r="X1085" s="16" t="n">
        <f aca="false">U1085*L1085</f>
        <v>0.000151334588009683</v>
      </c>
      <c r="Y1085" s="16" t="n">
        <f aca="false">V1085*L1085</f>
        <v>0.00597798247301868</v>
      </c>
      <c r="Z1085" s="16" t="n">
        <f aca="false">Q1085*L1085</f>
        <v>0.00741517038456945</v>
      </c>
      <c r="AA1085" s="16" t="n">
        <f aca="false">R1085*L1085</f>
        <v>0.00890342105693978</v>
      </c>
      <c r="AB1085" s="16" t="n">
        <f aca="false">S1085*L1085</f>
        <v>0.0048790069669205</v>
      </c>
      <c r="AC1085" s="16" t="n">
        <f aca="false">Z1085-W1085</f>
        <v>0.00264200587483388</v>
      </c>
      <c r="AD1085" s="16" t="n">
        <f aca="false">AA1085-W1085</f>
        <v>0.00413025654720422</v>
      </c>
      <c r="AE1085" s="16" t="n">
        <f aca="false">AB1085-W1085</f>
        <v>0.000105842457184933</v>
      </c>
      <c r="AF1085" s="16" t="n">
        <f aca="false">AE1085-X1085</f>
        <v>-4.54921308247501E-005</v>
      </c>
      <c r="AG1085" s="16" t="n">
        <f aca="false">AF1085-p_spc_lo*Y1085/1000</f>
        <v>-0.000344391254475684</v>
      </c>
      <c r="AH1085" s="16" t="n">
        <f aca="false">AF1085-p_spc_hi*Y1085/1000</f>
        <v>-0.000643290378126618</v>
      </c>
      <c r="AI1085" s="16" t="n">
        <f aca="false">Q1085*J1085</f>
        <v>0.0308965432690394</v>
      </c>
      <c r="AJ1085" s="16" t="n">
        <f aca="false">S1085*J1085</f>
        <v>0.0203291956955021</v>
      </c>
      <c r="AK1085" s="16" t="n">
        <f aca="false">T1085*J1085</f>
        <v>0.0198881854572315</v>
      </c>
      <c r="AL1085" s="16" t="n">
        <f aca="false">U1085*J1085</f>
        <v>0.000630560783373681</v>
      </c>
      <c r="AM1085" s="16" t="n">
        <f aca="false">AI1085-AJ1085</f>
        <v>0.0105673475735373</v>
      </c>
      <c r="AN1085" s="16" t="n">
        <f aca="false">J1085*Country_Data!$EB$159</f>
        <v>0.215886618583163</v>
      </c>
      <c r="AO1085" s="16" t="n">
        <f aca="false">L1085*Country_Data!$EB$159</f>
        <v>0.051812788459959</v>
      </c>
    </row>
    <row r="1086" customFormat="false" ht="15" hidden="false" customHeight="false" outlineLevel="0" collapsed="false">
      <c r="A1086" s="14" t="str">
        <f aca="false">Country_Data!$A$159</f>
        <v>YEM</v>
      </c>
      <c r="B1086" s="14" t="str">
        <f aca="false">Country_Data!$E$159</f>
        <v>EMDC</v>
      </c>
      <c r="C1086" s="35" t="s">
        <v>477</v>
      </c>
      <c r="D1086" s="37" t="n">
        <f aca="false">IF(Country_Data!$CB$159="","",Country_Data!$CB$159)</f>
        <v>0.0437862472662824</v>
      </c>
      <c r="E1086" s="40" t="n">
        <f aca="false">Country_Data!$BW$159</f>
        <v>29.245</v>
      </c>
      <c r="F1086" s="41" t="n">
        <f aca="false">Country_Data!$BX$159</f>
        <v>0.275534279363994</v>
      </c>
      <c r="G1086" s="42" t="n">
        <f aca="false">IF(D1086="","",D1086/SUMIFS($D$5:$D$1369,$B$5:$B$1369,B1086,$C$5:$C$1369,C1086))</f>
        <v>0.00138071370544267</v>
      </c>
      <c r="H1086" s="42" t="n">
        <f aca="false">E1086/SUMIFS($E$5:$E$1369,$B$5:$B$1369,B1086,$C$5:$C$1369,C1086)</f>
        <v>0.000362248425002809</v>
      </c>
      <c r="I1086" s="43" t="n">
        <f aca="false">IF(G1086="",H1086,p_beta_alloc*G1086+(1-p_beta_alloc)*H1086)*F1086^p_phi</f>
        <v>0.000457452256553139</v>
      </c>
      <c r="J1086" s="16" t="n">
        <f aca="false">INDEX(Sector_Params!$C$19:$E$19,MATCH(B1086,Sector_Params!$C$15:$E$15,0))*I1086/SUMIFS($I$5:$I$1369,$B$5:$B$1369,B1086,$C$5:$C$1369,C1086)</f>
        <v>0.147236771080636</v>
      </c>
      <c r="K1086" s="28" t="n">
        <f aca="false">INDEX(Sector_Params!$F$8:$H$8,MATCH(B1086,Sector_Params!$C$15:$E$15,0))</f>
        <v>0.24</v>
      </c>
      <c r="L1086" s="16" t="n">
        <f aca="false">J1086*K1086</f>
        <v>0.0353368250593527</v>
      </c>
      <c r="M1086" s="44" t="n">
        <f aca="false">Country_Data!$DW$159+Sector_Params!$E$8</f>
        <v>0.14592</v>
      </c>
      <c r="N1086" s="44" t="n">
        <f aca="false">Country_Data!$DX$159+Sector_Params!$E$8</f>
        <v>0.19092</v>
      </c>
      <c r="O1086" s="11" t="n">
        <f aca="false">IF(p_use_ibrd=1,p_r_ibrd,p_r_wb)</f>
        <v>0.06</v>
      </c>
      <c r="P1086" s="45" t="n">
        <f aca="false">Sector_Params!$D$8</f>
        <v>25</v>
      </c>
      <c r="Q1086" s="46" t="n">
        <f aca="false">M1086/(1-(1+M1086)^-P1086)</f>
        <v>0.150930958986769</v>
      </c>
      <c r="R1086" s="46" t="n">
        <f aca="false">N1086/(1-(1+N1086)^-P1086)</f>
        <v>0.193370904618436</v>
      </c>
      <c r="S1086" s="46" t="n">
        <f aca="false">O1086/(1-(1+O1086)^-P1086)</f>
        <v>0.078226718212274</v>
      </c>
      <c r="T1086" s="37" t="n">
        <f aca="false">Country_Data!$CM$159*Sector_Params!$I$8</f>
        <v>0.136287557458643</v>
      </c>
      <c r="U1086" s="37" t="n">
        <f aca="false">Country_Data!$CN$159*Sector_Params!$J$8</f>
        <v>0.03225</v>
      </c>
      <c r="V1086" s="37" t="n">
        <f aca="false">p_a</f>
        <v>0.35</v>
      </c>
      <c r="W1086" s="16" t="n">
        <f aca="false">T1086*L1086</f>
        <v>0.00481596957568255</v>
      </c>
      <c r="X1086" s="16" t="n">
        <f aca="false">U1086*L1086</f>
        <v>0.00113961260816412</v>
      </c>
      <c r="Y1086" s="16" t="n">
        <f aca="false">V1086*L1086</f>
        <v>0.0123678887707734</v>
      </c>
      <c r="Z1086" s="16" t="n">
        <f aca="false">Q1086*L1086</f>
        <v>0.00533342089375579</v>
      </c>
      <c r="AA1086" s="16" t="n">
        <f aca="false">R1086*L1086</f>
        <v>0.00683311382807046</v>
      </c>
      <c r="AB1086" s="16" t="n">
        <f aca="false">S1086*L1086</f>
        <v>0.0027642838564344</v>
      </c>
      <c r="AC1086" s="16" t="n">
        <f aca="false">Z1086-W1086</f>
        <v>0.000517451318073244</v>
      </c>
      <c r="AD1086" s="16" t="n">
        <f aca="false">AA1086-W1086</f>
        <v>0.00201714425238791</v>
      </c>
      <c r="AE1086" s="16" t="n">
        <f aca="false">AB1086-W1086</f>
        <v>-0.00205168571924815</v>
      </c>
      <c r="AF1086" s="16" t="n">
        <f aca="false">AE1086-X1086</f>
        <v>-0.00319129832741227</v>
      </c>
      <c r="AG1086" s="16" t="n">
        <f aca="false">AF1086-p_spc_lo*Y1086/1000</f>
        <v>-0.00380969276595094</v>
      </c>
      <c r="AH1086" s="16" t="n">
        <f aca="false">AF1086-p_spc_hi*Y1086/1000</f>
        <v>-0.00442808720448961</v>
      </c>
      <c r="AI1086" s="16" t="n">
        <f aca="false">Q1086*J1086</f>
        <v>0.0222225870573158</v>
      </c>
      <c r="AJ1086" s="16" t="n">
        <f aca="false">S1086*J1086</f>
        <v>0.01151784940181</v>
      </c>
      <c r="AK1086" s="16" t="n">
        <f aca="false">T1086*J1086</f>
        <v>0.0200665398986773</v>
      </c>
      <c r="AL1086" s="16" t="n">
        <f aca="false">U1086*J1086</f>
        <v>0.00474838586735051</v>
      </c>
      <c r="AM1086" s="16" t="n">
        <f aca="false">AI1086-AJ1086</f>
        <v>0.0107047376555058</v>
      </c>
      <c r="AN1086" s="16" t="n">
        <f aca="false">J1086*Country_Data!$EB$159</f>
        <v>0.186499910035472</v>
      </c>
      <c r="AO1086" s="16" t="n">
        <f aca="false">L1086*Country_Data!$EB$159</f>
        <v>0.0447599784085134</v>
      </c>
    </row>
    <row r="1087" customFormat="false" ht="15" hidden="false" customHeight="false" outlineLevel="0" collapsed="false">
      <c r="A1087" s="14" t="str">
        <f aca="false">Country_Data!$A$159</f>
        <v>YEM</v>
      </c>
      <c r="B1087" s="14" t="str">
        <f aca="false">Country_Data!$E$159</f>
        <v>EMDC</v>
      </c>
      <c r="C1087" s="35" t="s">
        <v>481</v>
      </c>
      <c r="D1087" s="37" t="n">
        <f aca="false">IF(Country_Data!$CC$159="","",Country_Data!$CC$159)</f>
        <v>0.0176402841434153</v>
      </c>
      <c r="E1087" s="40" t="n">
        <f aca="false">Country_Data!$BW$159</f>
        <v>29.245</v>
      </c>
      <c r="F1087" s="41" t="n">
        <f aca="false">Country_Data!$BX$159</f>
        <v>0.275534279363994</v>
      </c>
      <c r="G1087" s="42" t="n">
        <f aca="false">IF(D1087="","",D1087/SUMIFS($D$5:$D$1369,$B$5:$B$1369,B1087,$C$5:$C$1369,C1087))</f>
        <v>0.000251977934383107</v>
      </c>
      <c r="H1087" s="42" t="n">
        <f aca="false">E1087/SUMIFS($E$5:$E$1369,$B$5:$B$1369,B1087,$C$5:$C$1369,C1087)</f>
        <v>0.000362248425002809</v>
      </c>
      <c r="I1087" s="43" t="n">
        <f aca="false">IF(G1087="",H1087,p_beta_alloc*G1087+(1-p_beta_alloc)*H1087)*F1087^p_phi</f>
        <v>0.000161207882390246</v>
      </c>
      <c r="J1087" s="16" t="n">
        <f aca="false">INDEX(Sector_Params!$C$20:$E$20,MATCH(B1087,Sector_Params!$C$15:$E$15,0))*I1087/SUMIFS($I$5:$I$1369,$B$5:$B$1369,B1087,$C$5:$C$1369,C1087)</f>
        <v>0.0294236848900974</v>
      </c>
      <c r="K1087" s="28" t="n">
        <f aca="false">INDEX(Sector_Params!$F$9:$H$9,MATCH(B1087,Sector_Params!$C$15:$E$15,0))</f>
        <v>0.24</v>
      </c>
      <c r="L1087" s="16" t="n">
        <f aca="false">J1087*K1087</f>
        <v>0.00706168437362337</v>
      </c>
      <c r="M1087" s="44" t="n">
        <f aca="false">Country_Data!$DW$159+Sector_Params!$E$9</f>
        <v>0.14592</v>
      </c>
      <c r="N1087" s="44" t="n">
        <f aca="false">Country_Data!$DX$159+Sector_Params!$E$9</f>
        <v>0.19092</v>
      </c>
      <c r="O1087" s="11" t="n">
        <f aca="false">IF(p_use_ibrd=1,p_r_ibrd,p_r_wb)</f>
        <v>0.06</v>
      </c>
      <c r="P1087" s="45" t="n">
        <f aca="false">Sector_Params!$D$9</f>
        <v>25</v>
      </c>
      <c r="Q1087" s="46" t="n">
        <f aca="false">M1087/(1-(1+M1087)^-P1087)</f>
        <v>0.150930958986769</v>
      </c>
      <c r="R1087" s="46" t="n">
        <f aca="false">N1087/(1-(1+N1087)^-P1087)</f>
        <v>0.193370904618436</v>
      </c>
      <c r="S1087" s="46" t="n">
        <f aca="false">O1087/(1-(1+O1087)^-P1087)</f>
        <v>0.078226718212274</v>
      </c>
      <c r="T1087" s="37" t="n">
        <f aca="false">Country_Data!$CM$159*Sector_Params!$I$9</f>
        <v>0.136287557458643</v>
      </c>
      <c r="U1087" s="37" t="n">
        <f aca="false">Country_Data!$CN$159*Sector_Params!$J$9</f>
        <v>0.03225</v>
      </c>
      <c r="V1087" s="37" t="n">
        <f aca="false">p_a</f>
        <v>0.35</v>
      </c>
      <c r="W1087" s="16" t="n">
        <f aca="false">T1087*L1087</f>
        <v>0.000962419714824999</v>
      </c>
      <c r="X1087" s="16" t="n">
        <f aca="false">U1087*L1087</f>
        <v>0.000227739321049354</v>
      </c>
      <c r="Y1087" s="16" t="n">
        <f aca="false">V1087*L1087</f>
        <v>0.00247158953076818</v>
      </c>
      <c r="Z1087" s="16" t="n">
        <f aca="false">Q1087*L1087</f>
        <v>0.00106582679457286</v>
      </c>
      <c r="AA1087" s="16" t="n">
        <f aca="false">R1087*L1087</f>
        <v>0.00136552429545743</v>
      </c>
      <c r="AB1087" s="16" t="n">
        <f aca="false">S1087*L1087</f>
        <v>0.000552412393599454</v>
      </c>
      <c r="AC1087" s="16" t="n">
        <f aca="false">Z1087-W1087</f>
        <v>0.000103407079747859</v>
      </c>
      <c r="AD1087" s="16" t="n">
        <f aca="false">AA1087-W1087</f>
        <v>0.000403104580632429</v>
      </c>
      <c r="AE1087" s="16" t="n">
        <f aca="false">AB1087-W1087</f>
        <v>-0.000410007321225545</v>
      </c>
      <c r="AF1087" s="16" t="n">
        <f aca="false">AE1087-X1087</f>
        <v>-0.000637746642274898</v>
      </c>
      <c r="AG1087" s="16" t="n">
        <f aca="false">AF1087-p_spc_lo*Y1087/1000</f>
        <v>-0.000761326118813307</v>
      </c>
      <c r="AH1087" s="16" t="n">
        <f aca="false">AF1087-p_spc_hi*Y1087/1000</f>
        <v>-0.000884905595351717</v>
      </c>
      <c r="AI1087" s="16" t="n">
        <f aca="false">Q1087*J1087</f>
        <v>0.00444094497738691</v>
      </c>
      <c r="AJ1087" s="16" t="n">
        <f aca="false">S1087*J1087</f>
        <v>0.00230171830666439</v>
      </c>
      <c r="AK1087" s="16" t="n">
        <f aca="false">T1087*J1087</f>
        <v>0.00401008214510416</v>
      </c>
      <c r="AL1087" s="16" t="n">
        <f aca="false">U1087*J1087</f>
        <v>0.000948913837705641</v>
      </c>
      <c r="AM1087" s="16" t="n">
        <f aca="false">AI1087-AJ1087</f>
        <v>0.00213922667072252</v>
      </c>
      <c r="AN1087" s="16" t="n">
        <f aca="false">J1087*Country_Data!$EB$159</f>
        <v>0.03727000086079</v>
      </c>
      <c r="AO1087" s="16" t="n">
        <f aca="false">L1087*Country_Data!$EB$159</f>
        <v>0.00894480020658961</v>
      </c>
    </row>
    <row r="1088" customFormat="false" ht="15" hidden="false" customHeight="false" outlineLevel="0" collapsed="false">
      <c r="A1088" s="14" t="str">
        <f aca="false">Country_Data!$A$159</f>
        <v>YEM</v>
      </c>
      <c r="B1088" s="14" t="str">
        <f aca="false">Country_Data!$E$159</f>
        <v>EMDC</v>
      </c>
      <c r="C1088" s="35" t="s">
        <v>484</v>
      </c>
      <c r="D1088" s="37" t="n">
        <f aca="false">IF(Country_Data!$CD$159="","",Country_Data!$CD$159)</f>
        <v>0.126227672655006</v>
      </c>
      <c r="E1088" s="40" t="n">
        <f aca="false">Country_Data!$BW$159</f>
        <v>29.245</v>
      </c>
      <c r="F1088" s="41" t="n">
        <f aca="false">Country_Data!$BX$159</f>
        <v>0.275534279363994</v>
      </c>
      <c r="G1088" s="42" t="n">
        <f aca="false">IF(D1088="","",D1088/SUMIFS($D$5:$D$1369,$B$5:$B$1369,B1088,$C$5:$C$1369,C1088))</f>
        <v>0.000704901437514216</v>
      </c>
      <c r="H1088" s="42" t="n">
        <f aca="false">E1088/SUMIFS($E$5:$E$1369,$B$5:$B$1369,B1088,$C$5:$C$1369,C1088)</f>
        <v>0.000362248425002809</v>
      </c>
      <c r="I1088" s="43" t="n">
        <f aca="false">IF(G1088="",H1088,p_beta_alloc*G1088+(1-p_beta_alloc)*H1088)*F1088^p_phi</f>
        <v>0.00028008073391934</v>
      </c>
      <c r="J1088" s="16" t="n">
        <f aca="false">INDEX(Sector_Params!$C$21:$E$21,MATCH(B1088,Sector_Params!$C$15:$E$15,0))*I1088/SUMIFS($I$5:$I$1369,$B$5:$B$1369,B1088,$C$5:$C$1369,C1088)</f>
        <v>0.0621190573140279</v>
      </c>
      <c r="K1088" s="28" t="n">
        <f aca="false">INDEX(Sector_Params!$F$10:$H$10,MATCH(B1088,Sector_Params!$C$15:$E$15,0))</f>
        <v>0.24</v>
      </c>
      <c r="L1088" s="16" t="n">
        <f aca="false">J1088*K1088</f>
        <v>0.0149085737553667</v>
      </c>
      <c r="M1088" s="44" t="n">
        <f aca="false">Country_Data!$DW$159+Sector_Params!$E$10</f>
        <v>0.14592</v>
      </c>
      <c r="N1088" s="44" t="n">
        <f aca="false">Country_Data!$DX$159+Sector_Params!$E$10</f>
        <v>0.19092</v>
      </c>
      <c r="O1088" s="11" t="n">
        <f aca="false">IF(p_use_ibrd=1,p_r_ibrd,p_r_wb)</f>
        <v>0.06</v>
      </c>
      <c r="P1088" s="45" t="n">
        <f aca="false">Sector_Params!$D$10</f>
        <v>20</v>
      </c>
      <c r="Q1088" s="46" t="n">
        <f aca="false">M1088/(1-(1+M1088)^-P1088)</f>
        <v>0.156164640403452</v>
      </c>
      <c r="R1088" s="46" t="n">
        <f aca="false">N1088/(1-(1+N1088)^-P1088)</f>
        <v>0.196898477271479</v>
      </c>
      <c r="S1088" s="46" t="n">
        <f aca="false">O1088/(1-(1+O1088)^-P1088)</f>
        <v>0.0871845569768514</v>
      </c>
      <c r="T1088" s="37" t="n">
        <f aca="false">0*Sector_Params!$I$10</f>
        <v>0</v>
      </c>
      <c r="U1088" s="37" t="n">
        <f aca="false">0*Sector_Params!$J$10</f>
        <v>0</v>
      </c>
      <c r="V1088" s="37" t="n">
        <f aca="false">1000*p_r_wb/(1-(1+p_r_wb)^-Sector_Params!$D$10)/p_cpt_fuel</f>
        <v>0.871845569768514</v>
      </c>
      <c r="W1088" s="16" t="n">
        <f aca="false">T1088*L1088</f>
        <v>0</v>
      </c>
      <c r="X1088" s="16" t="n">
        <f aca="false">U1088*L1088</f>
        <v>0</v>
      </c>
      <c r="Y1088" s="16" t="n">
        <f aca="false">V1088*L1088</f>
        <v>0.0129979739801836</v>
      </c>
      <c r="Z1088" s="16" t="n">
        <f aca="false">Q1088*L1088</f>
        <v>0.00232819205943518</v>
      </c>
      <c r="AA1088" s="16" t="n">
        <f aca="false">R1088*L1088</f>
        <v>0.00293547547072124</v>
      </c>
      <c r="AB1088" s="16" t="n">
        <f aca="false">S1088*L1088</f>
        <v>0.00129979739801836</v>
      </c>
      <c r="AC1088" s="16" t="n">
        <f aca="false">Z1088-W1088</f>
        <v>0.00232819205943518</v>
      </c>
      <c r="AD1088" s="16" t="n">
        <f aca="false">AA1088-W1088</f>
        <v>0.00293547547072124</v>
      </c>
      <c r="AE1088" s="16" t="n">
        <f aca="false">AB1088-W1088</f>
        <v>0.00129979739801836</v>
      </c>
      <c r="AF1088" s="16" t="n">
        <f aca="false">AE1088-X1088</f>
        <v>0.00129979739801836</v>
      </c>
      <c r="AG1088" s="16" t="n">
        <f aca="false">AF1088-p_spc_lo*Y1088/1000</f>
        <v>0.00064989869900918</v>
      </c>
      <c r="AH1088" s="16" t="n">
        <f aca="false">AF1088-p_spc_hi*Y1088/1000</f>
        <v>0</v>
      </c>
      <c r="AI1088" s="16" t="n">
        <f aca="false">Q1088*J1088</f>
        <v>0.0097008002476466</v>
      </c>
      <c r="AJ1088" s="16" t="n">
        <f aca="false">S1088*J1088</f>
        <v>0.00541582249174317</v>
      </c>
      <c r="AK1088" s="16" t="n">
        <f aca="false">T1088*J1088</f>
        <v>0</v>
      </c>
      <c r="AL1088" s="16" t="n">
        <f aca="false">U1088*J1088</f>
        <v>0</v>
      </c>
      <c r="AM1088" s="16" t="n">
        <f aca="false">AI1088-AJ1088</f>
        <v>0.00428497775590343</v>
      </c>
      <c r="AN1088" s="16" t="n">
        <f aca="false">J1088*Country_Data!$EB$159</f>
        <v>0.0786841392644354</v>
      </c>
      <c r="AO1088" s="16" t="n">
        <f aca="false">L1088*Country_Data!$EB$159</f>
        <v>0.0188841934234645</v>
      </c>
    </row>
    <row r="1089" customFormat="false" ht="15" hidden="false" customHeight="false" outlineLevel="0" collapsed="false">
      <c r="A1089" s="14" t="str">
        <f aca="false">Country_Data!$A$159</f>
        <v>YEM</v>
      </c>
      <c r="B1089" s="14" t="str">
        <f aca="false">Country_Data!$E$159</f>
        <v>EMDC</v>
      </c>
      <c r="C1089" s="35" t="s">
        <v>488</v>
      </c>
      <c r="D1089" s="37" t="n">
        <f aca="false">IF(Country_Data!$CE$159="","",Country_Data!$CE$159)</f>
        <v>27.404</v>
      </c>
      <c r="E1089" s="40" t="n">
        <f aca="false">Country_Data!$BW$159</f>
        <v>29.245</v>
      </c>
      <c r="F1089" s="41" t="n">
        <f aca="false">Country_Data!$BX$159</f>
        <v>0.275534279363994</v>
      </c>
      <c r="G1089" s="42" t="n">
        <f aca="false">IF(D1089="","",D1089/SUMIFS($D$5:$D$1369,$B$5:$B$1369,B1089,$C$5:$C$1369,C1089))</f>
        <v>0.00224547304145898</v>
      </c>
      <c r="H1089" s="42" t="n">
        <f aca="false">E1089/SUMIFS($E$5:$E$1369,$B$5:$B$1369,B1089,$C$5:$C$1369,C1089)</f>
        <v>0.000362248425002809</v>
      </c>
      <c r="I1089" s="43" t="n">
        <f aca="false">IF(G1089="",H1089,p_beta_alloc*G1089+(1-p_beta_alloc)*H1089)*F1089^p_phi</f>
        <v>0.00068441422131766</v>
      </c>
      <c r="J1089" s="16" t="n">
        <f aca="false">INDEX(Sector_Params!$C$22:$E$22,MATCH(B1089,Sector_Params!$C$15:$E$15,0))*I1089/SUMIFS($I$5:$I$1369,$B$5:$B$1369,B1089,$C$5:$C$1369,C1089)</f>
        <v>0.41257063362659</v>
      </c>
      <c r="K1089" s="28" t="n">
        <f aca="false">INDEX(Sector_Params!$F$11:$H$11,MATCH(B1089,Sector_Params!$C$15:$E$15,0))</f>
        <v>0.24</v>
      </c>
      <c r="L1089" s="16" t="n">
        <f aca="false">J1089*K1089</f>
        <v>0.0990169520703817</v>
      </c>
      <c r="M1089" s="44" t="n">
        <f aca="false">Country_Data!$DW$159+Sector_Params!$E$11</f>
        <v>0.14592</v>
      </c>
      <c r="N1089" s="44" t="n">
        <f aca="false">Country_Data!$DX$159+Sector_Params!$E$11</f>
        <v>0.19092</v>
      </c>
      <c r="O1089" s="11" t="n">
        <f aca="false">IF(p_use_ibrd=1,p_r_ibrd,p_r_wb)</f>
        <v>0.06</v>
      </c>
      <c r="P1089" s="45" t="n">
        <f aca="false">Sector_Params!$D$11</f>
        <v>30</v>
      </c>
      <c r="Q1089" s="46" t="n">
        <f aca="false">M1089/(1-(1+M1089)^-P1089)</f>
        <v>0.148413704713403</v>
      </c>
      <c r="R1089" s="46" t="n">
        <f aca="false">N1089/(1-(1+N1089)^-P1089)</f>
        <v>0.191935494636082</v>
      </c>
      <c r="S1089" s="46" t="n">
        <f aca="false">O1089/(1-(1+O1089)^-P1089)</f>
        <v>0.0726489114900472</v>
      </c>
      <c r="T1089" s="37" t="n">
        <f aca="false">0*Sector_Params!$I$11</f>
        <v>0</v>
      </c>
      <c r="U1089" s="37" t="n">
        <f aca="false">p_c*Sector_Params!$J$11</f>
        <v>0.129</v>
      </c>
      <c r="V1089" s="37" t="n">
        <f aca="false">1000*p_r_wb/(1-(1+p_r_wb)^-Sector_Params!$D$11)/p_cpt_afolu</f>
        <v>1.45297822980094</v>
      </c>
      <c r="W1089" s="16" t="n">
        <f aca="false">T1089*L1089</f>
        <v>0</v>
      </c>
      <c r="X1089" s="16" t="n">
        <f aca="false">U1089*L1089</f>
        <v>0.0127731868170792</v>
      </c>
      <c r="Y1089" s="16" t="n">
        <f aca="false">V1089*L1089</f>
        <v>0.143869475739508</v>
      </c>
      <c r="Z1089" s="16" t="n">
        <f aca="false">Q1089*L1089</f>
        <v>0.0146954726861948</v>
      </c>
      <c r="AA1089" s="16" t="n">
        <f aca="false">R1089*L1089</f>
        <v>0.0190048676729859</v>
      </c>
      <c r="AB1089" s="16" t="n">
        <f aca="false">S1089*L1089</f>
        <v>0.00719347378697541</v>
      </c>
      <c r="AC1089" s="16" t="n">
        <f aca="false">Z1089-W1089</f>
        <v>0.0146954726861948</v>
      </c>
      <c r="AD1089" s="16" t="n">
        <f aca="false">AA1089-W1089</f>
        <v>0.0190048676729859</v>
      </c>
      <c r="AE1089" s="16" t="n">
        <f aca="false">AB1089-W1089</f>
        <v>0.00719347378697541</v>
      </c>
      <c r="AF1089" s="16" t="n">
        <f aca="false">AE1089-X1089</f>
        <v>-0.00557971303010383</v>
      </c>
      <c r="AG1089" s="16" t="n">
        <f aca="false">AF1089-p_spc_lo*Y1089/1000</f>
        <v>-0.0127731868170792</v>
      </c>
      <c r="AH1089" s="16" t="n">
        <f aca="false">AF1089-p_spc_hi*Y1089/1000</f>
        <v>-0.0199666606040546</v>
      </c>
      <c r="AI1089" s="16" t="n">
        <f aca="false">Q1089*J1089</f>
        <v>0.0612311361924783</v>
      </c>
      <c r="AJ1089" s="16" t="n">
        <f aca="false">S1089*J1089</f>
        <v>0.0299728074457309</v>
      </c>
      <c r="AK1089" s="16" t="n">
        <f aca="false">T1089*J1089</f>
        <v>0</v>
      </c>
      <c r="AL1089" s="16" t="n">
        <f aca="false">U1089*J1089</f>
        <v>0.0532216117378302</v>
      </c>
      <c r="AM1089" s="16" t="n">
        <f aca="false">AI1089-AJ1089</f>
        <v>0.0312583287467474</v>
      </c>
      <c r="AN1089" s="16" t="n">
        <f aca="false">J1089*Country_Data!$EB$159</f>
        <v>0.522589469260348</v>
      </c>
      <c r="AO1089" s="16" t="n">
        <f aca="false">L1089*Country_Data!$EB$159</f>
        <v>0.125421472622484</v>
      </c>
    </row>
    <row r="1090" customFormat="false" ht="15" hidden="false" customHeight="false" outlineLevel="0" collapsed="false">
      <c r="A1090" s="14" t="str">
        <f aca="false">Country_Data!$A$160</f>
        <v>BRB</v>
      </c>
      <c r="B1090" s="14" t="str">
        <f aca="false">Country_Data!$E$160</f>
        <v>EMDC</v>
      </c>
      <c r="C1090" s="35" t="s">
        <v>466</v>
      </c>
      <c r="D1090" s="37" t="n">
        <f aca="false">IF(Country_Data!$BZ$160="","",Country_Data!$BZ$160)</f>
        <v>1.03857706488974</v>
      </c>
      <c r="E1090" s="40" t="n">
        <f aca="false">Country_Data!$BW$160</f>
        <v>6.932</v>
      </c>
      <c r="F1090" s="41" t="n">
        <f aca="false">Country_Data!$BX$160</f>
        <v>1.09607616849394</v>
      </c>
      <c r="G1090" s="42" t="n">
        <f aca="false">IF(D1090="","",D1090/SUMIFS($D$5:$D$1369,$B$5:$B$1369,B1090,$C$5:$C$1369,C1090))</f>
        <v>0.000118566175535542</v>
      </c>
      <c r="H1090" s="42" t="n">
        <f aca="false">E1090/SUMIFS($E$5:$E$1369,$B$5:$B$1369,B1090,$C$5:$C$1369,C1090)</f>
        <v>8.58644582704555E-005</v>
      </c>
      <c r="I1090" s="43" t="n">
        <f aca="false">IF(G1090="",H1090,p_beta_alloc*G1090+(1-p_beta_alloc)*H1090)*F1090^p_phi</f>
        <v>0.000107012952639934</v>
      </c>
      <c r="J1090" s="16" t="n">
        <f aca="false">INDEX(Sector_Params!$C$16:$E$16,MATCH(B1090,Sector_Params!$C$15:$E$15,0))*I1090/SUMIFS($I$5:$I$1369,$B$5:$B$1369,B1090,$C$5:$C$1369,C1090)</f>
        <v>0.103505640805601</v>
      </c>
      <c r="K1090" s="28" t="n">
        <f aca="false">INDEX(Sector_Params!$F$5:$H$5,MATCH(B1090,Sector_Params!$C$15:$E$15,0))</f>
        <v>0.24</v>
      </c>
      <c r="L1090" s="16" t="n">
        <f aca="false">J1090*K1090</f>
        <v>0.0248413537933442</v>
      </c>
      <c r="M1090" s="44" t="n">
        <f aca="false">Country_Data!$DW$160+Sector_Params!$E$5</f>
        <v>0.105</v>
      </c>
      <c r="N1090" s="44" t="n">
        <f aca="false">Country_Data!$DX$160+Sector_Params!$E$5</f>
        <v>0.15</v>
      </c>
      <c r="O1090" s="11" t="n">
        <f aca="false">IF(p_use_ibrd=1,p_r_ibrd,p_r_wb)</f>
        <v>0.06</v>
      </c>
      <c r="P1090" s="45" t="n">
        <f aca="false">Sector_Params!$D$5</f>
        <v>25</v>
      </c>
      <c r="Q1090" s="46" t="n">
        <f aca="false">M1090/(1-(1+M1090)^-P1090)</f>
        <v>0.114429319813103</v>
      </c>
      <c r="R1090" s="46" t="n">
        <f aca="false">N1090/(1-(1+N1090)^-P1090)</f>
        <v>0.154699402320206</v>
      </c>
      <c r="S1090" s="46" t="n">
        <f aca="false">O1090/(1-(1+O1090)^-P1090)</f>
        <v>0.078226718212274</v>
      </c>
      <c r="T1090" s="37" t="n">
        <f aca="false">IF(AND(p_eng=1,ISNUMBER(Country_Data!$CZ$160)),Country_Data!$CZ$160,Country_Data!$CM$160)*Sector_Params!$I$5</f>
        <v>0.2759478456206</v>
      </c>
      <c r="U1090" s="37" t="n">
        <f aca="false">IF(AND(p_eng=1,ISNUMBER(Country_Data!$DA$160)),Country_Data!$DA$160,Country_Data!$CN$160)*Sector_Params!$J$5</f>
        <v>0.0069233070723899</v>
      </c>
      <c r="V1090" s="37" t="n">
        <f aca="false">IF(AND(p_eng=1,ISNUMBER(Country_Data!$DB$160)),Country_Data!$DB$160,p_a)</f>
        <v>1.67738746698877</v>
      </c>
      <c r="W1090" s="16" t="n">
        <f aca="false">T1090*L1090</f>
        <v>0.00685491806157247</v>
      </c>
      <c r="X1090" s="16" t="n">
        <f aca="false">U1090*L1090</f>
        <v>0.0001719843204052</v>
      </c>
      <c r="Y1090" s="16" t="n">
        <f aca="false">V1090*L1090</f>
        <v>0.0416685755159895</v>
      </c>
      <c r="Z1090" s="16" t="n">
        <f aca="false">Q1090*L1090</f>
        <v>0.00284257921780903</v>
      </c>
      <c r="AA1090" s="16" t="n">
        <f aca="false">R1090*L1090</f>
        <v>0.00384294258465515</v>
      </c>
      <c r="AB1090" s="16" t="n">
        <f aca="false">S1090*L1090</f>
        <v>0.00194325758320334</v>
      </c>
      <c r="AC1090" s="16" t="n">
        <f aca="false">Z1090-W1090</f>
        <v>-0.00401233884376343</v>
      </c>
      <c r="AD1090" s="16" t="n">
        <f aca="false">AA1090-W1090</f>
        <v>-0.00301197547691732</v>
      </c>
      <c r="AE1090" s="16" t="n">
        <f aca="false">AB1090-W1090</f>
        <v>-0.00491166047836913</v>
      </c>
      <c r="AF1090" s="16" t="n">
        <f aca="false">AE1090-X1090</f>
        <v>-0.00508364479877433</v>
      </c>
      <c r="AG1090" s="16" t="n">
        <f aca="false">AF1090-p_spc_lo*Y1090/1000</f>
        <v>-0.0071670735745738</v>
      </c>
      <c r="AH1090" s="16" t="n">
        <f aca="false">AF1090-p_spc_hi*Y1090/1000</f>
        <v>-0.00925050235037327</v>
      </c>
      <c r="AI1090" s="16" t="n">
        <f aca="false">Q1090*J1090</f>
        <v>0.0118440800742043</v>
      </c>
      <c r="AJ1090" s="16" t="n">
        <f aca="false">S1090*J1090</f>
        <v>0.00809690659668059</v>
      </c>
      <c r="AK1090" s="16" t="n">
        <f aca="false">T1090*J1090</f>
        <v>0.0285621585898853</v>
      </c>
      <c r="AL1090" s="16" t="n">
        <f aca="false">U1090*J1090</f>
        <v>0.000716601335021666</v>
      </c>
      <c r="AM1090" s="16" t="n">
        <f aca="false">AI1090-AJ1090</f>
        <v>0.00374717347752372</v>
      </c>
      <c r="AN1090" s="16" t="n">
        <f aca="false">J1090*Country_Data!$EB$160</f>
        <v>0.118818804102868</v>
      </c>
      <c r="AO1090" s="16" t="n">
        <f aca="false">L1090*Country_Data!$EB$160</f>
        <v>0.0285165129846883</v>
      </c>
    </row>
    <row r="1091" customFormat="false" ht="15" hidden="false" customHeight="false" outlineLevel="0" collapsed="false">
      <c r="A1091" s="14" t="str">
        <f aca="false">Country_Data!$A$160</f>
        <v>BRB</v>
      </c>
      <c r="B1091" s="14" t="str">
        <f aca="false">Country_Data!$E$160</f>
        <v>EMDC</v>
      </c>
      <c r="C1091" s="35" t="s">
        <v>470</v>
      </c>
      <c r="D1091" s="37" t="n">
        <f aca="false">IF(Country_Data!$BZ$160="","",Country_Data!$BZ$160)</f>
        <v>1.03857706488974</v>
      </c>
      <c r="E1091" s="40" t="n">
        <f aca="false">Country_Data!$BW$160</f>
        <v>6.932</v>
      </c>
      <c r="F1091" s="41" t="n">
        <f aca="false">Country_Data!$BX$160</f>
        <v>1.09607616849394</v>
      </c>
      <c r="G1091" s="42" t="n">
        <f aca="false">IF(D1091="","",D1091/SUMIFS($D$5:$D$1369,$B$5:$B$1369,B1091,$C$5:$C$1369,C1091))</f>
        <v>0.000118566175535542</v>
      </c>
      <c r="H1091" s="42" t="n">
        <f aca="false">E1091/SUMIFS($E$5:$E$1369,$B$5:$B$1369,B1091,$C$5:$C$1369,C1091)</f>
        <v>8.58644582704555E-005</v>
      </c>
      <c r="I1091" s="43" t="n">
        <f aca="false">IF(G1091="",H1091,p_beta_alloc*G1091+(1-p_beta_alloc)*H1091)*F1091^p_phi</f>
        <v>0.000107012952639934</v>
      </c>
      <c r="J1091" s="16" t="n">
        <f aca="false">INDEX(Sector_Params!$C$17:$E$17,MATCH(B1091,Sector_Params!$C$15:$E$15,0))*I1091/SUMIFS($I$5:$I$1369,$B$5:$B$1369,B1091,$C$5:$C$1369,C1091)</f>
        <v>0.0709752965524121</v>
      </c>
      <c r="K1091" s="28" t="n">
        <f aca="false">INDEX(Sector_Params!$F$6:$H$6,MATCH(B1091,Sector_Params!$C$15:$E$15,0))</f>
        <v>0.24</v>
      </c>
      <c r="L1091" s="16" t="n">
        <f aca="false">J1091*K1091</f>
        <v>0.0170340711725789</v>
      </c>
      <c r="M1091" s="44" t="n">
        <f aca="false">Country_Data!$DW$160+Sector_Params!$E$6</f>
        <v>0.105</v>
      </c>
      <c r="N1091" s="44" t="n">
        <f aca="false">Country_Data!$DX$160+Sector_Params!$E$6</f>
        <v>0.15</v>
      </c>
      <c r="O1091" s="11" t="n">
        <f aca="false">IF(p_use_ibrd=1,p_r_ibrd,p_r_wb)</f>
        <v>0.06</v>
      </c>
      <c r="P1091" s="45" t="n">
        <f aca="false">Sector_Params!$D$6</f>
        <v>40</v>
      </c>
      <c r="Q1091" s="46" t="n">
        <f aca="false">M1091/(1-(1+M1091)^-P1091)</f>
        <v>0.10697140835497</v>
      </c>
      <c r="R1091" s="46" t="n">
        <f aca="false">N1091/(1-(1+N1091)^-P1091)</f>
        <v>0.150562085013545</v>
      </c>
      <c r="S1091" s="46" t="n">
        <f aca="false">O1091/(1-(1+O1091)^-P1091)</f>
        <v>0.0664615359206755</v>
      </c>
      <c r="T1091" s="37" t="n">
        <f aca="false">p_grid_credit*IF(AND(p_eng=1,ISNUMBER(Country_Data!$CZ$160)),Country_Data!$CZ$160,Country_Data!$CM$160)*Sector_Params!$I$6</f>
        <v>0</v>
      </c>
      <c r="U1091" s="37" t="n">
        <f aca="false">p_grid_credit*IF(AND(p_eng=1,ISNUMBER(Country_Data!$DA$160)),Country_Data!$DA$160,Country_Data!$CN$160)*Sector_Params!$J$6</f>
        <v>0</v>
      </c>
      <c r="V1091" s="37" t="n">
        <f aca="false">p_grid_credit*IF(AND(p_eng=1,ISNUMBER(Country_Data!$DB$160)),Country_Data!$DB$160,p_a)</f>
        <v>0</v>
      </c>
      <c r="W1091" s="16" t="n">
        <f aca="false">T1091*L1091</f>
        <v>0</v>
      </c>
      <c r="X1091" s="16" t="n">
        <f aca="false">U1091*L1091</f>
        <v>0</v>
      </c>
      <c r="Y1091" s="16" t="n">
        <f aca="false">V1091*L1091</f>
        <v>0</v>
      </c>
      <c r="Z1091" s="16" t="n">
        <f aca="false">Q1091*L1091</f>
        <v>0.00182215858334957</v>
      </c>
      <c r="AA1091" s="16" t="n">
        <f aca="false">R1091*L1091</f>
        <v>0.0025646852720126</v>
      </c>
      <c r="AB1091" s="16" t="n">
        <f aca="false">S1091*L1091</f>
        <v>0.0011321105331117</v>
      </c>
      <c r="AC1091" s="16" t="n">
        <f aca="false">Z1091-W1091</f>
        <v>0.00182215858334957</v>
      </c>
      <c r="AD1091" s="16" t="n">
        <f aca="false">AA1091-W1091</f>
        <v>0.0025646852720126</v>
      </c>
      <c r="AE1091" s="16" t="n">
        <f aca="false">AB1091-W1091</f>
        <v>0.0011321105331117</v>
      </c>
      <c r="AF1091" s="16" t="n">
        <f aca="false">AE1091-X1091</f>
        <v>0.0011321105331117</v>
      </c>
      <c r="AG1091" s="16" t="n">
        <f aca="false">AF1091-p_spc_lo*Y1091/1000</f>
        <v>0.0011321105331117</v>
      </c>
      <c r="AH1091" s="16" t="n">
        <f aca="false">AF1091-p_spc_hi*Y1091/1000</f>
        <v>0.0011321105331117</v>
      </c>
      <c r="AI1091" s="16" t="n">
        <f aca="false">Q1091*J1091</f>
        <v>0.00759232743062319</v>
      </c>
      <c r="AJ1091" s="16" t="n">
        <f aca="false">S1091*J1091</f>
        <v>0.00471712722129873</v>
      </c>
      <c r="AK1091" s="16" t="n">
        <f aca="false">T1091*J1091</f>
        <v>0</v>
      </c>
      <c r="AL1091" s="16" t="n">
        <f aca="false">U1091*J1091</f>
        <v>0</v>
      </c>
      <c r="AM1091" s="16" t="n">
        <f aca="false">AI1091-AJ1091</f>
        <v>0.00287520020932446</v>
      </c>
      <c r="AN1091" s="16" t="n">
        <f aca="false">J1091*Country_Data!$EB$160</f>
        <v>0.0814757513848238</v>
      </c>
      <c r="AO1091" s="16" t="n">
        <f aca="false">L1091*Country_Data!$EB$160</f>
        <v>0.0195541803323577</v>
      </c>
    </row>
    <row r="1092" customFormat="false" ht="15" hidden="false" customHeight="false" outlineLevel="0" collapsed="false">
      <c r="A1092" s="14" t="str">
        <f aca="false">Country_Data!$A$160</f>
        <v>BRB</v>
      </c>
      <c r="B1092" s="14" t="str">
        <f aca="false">Country_Data!$E$160</f>
        <v>EMDC</v>
      </c>
      <c r="C1092" s="35" t="s">
        <v>473</v>
      </c>
      <c r="D1092" s="37" t="n">
        <f aca="false">IF(Country_Data!$CA$160="","",Country_Data!$CA$160)</f>
        <v>0.00595426057955657</v>
      </c>
      <c r="E1092" s="40" t="n">
        <f aca="false">Country_Data!$BW$160</f>
        <v>6.932</v>
      </c>
      <c r="F1092" s="41" t="n">
        <f aca="false">Country_Data!$BX$160</f>
        <v>1.09607616849394</v>
      </c>
      <c r="G1092" s="42" t="n">
        <f aca="false">IF(D1092="","",D1092/SUMIFS($D$5:$D$1369,$B$5:$B$1369,B1092,$C$5:$C$1369,C1092))</f>
        <v>0.00013755727325165</v>
      </c>
      <c r="H1092" s="42" t="n">
        <f aca="false">E1092/SUMIFS($E$5:$E$1369,$B$5:$B$1369,B1092,$C$5:$C$1369,C1092)</f>
        <v>8.58644582704555E-005</v>
      </c>
      <c r="I1092" s="43" t="n">
        <f aca="false">IF(G1092="",H1092,p_beta_alloc*G1092+(1-p_beta_alloc)*H1092)*F1092^p_phi</f>
        <v>0.000116954189932202</v>
      </c>
      <c r="J1092" s="16" t="n">
        <f aca="false">INDEX(Sector_Params!$C$18:$E$18,MATCH(B1092,Sector_Params!$C$15:$E$15,0))*I1092/SUMIFS($I$5:$I$1369,$B$5:$B$1369,B1092,$C$5:$C$1369,C1092)</f>
        <v>0.0478899734990827</v>
      </c>
      <c r="K1092" s="28" t="n">
        <f aca="false">INDEX(Sector_Params!$F$7:$H$7,MATCH(B1092,Sector_Params!$C$15:$E$15,0))</f>
        <v>0.24</v>
      </c>
      <c r="L1092" s="16" t="n">
        <f aca="false">J1092*K1092</f>
        <v>0.0114935936397798</v>
      </c>
      <c r="M1092" s="44" t="n">
        <f aca="false">Country_Data!$DW$160+Sector_Params!$E$7</f>
        <v>0.105</v>
      </c>
      <c r="N1092" s="44" t="n">
        <f aca="false">Country_Data!$DX$160+Sector_Params!$E$7</f>
        <v>0.15</v>
      </c>
      <c r="O1092" s="11" t="n">
        <f aca="false">IF(p_use_ibrd=1,p_r_ibrd,p_r_wb)</f>
        <v>0.06</v>
      </c>
      <c r="P1092" s="45" t="n">
        <f aca="false">Sector_Params!$D$7</f>
        <v>12</v>
      </c>
      <c r="Q1092" s="46" t="n">
        <f aca="false">M1092/(1-(1+M1092)^-P1092)</f>
        <v>0.150376745634766</v>
      </c>
      <c r="R1092" s="46" t="n">
        <f aca="false">N1092/(1-(1+N1092)^-P1092)</f>
        <v>0.18448077613084</v>
      </c>
      <c r="S1092" s="46" t="n">
        <f aca="false">O1092/(1-(1+O1092)^-P1092)</f>
        <v>0.119277029380664</v>
      </c>
      <c r="T1092" s="37" t="n">
        <f aca="false">IF(AND(p_eng=1,ISNUMBER(Country_Data!$DE$160)),Country_Data!$DE$160,Country_Data!$CM$160)*Sector_Params!$I$7</f>
        <v>0.0175995</v>
      </c>
      <c r="U1092" s="37" t="n">
        <f aca="false">IF(AND(p_eng=1,ISNUMBER(Country_Data!$DF$160)),Country_Data!$DF$160,Country_Data!$CN$160)*Sector_Params!$J$7</f>
        <v>0.00237915</v>
      </c>
      <c r="V1092" s="37" t="n">
        <f aca="false">IF(AND(p_eng=1,ISNUMBER(Country_Data!$DG$160)),Country_Data!$DG$160,p_a)</f>
        <v>0.139662608108108</v>
      </c>
      <c r="W1092" s="16" t="n">
        <f aca="false">T1092*L1092</f>
        <v>0.000202281501263306</v>
      </c>
      <c r="X1092" s="16" t="n">
        <f aca="false">U1092*L1092</f>
        <v>2.73449833080822E-005</v>
      </c>
      <c r="Y1092" s="16" t="n">
        <f aca="false">V1092*L1092</f>
        <v>0.00160522526426642</v>
      </c>
      <c r="Z1092" s="16" t="n">
        <f aca="false">Q1092*L1092</f>
        <v>0.00172836920719854</v>
      </c>
      <c r="AA1092" s="16" t="n">
        <f aca="false">R1092*L1092</f>
        <v>0.00212034707519907</v>
      </c>
      <c r="AB1092" s="16" t="n">
        <f aca="false">S1092*L1092</f>
        <v>0.00137092170626143</v>
      </c>
      <c r="AC1092" s="16" t="n">
        <f aca="false">Z1092-W1092</f>
        <v>0.00152608770593523</v>
      </c>
      <c r="AD1092" s="16" t="n">
        <f aca="false">AA1092-W1092</f>
        <v>0.00191806557393576</v>
      </c>
      <c r="AE1092" s="16" t="n">
        <f aca="false">AB1092-W1092</f>
        <v>0.00116864020499812</v>
      </c>
      <c r="AF1092" s="16" t="n">
        <f aca="false">AE1092-X1092</f>
        <v>0.00114129522169004</v>
      </c>
      <c r="AG1092" s="16" t="n">
        <f aca="false">AF1092-p_spc_lo*Y1092/1000</f>
        <v>0.00106103395847672</v>
      </c>
      <c r="AH1092" s="16" t="n">
        <f aca="false">AF1092-p_spc_hi*Y1092/1000</f>
        <v>0.000980772695263399</v>
      </c>
      <c r="AI1092" s="16" t="n">
        <f aca="false">Q1092*J1092</f>
        <v>0.00720153836332723</v>
      </c>
      <c r="AJ1092" s="16" t="n">
        <f aca="false">S1092*J1092</f>
        <v>0.00571217377608929</v>
      </c>
      <c r="AK1092" s="16" t="n">
        <f aca="false">T1092*J1092</f>
        <v>0.000842839588597107</v>
      </c>
      <c r="AL1092" s="16" t="n">
        <f aca="false">U1092*J1092</f>
        <v>0.000113937430450343</v>
      </c>
      <c r="AM1092" s="16" t="n">
        <f aca="false">AI1092-AJ1092</f>
        <v>0.00148936458723794</v>
      </c>
      <c r="AN1092" s="16" t="n">
        <f aca="false">J1092*Country_Data!$EB$160</f>
        <v>0.05497506546881</v>
      </c>
      <c r="AO1092" s="16" t="n">
        <f aca="false">L1092*Country_Data!$EB$160</f>
        <v>0.0131940157125144</v>
      </c>
    </row>
    <row r="1093" customFormat="false" ht="15" hidden="false" customHeight="false" outlineLevel="0" collapsed="false">
      <c r="A1093" s="14" t="str">
        <f aca="false">Country_Data!$A$160</f>
        <v>BRB</v>
      </c>
      <c r="B1093" s="14" t="str">
        <f aca="false">Country_Data!$E$160</f>
        <v>EMDC</v>
      </c>
      <c r="C1093" s="35" t="s">
        <v>477</v>
      </c>
      <c r="D1093" s="37" t="n">
        <f aca="false">IF(Country_Data!$CB$160="","",Country_Data!$CB$160)</f>
        <v>0.00238045742529012</v>
      </c>
      <c r="E1093" s="40" t="n">
        <f aca="false">Country_Data!$BW$160</f>
        <v>6.932</v>
      </c>
      <c r="F1093" s="41" t="n">
        <f aca="false">Country_Data!$BX$160</f>
        <v>1.09607616849394</v>
      </c>
      <c r="G1093" s="42" t="n">
        <f aca="false">IF(D1093="","",D1093/SUMIFS($D$5:$D$1369,$B$5:$B$1369,B1093,$C$5:$C$1369,C1093))</f>
        <v>7.50630711130109E-005</v>
      </c>
      <c r="H1093" s="42" t="n">
        <f aca="false">E1093/SUMIFS($E$5:$E$1369,$B$5:$B$1369,B1093,$C$5:$C$1369,C1093)</f>
        <v>8.58644582704555E-005</v>
      </c>
      <c r="I1093" s="43" t="n">
        <f aca="false">IF(G1093="",H1093,p_beta_alloc*G1093+(1-p_beta_alloc)*H1093)*F1093^p_phi</f>
        <v>8.42404573118787E-005</v>
      </c>
      <c r="J1093" s="16" t="n">
        <f aca="false">INDEX(Sector_Params!$C$19:$E$19,MATCH(B1093,Sector_Params!$C$15:$E$15,0))*I1093/SUMIFS($I$5:$I$1369,$B$5:$B$1369,B1093,$C$5:$C$1369,C1093)</f>
        <v>0.0271138523228956</v>
      </c>
      <c r="K1093" s="28" t="n">
        <f aca="false">INDEX(Sector_Params!$F$8:$H$8,MATCH(B1093,Sector_Params!$C$15:$E$15,0))</f>
        <v>0.24</v>
      </c>
      <c r="L1093" s="16" t="n">
        <f aca="false">J1093*K1093</f>
        <v>0.00650732455749495</v>
      </c>
      <c r="M1093" s="44" t="n">
        <f aca="false">Country_Data!$DW$160+Sector_Params!$E$8</f>
        <v>0.105</v>
      </c>
      <c r="N1093" s="44" t="n">
        <f aca="false">Country_Data!$DX$160+Sector_Params!$E$8</f>
        <v>0.15</v>
      </c>
      <c r="O1093" s="11" t="n">
        <f aca="false">IF(p_use_ibrd=1,p_r_ibrd,p_r_wb)</f>
        <v>0.06</v>
      </c>
      <c r="P1093" s="45" t="n">
        <f aca="false">Sector_Params!$D$8</f>
        <v>25</v>
      </c>
      <c r="Q1093" s="46" t="n">
        <f aca="false">M1093/(1-(1+M1093)^-P1093)</f>
        <v>0.114429319813103</v>
      </c>
      <c r="R1093" s="46" t="n">
        <f aca="false">N1093/(1-(1+N1093)^-P1093)</f>
        <v>0.154699402320206</v>
      </c>
      <c r="S1093" s="46" t="n">
        <f aca="false">O1093/(1-(1+O1093)^-P1093)</f>
        <v>0.078226718212274</v>
      </c>
      <c r="T1093" s="37" t="n">
        <f aca="false">Country_Data!$CM$160*Sector_Params!$I$8</f>
        <v>0.323472534654858</v>
      </c>
      <c r="U1093" s="37" t="n">
        <f aca="false">Country_Data!$CN$160*Sector_Params!$J$8</f>
        <v>0.03225</v>
      </c>
      <c r="V1093" s="37" t="n">
        <f aca="false">p_a</f>
        <v>0.35</v>
      </c>
      <c r="W1093" s="16" t="n">
        <f aca="false">T1093*L1093</f>
        <v>0.00210494076843469</v>
      </c>
      <c r="X1093" s="16" t="n">
        <f aca="false">U1093*L1093</f>
        <v>0.000209861216979212</v>
      </c>
      <c r="Y1093" s="16" t="n">
        <f aca="false">V1093*L1093</f>
        <v>0.00227756359512323</v>
      </c>
      <c r="Z1093" s="16" t="n">
        <f aca="false">Q1093*L1093</f>
        <v>0.000744628722917251</v>
      </c>
      <c r="AA1093" s="16" t="n">
        <f aca="false">R1093*L1093</f>
        <v>0.00100667921974807</v>
      </c>
      <c r="AB1093" s="16" t="n">
        <f aca="false">S1093*L1093</f>
        <v>0.000509046644474968</v>
      </c>
      <c r="AC1093" s="16" t="n">
        <f aca="false">Z1093-W1093</f>
        <v>-0.00136031204551744</v>
      </c>
      <c r="AD1093" s="16" t="n">
        <f aca="false">AA1093-W1093</f>
        <v>-0.00109826154868662</v>
      </c>
      <c r="AE1093" s="16" t="n">
        <f aca="false">AB1093-W1093</f>
        <v>-0.00159589412395972</v>
      </c>
      <c r="AF1093" s="16" t="n">
        <f aca="false">AE1093-X1093</f>
        <v>-0.00180575534093893</v>
      </c>
      <c r="AG1093" s="16" t="n">
        <f aca="false">AF1093-p_spc_lo*Y1093/1000</f>
        <v>-0.0019196335206951</v>
      </c>
      <c r="AH1093" s="16" t="n">
        <f aca="false">AF1093-p_spc_hi*Y1093/1000</f>
        <v>-0.00203351170045126</v>
      </c>
      <c r="AI1093" s="16" t="n">
        <f aca="false">Q1093*J1093</f>
        <v>0.00310261967882188</v>
      </c>
      <c r="AJ1093" s="16" t="n">
        <f aca="false">S1093*J1093</f>
        <v>0.00212102768531236</v>
      </c>
      <c r="AK1093" s="16" t="n">
        <f aca="false">T1093*J1093</f>
        <v>0.00877058653514454</v>
      </c>
      <c r="AL1093" s="16" t="n">
        <f aca="false">U1093*J1093</f>
        <v>0.000874421737413384</v>
      </c>
      <c r="AM1093" s="16" t="n">
        <f aca="false">AI1093-AJ1093</f>
        <v>0.000981591993509512</v>
      </c>
      <c r="AN1093" s="16" t="n">
        <f aca="false">J1093*Country_Data!$EB$160</f>
        <v>0.0311252167761459</v>
      </c>
      <c r="AO1093" s="16" t="n">
        <f aca="false">L1093*Country_Data!$EB$160</f>
        <v>0.00747005202627502</v>
      </c>
    </row>
    <row r="1094" customFormat="false" ht="15" hidden="false" customHeight="false" outlineLevel="0" collapsed="false">
      <c r="A1094" s="14" t="str">
        <f aca="false">Country_Data!$A$160</f>
        <v>BRB</v>
      </c>
      <c r="B1094" s="14" t="str">
        <f aca="false">Country_Data!$E$160</f>
        <v>EMDC</v>
      </c>
      <c r="C1094" s="35" t="s">
        <v>481</v>
      </c>
      <c r="D1094" s="37" t="n">
        <f aca="false">IF(Country_Data!$CC$160="","",Country_Data!$CC$160)</f>
        <v>0.00965262948851919</v>
      </c>
      <c r="E1094" s="40" t="n">
        <f aca="false">Country_Data!$BW$160</f>
        <v>6.932</v>
      </c>
      <c r="F1094" s="41" t="n">
        <f aca="false">Country_Data!$BX$160</f>
        <v>1.09607616849394</v>
      </c>
      <c r="G1094" s="42" t="n">
        <f aca="false">IF(D1094="","",D1094/SUMIFS($D$5:$D$1369,$B$5:$B$1369,B1094,$C$5:$C$1369,C1094))</f>
        <v>0.000137880411682055</v>
      </c>
      <c r="H1094" s="42" t="n">
        <f aca="false">E1094/SUMIFS($E$5:$E$1369,$B$5:$B$1369,B1094,$C$5:$C$1369,C1094)</f>
        <v>8.58644582704555E-005</v>
      </c>
      <c r="I1094" s="43" t="n">
        <f aca="false">IF(G1094="",H1094,p_beta_alloc*G1094+(1-p_beta_alloc)*H1094)*F1094^p_phi</f>
        <v>0.000117123342651172</v>
      </c>
      <c r="J1094" s="16" t="n">
        <f aca="false">INDEX(Sector_Params!$C$20:$E$20,MATCH(B1094,Sector_Params!$C$15:$E$15,0))*I1094/SUMIFS($I$5:$I$1369,$B$5:$B$1369,B1094,$C$5:$C$1369,C1094)</f>
        <v>0.0213773686270536</v>
      </c>
      <c r="K1094" s="28" t="n">
        <f aca="false">INDEX(Sector_Params!$F$9:$H$9,MATCH(B1094,Sector_Params!$C$15:$E$15,0))</f>
        <v>0.24</v>
      </c>
      <c r="L1094" s="16" t="n">
        <f aca="false">J1094*K1094</f>
        <v>0.00513056847049287</v>
      </c>
      <c r="M1094" s="44" t="n">
        <f aca="false">Country_Data!$DW$160+Sector_Params!$E$9</f>
        <v>0.105</v>
      </c>
      <c r="N1094" s="44" t="n">
        <f aca="false">Country_Data!$DX$160+Sector_Params!$E$9</f>
        <v>0.15</v>
      </c>
      <c r="O1094" s="11" t="n">
        <f aca="false">IF(p_use_ibrd=1,p_r_ibrd,p_r_wb)</f>
        <v>0.06</v>
      </c>
      <c r="P1094" s="45" t="n">
        <f aca="false">Sector_Params!$D$9</f>
        <v>25</v>
      </c>
      <c r="Q1094" s="46" t="n">
        <f aca="false">M1094/(1-(1+M1094)^-P1094)</f>
        <v>0.114429319813103</v>
      </c>
      <c r="R1094" s="46" t="n">
        <f aca="false">N1094/(1-(1+N1094)^-P1094)</f>
        <v>0.154699402320206</v>
      </c>
      <c r="S1094" s="46" t="n">
        <f aca="false">O1094/(1-(1+O1094)^-P1094)</f>
        <v>0.078226718212274</v>
      </c>
      <c r="T1094" s="37" t="n">
        <f aca="false">Country_Data!$CM$160*Sector_Params!$I$9</f>
        <v>0.323472534654858</v>
      </c>
      <c r="U1094" s="37" t="n">
        <f aca="false">Country_Data!$CN$160*Sector_Params!$J$9</f>
        <v>0.03225</v>
      </c>
      <c r="V1094" s="37" t="n">
        <f aca="false">p_a</f>
        <v>0.35</v>
      </c>
      <c r="W1094" s="16" t="n">
        <f aca="false">T1094*L1094</f>
        <v>0.00165959798737062</v>
      </c>
      <c r="X1094" s="16" t="n">
        <f aca="false">U1094*L1094</f>
        <v>0.000165460833173395</v>
      </c>
      <c r="Y1094" s="16" t="n">
        <f aca="false">V1094*L1094</f>
        <v>0.0017956989646725</v>
      </c>
      <c r="Z1094" s="16" t="n">
        <f aca="false">Q1094*L1094</f>
        <v>0.000587087460333053</v>
      </c>
      <c r="AA1094" s="16" t="n">
        <f aca="false">R1094*L1094</f>
        <v>0.000793695875948143</v>
      </c>
      <c r="AB1094" s="16" t="n">
        <f aca="false">S1094*L1094</f>
        <v>0.000401347534010023</v>
      </c>
      <c r="AC1094" s="16" t="n">
        <f aca="false">Z1094-W1094</f>
        <v>-0.00107251052703757</v>
      </c>
      <c r="AD1094" s="16" t="n">
        <f aca="false">AA1094-W1094</f>
        <v>-0.000865902111422481</v>
      </c>
      <c r="AE1094" s="16" t="n">
        <f aca="false">AB1094-W1094</f>
        <v>-0.0012582504533606</v>
      </c>
      <c r="AF1094" s="16" t="n">
        <f aca="false">AE1094-X1094</f>
        <v>-0.001423711286534</v>
      </c>
      <c r="AG1094" s="16" t="n">
        <f aca="false">AF1094-p_spc_lo*Y1094/1000</f>
        <v>-0.00151349623476762</v>
      </c>
      <c r="AH1094" s="16" t="n">
        <f aca="false">AF1094-p_spc_hi*Y1094/1000</f>
        <v>-0.00160328118300125</v>
      </c>
      <c r="AI1094" s="16" t="n">
        <f aca="false">Q1094*J1094</f>
        <v>0.00244619775138772</v>
      </c>
      <c r="AJ1094" s="16" t="n">
        <f aca="false">S1094*J1094</f>
        <v>0.00167228139170843</v>
      </c>
      <c r="AK1094" s="16" t="n">
        <f aca="false">T1094*J1094</f>
        <v>0.00691499161404427</v>
      </c>
      <c r="AL1094" s="16" t="n">
        <f aca="false">U1094*J1094</f>
        <v>0.000689420138222479</v>
      </c>
      <c r="AM1094" s="16" t="n">
        <f aca="false">AI1094-AJ1094</f>
        <v>0.000773916359679291</v>
      </c>
      <c r="AN1094" s="16" t="n">
        <f aca="false">J1094*Country_Data!$EB$160</f>
        <v>0.0245400478211931</v>
      </c>
      <c r="AO1094" s="16" t="n">
        <f aca="false">L1094*Country_Data!$EB$160</f>
        <v>0.00588961147708634</v>
      </c>
    </row>
    <row r="1095" customFormat="false" ht="15" hidden="false" customHeight="false" outlineLevel="0" collapsed="false">
      <c r="A1095" s="14" t="str">
        <f aca="false">Country_Data!$A$160</f>
        <v>BRB</v>
      </c>
      <c r="B1095" s="14" t="str">
        <f aca="false">Country_Data!$E$160</f>
        <v>EMDC</v>
      </c>
      <c r="C1095" s="35" t="s">
        <v>484</v>
      </c>
      <c r="D1095" s="37" t="n">
        <f aca="false">IF(Country_Data!$CD$160="","",Country_Data!$CD$160)</f>
        <v>0.0149922867981486</v>
      </c>
      <c r="E1095" s="40" t="n">
        <f aca="false">Country_Data!$BW$160</f>
        <v>6.932</v>
      </c>
      <c r="F1095" s="41" t="n">
        <f aca="false">Country_Data!$BX$160</f>
        <v>1.09607616849394</v>
      </c>
      <c r="G1095" s="42" t="n">
        <f aca="false">IF(D1095="","",D1095/SUMIFS($D$5:$D$1369,$B$5:$B$1369,B1095,$C$5:$C$1369,C1095))</f>
        <v>8.37224064530134E-005</v>
      </c>
      <c r="H1095" s="42" t="n">
        <f aca="false">E1095/SUMIFS($E$5:$E$1369,$B$5:$B$1369,B1095,$C$5:$C$1369,C1095)</f>
        <v>8.58644582704555E-005</v>
      </c>
      <c r="I1095" s="43" t="n">
        <f aca="false">IF(G1095="",H1095,p_beta_alloc*G1095+(1-p_beta_alloc)*H1095)*F1095^p_phi</f>
        <v>8.87733447044423E-005</v>
      </c>
      <c r="J1095" s="16" t="n">
        <f aca="false">INDEX(Sector_Params!$C$21:$E$21,MATCH(B1095,Sector_Params!$C$15:$E$15,0))*I1095/SUMIFS($I$5:$I$1369,$B$5:$B$1369,B1095,$C$5:$C$1369,C1095)</f>
        <v>0.0196890246982905</v>
      </c>
      <c r="K1095" s="28" t="n">
        <f aca="false">INDEX(Sector_Params!$F$10:$H$10,MATCH(B1095,Sector_Params!$C$15:$E$15,0))</f>
        <v>0.24</v>
      </c>
      <c r="L1095" s="16" t="n">
        <f aca="false">J1095*K1095</f>
        <v>0.00472536592758972</v>
      </c>
      <c r="M1095" s="44" t="n">
        <f aca="false">Country_Data!$DW$160+Sector_Params!$E$10</f>
        <v>0.105</v>
      </c>
      <c r="N1095" s="44" t="n">
        <f aca="false">Country_Data!$DX$160+Sector_Params!$E$10</f>
        <v>0.15</v>
      </c>
      <c r="O1095" s="11" t="n">
        <f aca="false">IF(p_use_ibrd=1,p_r_ibrd,p_r_wb)</f>
        <v>0.06</v>
      </c>
      <c r="P1095" s="45" t="n">
        <f aca="false">Sector_Params!$D$10</f>
        <v>20</v>
      </c>
      <c r="Q1095" s="46" t="n">
        <f aca="false">M1095/(1-(1+M1095)^-P1095)</f>
        <v>0.121493265267016</v>
      </c>
      <c r="R1095" s="46" t="n">
        <f aca="false">N1095/(1-(1+N1095)^-P1095)</f>
        <v>0.159761470405744</v>
      </c>
      <c r="S1095" s="46" t="n">
        <f aca="false">O1095/(1-(1+O1095)^-P1095)</f>
        <v>0.0871845569768514</v>
      </c>
      <c r="T1095" s="37" t="n">
        <f aca="false">0*Sector_Params!$I$10</f>
        <v>0</v>
      </c>
      <c r="U1095" s="37" t="n">
        <f aca="false">0*Sector_Params!$J$10</f>
        <v>0</v>
      </c>
      <c r="V1095" s="37" t="n">
        <f aca="false">1000*p_r_wb/(1-(1+p_r_wb)^-Sector_Params!$D$10)/p_cpt_fuel</f>
        <v>0.871845569768514</v>
      </c>
      <c r="W1095" s="16" t="n">
        <f aca="false">T1095*L1095</f>
        <v>0</v>
      </c>
      <c r="X1095" s="16" t="n">
        <f aca="false">U1095*L1095</f>
        <v>0</v>
      </c>
      <c r="Y1095" s="16" t="n">
        <f aca="false">V1095*L1095</f>
        <v>0.00411978934950418</v>
      </c>
      <c r="Z1095" s="16" t="n">
        <f aca="false">Q1095*L1095</f>
        <v>0.000574100136124377</v>
      </c>
      <c r="AA1095" s="16" t="n">
        <f aca="false">R1095*L1095</f>
        <v>0.000754931408796935</v>
      </c>
      <c r="AB1095" s="16" t="n">
        <f aca="false">S1095*L1095</f>
        <v>0.000411978934950418</v>
      </c>
      <c r="AC1095" s="16" t="n">
        <f aca="false">Z1095-W1095</f>
        <v>0.000574100136124377</v>
      </c>
      <c r="AD1095" s="16" t="n">
        <f aca="false">AA1095-W1095</f>
        <v>0.000754931408796935</v>
      </c>
      <c r="AE1095" s="16" t="n">
        <f aca="false">AB1095-W1095</f>
        <v>0.000411978934950418</v>
      </c>
      <c r="AF1095" s="16" t="n">
        <f aca="false">AE1095-X1095</f>
        <v>0.000411978934950418</v>
      </c>
      <c r="AG1095" s="16" t="n">
        <f aca="false">AF1095-p_spc_lo*Y1095/1000</f>
        <v>0.000205989467475209</v>
      </c>
      <c r="AH1095" s="16" t="n">
        <f aca="false">AF1095-p_spc_hi*Y1095/1000</f>
        <v>0</v>
      </c>
      <c r="AI1095" s="16" t="n">
        <f aca="false">Q1095*J1095</f>
        <v>0.00239208390051824</v>
      </c>
      <c r="AJ1095" s="16" t="n">
        <f aca="false">S1095*J1095</f>
        <v>0.00171657889562674</v>
      </c>
      <c r="AK1095" s="16" t="n">
        <f aca="false">T1095*J1095</f>
        <v>0</v>
      </c>
      <c r="AL1095" s="16" t="n">
        <f aca="false">U1095*J1095</f>
        <v>0</v>
      </c>
      <c r="AM1095" s="16" t="n">
        <f aca="false">AI1095-AJ1095</f>
        <v>0.000675505004891498</v>
      </c>
      <c r="AN1095" s="16" t="n">
        <f aca="false">J1095*Country_Data!$EB$160</f>
        <v>0.0226019215029691</v>
      </c>
      <c r="AO1095" s="16" t="n">
        <f aca="false">L1095*Country_Data!$EB$160</f>
        <v>0.00542446116071258</v>
      </c>
    </row>
    <row r="1096" customFormat="false" ht="15" hidden="false" customHeight="false" outlineLevel="0" collapsed="false">
      <c r="A1096" s="14" t="str">
        <f aca="false">Country_Data!$A$160</f>
        <v>BRB</v>
      </c>
      <c r="B1096" s="14" t="str">
        <f aca="false">Country_Data!$E$160</f>
        <v>EMDC</v>
      </c>
      <c r="C1096" s="35" t="s">
        <v>488</v>
      </c>
      <c r="D1096" s="37" t="n">
        <f aca="false">IF(Country_Data!$CE$160="","",Country_Data!$CE$160)</f>
        <v>0.252</v>
      </c>
      <c r="E1096" s="40" t="n">
        <f aca="false">Country_Data!$BW$160</f>
        <v>6.932</v>
      </c>
      <c r="F1096" s="41" t="n">
        <f aca="false">Country_Data!$BX$160</f>
        <v>1.09607616849394</v>
      </c>
      <c r="G1096" s="42" t="n">
        <f aca="false">IF(D1096="","",D1096/SUMIFS($D$5:$D$1369,$B$5:$B$1369,B1096,$C$5:$C$1369,C1096))</f>
        <v>2.06487814351067E-005</v>
      </c>
      <c r="H1096" s="42" t="n">
        <f aca="false">E1096/SUMIFS($E$5:$E$1369,$B$5:$B$1369,B1096,$C$5:$C$1369,C1096)</f>
        <v>8.58644582704555E-005</v>
      </c>
      <c r="I1096" s="43" t="n">
        <f aca="false">IF(G1096="",H1096,p_beta_alloc*G1096+(1-p_beta_alloc)*H1096)*F1096^p_phi</f>
        <v>5.57563025850329E-005</v>
      </c>
      <c r="J1096" s="16" t="n">
        <f aca="false">INDEX(Sector_Params!$C$22:$E$22,MATCH(B1096,Sector_Params!$C$15:$E$15,0))*I1096/SUMIFS($I$5:$I$1369,$B$5:$B$1369,B1096,$C$5:$C$1369,C1096)</f>
        <v>0.0336103668943288</v>
      </c>
      <c r="K1096" s="28" t="n">
        <f aca="false">INDEX(Sector_Params!$F$11:$H$11,MATCH(B1096,Sector_Params!$C$15:$E$15,0))</f>
        <v>0.24</v>
      </c>
      <c r="L1096" s="16" t="n">
        <f aca="false">J1096*K1096</f>
        <v>0.00806648805463892</v>
      </c>
      <c r="M1096" s="44" t="n">
        <f aca="false">Country_Data!$DW$160+Sector_Params!$E$11</f>
        <v>0.105</v>
      </c>
      <c r="N1096" s="44" t="n">
        <f aca="false">Country_Data!$DX$160+Sector_Params!$E$11</f>
        <v>0.15</v>
      </c>
      <c r="O1096" s="11" t="n">
        <f aca="false">IF(p_use_ibrd=1,p_r_ibrd,p_r_wb)</f>
        <v>0.06</v>
      </c>
      <c r="P1096" s="45" t="n">
        <f aca="false">Sector_Params!$D$11</f>
        <v>30</v>
      </c>
      <c r="Q1096" s="46" t="n">
        <f aca="false">M1096/(1-(1+M1096)^-P1096)</f>
        <v>0.110528481529605</v>
      </c>
      <c r="R1096" s="46" t="n">
        <f aca="false">N1096/(1-(1+N1096)^-P1096)</f>
        <v>0.152300198192734</v>
      </c>
      <c r="S1096" s="46" t="n">
        <f aca="false">O1096/(1-(1+O1096)^-P1096)</f>
        <v>0.0726489114900472</v>
      </c>
      <c r="T1096" s="37" t="n">
        <f aca="false">0*Sector_Params!$I$11</f>
        <v>0</v>
      </c>
      <c r="U1096" s="37" t="n">
        <f aca="false">p_c*Sector_Params!$J$11</f>
        <v>0.129</v>
      </c>
      <c r="V1096" s="37" t="n">
        <f aca="false">1000*p_r_wb/(1-(1+p_r_wb)^-Sector_Params!$D$11)/p_cpt_afolu</f>
        <v>1.45297822980094</v>
      </c>
      <c r="W1096" s="16" t="n">
        <f aca="false">T1096*L1096</f>
        <v>0</v>
      </c>
      <c r="X1096" s="16" t="n">
        <f aca="false">U1096*L1096</f>
        <v>0.00104057695904842</v>
      </c>
      <c r="Y1096" s="16" t="n">
        <f aca="false">V1096*L1096</f>
        <v>0.0117204315343397</v>
      </c>
      <c r="Z1096" s="16" t="n">
        <f aca="false">Q1096*L1096</f>
        <v>0.000891576675955938</v>
      </c>
      <c r="AA1096" s="16" t="n">
        <f aca="false">R1096*L1096</f>
        <v>0.00122852772944083</v>
      </c>
      <c r="AB1096" s="16" t="n">
        <f aca="false">S1096*L1096</f>
        <v>0.000586021576716986</v>
      </c>
      <c r="AC1096" s="16" t="n">
        <f aca="false">Z1096-W1096</f>
        <v>0.000891576675955938</v>
      </c>
      <c r="AD1096" s="16" t="n">
        <f aca="false">AA1096-W1096</f>
        <v>0.00122852772944083</v>
      </c>
      <c r="AE1096" s="16" t="n">
        <f aca="false">AB1096-W1096</f>
        <v>0.000586021576716986</v>
      </c>
      <c r="AF1096" s="16" t="n">
        <f aca="false">AE1096-X1096</f>
        <v>-0.000454555382331434</v>
      </c>
      <c r="AG1096" s="16" t="n">
        <f aca="false">AF1096-p_spc_lo*Y1096/1000</f>
        <v>-0.00104057695904842</v>
      </c>
      <c r="AH1096" s="16" t="n">
        <f aca="false">AF1096-p_spc_hi*Y1096/1000</f>
        <v>-0.00162659853576541</v>
      </c>
      <c r="AI1096" s="16" t="n">
        <f aca="false">Q1096*J1096</f>
        <v>0.00371490281648308</v>
      </c>
      <c r="AJ1096" s="16" t="n">
        <f aca="false">S1096*J1096</f>
        <v>0.00244175656965411</v>
      </c>
      <c r="AK1096" s="16" t="n">
        <f aca="false">T1096*J1096</f>
        <v>0</v>
      </c>
      <c r="AL1096" s="16" t="n">
        <f aca="false">U1096*J1096</f>
        <v>0.00433573732936842</v>
      </c>
      <c r="AM1096" s="16" t="n">
        <f aca="false">AI1096-AJ1096</f>
        <v>0.00127314624682897</v>
      </c>
      <c r="AN1096" s="16" t="n">
        <f aca="false">J1096*Country_Data!$EB$160</f>
        <v>0.0385828595307501</v>
      </c>
      <c r="AO1096" s="16" t="n">
        <f aca="false">L1096*Country_Data!$EB$160</f>
        <v>0.00925988628738002</v>
      </c>
    </row>
    <row r="1097" customFormat="false" ht="15" hidden="false" customHeight="false" outlineLevel="0" collapsed="false">
      <c r="A1097" s="14" t="str">
        <f aca="false">Country_Data!$A$161</f>
        <v>MDV</v>
      </c>
      <c r="B1097" s="14" t="str">
        <f aca="false">Country_Data!$E$161</f>
        <v>EMDC</v>
      </c>
      <c r="C1097" s="35" t="s">
        <v>466</v>
      </c>
      <c r="D1097" s="37" t="n">
        <f aca="false">IF(Country_Data!$BZ$161="","",Country_Data!$BZ$161)</f>
        <v>1.70555883349146</v>
      </c>
      <c r="E1097" s="40" t="n">
        <f aca="false">Country_Data!$BW$161</f>
        <v>13.804</v>
      </c>
      <c r="F1097" s="41" t="n">
        <f aca="false">Country_Data!$BX$161</f>
        <v>0.51086641553173</v>
      </c>
      <c r="G1097" s="42" t="n">
        <f aca="false">IF(D1097="","",D1097/SUMIFS($D$5:$D$1369,$B$5:$B$1369,B1097,$C$5:$C$1369,C1097))</f>
        <v>0.000194710238531419</v>
      </c>
      <c r="H1097" s="42" t="n">
        <f aca="false">E1097/SUMIFS($E$5:$E$1369,$B$5:$B$1369,B1097,$C$5:$C$1369,C1097)</f>
        <v>0.000170985715805737</v>
      </c>
      <c r="I1097" s="43" t="n">
        <f aca="false">IF(G1097="",H1097,p_beta_alloc*G1097+(1-p_beta_alloc)*H1097)*F1097^p_phi</f>
        <v>0.00013069044497194</v>
      </c>
      <c r="J1097" s="16" t="n">
        <f aca="false">INDEX(Sector_Params!$C$16:$E$16,MATCH(B1097,Sector_Params!$C$15:$E$15,0))*I1097/SUMIFS($I$5:$I$1369,$B$5:$B$1369,B1097,$C$5:$C$1369,C1097)</f>
        <v>0.126407111665302</v>
      </c>
      <c r="K1097" s="28" t="n">
        <f aca="false">INDEX(Sector_Params!$F$5:$H$5,MATCH(B1097,Sector_Params!$C$15:$E$15,0))</f>
        <v>0.24</v>
      </c>
      <c r="L1097" s="16" t="n">
        <f aca="false">J1097*K1097</f>
        <v>0.0303377067996724</v>
      </c>
      <c r="M1097" s="44" t="n">
        <f aca="false">Country_Data!$DW$161+Sector_Params!$E$5</f>
        <v>0.105</v>
      </c>
      <c r="N1097" s="44" t="n">
        <f aca="false">Country_Data!$DX$161+Sector_Params!$E$5</f>
        <v>0.15</v>
      </c>
      <c r="O1097" s="11" t="n">
        <f aca="false">IF(p_use_ibrd=1,p_r_ibrd,p_r_wb)</f>
        <v>0.06</v>
      </c>
      <c r="P1097" s="45" t="n">
        <f aca="false">Sector_Params!$D$5</f>
        <v>25</v>
      </c>
      <c r="Q1097" s="46" t="n">
        <f aca="false">M1097/(1-(1+M1097)^-P1097)</f>
        <v>0.114429319813103</v>
      </c>
      <c r="R1097" s="46" t="n">
        <f aca="false">N1097/(1-(1+N1097)^-P1097)</f>
        <v>0.154699402320206</v>
      </c>
      <c r="S1097" s="46" t="n">
        <f aca="false">O1097/(1-(1+O1097)^-P1097)</f>
        <v>0.078226718212274</v>
      </c>
      <c r="T1097" s="37" t="n">
        <f aca="false">IF(AND(p_eng=1,ISNUMBER(Country_Data!$CZ$161)),Country_Data!$CZ$161,Country_Data!$CM$161)*Sector_Params!$I$5</f>
        <v>0.301714978114841</v>
      </c>
      <c r="U1097" s="37" t="n">
        <f aca="false">IF(AND(p_eng=1,ISNUMBER(Country_Data!$DA$161)),Country_Data!$DA$161,Country_Data!$CN$161)*Sector_Params!$J$5</f>
        <v>0.0192856892432813</v>
      </c>
      <c r="V1097" s="37" t="n">
        <f aca="false">IF(AND(p_eng=1,ISNUMBER(Country_Data!$DB$161)),Country_Data!$DB$161,p_a)</f>
        <v>1.73823906123625</v>
      </c>
      <c r="W1097" s="16" t="n">
        <f aca="false">T1097*L1097</f>
        <v>0.00915334054311763</v>
      </c>
      <c r="X1097" s="16" t="n">
        <f aca="false">U1097*L1097</f>
        <v>0.000585083585692265</v>
      </c>
      <c r="Y1097" s="16" t="n">
        <f aca="false">V1097*L1097</f>
        <v>0.0527341869875234</v>
      </c>
      <c r="Z1097" s="16" t="n">
        <f aca="false">Q1097*L1097</f>
        <v>0.00347152315377588</v>
      </c>
      <c r="AA1097" s="16" t="n">
        <f aca="false">R1097*L1097</f>
        <v>0.00469322510967499</v>
      </c>
      <c r="AB1097" s="16" t="n">
        <f aca="false">S1097*L1097</f>
        <v>0.00237321924102456</v>
      </c>
      <c r="AC1097" s="16" t="n">
        <f aca="false">Z1097-W1097</f>
        <v>-0.00568181738934176</v>
      </c>
      <c r="AD1097" s="16" t="n">
        <f aca="false">AA1097-W1097</f>
        <v>-0.00446011543344264</v>
      </c>
      <c r="AE1097" s="16" t="n">
        <f aca="false">AB1097-W1097</f>
        <v>-0.00678012130209307</v>
      </c>
      <c r="AF1097" s="16" t="n">
        <f aca="false">AE1097-X1097</f>
        <v>-0.00736520488778533</v>
      </c>
      <c r="AG1097" s="16" t="n">
        <f aca="false">AF1097-p_spc_lo*Y1097/1000</f>
        <v>-0.0100019142371615</v>
      </c>
      <c r="AH1097" s="16" t="n">
        <f aca="false">AF1097-p_spc_hi*Y1097/1000</f>
        <v>-0.0126386235865377</v>
      </c>
      <c r="AI1097" s="16" t="n">
        <f aca="false">Q1097*J1097</f>
        <v>0.0144646798073995</v>
      </c>
      <c r="AJ1097" s="16" t="n">
        <f aca="false">S1097*J1097</f>
        <v>0.00988841350426902</v>
      </c>
      <c r="AK1097" s="16" t="n">
        <f aca="false">T1097*J1097</f>
        <v>0.0381389189296568</v>
      </c>
      <c r="AL1097" s="16" t="n">
        <f aca="false">U1097*J1097</f>
        <v>0.00243784827371777</v>
      </c>
      <c r="AM1097" s="16" t="n">
        <f aca="false">AI1097-AJ1097</f>
        <v>0.00457626630313047</v>
      </c>
      <c r="AN1097" s="16" t="n">
        <f aca="false">J1097*Country_Data!$EB$161</f>
        <v>0.149123752022545</v>
      </c>
      <c r="AO1097" s="16" t="n">
        <f aca="false">L1097*Country_Data!$EB$161</f>
        <v>0.0357897004854107</v>
      </c>
    </row>
    <row r="1098" customFormat="false" ht="15" hidden="false" customHeight="false" outlineLevel="0" collapsed="false">
      <c r="A1098" s="14" t="str">
        <f aca="false">Country_Data!$A$161</f>
        <v>MDV</v>
      </c>
      <c r="B1098" s="14" t="str">
        <f aca="false">Country_Data!$E$161</f>
        <v>EMDC</v>
      </c>
      <c r="C1098" s="35" t="s">
        <v>470</v>
      </c>
      <c r="D1098" s="37" t="n">
        <f aca="false">IF(Country_Data!$BZ$161="","",Country_Data!$BZ$161)</f>
        <v>1.70555883349146</v>
      </c>
      <c r="E1098" s="40" t="n">
        <f aca="false">Country_Data!$BW$161</f>
        <v>13.804</v>
      </c>
      <c r="F1098" s="41" t="n">
        <f aca="false">Country_Data!$BX$161</f>
        <v>0.51086641553173</v>
      </c>
      <c r="G1098" s="42" t="n">
        <f aca="false">IF(D1098="","",D1098/SUMIFS($D$5:$D$1369,$B$5:$B$1369,B1098,$C$5:$C$1369,C1098))</f>
        <v>0.000194710238531419</v>
      </c>
      <c r="H1098" s="42" t="n">
        <f aca="false">E1098/SUMIFS($E$5:$E$1369,$B$5:$B$1369,B1098,$C$5:$C$1369,C1098)</f>
        <v>0.000170985715805737</v>
      </c>
      <c r="I1098" s="43" t="n">
        <f aca="false">IF(G1098="",H1098,p_beta_alloc*G1098+(1-p_beta_alloc)*H1098)*F1098^p_phi</f>
        <v>0.00013069044497194</v>
      </c>
      <c r="J1098" s="16" t="n">
        <f aca="false">INDEX(Sector_Params!$C$17:$E$17,MATCH(B1098,Sector_Params!$C$15:$E$15,0))*I1098/SUMIFS($I$5:$I$1369,$B$5:$B$1369,B1098,$C$5:$C$1369,C1098)</f>
        <v>0.0866791622847784</v>
      </c>
      <c r="K1098" s="28" t="n">
        <f aca="false">INDEX(Sector_Params!$F$6:$H$6,MATCH(B1098,Sector_Params!$C$15:$E$15,0))</f>
        <v>0.24</v>
      </c>
      <c r="L1098" s="16" t="n">
        <f aca="false">J1098*K1098</f>
        <v>0.0208029989483468</v>
      </c>
      <c r="M1098" s="44" t="n">
        <f aca="false">Country_Data!$DW$161+Sector_Params!$E$6</f>
        <v>0.105</v>
      </c>
      <c r="N1098" s="44" t="n">
        <f aca="false">Country_Data!$DX$161+Sector_Params!$E$6</f>
        <v>0.15</v>
      </c>
      <c r="O1098" s="11" t="n">
        <f aca="false">IF(p_use_ibrd=1,p_r_ibrd,p_r_wb)</f>
        <v>0.06</v>
      </c>
      <c r="P1098" s="45" t="n">
        <f aca="false">Sector_Params!$D$6</f>
        <v>40</v>
      </c>
      <c r="Q1098" s="46" t="n">
        <f aca="false">M1098/(1-(1+M1098)^-P1098)</f>
        <v>0.10697140835497</v>
      </c>
      <c r="R1098" s="46" t="n">
        <f aca="false">N1098/(1-(1+N1098)^-P1098)</f>
        <v>0.150562085013545</v>
      </c>
      <c r="S1098" s="46" t="n">
        <f aca="false">O1098/(1-(1+O1098)^-P1098)</f>
        <v>0.0664615359206755</v>
      </c>
      <c r="T1098" s="37" t="n">
        <f aca="false">p_grid_credit*IF(AND(p_eng=1,ISNUMBER(Country_Data!$CZ$161)),Country_Data!$CZ$161,Country_Data!$CM$161)*Sector_Params!$I$6</f>
        <v>0</v>
      </c>
      <c r="U1098" s="37" t="n">
        <f aca="false">p_grid_credit*IF(AND(p_eng=1,ISNUMBER(Country_Data!$DA$161)),Country_Data!$DA$161,Country_Data!$CN$161)*Sector_Params!$J$6</f>
        <v>0</v>
      </c>
      <c r="V1098" s="37" t="n">
        <f aca="false">p_grid_credit*IF(AND(p_eng=1,ISNUMBER(Country_Data!$DB$161)),Country_Data!$DB$161,p_a)</f>
        <v>0</v>
      </c>
      <c r="W1098" s="16" t="n">
        <f aca="false">T1098*L1098</f>
        <v>0</v>
      </c>
      <c r="X1098" s="16" t="n">
        <f aca="false">U1098*L1098</f>
        <v>0</v>
      </c>
      <c r="Y1098" s="16" t="n">
        <f aca="false">V1098*L1098</f>
        <v>0</v>
      </c>
      <c r="Z1098" s="16" t="n">
        <f aca="false">Q1098*L1098</f>
        <v>0.00222532609551163</v>
      </c>
      <c r="AA1098" s="16" t="n">
        <f aca="false">R1098*L1098</f>
        <v>0.00313214289619768</v>
      </c>
      <c r="AB1098" s="16" t="n">
        <f aca="false">S1098*L1098</f>
        <v>0.00138259926186333</v>
      </c>
      <c r="AC1098" s="16" t="n">
        <f aca="false">Z1098-W1098</f>
        <v>0.00222532609551163</v>
      </c>
      <c r="AD1098" s="16" t="n">
        <f aca="false">AA1098-W1098</f>
        <v>0.00313214289619768</v>
      </c>
      <c r="AE1098" s="16" t="n">
        <f aca="false">AB1098-W1098</f>
        <v>0.00138259926186333</v>
      </c>
      <c r="AF1098" s="16" t="n">
        <f aca="false">AE1098-X1098</f>
        <v>0.00138259926186333</v>
      </c>
      <c r="AG1098" s="16" t="n">
        <f aca="false">AF1098-p_spc_lo*Y1098/1000</f>
        <v>0.00138259926186333</v>
      </c>
      <c r="AH1098" s="16" t="n">
        <f aca="false">AF1098-p_spc_hi*Y1098/1000</f>
        <v>0.00138259926186333</v>
      </c>
      <c r="AI1098" s="16" t="n">
        <f aca="false">Q1098*J1098</f>
        <v>0.00927219206463178</v>
      </c>
      <c r="AJ1098" s="16" t="n">
        <f aca="false">S1098*J1098</f>
        <v>0.00576083025776386</v>
      </c>
      <c r="AK1098" s="16" t="n">
        <f aca="false">T1098*J1098</f>
        <v>0</v>
      </c>
      <c r="AL1098" s="16" t="n">
        <f aca="false">U1098*J1098</f>
        <v>0</v>
      </c>
      <c r="AM1098" s="16" t="n">
        <f aca="false">AI1098-AJ1098</f>
        <v>0.00351136180686791</v>
      </c>
      <c r="AN1098" s="16" t="n">
        <f aca="false">J1098*Country_Data!$EB$161</f>
        <v>0.102256287101173</v>
      </c>
      <c r="AO1098" s="16" t="n">
        <f aca="false">L1098*Country_Data!$EB$161</f>
        <v>0.0245415089042816</v>
      </c>
    </row>
    <row r="1099" customFormat="false" ht="15" hidden="false" customHeight="false" outlineLevel="0" collapsed="false">
      <c r="A1099" s="14" t="str">
        <f aca="false">Country_Data!$A$161</f>
        <v>MDV</v>
      </c>
      <c r="B1099" s="14" t="str">
        <f aca="false">Country_Data!$E$161</f>
        <v>EMDC</v>
      </c>
      <c r="C1099" s="35" t="s">
        <v>473</v>
      </c>
      <c r="D1099" s="37" t="n">
        <f aca="false">IF(Country_Data!$CA$161="","",Country_Data!$CA$161)</f>
        <v>0.0162480842920019</v>
      </c>
      <c r="E1099" s="40" t="n">
        <f aca="false">Country_Data!$BW$161</f>
        <v>13.804</v>
      </c>
      <c r="F1099" s="41" t="n">
        <f aca="false">Country_Data!$BX$161</f>
        <v>0.51086641553173</v>
      </c>
      <c r="G1099" s="42" t="n">
        <f aca="false">IF(D1099="","",D1099/SUMIFS($D$5:$D$1369,$B$5:$B$1369,B1099,$C$5:$C$1369,C1099))</f>
        <v>0.000375368551797107</v>
      </c>
      <c r="H1099" s="42" t="n">
        <f aca="false">E1099/SUMIFS($E$5:$E$1369,$B$5:$B$1369,B1099,$C$5:$C$1369,C1099)</f>
        <v>0.000170985715805737</v>
      </c>
      <c r="I1099" s="43" t="n">
        <f aca="false">IF(G1099="",H1099,p_beta_alloc*G1099+(1-p_beta_alloc)*H1099)*F1099^p_phi</f>
        <v>0.00019525313719906</v>
      </c>
      <c r="J1099" s="16" t="n">
        <f aca="false">INDEX(Sector_Params!$C$18:$E$18,MATCH(B1099,Sector_Params!$C$15:$E$15,0))*I1099/SUMIFS($I$5:$I$1369,$B$5:$B$1369,B1099,$C$5:$C$1369,C1099)</f>
        <v>0.0799515397566885</v>
      </c>
      <c r="K1099" s="28" t="n">
        <f aca="false">INDEX(Sector_Params!$F$7:$H$7,MATCH(B1099,Sector_Params!$C$15:$E$15,0))</f>
        <v>0.24</v>
      </c>
      <c r="L1099" s="16" t="n">
        <f aca="false">J1099*K1099</f>
        <v>0.0191883695416052</v>
      </c>
      <c r="M1099" s="44" t="n">
        <f aca="false">Country_Data!$DW$161+Sector_Params!$E$7</f>
        <v>0.105</v>
      </c>
      <c r="N1099" s="44" t="n">
        <f aca="false">Country_Data!$DX$161+Sector_Params!$E$7</f>
        <v>0.15</v>
      </c>
      <c r="O1099" s="11" t="n">
        <f aca="false">IF(p_use_ibrd=1,p_r_ibrd,p_r_wb)</f>
        <v>0.06</v>
      </c>
      <c r="P1099" s="45" t="n">
        <f aca="false">Sector_Params!$D$7</f>
        <v>12</v>
      </c>
      <c r="Q1099" s="46" t="n">
        <f aca="false">M1099/(1-(1+M1099)^-P1099)</f>
        <v>0.150376745634766</v>
      </c>
      <c r="R1099" s="46" t="n">
        <f aca="false">N1099/(1-(1+N1099)^-P1099)</f>
        <v>0.18448077613084</v>
      </c>
      <c r="S1099" s="46" t="n">
        <f aca="false">O1099/(1-(1+O1099)^-P1099)</f>
        <v>0.119277029380664</v>
      </c>
      <c r="T1099" s="37" t="n">
        <f aca="false">IF(AND(p_eng=1,ISNUMBER(Country_Data!$DE$161)),Country_Data!$DE$161,Country_Data!$CM$161)*Sector_Params!$I$7</f>
        <v>0.047615085</v>
      </c>
      <c r="U1099" s="37" t="n">
        <f aca="false">IF(AND(p_eng=1,ISNUMBER(Country_Data!$DF$161)),Country_Data!$DF$161,Country_Data!$CN$161)*Sector_Params!$J$7</f>
        <v>0.0054837</v>
      </c>
      <c r="V1099" s="37" t="n">
        <f aca="false">IF(AND(p_eng=1,ISNUMBER(Country_Data!$DG$161)),Country_Data!$DG$161,p_a)</f>
        <v>0.125383711764706</v>
      </c>
      <c r="W1099" s="16" t="n">
        <f aca="false">T1099*L1099</f>
        <v>0.000913655846734944</v>
      </c>
      <c r="X1099" s="16" t="n">
        <f aca="false">U1099*L1099</f>
        <v>0.000105223262055301</v>
      </c>
      <c r="Y1099" s="16" t="n">
        <f aca="false">V1099*L1099</f>
        <v>0.00240590899583929</v>
      </c>
      <c r="Z1099" s="16" t="n">
        <f aca="false">Q1099*L1099</f>
        <v>0.00288548456570386</v>
      </c>
      <c r="AA1099" s="16" t="n">
        <f aca="false">R1099*L1099</f>
        <v>0.00353988530572069</v>
      </c>
      <c r="AB1099" s="16" t="n">
        <f aca="false">S1099*L1099</f>
        <v>0.00228873171758108</v>
      </c>
      <c r="AC1099" s="16" t="n">
        <f aca="false">Z1099-W1099</f>
        <v>0.00197182871896891</v>
      </c>
      <c r="AD1099" s="16" t="n">
        <f aca="false">AA1099-W1099</f>
        <v>0.00262622945898575</v>
      </c>
      <c r="AE1099" s="16" t="n">
        <f aca="false">AB1099-W1099</f>
        <v>0.00137507587084613</v>
      </c>
      <c r="AF1099" s="16" t="n">
        <f aca="false">AE1099-X1099</f>
        <v>0.00126985260879083</v>
      </c>
      <c r="AG1099" s="16" t="n">
        <f aca="false">AF1099-p_spc_lo*Y1099/1000</f>
        <v>0.00114955715899887</v>
      </c>
      <c r="AH1099" s="16" t="n">
        <f aca="false">AF1099-p_spc_hi*Y1099/1000</f>
        <v>0.0010292617092069</v>
      </c>
      <c r="AI1099" s="16" t="n">
        <f aca="false">Q1099*J1099</f>
        <v>0.0120228523570994</v>
      </c>
      <c r="AJ1099" s="16" t="n">
        <f aca="false">S1099*J1099</f>
        <v>0.00953638215658782</v>
      </c>
      <c r="AK1099" s="16" t="n">
        <f aca="false">T1099*J1099</f>
        <v>0.0038068993613956</v>
      </c>
      <c r="AL1099" s="16" t="n">
        <f aca="false">U1099*J1099</f>
        <v>0.000438430258563752</v>
      </c>
      <c r="AM1099" s="16" t="n">
        <f aca="false">AI1099-AJ1099</f>
        <v>0.00248647020051158</v>
      </c>
      <c r="AN1099" s="16" t="n">
        <f aca="false">J1099*Country_Data!$EB$161</f>
        <v>0.0943196425535426</v>
      </c>
      <c r="AO1099" s="16" t="n">
        <f aca="false">L1099*Country_Data!$EB$161</f>
        <v>0.0226367142128502</v>
      </c>
    </row>
    <row r="1100" customFormat="false" ht="15" hidden="false" customHeight="false" outlineLevel="0" collapsed="false">
      <c r="A1100" s="14" t="str">
        <f aca="false">Country_Data!$A$161</f>
        <v>MDV</v>
      </c>
      <c r="B1100" s="14" t="str">
        <f aca="false">Country_Data!$E$161</f>
        <v>EMDC</v>
      </c>
      <c r="C1100" s="35" t="s">
        <v>477</v>
      </c>
      <c r="D1100" s="37" t="n">
        <f aca="false">IF(Country_Data!$CB$161="","",Country_Data!$CB$161)</f>
        <v>0.0047033703495358</v>
      </c>
      <c r="E1100" s="40" t="n">
        <f aca="false">Country_Data!$BW$161</f>
        <v>13.804</v>
      </c>
      <c r="F1100" s="41" t="n">
        <f aca="false">Country_Data!$BX$161</f>
        <v>0.51086641553173</v>
      </c>
      <c r="G1100" s="42" t="n">
        <f aca="false">IF(D1100="","",D1100/SUMIFS($D$5:$D$1369,$B$5:$B$1369,B1100,$C$5:$C$1369,C1100))</f>
        <v>0.000148311588885067</v>
      </c>
      <c r="H1100" s="42" t="n">
        <f aca="false">E1100/SUMIFS($E$5:$E$1369,$B$5:$B$1369,B1100,$C$5:$C$1369,C1100)</f>
        <v>0.000170985715805737</v>
      </c>
      <c r="I1100" s="43" t="n">
        <f aca="false">IF(G1100="",H1100,p_beta_alloc*G1100+(1-p_beta_alloc)*H1100)*F1100^p_phi</f>
        <v>0.000114108746168709</v>
      </c>
      <c r="J1100" s="16" t="n">
        <f aca="false">INDEX(Sector_Params!$C$19:$E$19,MATCH(B1100,Sector_Params!$C$15:$E$15,0))*I1100/SUMIFS($I$5:$I$1369,$B$5:$B$1369,B1100,$C$5:$C$1369,C1100)</f>
        <v>0.0367273373281282</v>
      </c>
      <c r="K1100" s="28" t="n">
        <f aca="false">INDEX(Sector_Params!$F$8:$H$8,MATCH(B1100,Sector_Params!$C$15:$E$15,0))</f>
        <v>0.24</v>
      </c>
      <c r="L1100" s="16" t="n">
        <f aca="false">J1100*K1100</f>
        <v>0.00881456095875076</v>
      </c>
      <c r="M1100" s="44" t="n">
        <f aca="false">Country_Data!$DW$161+Sector_Params!$E$8</f>
        <v>0.105</v>
      </c>
      <c r="N1100" s="44" t="n">
        <f aca="false">Country_Data!$DX$161+Sector_Params!$E$8</f>
        <v>0.15</v>
      </c>
      <c r="O1100" s="11" t="n">
        <f aca="false">IF(p_use_ibrd=1,p_r_ibrd,p_r_wb)</f>
        <v>0.06</v>
      </c>
      <c r="P1100" s="45" t="n">
        <f aca="false">Sector_Params!$D$8</f>
        <v>25</v>
      </c>
      <c r="Q1100" s="46" t="n">
        <f aca="false">M1100/(1-(1+M1100)^-P1100)</f>
        <v>0.114429319813103</v>
      </c>
      <c r="R1100" s="46" t="n">
        <f aca="false">N1100/(1-(1+N1100)^-P1100)</f>
        <v>0.154699402320206</v>
      </c>
      <c r="S1100" s="46" t="n">
        <f aca="false">O1100/(1-(1+O1100)^-P1100)</f>
        <v>0.078226718212274</v>
      </c>
      <c r="T1100" s="37" t="n">
        <f aca="false">Country_Data!$CM$161*Sector_Params!$I$8</f>
        <v>0.178492888728913</v>
      </c>
      <c r="U1100" s="37" t="n">
        <f aca="false">Country_Data!$CN$161*Sector_Params!$J$8</f>
        <v>0.0325458120894732</v>
      </c>
      <c r="V1100" s="37" t="n">
        <f aca="false">p_a</f>
        <v>0.35</v>
      </c>
      <c r="W1100" s="16" t="n">
        <f aca="false">T1100*L1100</f>
        <v>0.00157333644840452</v>
      </c>
      <c r="X1100" s="16" t="n">
        <f aca="false">U1100*L1100</f>
        <v>0.000286877044614709</v>
      </c>
      <c r="Y1100" s="16" t="n">
        <f aca="false">V1100*L1100</f>
        <v>0.00308509633556277</v>
      </c>
      <c r="Z1100" s="16" t="n">
        <f aca="false">Q1100*L1100</f>
        <v>0.00100864421496099</v>
      </c>
      <c r="AA1100" s="16" t="n">
        <f aca="false">R1100*L1100</f>
        <v>0.00136360731203377</v>
      </c>
      <c r="AB1100" s="16" t="n">
        <f aca="false">S1100*L1100</f>
        <v>0.000689534176285107</v>
      </c>
      <c r="AC1100" s="16" t="n">
        <f aca="false">Z1100-W1100</f>
        <v>-0.000564692233443532</v>
      </c>
      <c r="AD1100" s="16" t="n">
        <f aca="false">AA1100-W1100</f>
        <v>-0.000209729136370749</v>
      </c>
      <c r="AE1100" s="16" t="n">
        <f aca="false">AB1100-W1100</f>
        <v>-0.00088380227211941</v>
      </c>
      <c r="AF1100" s="16" t="n">
        <f aca="false">AE1100-X1100</f>
        <v>-0.00117067931673412</v>
      </c>
      <c r="AG1100" s="16" t="n">
        <f aca="false">AF1100-p_spc_lo*Y1100/1000</f>
        <v>-0.00132493413351226</v>
      </c>
      <c r="AH1100" s="16" t="n">
        <f aca="false">AF1100-p_spc_hi*Y1100/1000</f>
        <v>-0.0014791889502904</v>
      </c>
      <c r="AI1100" s="16" t="n">
        <f aca="false">Q1100*J1100</f>
        <v>0.00420268422900411</v>
      </c>
      <c r="AJ1100" s="16" t="n">
        <f aca="false">S1100*J1100</f>
        <v>0.00287305906785461</v>
      </c>
      <c r="AK1100" s="16" t="n">
        <f aca="false">T1100*J1100</f>
        <v>0.00655556853501882</v>
      </c>
      <c r="AL1100" s="16" t="n">
        <f aca="false">U1100*J1100</f>
        <v>0.00119532101922796</v>
      </c>
      <c r="AM1100" s="16" t="n">
        <f aca="false">AI1100-AJ1100</f>
        <v>0.00132962516114949</v>
      </c>
      <c r="AN1100" s="16" t="n">
        <f aca="false">J1100*Country_Data!$EB$161</f>
        <v>0.0433276124421686</v>
      </c>
      <c r="AO1100" s="16" t="n">
        <f aca="false">L1100*Country_Data!$EB$161</f>
        <v>0.0103986269861205</v>
      </c>
    </row>
    <row r="1101" customFormat="false" ht="15" hidden="false" customHeight="false" outlineLevel="0" collapsed="false">
      <c r="A1101" s="14" t="str">
        <f aca="false">Country_Data!$A$161</f>
        <v>MDV</v>
      </c>
      <c r="B1101" s="14" t="str">
        <f aca="false">Country_Data!$E$161</f>
        <v>EMDC</v>
      </c>
      <c r="C1101" s="35" t="s">
        <v>481</v>
      </c>
      <c r="D1101" s="37" t="n">
        <f aca="false">IF(Country_Data!$CC$161="","",Country_Data!$CC$161)</f>
        <v>0.0159327238085169</v>
      </c>
      <c r="E1101" s="40" t="n">
        <f aca="false">Country_Data!$BW$161</f>
        <v>13.804</v>
      </c>
      <c r="F1101" s="41" t="n">
        <f aca="false">Country_Data!$BX$161</f>
        <v>0.51086641553173</v>
      </c>
      <c r="G1101" s="42" t="n">
        <f aca="false">IF(D1101="","",D1101/SUMIFS($D$5:$D$1369,$B$5:$B$1369,B1101,$C$5:$C$1369,C1101))</f>
        <v>0.000227586744166206</v>
      </c>
      <c r="H1101" s="42" t="n">
        <f aca="false">E1101/SUMIFS($E$5:$E$1369,$B$5:$B$1369,B1101,$C$5:$C$1369,C1101)</f>
        <v>0.000170985715805737</v>
      </c>
      <c r="I1101" s="43" t="n">
        <f aca="false">IF(G1101="",H1101,p_beta_alloc*G1101+(1-p_beta_alloc)*H1101)*F1101^p_phi</f>
        <v>0.00014243967298383</v>
      </c>
      <c r="J1101" s="16" t="n">
        <f aca="false">INDEX(Sector_Params!$C$20:$E$20,MATCH(B1101,Sector_Params!$C$15:$E$15,0))*I1101/SUMIFS($I$5:$I$1369,$B$5:$B$1369,B1101,$C$5:$C$1369,C1101)</f>
        <v>0.0259981087250998</v>
      </c>
      <c r="K1101" s="28" t="n">
        <f aca="false">INDEX(Sector_Params!$F$9:$H$9,MATCH(B1101,Sector_Params!$C$15:$E$15,0))</f>
        <v>0.24</v>
      </c>
      <c r="L1101" s="16" t="n">
        <f aca="false">J1101*K1101</f>
        <v>0.00623954609402395</v>
      </c>
      <c r="M1101" s="44" t="n">
        <f aca="false">Country_Data!$DW$161+Sector_Params!$E$9</f>
        <v>0.105</v>
      </c>
      <c r="N1101" s="44" t="n">
        <f aca="false">Country_Data!$DX$161+Sector_Params!$E$9</f>
        <v>0.15</v>
      </c>
      <c r="O1101" s="11" t="n">
        <f aca="false">IF(p_use_ibrd=1,p_r_ibrd,p_r_wb)</f>
        <v>0.06</v>
      </c>
      <c r="P1101" s="45" t="n">
        <f aca="false">Sector_Params!$D$9</f>
        <v>25</v>
      </c>
      <c r="Q1101" s="46" t="n">
        <f aca="false">M1101/(1-(1+M1101)^-P1101)</f>
        <v>0.114429319813103</v>
      </c>
      <c r="R1101" s="46" t="n">
        <f aca="false">N1101/(1-(1+N1101)^-P1101)</f>
        <v>0.154699402320206</v>
      </c>
      <c r="S1101" s="46" t="n">
        <f aca="false">O1101/(1-(1+O1101)^-P1101)</f>
        <v>0.078226718212274</v>
      </c>
      <c r="T1101" s="37" t="n">
        <f aca="false">Country_Data!$CM$161*Sector_Params!$I$9</f>
        <v>0.178492888728913</v>
      </c>
      <c r="U1101" s="37" t="n">
        <f aca="false">Country_Data!$CN$161*Sector_Params!$J$9</f>
        <v>0.0325458120894732</v>
      </c>
      <c r="V1101" s="37" t="n">
        <f aca="false">p_a</f>
        <v>0.35</v>
      </c>
      <c r="W1101" s="16" t="n">
        <f aca="false">T1101*L1101</f>
        <v>0.00111371460667954</v>
      </c>
      <c r="X1101" s="16" t="n">
        <f aca="false">U1101*L1101</f>
        <v>0.00020307109469971</v>
      </c>
      <c r="Y1101" s="16" t="n">
        <f aca="false">V1101*L1101</f>
        <v>0.00218384113290838</v>
      </c>
      <c r="Z1101" s="16" t="n">
        <f aca="false">Q1101*L1101</f>
        <v>0.000713987015481667</v>
      </c>
      <c r="AA1101" s="16" t="n">
        <f aca="false">R1101*L1101</f>
        <v>0.000965254051494884</v>
      </c>
      <c r="AB1101" s="16" t="n">
        <f aca="false">S1101*L1101</f>
        <v>0.000488099214069706</v>
      </c>
      <c r="AC1101" s="16" t="n">
        <f aca="false">Z1101-W1101</f>
        <v>-0.000399727591197873</v>
      </c>
      <c r="AD1101" s="16" t="n">
        <f aca="false">AA1101-W1101</f>
        <v>-0.000148460555184655</v>
      </c>
      <c r="AE1101" s="16" t="n">
        <f aca="false">AB1101-W1101</f>
        <v>-0.000625615392609833</v>
      </c>
      <c r="AF1101" s="16" t="n">
        <f aca="false">AE1101-X1101</f>
        <v>-0.000828686487309543</v>
      </c>
      <c r="AG1101" s="16" t="n">
        <f aca="false">AF1101-p_spc_lo*Y1101/1000</f>
        <v>-0.000937878543954962</v>
      </c>
      <c r="AH1101" s="16" t="n">
        <f aca="false">AF1101-p_spc_hi*Y1101/1000</f>
        <v>-0.00104707060060038</v>
      </c>
      <c r="AI1101" s="16" t="n">
        <f aca="false">Q1101*J1101</f>
        <v>0.00297494589784028</v>
      </c>
      <c r="AJ1101" s="16" t="n">
        <f aca="false">S1101*J1101</f>
        <v>0.00203374672529044</v>
      </c>
      <c r="AK1101" s="16" t="n">
        <f aca="false">T1101*J1101</f>
        <v>0.00464047752783141</v>
      </c>
      <c r="AL1101" s="16" t="n">
        <f aca="false">U1101*J1101</f>
        <v>0.000846129561248793</v>
      </c>
      <c r="AM1101" s="16" t="n">
        <f aca="false">AI1101-AJ1101</f>
        <v>0.000941199172549834</v>
      </c>
      <c r="AN1101" s="16" t="n">
        <f aca="false">J1101*Country_Data!$EB$161</f>
        <v>0.0306702326119293</v>
      </c>
      <c r="AO1101" s="16" t="n">
        <f aca="false">L1101*Country_Data!$EB$161</f>
        <v>0.00736085582686304</v>
      </c>
    </row>
    <row r="1102" customFormat="false" ht="15" hidden="false" customHeight="false" outlineLevel="0" collapsed="false">
      <c r="A1102" s="14" t="str">
        <f aca="false">Country_Data!$A$161</f>
        <v>MDV</v>
      </c>
      <c r="B1102" s="14" t="str">
        <f aca="false">Country_Data!$E$161</f>
        <v>EMDC</v>
      </c>
      <c r="C1102" s="35" t="s">
        <v>484</v>
      </c>
      <c r="D1102" s="37" t="n">
        <f aca="false">IF(Country_Data!$CD$161="","",Country_Data!$CD$161)</f>
        <v>0.0307441666494854</v>
      </c>
      <c r="E1102" s="40" t="n">
        <f aca="false">Country_Data!$BW$161</f>
        <v>13.804</v>
      </c>
      <c r="F1102" s="41" t="n">
        <f aca="false">Country_Data!$BX$161</f>
        <v>0.51086641553173</v>
      </c>
      <c r="G1102" s="42" t="n">
        <f aca="false">IF(D1102="","",D1102/SUMIFS($D$5:$D$1369,$B$5:$B$1369,B1102,$C$5:$C$1369,C1102))</f>
        <v>0.000171686658009054</v>
      </c>
      <c r="H1102" s="42" t="n">
        <f aca="false">E1102/SUMIFS($E$5:$E$1369,$B$5:$B$1369,B1102,$C$5:$C$1369,C1102)</f>
        <v>0.000170985715805737</v>
      </c>
      <c r="I1102" s="43" t="n">
        <f aca="false">IF(G1102="",H1102,p_beta_alloc*G1102+(1-p_beta_alloc)*H1102)*F1102^p_phi</f>
        <v>0.000122462402119322</v>
      </c>
      <c r="J1102" s="16" t="n">
        <f aca="false">INDEX(Sector_Params!$C$21:$E$21,MATCH(B1102,Sector_Params!$C$15:$E$15,0))*I1102/SUMIFS($I$5:$I$1369,$B$5:$B$1369,B1102,$C$5:$C$1369,C1102)</f>
        <v>0.0271609148891137</v>
      </c>
      <c r="K1102" s="28" t="n">
        <f aca="false">INDEX(Sector_Params!$F$10:$H$10,MATCH(B1102,Sector_Params!$C$15:$E$15,0))</f>
        <v>0.24</v>
      </c>
      <c r="L1102" s="16" t="n">
        <f aca="false">J1102*K1102</f>
        <v>0.00651861957338729</v>
      </c>
      <c r="M1102" s="44" t="n">
        <f aca="false">Country_Data!$DW$161+Sector_Params!$E$10</f>
        <v>0.105</v>
      </c>
      <c r="N1102" s="44" t="n">
        <f aca="false">Country_Data!$DX$161+Sector_Params!$E$10</f>
        <v>0.15</v>
      </c>
      <c r="O1102" s="11" t="n">
        <f aca="false">IF(p_use_ibrd=1,p_r_ibrd,p_r_wb)</f>
        <v>0.06</v>
      </c>
      <c r="P1102" s="45" t="n">
        <f aca="false">Sector_Params!$D$10</f>
        <v>20</v>
      </c>
      <c r="Q1102" s="46" t="n">
        <f aca="false">M1102/(1-(1+M1102)^-P1102)</f>
        <v>0.121493265267016</v>
      </c>
      <c r="R1102" s="46" t="n">
        <f aca="false">N1102/(1-(1+N1102)^-P1102)</f>
        <v>0.159761470405744</v>
      </c>
      <c r="S1102" s="46" t="n">
        <f aca="false">O1102/(1-(1+O1102)^-P1102)</f>
        <v>0.0871845569768514</v>
      </c>
      <c r="T1102" s="37" t="n">
        <f aca="false">0*Sector_Params!$I$10</f>
        <v>0</v>
      </c>
      <c r="U1102" s="37" t="n">
        <f aca="false">0*Sector_Params!$J$10</f>
        <v>0</v>
      </c>
      <c r="V1102" s="37" t="n">
        <f aca="false">1000*p_r_wb/(1-(1+p_r_wb)^-Sector_Params!$D$10)/p_cpt_fuel</f>
        <v>0.871845569768514</v>
      </c>
      <c r="W1102" s="16" t="n">
        <f aca="false">T1102*L1102</f>
        <v>0</v>
      </c>
      <c r="X1102" s="16" t="n">
        <f aca="false">U1102*L1102</f>
        <v>0</v>
      </c>
      <c r="Y1102" s="16" t="n">
        <f aca="false">V1102*L1102</f>
        <v>0.00568322959606403</v>
      </c>
      <c r="Z1102" s="16" t="n">
        <f aca="false">Q1102*L1102</f>
        <v>0.000791968377004306</v>
      </c>
      <c r="AA1102" s="16" t="n">
        <f aca="false">R1102*L1102</f>
        <v>0.00104142424806002</v>
      </c>
      <c r="AB1102" s="16" t="n">
        <f aca="false">S1102*L1102</f>
        <v>0.000568322959606403</v>
      </c>
      <c r="AC1102" s="16" t="n">
        <f aca="false">Z1102-W1102</f>
        <v>0.000791968377004306</v>
      </c>
      <c r="AD1102" s="16" t="n">
        <f aca="false">AA1102-W1102</f>
        <v>0.00104142424806002</v>
      </c>
      <c r="AE1102" s="16" t="n">
        <f aca="false">AB1102-W1102</f>
        <v>0.000568322959606403</v>
      </c>
      <c r="AF1102" s="16" t="n">
        <f aca="false">AE1102-X1102</f>
        <v>0.000568322959606403</v>
      </c>
      <c r="AG1102" s="16" t="n">
        <f aca="false">AF1102-p_spc_lo*Y1102/1000</f>
        <v>0.000284161479803202</v>
      </c>
      <c r="AH1102" s="16" t="n">
        <f aca="false">AF1102-p_spc_hi*Y1102/1000</f>
        <v>0</v>
      </c>
      <c r="AI1102" s="16" t="n">
        <f aca="false">Q1102*J1102</f>
        <v>0.00329986823751794</v>
      </c>
      <c r="AJ1102" s="16" t="n">
        <f aca="false">S1102*J1102</f>
        <v>0.00236801233169335</v>
      </c>
      <c r="AK1102" s="16" t="n">
        <f aca="false">T1102*J1102</f>
        <v>0</v>
      </c>
      <c r="AL1102" s="16" t="n">
        <f aca="false">U1102*J1102</f>
        <v>0</v>
      </c>
      <c r="AM1102" s="16" t="n">
        <f aca="false">AI1102-AJ1102</f>
        <v>0.000931855905824596</v>
      </c>
      <c r="AN1102" s="16" t="n">
        <f aca="false">J1102*Country_Data!$EB$161</f>
        <v>0.0320420068402008</v>
      </c>
      <c r="AO1102" s="16" t="n">
        <f aca="false">L1102*Country_Data!$EB$161</f>
        <v>0.0076900816416482</v>
      </c>
    </row>
    <row r="1103" customFormat="false" ht="15" hidden="false" customHeight="false" outlineLevel="0" collapsed="false">
      <c r="A1103" s="14" t="str">
        <f aca="false">Country_Data!$A$161</f>
        <v>MDV</v>
      </c>
      <c r="B1103" s="14" t="str">
        <f aca="false">Country_Data!$E$161</f>
        <v>EMDC</v>
      </c>
      <c r="C1103" s="35" t="s">
        <v>488</v>
      </c>
      <c r="D1103" s="37" t="n">
        <f aca="false">IF(Country_Data!$CE$161="","",Country_Data!$CE$161)</f>
        <v>0.241</v>
      </c>
      <c r="E1103" s="40" t="n">
        <f aca="false">Country_Data!$BW$161</f>
        <v>13.804</v>
      </c>
      <c r="F1103" s="41" t="n">
        <f aca="false">Country_Data!$BX$161</f>
        <v>0.51086641553173</v>
      </c>
      <c r="G1103" s="42" t="n">
        <f aca="false">IF(D1103="","",D1103/SUMIFS($D$5:$D$1369,$B$5:$B$1369,B1103,$C$5:$C$1369,C1103))</f>
        <v>1.97474457375425E-005</v>
      </c>
      <c r="H1103" s="42" t="n">
        <f aca="false">E1103/SUMIFS($E$5:$E$1369,$B$5:$B$1369,B1103,$C$5:$C$1369,C1103)</f>
        <v>0.000170985715805737</v>
      </c>
      <c r="I1103" s="43" t="n">
        <f aca="false">IF(G1103="",H1103,p_beta_alloc*G1103+(1-p_beta_alloc)*H1103)*F1103^p_phi</f>
        <v>6.81631870885136E-005</v>
      </c>
      <c r="J1103" s="16" t="n">
        <f aca="false">INDEX(Sector_Params!$C$22:$E$22,MATCH(B1103,Sector_Params!$C$15:$E$15,0))*I1103/SUMIFS($I$5:$I$1369,$B$5:$B$1369,B1103,$C$5:$C$1369,C1103)</f>
        <v>0.0410893409446901</v>
      </c>
      <c r="K1103" s="28" t="n">
        <f aca="false">INDEX(Sector_Params!$F$11:$H$11,MATCH(B1103,Sector_Params!$C$15:$E$15,0))</f>
        <v>0.24</v>
      </c>
      <c r="L1103" s="16" t="n">
        <f aca="false">J1103*K1103</f>
        <v>0.00986144182672562</v>
      </c>
      <c r="M1103" s="44" t="n">
        <f aca="false">Country_Data!$DW$161+Sector_Params!$E$11</f>
        <v>0.105</v>
      </c>
      <c r="N1103" s="44" t="n">
        <f aca="false">Country_Data!$DX$161+Sector_Params!$E$11</f>
        <v>0.15</v>
      </c>
      <c r="O1103" s="11" t="n">
        <f aca="false">IF(p_use_ibrd=1,p_r_ibrd,p_r_wb)</f>
        <v>0.06</v>
      </c>
      <c r="P1103" s="45" t="n">
        <f aca="false">Sector_Params!$D$11</f>
        <v>30</v>
      </c>
      <c r="Q1103" s="46" t="n">
        <f aca="false">M1103/(1-(1+M1103)^-P1103)</f>
        <v>0.110528481529605</v>
      </c>
      <c r="R1103" s="46" t="n">
        <f aca="false">N1103/(1-(1+N1103)^-P1103)</f>
        <v>0.152300198192734</v>
      </c>
      <c r="S1103" s="46" t="n">
        <f aca="false">O1103/(1-(1+O1103)^-P1103)</f>
        <v>0.0726489114900472</v>
      </c>
      <c r="T1103" s="37" t="n">
        <f aca="false">0*Sector_Params!$I$11</f>
        <v>0</v>
      </c>
      <c r="U1103" s="37" t="n">
        <f aca="false">p_c*Sector_Params!$J$11</f>
        <v>0.129</v>
      </c>
      <c r="V1103" s="37" t="n">
        <f aca="false">1000*p_r_wb/(1-(1+p_r_wb)^-Sector_Params!$D$11)/p_cpt_afolu</f>
        <v>1.45297822980094</v>
      </c>
      <c r="W1103" s="16" t="n">
        <f aca="false">T1103*L1103</f>
        <v>0</v>
      </c>
      <c r="X1103" s="16" t="n">
        <f aca="false">U1103*L1103</f>
        <v>0.00127212599564761</v>
      </c>
      <c r="Y1103" s="16" t="n">
        <f aca="false">V1103*L1103</f>
        <v>0.0143284602886808</v>
      </c>
      <c r="Z1103" s="16" t="n">
        <f aca="false">Q1103*L1103</f>
        <v>0.00108997019080052</v>
      </c>
      <c r="AA1103" s="16" t="n">
        <f aca="false">R1103*L1103</f>
        <v>0.00150189954467643</v>
      </c>
      <c r="AB1103" s="16" t="n">
        <f aca="false">S1103*L1103</f>
        <v>0.000716423014434039</v>
      </c>
      <c r="AC1103" s="16" t="n">
        <f aca="false">Z1103-W1103</f>
        <v>0.00108997019080052</v>
      </c>
      <c r="AD1103" s="16" t="n">
        <f aca="false">AA1103-W1103</f>
        <v>0.00150189954467643</v>
      </c>
      <c r="AE1103" s="16" t="n">
        <f aca="false">AB1103-W1103</f>
        <v>0.000716423014434039</v>
      </c>
      <c r="AF1103" s="16" t="n">
        <f aca="false">AE1103-X1103</f>
        <v>-0.000555702981213566</v>
      </c>
      <c r="AG1103" s="16" t="n">
        <f aca="false">AF1103-p_spc_lo*Y1103/1000</f>
        <v>-0.00127212599564761</v>
      </c>
      <c r="AH1103" s="16" t="n">
        <f aca="false">AF1103-p_spc_hi*Y1103/1000</f>
        <v>-0.00198854901008164</v>
      </c>
      <c r="AI1103" s="16" t="n">
        <f aca="false">Q1103*J1103</f>
        <v>0.00454154246166883</v>
      </c>
      <c r="AJ1103" s="16" t="n">
        <f aca="false">S1103*J1103</f>
        <v>0.00298509589347516</v>
      </c>
      <c r="AK1103" s="16" t="n">
        <f aca="false">T1103*J1103</f>
        <v>0</v>
      </c>
      <c r="AL1103" s="16" t="n">
        <f aca="false">U1103*J1103</f>
        <v>0.00530052498186502</v>
      </c>
      <c r="AM1103" s="16" t="n">
        <f aca="false">AI1103-AJ1103</f>
        <v>0.00155644656819366</v>
      </c>
      <c r="AN1103" s="16" t="n">
        <f aca="false">J1103*Country_Data!$EB$161</f>
        <v>0.0484735123608373</v>
      </c>
      <c r="AO1103" s="16" t="n">
        <f aca="false">L1103*Country_Data!$EB$161</f>
        <v>0.011633642966601</v>
      </c>
    </row>
    <row r="1104" customFormat="false" ht="15" hidden="false" customHeight="false" outlineLevel="0" collapsed="false">
      <c r="A1104" s="14" t="str">
        <f aca="false">Country_Data!$A$162</f>
        <v>SLE</v>
      </c>
      <c r="B1104" s="14" t="str">
        <f aca="false">Country_Data!$E$162</f>
        <v>EMDC</v>
      </c>
      <c r="C1104" s="35" t="s">
        <v>466</v>
      </c>
      <c r="D1104" s="37" t="n">
        <f aca="false">IF(Country_Data!$BZ$162="","",Country_Data!$BZ$162)</f>
        <v>0.370315563964758</v>
      </c>
      <c r="E1104" s="40" t="n">
        <f aca="false">Country_Data!$BW$162</f>
        <v>30.484</v>
      </c>
      <c r="F1104" s="41" t="n">
        <f aca="false">Country_Data!$BX$162</f>
        <v>0.228644534837948</v>
      </c>
      <c r="G1104" s="42" t="n">
        <f aca="false">IF(D1104="","",D1104/SUMIFS($D$5:$D$1369,$B$5:$B$1369,B1104,$C$5:$C$1369,C1104))</f>
        <v>4.22760155648632E-005</v>
      </c>
      <c r="H1104" s="42" t="n">
        <f aca="false">E1104/SUMIFS($E$5:$E$1369,$B$5:$B$1369,B1104,$C$5:$C$1369,C1104)</f>
        <v>0.000377595520184155</v>
      </c>
      <c r="I1104" s="43" t="n">
        <f aca="false">IF(G1104="",H1104,p_beta_alloc*G1104+(1-p_beta_alloc)*H1104)*F1104^p_phi</f>
        <v>0.000100384543996655</v>
      </c>
      <c r="J1104" s="16" t="n">
        <f aca="false">INDEX(Sector_Params!$C$16:$E$16,MATCH(B1104,Sector_Params!$C$15:$E$15,0))*I1104/SUMIFS($I$5:$I$1369,$B$5:$B$1369,B1104,$C$5:$C$1369,C1104)</f>
        <v>0.0970944759211747</v>
      </c>
      <c r="K1104" s="28" t="n">
        <f aca="false">INDEX(Sector_Params!$F$5:$H$5,MATCH(B1104,Sector_Params!$C$15:$E$15,0))</f>
        <v>0.24</v>
      </c>
      <c r="L1104" s="16" t="n">
        <f aca="false">J1104*K1104</f>
        <v>0.0233026742210819</v>
      </c>
      <c r="M1104" s="44" t="n">
        <f aca="false">Country_Data!$DW$162+Sector_Params!$E$5</f>
        <v>0.105</v>
      </c>
      <c r="N1104" s="44" t="n">
        <f aca="false">Country_Data!$DX$162+Sector_Params!$E$5</f>
        <v>0.15</v>
      </c>
      <c r="O1104" s="11" t="n">
        <f aca="false">IF(p_use_ibrd=1,p_r_ibrd,p_r_wb)</f>
        <v>0.06</v>
      </c>
      <c r="P1104" s="45" t="n">
        <f aca="false">Sector_Params!$D$5</f>
        <v>25</v>
      </c>
      <c r="Q1104" s="46" t="n">
        <f aca="false">M1104/(1-(1+M1104)^-P1104)</f>
        <v>0.114429319813103</v>
      </c>
      <c r="R1104" s="46" t="n">
        <f aca="false">N1104/(1-(1+N1104)^-P1104)</f>
        <v>0.154699402320206</v>
      </c>
      <c r="S1104" s="46" t="n">
        <f aca="false">O1104/(1-(1+O1104)^-P1104)</f>
        <v>0.078226718212274</v>
      </c>
      <c r="T1104" s="37" t="n">
        <f aca="false">IF(AND(p_eng=1,ISNUMBER(Country_Data!$CZ$162)),Country_Data!$CZ$162,Country_Data!$CM$162)*Sector_Params!$I$5</f>
        <v>0.0110379058033006</v>
      </c>
      <c r="U1104" s="37" t="n">
        <f aca="false">IF(AND(p_eng=1,ISNUMBER(Country_Data!$DA$162)),Country_Data!$DA$162,Country_Data!$CN$162)*Sector_Params!$J$5</f>
        <v>0.000103148221022323</v>
      </c>
      <c r="V1104" s="37" t="n">
        <f aca="false">IF(AND(p_eng=1,ISNUMBER(Country_Data!$DB$162)),Country_Data!$DB$162,p_a)</f>
        <v>0.0890598675136116</v>
      </c>
      <c r="W1104" s="16" t="n">
        <f aca="false">T1104*L1104</f>
        <v>0.000257212723017303</v>
      </c>
      <c r="X1104" s="16" t="n">
        <f aca="false">U1104*L1104</f>
        <v>2.40362939096735E-006</v>
      </c>
      <c r="Y1104" s="16" t="n">
        <f aca="false">V1104*L1104</f>
        <v>0.00207533307884241</v>
      </c>
      <c r="Z1104" s="16" t="n">
        <f aca="false">Q1104*L1104</f>
        <v>0.00266650916094474</v>
      </c>
      <c r="AA1104" s="16" t="n">
        <f aca="false">R1104*L1104</f>
        <v>0.00360490977446386</v>
      </c>
      <c r="AB1104" s="16" t="n">
        <f aca="false">S1104*L1104</f>
        <v>0.001822891729885</v>
      </c>
      <c r="AC1104" s="16" t="n">
        <f aca="false">Z1104-W1104</f>
        <v>0.00240929643792744</v>
      </c>
      <c r="AD1104" s="16" t="n">
        <f aca="false">AA1104-W1104</f>
        <v>0.00334769705144655</v>
      </c>
      <c r="AE1104" s="16" t="n">
        <f aca="false">AB1104-W1104</f>
        <v>0.00156567900686769</v>
      </c>
      <c r="AF1104" s="16" t="n">
        <f aca="false">AE1104-X1104</f>
        <v>0.00156327537747673</v>
      </c>
      <c r="AG1104" s="16" t="n">
        <f aca="false">AF1104-p_spc_lo*Y1104/1000</f>
        <v>0.00145950872353461</v>
      </c>
      <c r="AH1104" s="16" t="n">
        <f aca="false">AF1104-p_spc_hi*Y1104/1000</f>
        <v>0.00135574206959249</v>
      </c>
      <c r="AI1104" s="16" t="n">
        <f aca="false">Q1104*J1104</f>
        <v>0.0111104548372698</v>
      </c>
      <c r="AJ1104" s="16" t="n">
        <f aca="false">S1104*J1104</f>
        <v>0.00759538220785415</v>
      </c>
      <c r="AK1104" s="16" t="n">
        <f aca="false">T1104*J1104</f>
        <v>0.00107171967923876</v>
      </c>
      <c r="AL1104" s="16" t="n">
        <f aca="false">U1104*J1104</f>
        <v>1.0015122462364E-005</v>
      </c>
      <c r="AM1104" s="16" t="n">
        <f aca="false">AI1104-AJ1104</f>
        <v>0.00351507262941561</v>
      </c>
      <c r="AN1104" s="16" t="n">
        <f aca="false">J1104*Country_Data!$EB$162</f>
        <v>0.118470314030953</v>
      </c>
      <c r="AO1104" s="16" t="n">
        <f aca="false">L1104*Country_Data!$EB$162</f>
        <v>0.0284328753674286</v>
      </c>
    </row>
    <row r="1105" customFormat="false" ht="15" hidden="false" customHeight="false" outlineLevel="0" collapsed="false">
      <c r="A1105" s="14" t="str">
        <f aca="false">Country_Data!$A$162</f>
        <v>SLE</v>
      </c>
      <c r="B1105" s="14" t="str">
        <f aca="false">Country_Data!$E$162</f>
        <v>EMDC</v>
      </c>
      <c r="C1105" s="35" t="s">
        <v>470</v>
      </c>
      <c r="D1105" s="37" t="n">
        <f aca="false">IF(Country_Data!$BZ$162="","",Country_Data!$BZ$162)</f>
        <v>0.370315563964758</v>
      </c>
      <c r="E1105" s="40" t="n">
        <f aca="false">Country_Data!$BW$162</f>
        <v>30.484</v>
      </c>
      <c r="F1105" s="41" t="n">
        <f aca="false">Country_Data!$BX$162</f>
        <v>0.228644534837948</v>
      </c>
      <c r="G1105" s="42" t="n">
        <f aca="false">IF(D1105="","",D1105/SUMIFS($D$5:$D$1369,$B$5:$B$1369,B1105,$C$5:$C$1369,C1105))</f>
        <v>4.22760155648632E-005</v>
      </c>
      <c r="H1105" s="42" t="n">
        <f aca="false">E1105/SUMIFS($E$5:$E$1369,$B$5:$B$1369,B1105,$C$5:$C$1369,C1105)</f>
        <v>0.000377595520184155</v>
      </c>
      <c r="I1105" s="43" t="n">
        <f aca="false">IF(G1105="",H1105,p_beta_alloc*G1105+(1-p_beta_alloc)*H1105)*F1105^p_phi</f>
        <v>0.000100384543996655</v>
      </c>
      <c r="J1105" s="16" t="n">
        <f aca="false">INDEX(Sector_Params!$C$17:$E$17,MATCH(B1105,Sector_Params!$C$15:$E$15,0))*I1105/SUMIFS($I$5:$I$1369,$B$5:$B$1369,B1105,$C$5:$C$1369,C1105)</f>
        <v>0.0665790692030912</v>
      </c>
      <c r="K1105" s="28" t="n">
        <f aca="false">INDEX(Sector_Params!$F$6:$H$6,MATCH(B1105,Sector_Params!$C$15:$E$15,0))</f>
        <v>0.24</v>
      </c>
      <c r="L1105" s="16" t="n">
        <f aca="false">J1105*K1105</f>
        <v>0.0159789766087419</v>
      </c>
      <c r="M1105" s="44" t="n">
        <f aca="false">Country_Data!$DW$162+Sector_Params!$E$6</f>
        <v>0.105</v>
      </c>
      <c r="N1105" s="44" t="n">
        <f aca="false">Country_Data!$DX$162+Sector_Params!$E$6</f>
        <v>0.15</v>
      </c>
      <c r="O1105" s="11" t="n">
        <f aca="false">IF(p_use_ibrd=1,p_r_ibrd,p_r_wb)</f>
        <v>0.06</v>
      </c>
      <c r="P1105" s="45" t="n">
        <f aca="false">Sector_Params!$D$6</f>
        <v>40</v>
      </c>
      <c r="Q1105" s="46" t="n">
        <f aca="false">M1105/(1-(1+M1105)^-P1105)</f>
        <v>0.10697140835497</v>
      </c>
      <c r="R1105" s="46" t="n">
        <f aca="false">N1105/(1-(1+N1105)^-P1105)</f>
        <v>0.150562085013545</v>
      </c>
      <c r="S1105" s="46" t="n">
        <f aca="false">O1105/(1-(1+O1105)^-P1105)</f>
        <v>0.0664615359206755</v>
      </c>
      <c r="T1105" s="37" t="n">
        <f aca="false">p_grid_credit*IF(AND(p_eng=1,ISNUMBER(Country_Data!$CZ$162)),Country_Data!$CZ$162,Country_Data!$CM$162)*Sector_Params!$I$6</f>
        <v>0</v>
      </c>
      <c r="U1105" s="37" t="n">
        <f aca="false">p_grid_credit*IF(AND(p_eng=1,ISNUMBER(Country_Data!$DA$162)),Country_Data!$DA$162,Country_Data!$CN$162)*Sector_Params!$J$6</f>
        <v>0</v>
      </c>
      <c r="V1105" s="37" t="n">
        <f aca="false">p_grid_credit*IF(AND(p_eng=1,ISNUMBER(Country_Data!$DB$162)),Country_Data!$DB$162,p_a)</f>
        <v>0</v>
      </c>
      <c r="W1105" s="16" t="n">
        <f aca="false">T1105*L1105</f>
        <v>0</v>
      </c>
      <c r="X1105" s="16" t="n">
        <f aca="false">U1105*L1105</f>
        <v>0</v>
      </c>
      <c r="Y1105" s="16" t="n">
        <f aca="false">V1105*L1105</f>
        <v>0</v>
      </c>
      <c r="Z1105" s="16" t="n">
        <f aca="false">Q1105*L1105</f>
        <v>0.00170929363190825</v>
      </c>
      <c r="AA1105" s="16" t="n">
        <f aca="false">R1105*L1105</f>
        <v>0.00240582803459484</v>
      </c>
      <c r="AB1105" s="16" t="n">
        <f aca="false">S1105*L1105</f>
        <v>0.00106198732785753</v>
      </c>
      <c r="AC1105" s="16" t="n">
        <f aca="false">Z1105-W1105</f>
        <v>0.00170929363190825</v>
      </c>
      <c r="AD1105" s="16" t="n">
        <f aca="false">AA1105-W1105</f>
        <v>0.00240582803459484</v>
      </c>
      <c r="AE1105" s="16" t="n">
        <f aca="false">AB1105-W1105</f>
        <v>0.00106198732785753</v>
      </c>
      <c r="AF1105" s="16" t="n">
        <f aca="false">AE1105-X1105</f>
        <v>0.00106198732785753</v>
      </c>
      <c r="AG1105" s="16" t="n">
        <f aca="false">AF1105-p_spc_lo*Y1105/1000</f>
        <v>0.00106198732785753</v>
      </c>
      <c r="AH1105" s="16" t="n">
        <f aca="false">AF1105-p_spc_hi*Y1105/1000</f>
        <v>0.00106198732785753</v>
      </c>
      <c r="AI1105" s="16" t="n">
        <f aca="false">Q1105*J1105</f>
        <v>0.0071220567996177</v>
      </c>
      <c r="AJ1105" s="16" t="n">
        <f aca="false">S1105*J1105</f>
        <v>0.00442494719940639</v>
      </c>
      <c r="AK1105" s="16" t="n">
        <f aca="false">T1105*J1105</f>
        <v>0</v>
      </c>
      <c r="AL1105" s="16" t="n">
        <f aca="false">U1105*J1105</f>
        <v>0</v>
      </c>
      <c r="AM1105" s="16" t="n">
        <f aca="false">AI1105-AJ1105</f>
        <v>0.00269710960021131</v>
      </c>
      <c r="AN1105" s="16" t="n">
        <f aca="false">J1105*Country_Data!$EB$162</f>
        <v>0.0812367867640818</v>
      </c>
      <c r="AO1105" s="16" t="n">
        <f aca="false">L1105*Country_Data!$EB$162</f>
        <v>0.0194968288233796</v>
      </c>
    </row>
    <row r="1106" customFormat="false" ht="15" hidden="false" customHeight="false" outlineLevel="0" collapsed="false">
      <c r="A1106" s="14" t="str">
        <f aca="false">Country_Data!$A$162</f>
        <v>SLE</v>
      </c>
      <c r="B1106" s="14" t="str">
        <f aca="false">Country_Data!$E$162</f>
        <v>EMDC</v>
      </c>
      <c r="C1106" s="35" t="s">
        <v>473</v>
      </c>
      <c r="D1106" s="37" t="n">
        <f aca="false">IF(Country_Data!$CA$162="","",Country_Data!$CA$162)</f>
        <v>0.0159383095351584</v>
      </c>
      <c r="E1106" s="40" t="n">
        <f aca="false">Country_Data!$BW$162</f>
        <v>30.484</v>
      </c>
      <c r="F1106" s="41" t="n">
        <f aca="false">Country_Data!$BX$162</f>
        <v>0.228644534837948</v>
      </c>
      <c r="G1106" s="42" t="n">
        <f aca="false">IF(D1106="","",D1106/SUMIFS($D$5:$D$1369,$B$5:$B$1369,B1106,$C$5:$C$1369,C1106))</f>
        <v>0.00036821203415663</v>
      </c>
      <c r="H1106" s="42" t="n">
        <f aca="false">E1106/SUMIFS($E$5:$E$1369,$B$5:$B$1369,B1106,$C$5:$C$1369,C1106)</f>
        <v>0.000377595520184155</v>
      </c>
      <c r="I1106" s="43" t="n">
        <f aca="false">IF(G1106="",H1106,p_beta_alloc*G1106+(1-p_beta_alloc)*H1106)*F1106^p_phi</f>
        <v>0.000178310613788579</v>
      </c>
      <c r="J1106" s="16" t="n">
        <f aca="false">INDEX(Sector_Params!$C$18:$E$18,MATCH(B1106,Sector_Params!$C$15:$E$15,0))*I1106/SUMIFS($I$5:$I$1369,$B$5:$B$1369,B1106,$C$5:$C$1369,C1106)</f>
        <v>0.0730139773007737</v>
      </c>
      <c r="K1106" s="28" t="n">
        <f aca="false">INDEX(Sector_Params!$F$7:$H$7,MATCH(B1106,Sector_Params!$C$15:$E$15,0))</f>
        <v>0.24</v>
      </c>
      <c r="L1106" s="16" t="n">
        <f aca="false">J1106*K1106</f>
        <v>0.0175233545521857</v>
      </c>
      <c r="M1106" s="44" t="n">
        <f aca="false">Country_Data!$DW$162+Sector_Params!$E$7</f>
        <v>0.105</v>
      </c>
      <c r="N1106" s="44" t="n">
        <f aca="false">Country_Data!$DX$162+Sector_Params!$E$7</f>
        <v>0.15</v>
      </c>
      <c r="O1106" s="11" t="n">
        <f aca="false">IF(p_use_ibrd=1,p_r_ibrd,p_r_wb)</f>
        <v>0.06</v>
      </c>
      <c r="P1106" s="45" t="n">
        <f aca="false">Sector_Params!$D$7</f>
        <v>12</v>
      </c>
      <c r="Q1106" s="46" t="n">
        <f aca="false">M1106/(1-(1+M1106)^-P1106)</f>
        <v>0.150376745634766</v>
      </c>
      <c r="R1106" s="46" t="n">
        <f aca="false">N1106/(1-(1+N1106)^-P1106)</f>
        <v>0.18448077613084</v>
      </c>
      <c r="S1106" s="46" t="n">
        <f aca="false">O1106/(1-(1+O1106)^-P1106)</f>
        <v>0.119277029380664</v>
      </c>
      <c r="T1106" s="37" t="n">
        <f aca="false">IF(AND(p_eng=1,ISNUMBER(Country_Data!$DE$162)),Country_Data!$DE$162,Country_Data!$CM$162)*Sector_Params!$I$7</f>
        <v>0.06940602</v>
      </c>
      <c r="U1106" s="37" t="n">
        <f aca="false">IF(AND(p_eng=1,ISNUMBER(Country_Data!$DF$162)),Country_Data!$DF$162,Country_Data!$CN$162)*Sector_Params!$J$7</f>
        <v>7.29E-005</v>
      </c>
      <c r="V1106" s="37" t="n">
        <f aca="false">IF(AND(p_eng=1,ISNUMBER(Country_Data!$DG$162)),Country_Data!$DG$162,p_a)</f>
        <v>0.5123655</v>
      </c>
      <c r="W1106" s="16" t="n">
        <f aca="false">T1106*L1106</f>
        <v>0.00121622629651609</v>
      </c>
      <c r="X1106" s="16" t="n">
        <f aca="false">U1106*L1106</f>
        <v>1.27745254685434E-006</v>
      </c>
      <c r="Y1106" s="16" t="n">
        <f aca="false">V1106*L1106</f>
        <v>0.0089783623168079</v>
      </c>
      <c r="Z1106" s="16" t="n">
        <f aca="false">Q1106*L1106</f>
        <v>0.00263510503016184</v>
      </c>
      <c r="AA1106" s="16" t="n">
        <f aca="false">R1106*L1106</f>
        <v>0.0032327220482031</v>
      </c>
      <c r="AB1106" s="16" t="n">
        <f aca="false">S1106*L1106</f>
        <v>0.00209013367576884</v>
      </c>
      <c r="AC1106" s="16" t="n">
        <f aca="false">Z1106-W1106</f>
        <v>0.00141887873364575</v>
      </c>
      <c r="AD1106" s="16" t="n">
        <f aca="false">AA1106-W1106</f>
        <v>0.002016495751687</v>
      </c>
      <c r="AE1106" s="16" t="n">
        <f aca="false">AB1106-W1106</f>
        <v>0.000873907379252745</v>
      </c>
      <c r="AF1106" s="16" t="n">
        <f aca="false">AE1106-X1106</f>
        <v>0.000872629926705891</v>
      </c>
      <c r="AG1106" s="16" t="n">
        <f aca="false">AF1106-p_spc_lo*Y1106/1000</f>
        <v>0.000423711810865496</v>
      </c>
      <c r="AH1106" s="16" t="n">
        <f aca="false">AF1106-p_spc_hi*Y1106/1000</f>
        <v>-2.52063049748989E-005</v>
      </c>
      <c r="AI1106" s="16" t="n">
        <f aca="false">Q1106*J1106</f>
        <v>0.010979604292341</v>
      </c>
      <c r="AJ1106" s="16" t="n">
        <f aca="false">S1106*J1106</f>
        <v>0.00870889031570349</v>
      </c>
      <c r="AK1106" s="16" t="n">
        <f aca="false">T1106*J1106</f>
        <v>0.00506760956881705</v>
      </c>
      <c r="AL1106" s="16" t="n">
        <f aca="false">U1106*J1106</f>
        <v>5.3227189452264E-006</v>
      </c>
      <c r="AM1106" s="16" t="n">
        <f aca="false">AI1106-AJ1106</f>
        <v>0.00227071397663752</v>
      </c>
      <c r="AN1106" s="16" t="n">
        <f aca="false">J1106*Country_Data!$EB$162</f>
        <v>0.0890883723034247</v>
      </c>
      <c r="AO1106" s="16" t="n">
        <f aca="false">L1106*Country_Data!$EB$162</f>
        <v>0.0213812093528219</v>
      </c>
    </row>
    <row r="1107" customFormat="false" ht="15" hidden="false" customHeight="false" outlineLevel="0" collapsed="false">
      <c r="A1107" s="14" t="str">
        <f aca="false">Country_Data!$A$162</f>
        <v>SLE</v>
      </c>
      <c r="B1107" s="14" t="str">
        <f aca="false">Country_Data!$E$162</f>
        <v>EMDC</v>
      </c>
      <c r="C1107" s="35" t="s">
        <v>477</v>
      </c>
      <c r="D1107" s="37" t="n">
        <f aca="false">IF(Country_Data!$CB$162="","",Country_Data!$CB$162)</f>
        <v>0.000651610913415415</v>
      </c>
      <c r="E1107" s="40" t="n">
        <f aca="false">Country_Data!$BW$162</f>
        <v>30.484</v>
      </c>
      <c r="F1107" s="41" t="n">
        <f aca="false">Country_Data!$BX$162</f>
        <v>0.228644534837948</v>
      </c>
      <c r="G1107" s="42" t="n">
        <f aca="false">IF(D1107="","",D1107/SUMIFS($D$5:$D$1369,$B$5:$B$1369,B1107,$C$5:$C$1369,C1107))</f>
        <v>2.05472762554256E-005</v>
      </c>
      <c r="H1107" s="42" t="n">
        <f aca="false">E1107/SUMIFS($E$5:$E$1369,$B$5:$B$1369,B1107,$C$5:$C$1369,C1107)</f>
        <v>0.000377595520184155</v>
      </c>
      <c r="I1107" s="43" t="n">
        <f aca="false">IF(G1107="",H1107,p_beta_alloc*G1107+(1-p_beta_alloc)*H1107)*F1107^p_phi</f>
        <v>9.51895512393851E-005</v>
      </c>
      <c r="J1107" s="16" t="n">
        <f aca="false">INDEX(Sector_Params!$C$19:$E$19,MATCH(B1107,Sector_Params!$C$15:$E$15,0))*I1107/SUMIFS($I$5:$I$1369,$B$5:$B$1369,B1107,$C$5:$C$1369,C1107)</f>
        <v>0.0306379561240043</v>
      </c>
      <c r="K1107" s="28" t="n">
        <f aca="false">INDEX(Sector_Params!$F$8:$H$8,MATCH(B1107,Sector_Params!$C$15:$E$15,0))</f>
        <v>0.24</v>
      </c>
      <c r="L1107" s="16" t="n">
        <f aca="false">J1107*K1107</f>
        <v>0.00735310946976102</v>
      </c>
      <c r="M1107" s="44" t="n">
        <f aca="false">Country_Data!$DW$162+Sector_Params!$E$8</f>
        <v>0.105</v>
      </c>
      <c r="N1107" s="44" t="n">
        <f aca="false">Country_Data!$DX$162+Sector_Params!$E$8</f>
        <v>0.15</v>
      </c>
      <c r="O1107" s="11" t="n">
        <f aca="false">IF(p_use_ibrd=1,p_r_ibrd,p_r_wb)</f>
        <v>0.06</v>
      </c>
      <c r="P1107" s="45" t="n">
        <f aca="false">Sector_Params!$D$8</f>
        <v>25</v>
      </c>
      <c r="Q1107" s="46" t="n">
        <f aca="false">M1107/(1-(1+M1107)^-P1107)</f>
        <v>0.114429319813103</v>
      </c>
      <c r="R1107" s="46" t="n">
        <f aca="false">N1107/(1-(1+N1107)^-P1107)</f>
        <v>0.154699402320206</v>
      </c>
      <c r="S1107" s="46" t="n">
        <f aca="false">O1107/(1-(1+O1107)^-P1107)</f>
        <v>0.078226718212274</v>
      </c>
      <c r="T1107" s="37" t="n">
        <f aca="false">Country_Data!$CM$162*Sector_Params!$I$8</f>
        <v>0.459315312884225</v>
      </c>
      <c r="U1107" s="37" t="n">
        <f aca="false">Country_Data!$CN$162*Sector_Params!$J$8</f>
        <v>0.03225</v>
      </c>
      <c r="V1107" s="37" t="n">
        <f aca="false">p_a</f>
        <v>0.35</v>
      </c>
      <c r="W1107" s="16" t="n">
        <f aca="false">T1107*L1107</f>
        <v>0.00337739577677524</v>
      </c>
      <c r="X1107" s="16" t="n">
        <f aca="false">U1107*L1107</f>
        <v>0.000237137780399793</v>
      </c>
      <c r="Y1107" s="16" t="n">
        <f aca="false">V1107*L1107</f>
        <v>0.00257358831441636</v>
      </c>
      <c r="Z1107" s="16" t="n">
        <f aca="false">Q1107*L1107</f>
        <v>0.000841411315136043</v>
      </c>
      <c r="AA1107" s="16" t="n">
        <f aca="false">R1107*L1107</f>
        <v>0.00113752164016708</v>
      </c>
      <c r="AB1107" s="16" t="n">
        <f aca="false">S1107*L1107</f>
        <v>0.000575209622474999</v>
      </c>
      <c r="AC1107" s="16" t="n">
        <f aca="false">Z1107-W1107</f>
        <v>-0.0025359844616392</v>
      </c>
      <c r="AD1107" s="16" t="n">
        <f aca="false">AA1107-W1107</f>
        <v>-0.00223987413660816</v>
      </c>
      <c r="AE1107" s="16" t="n">
        <f aca="false">AB1107-W1107</f>
        <v>-0.00280218615430024</v>
      </c>
      <c r="AF1107" s="16" t="n">
        <f aca="false">AE1107-X1107</f>
        <v>-0.00303932393470004</v>
      </c>
      <c r="AG1107" s="16" t="n">
        <f aca="false">AF1107-p_spc_lo*Y1107/1000</f>
        <v>-0.00316800335042085</v>
      </c>
      <c r="AH1107" s="16" t="n">
        <f aca="false">AF1107-p_spc_hi*Y1107/1000</f>
        <v>-0.00329668276614167</v>
      </c>
      <c r="AI1107" s="16" t="n">
        <f aca="false">Q1107*J1107</f>
        <v>0.00350588047973351</v>
      </c>
      <c r="AJ1107" s="16" t="n">
        <f aca="false">S1107*J1107</f>
        <v>0.00239670676031249</v>
      </c>
      <c r="AK1107" s="16" t="n">
        <f aca="false">T1107*J1107</f>
        <v>0.0140724824032302</v>
      </c>
      <c r="AL1107" s="16" t="n">
        <f aca="false">U1107*J1107</f>
        <v>0.000988074084999138</v>
      </c>
      <c r="AM1107" s="16" t="n">
        <f aca="false">AI1107-AJ1107</f>
        <v>0.00110917371942102</v>
      </c>
      <c r="AN1107" s="16" t="n">
        <f aca="false">J1107*Country_Data!$EB$162</f>
        <v>0.0373830565420021</v>
      </c>
      <c r="AO1107" s="16" t="n">
        <f aca="false">L1107*Country_Data!$EB$162</f>
        <v>0.0089719335700805</v>
      </c>
    </row>
    <row r="1108" customFormat="false" ht="15" hidden="false" customHeight="false" outlineLevel="0" collapsed="false">
      <c r="A1108" s="14" t="str">
        <f aca="false">Country_Data!$A$162</f>
        <v>SLE</v>
      </c>
      <c r="B1108" s="14" t="str">
        <f aca="false">Country_Data!$E$162</f>
        <v>EMDC</v>
      </c>
      <c r="C1108" s="35" t="s">
        <v>481</v>
      </c>
      <c r="D1108" s="37" t="n">
        <f aca="false">IF(Country_Data!$CC$162="","",Country_Data!$CC$162)</f>
        <v>0.00495266741996052</v>
      </c>
      <c r="E1108" s="40" t="n">
        <f aca="false">Country_Data!$BW$162</f>
        <v>30.484</v>
      </c>
      <c r="F1108" s="41" t="n">
        <f aca="false">Country_Data!$BX$162</f>
        <v>0.228644534837948</v>
      </c>
      <c r="G1108" s="42" t="n">
        <f aca="false">IF(D1108="","",D1108/SUMIFS($D$5:$D$1369,$B$5:$B$1369,B1108,$C$5:$C$1369,C1108))</f>
        <v>7.07450569402532E-005</v>
      </c>
      <c r="H1108" s="42" t="n">
        <f aca="false">E1108/SUMIFS($E$5:$E$1369,$B$5:$B$1369,B1108,$C$5:$C$1369,C1108)</f>
        <v>0.000377595520184155</v>
      </c>
      <c r="I1108" s="43" t="n">
        <f aca="false">IF(G1108="",H1108,p_beta_alloc*G1108+(1-p_beta_alloc)*H1108)*F1108^p_phi</f>
        <v>0.000107191034775775</v>
      </c>
      <c r="J1108" s="16" t="n">
        <f aca="false">INDEX(Sector_Params!$C$20:$E$20,MATCH(B1108,Sector_Params!$C$15:$E$15,0))*I1108/SUMIFS($I$5:$I$1369,$B$5:$B$1369,B1108,$C$5:$C$1369,C1108)</f>
        <v>0.0195645224260864</v>
      </c>
      <c r="K1108" s="28" t="n">
        <f aca="false">INDEX(Sector_Params!$F$9:$H$9,MATCH(B1108,Sector_Params!$C$15:$E$15,0))</f>
        <v>0.24</v>
      </c>
      <c r="L1108" s="16" t="n">
        <f aca="false">J1108*K1108</f>
        <v>0.00469548538226075</v>
      </c>
      <c r="M1108" s="44" t="n">
        <f aca="false">Country_Data!$DW$162+Sector_Params!$E$9</f>
        <v>0.105</v>
      </c>
      <c r="N1108" s="44" t="n">
        <f aca="false">Country_Data!$DX$162+Sector_Params!$E$9</f>
        <v>0.15</v>
      </c>
      <c r="O1108" s="11" t="n">
        <f aca="false">IF(p_use_ibrd=1,p_r_ibrd,p_r_wb)</f>
        <v>0.06</v>
      </c>
      <c r="P1108" s="45" t="n">
        <f aca="false">Sector_Params!$D$9</f>
        <v>25</v>
      </c>
      <c r="Q1108" s="46" t="n">
        <f aca="false">M1108/(1-(1+M1108)^-P1108)</f>
        <v>0.114429319813103</v>
      </c>
      <c r="R1108" s="46" t="n">
        <f aca="false">N1108/(1-(1+N1108)^-P1108)</f>
        <v>0.154699402320206</v>
      </c>
      <c r="S1108" s="46" t="n">
        <f aca="false">O1108/(1-(1+O1108)^-P1108)</f>
        <v>0.078226718212274</v>
      </c>
      <c r="T1108" s="37" t="n">
        <f aca="false">Country_Data!$CM$162*Sector_Params!$I$9</f>
        <v>0.459315312884225</v>
      </c>
      <c r="U1108" s="37" t="n">
        <f aca="false">Country_Data!$CN$162*Sector_Params!$J$9</f>
        <v>0.03225</v>
      </c>
      <c r="V1108" s="37" t="n">
        <f aca="false">p_a</f>
        <v>0.35</v>
      </c>
      <c r="W1108" s="16" t="n">
        <f aca="false">T1108*L1108</f>
        <v>0.0021567083374964</v>
      </c>
      <c r="X1108" s="16" t="n">
        <f aca="false">U1108*L1108</f>
        <v>0.000151429403577909</v>
      </c>
      <c r="Y1108" s="16" t="n">
        <f aca="false">V1108*L1108</f>
        <v>0.00164341988379126</v>
      </c>
      <c r="Z1108" s="16" t="n">
        <f aca="false">Q1108*L1108</f>
        <v>0.000537301198484467</v>
      </c>
      <c r="AA1108" s="16" t="n">
        <f aca="false">R1108*L1108</f>
        <v>0.000726388782239003</v>
      </c>
      <c r="AB1108" s="16" t="n">
        <f aca="false">S1108*L1108</f>
        <v>0.000367312411867963</v>
      </c>
      <c r="AC1108" s="16" t="n">
        <f aca="false">Z1108-W1108</f>
        <v>-0.00161940713901193</v>
      </c>
      <c r="AD1108" s="16" t="n">
        <f aca="false">AA1108-W1108</f>
        <v>-0.0014303195552574</v>
      </c>
      <c r="AE1108" s="16" t="n">
        <f aca="false">AB1108-W1108</f>
        <v>-0.00178939592562844</v>
      </c>
      <c r="AF1108" s="16" t="n">
        <f aca="false">AE1108-X1108</f>
        <v>-0.00194082532920634</v>
      </c>
      <c r="AG1108" s="16" t="n">
        <f aca="false">AF1108-p_spc_lo*Y1108/1000</f>
        <v>-0.00202299632339591</v>
      </c>
      <c r="AH1108" s="16" t="n">
        <f aca="false">AF1108-p_spc_hi*Y1108/1000</f>
        <v>-0.00210516731758547</v>
      </c>
      <c r="AI1108" s="16" t="n">
        <f aca="false">Q1108*J1108</f>
        <v>0.00223875499368528</v>
      </c>
      <c r="AJ1108" s="16" t="n">
        <f aca="false">S1108*J1108</f>
        <v>0.00153046838278318</v>
      </c>
      <c r="AK1108" s="16" t="n">
        <f aca="false">T1108*J1108</f>
        <v>0.00898628473956833</v>
      </c>
      <c r="AL1108" s="16" t="n">
        <f aca="false">U1108*J1108</f>
        <v>0.000630955848241288</v>
      </c>
      <c r="AM1108" s="16" t="n">
        <f aca="false">AI1108-AJ1108</f>
        <v>0.000708286610902099</v>
      </c>
      <c r="AN1108" s="16" t="n">
        <f aca="false">J1108*Country_Data!$EB$162</f>
        <v>0.0238717506191163</v>
      </c>
      <c r="AO1108" s="16" t="n">
        <f aca="false">L1108*Country_Data!$EB$162</f>
        <v>0.00572922014858792</v>
      </c>
    </row>
    <row r="1109" customFormat="false" ht="15" hidden="false" customHeight="false" outlineLevel="0" collapsed="false">
      <c r="A1109" s="14" t="str">
        <f aca="false">Country_Data!$A$162</f>
        <v>SLE</v>
      </c>
      <c r="B1109" s="14" t="str">
        <f aca="false">Country_Data!$E$162</f>
        <v>EMDC</v>
      </c>
      <c r="C1109" s="35" t="s">
        <v>484</v>
      </c>
      <c r="D1109" s="37" t="n">
        <f aca="false">IF(Country_Data!$CD$162="","",Country_Data!$CD$162)</f>
        <v>0.0202094518382612</v>
      </c>
      <c r="E1109" s="40" t="n">
        <f aca="false">Country_Data!$BW$162</f>
        <v>30.484</v>
      </c>
      <c r="F1109" s="41" t="n">
        <f aca="false">Country_Data!$BX$162</f>
        <v>0.228644534837948</v>
      </c>
      <c r="G1109" s="42" t="n">
        <f aca="false">IF(D1109="","",D1109/SUMIFS($D$5:$D$1369,$B$5:$B$1369,B1109,$C$5:$C$1369,C1109))</f>
        <v>0.000112856961968234</v>
      </c>
      <c r="H1109" s="42" t="n">
        <f aca="false">E1109/SUMIFS($E$5:$E$1369,$B$5:$B$1369,B1109,$C$5:$C$1369,C1109)</f>
        <v>0.000377595520184155</v>
      </c>
      <c r="I1109" s="43" t="n">
        <f aca="false">IF(G1109="",H1109,p_beta_alloc*G1109+(1-p_beta_alloc)*H1109)*F1109^p_phi</f>
        <v>0.000117259315245235</v>
      </c>
      <c r="J1109" s="16" t="n">
        <f aca="false">INDEX(Sector_Params!$C$21:$E$21,MATCH(B1109,Sector_Params!$C$15:$E$15,0))*I1109/SUMIFS($I$5:$I$1369,$B$5:$B$1369,B1109,$C$5:$C$1369,C1109)</f>
        <v>0.0260069231553077</v>
      </c>
      <c r="K1109" s="28" t="n">
        <f aca="false">INDEX(Sector_Params!$F$10:$H$10,MATCH(B1109,Sector_Params!$C$15:$E$15,0))</f>
        <v>0.24</v>
      </c>
      <c r="L1109" s="16" t="n">
        <f aca="false">J1109*K1109</f>
        <v>0.00624166155727384</v>
      </c>
      <c r="M1109" s="44" t="n">
        <f aca="false">Country_Data!$DW$162+Sector_Params!$E$10</f>
        <v>0.105</v>
      </c>
      <c r="N1109" s="44" t="n">
        <f aca="false">Country_Data!$DX$162+Sector_Params!$E$10</f>
        <v>0.15</v>
      </c>
      <c r="O1109" s="11" t="n">
        <f aca="false">IF(p_use_ibrd=1,p_r_ibrd,p_r_wb)</f>
        <v>0.06</v>
      </c>
      <c r="P1109" s="45" t="n">
        <f aca="false">Sector_Params!$D$10</f>
        <v>20</v>
      </c>
      <c r="Q1109" s="46" t="n">
        <f aca="false">M1109/(1-(1+M1109)^-P1109)</f>
        <v>0.121493265267016</v>
      </c>
      <c r="R1109" s="46" t="n">
        <f aca="false">N1109/(1-(1+N1109)^-P1109)</f>
        <v>0.159761470405744</v>
      </c>
      <c r="S1109" s="46" t="n">
        <f aca="false">O1109/(1-(1+O1109)^-P1109)</f>
        <v>0.0871845569768514</v>
      </c>
      <c r="T1109" s="37" t="n">
        <f aca="false">0*Sector_Params!$I$10</f>
        <v>0</v>
      </c>
      <c r="U1109" s="37" t="n">
        <f aca="false">0*Sector_Params!$J$10</f>
        <v>0</v>
      </c>
      <c r="V1109" s="37" t="n">
        <f aca="false">1000*p_r_wb/(1-(1+p_r_wb)^-Sector_Params!$D$10)/p_cpt_fuel</f>
        <v>0.871845569768514</v>
      </c>
      <c r="W1109" s="16" t="n">
        <f aca="false">T1109*L1109</f>
        <v>0</v>
      </c>
      <c r="X1109" s="16" t="n">
        <f aca="false">U1109*L1109</f>
        <v>0</v>
      </c>
      <c r="Y1109" s="16" t="n">
        <f aca="false">V1109*L1109</f>
        <v>0.00544176497670364</v>
      </c>
      <c r="Z1109" s="16" t="n">
        <f aca="false">Q1109*L1109</f>
        <v>0.000758319843284808</v>
      </c>
      <c r="AA1109" s="16" t="n">
        <f aca="false">R1109*L1109</f>
        <v>0.000997177028165074</v>
      </c>
      <c r="AB1109" s="16" t="n">
        <f aca="false">S1109*L1109</f>
        <v>0.000544176497670364</v>
      </c>
      <c r="AC1109" s="16" t="n">
        <f aca="false">Z1109-W1109</f>
        <v>0.000758319843284808</v>
      </c>
      <c r="AD1109" s="16" t="n">
        <f aca="false">AA1109-W1109</f>
        <v>0.000997177028165074</v>
      </c>
      <c r="AE1109" s="16" t="n">
        <f aca="false">AB1109-W1109</f>
        <v>0.000544176497670364</v>
      </c>
      <c r="AF1109" s="16" t="n">
        <f aca="false">AE1109-X1109</f>
        <v>0.000544176497670364</v>
      </c>
      <c r="AG1109" s="16" t="n">
        <f aca="false">AF1109-p_spc_lo*Y1109/1000</f>
        <v>0.000272088248835182</v>
      </c>
      <c r="AH1109" s="16" t="n">
        <f aca="false">AF1109-p_spc_hi*Y1109/1000</f>
        <v>0</v>
      </c>
      <c r="AI1109" s="16" t="n">
        <f aca="false">Q1109*J1109</f>
        <v>0.0031596660136867</v>
      </c>
      <c r="AJ1109" s="16" t="n">
        <f aca="false">S1109*J1109</f>
        <v>0.00226740207362652</v>
      </c>
      <c r="AK1109" s="16" t="n">
        <f aca="false">T1109*J1109</f>
        <v>0</v>
      </c>
      <c r="AL1109" s="16" t="n">
        <f aca="false">U1109*J1109</f>
        <v>0</v>
      </c>
      <c r="AM1109" s="16" t="n">
        <f aca="false">AI1109-AJ1109</f>
        <v>0.000892263940060182</v>
      </c>
      <c r="AN1109" s="16" t="n">
        <f aca="false">J1109*Country_Data!$EB$162</f>
        <v>0.0317324783305847</v>
      </c>
      <c r="AO1109" s="16" t="n">
        <f aca="false">L1109*Country_Data!$EB$162</f>
        <v>0.00761579479934033</v>
      </c>
    </row>
    <row r="1110" customFormat="false" ht="15" hidden="false" customHeight="false" outlineLevel="0" collapsed="false">
      <c r="A1110" s="14" t="str">
        <f aca="false">Country_Data!$A$162</f>
        <v>SLE</v>
      </c>
      <c r="B1110" s="14" t="str">
        <f aca="false">Country_Data!$E$162</f>
        <v>EMDC</v>
      </c>
      <c r="C1110" s="35" t="s">
        <v>488</v>
      </c>
      <c r="D1110" s="37" t="n">
        <f aca="false">IF(Country_Data!$CE$162="","",Country_Data!$CE$162)</f>
        <v>9.364</v>
      </c>
      <c r="E1110" s="40" t="n">
        <f aca="false">Country_Data!$BW$162</f>
        <v>30.484</v>
      </c>
      <c r="F1110" s="41" t="n">
        <f aca="false">Country_Data!$BX$162</f>
        <v>0.228644534837948</v>
      </c>
      <c r="G1110" s="42" t="n">
        <f aca="false">IF(D1110="","",D1110/SUMIFS($D$5:$D$1369,$B$5:$B$1369,B1110,$C$5:$C$1369,C1110))</f>
        <v>0.000767282497453727</v>
      </c>
      <c r="H1110" s="42" t="n">
        <f aca="false">E1110/SUMIFS($E$5:$E$1369,$B$5:$B$1369,B1110,$C$5:$C$1369,C1110)</f>
        <v>0.000377595520184155</v>
      </c>
      <c r="I1110" s="43" t="n">
        <f aca="false">IF(G1110="",H1110,p_beta_alloc*G1110+(1-p_beta_alloc)*H1110)*F1110^p_phi</f>
        <v>0.000273721955281753</v>
      </c>
      <c r="J1110" s="16" t="n">
        <f aca="false">INDEX(Sector_Params!$C$22:$E$22,MATCH(B1110,Sector_Params!$C$15:$E$15,0))*I1110/SUMIFS($I$5:$I$1369,$B$5:$B$1369,B1110,$C$5:$C$1369,C1110)</f>
        <v>0.165001890683518</v>
      </c>
      <c r="K1110" s="28" t="n">
        <f aca="false">INDEX(Sector_Params!$F$11:$H$11,MATCH(B1110,Sector_Params!$C$15:$E$15,0))</f>
        <v>0.24</v>
      </c>
      <c r="L1110" s="16" t="n">
        <f aca="false">J1110*K1110</f>
        <v>0.0396004537640444</v>
      </c>
      <c r="M1110" s="44" t="n">
        <f aca="false">Country_Data!$DW$162+Sector_Params!$E$11</f>
        <v>0.105</v>
      </c>
      <c r="N1110" s="44" t="n">
        <f aca="false">Country_Data!$DX$162+Sector_Params!$E$11</f>
        <v>0.15</v>
      </c>
      <c r="O1110" s="11" t="n">
        <f aca="false">IF(p_use_ibrd=1,p_r_ibrd,p_r_wb)</f>
        <v>0.06</v>
      </c>
      <c r="P1110" s="45" t="n">
        <f aca="false">Sector_Params!$D$11</f>
        <v>30</v>
      </c>
      <c r="Q1110" s="46" t="n">
        <f aca="false">M1110/(1-(1+M1110)^-P1110)</f>
        <v>0.110528481529605</v>
      </c>
      <c r="R1110" s="46" t="n">
        <f aca="false">N1110/(1-(1+N1110)^-P1110)</f>
        <v>0.152300198192734</v>
      </c>
      <c r="S1110" s="46" t="n">
        <f aca="false">O1110/(1-(1+O1110)^-P1110)</f>
        <v>0.0726489114900472</v>
      </c>
      <c r="T1110" s="37" t="n">
        <f aca="false">0*Sector_Params!$I$11</f>
        <v>0</v>
      </c>
      <c r="U1110" s="37" t="n">
        <f aca="false">p_c*Sector_Params!$J$11</f>
        <v>0.129</v>
      </c>
      <c r="V1110" s="37" t="n">
        <f aca="false">1000*p_r_wb/(1-(1+p_r_wb)^-Sector_Params!$D$11)/p_cpt_afolu</f>
        <v>1.45297822980094</v>
      </c>
      <c r="W1110" s="16" t="n">
        <f aca="false">T1110*L1110</f>
        <v>0</v>
      </c>
      <c r="X1110" s="16" t="n">
        <f aca="false">U1110*L1110</f>
        <v>0.00510845853556173</v>
      </c>
      <c r="Y1110" s="16" t="n">
        <f aca="false">V1110*L1110</f>
        <v>0.0575385972093954</v>
      </c>
      <c r="Z1110" s="16" t="n">
        <f aca="false">Q1110*L1110</f>
        <v>0.00437697802242317</v>
      </c>
      <c r="AA1110" s="16" t="n">
        <f aca="false">R1110*L1110</f>
        <v>0.00603115695678618</v>
      </c>
      <c r="AB1110" s="16" t="n">
        <f aca="false">S1110*L1110</f>
        <v>0.00287692986046977</v>
      </c>
      <c r="AC1110" s="16" t="n">
        <f aca="false">Z1110-W1110</f>
        <v>0.00437697802242317</v>
      </c>
      <c r="AD1110" s="16" t="n">
        <f aca="false">AA1110-W1110</f>
        <v>0.00603115695678618</v>
      </c>
      <c r="AE1110" s="16" t="n">
        <f aca="false">AB1110-W1110</f>
        <v>0.00287692986046977</v>
      </c>
      <c r="AF1110" s="16" t="n">
        <f aca="false">AE1110-X1110</f>
        <v>-0.00223152867509196</v>
      </c>
      <c r="AG1110" s="16" t="n">
        <f aca="false">AF1110-p_spc_lo*Y1110/1000</f>
        <v>-0.00510845853556173</v>
      </c>
      <c r="AH1110" s="16" t="n">
        <f aca="false">AF1110-p_spc_hi*Y1110/1000</f>
        <v>-0.0079853883960315</v>
      </c>
      <c r="AI1110" s="16" t="n">
        <f aca="false">Q1110*J1110</f>
        <v>0.0182374084267632</v>
      </c>
      <c r="AJ1110" s="16" t="n">
        <f aca="false">S1110*J1110</f>
        <v>0.0119872077519574</v>
      </c>
      <c r="AK1110" s="16" t="n">
        <f aca="false">T1110*J1110</f>
        <v>0</v>
      </c>
      <c r="AL1110" s="16" t="n">
        <f aca="false">U1110*J1110</f>
        <v>0.0212852438981739</v>
      </c>
      <c r="AM1110" s="16" t="n">
        <f aca="false">AI1110-AJ1110</f>
        <v>0.00625020067480582</v>
      </c>
      <c r="AN1110" s="16" t="n">
        <f aca="false">J1110*Country_Data!$EB$162</f>
        <v>0.201327888322371</v>
      </c>
      <c r="AO1110" s="16" t="n">
        <f aca="false">L1110*Country_Data!$EB$162</f>
        <v>0.0483186931973689</v>
      </c>
    </row>
    <row r="1111" customFormat="false" ht="15" hidden="false" customHeight="false" outlineLevel="0" collapsed="false">
      <c r="A1111" s="14" t="str">
        <f aca="false">Country_Data!$A$163</f>
        <v>FJI</v>
      </c>
      <c r="B1111" s="14" t="str">
        <f aca="false">Country_Data!$E$163</f>
        <v>EMDC</v>
      </c>
      <c r="C1111" s="35" t="s">
        <v>466</v>
      </c>
      <c r="D1111" s="37" t="n">
        <f aca="false">IF(Country_Data!$BZ$163="","",Country_Data!$BZ$163)</f>
        <v>1.06272522865784</v>
      </c>
      <c r="E1111" s="40" t="n">
        <f aca="false">Country_Data!$BW$163</f>
        <v>14.373</v>
      </c>
      <c r="F1111" s="41" t="n">
        <f aca="false">Country_Data!$BX$163</f>
        <v>0.415222987546093</v>
      </c>
      <c r="G1111" s="42" t="n">
        <f aca="false">IF(D1111="","",D1111/SUMIFS($D$5:$D$1369,$B$5:$B$1369,B1111,$C$5:$C$1369,C1111))</f>
        <v>0.000121322981478001</v>
      </c>
      <c r="H1111" s="42" t="n">
        <f aca="false">E1111/SUMIFS($E$5:$E$1369,$B$5:$B$1369,B1111,$C$5:$C$1369,C1111)</f>
        <v>0.000178033736110972</v>
      </c>
      <c r="I1111" s="43" t="n">
        <f aca="false">IF(G1111="",H1111,p_beta_alloc*G1111+(1-p_beta_alloc)*H1111)*F1111^p_phi</f>
        <v>9.64494392373355E-005</v>
      </c>
      <c r="J1111" s="16" t="n">
        <f aca="false">INDEX(Sector_Params!$C$16:$E$16,MATCH(B1111,Sector_Params!$C$15:$E$15,0))*I1111/SUMIFS($I$5:$I$1369,$B$5:$B$1369,B1111,$C$5:$C$1369,C1111)</f>
        <v>0.0932883428344535</v>
      </c>
      <c r="K1111" s="28" t="n">
        <f aca="false">INDEX(Sector_Params!$F$5:$H$5,MATCH(B1111,Sector_Params!$C$15:$E$15,0))</f>
        <v>0.24</v>
      </c>
      <c r="L1111" s="16" t="n">
        <f aca="false">J1111*K1111</f>
        <v>0.0223892022802689</v>
      </c>
      <c r="M1111" s="44" t="n">
        <f aca="false">Country_Data!$DW$163+Sector_Params!$E$5</f>
        <v>0.105</v>
      </c>
      <c r="N1111" s="44" t="n">
        <f aca="false">Country_Data!$DX$163+Sector_Params!$E$5</f>
        <v>0.15</v>
      </c>
      <c r="O1111" s="11" t="n">
        <f aca="false">IF(p_use_ibrd=1,p_r_ibrd,p_r_wb)</f>
        <v>0.06</v>
      </c>
      <c r="P1111" s="45" t="n">
        <f aca="false">Sector_Params!$D$5</f>
        <v>25</v>
      </c>
      <c r="Q1111" s="46" t="n">
        <f aca="false">M1111/(1-(1+M1111)^-P1111)</f>
        <v>0.114429319813103</v>
      </c>
      <c r="R1111" s="46" t="n">
        <f aca="false">N1111/(1-(1+N1111)^-P1111)</f>
        <v>0.154699402320206</v>
      </c>
      <c r="S1111" s="46" t="n">
        <f aca="false">O1111/(1-(1+O1111)^-P1111)</f>
        <v>0.078226718212274</v>
      </c>
      <c r="T1111" s="37" t="n">
        <f aca="false">IF(AND(p_eng=1,ISNUMBER(Country_Data!$CZ$163)),Country_Data!$CZ$163,Country_Data!$CM$163)*Sector_Params!$I$5</f>
        <v>0.109222550558986</v>
      </c>
      <c r="U1111" s="37" t="n">
        <f aca="false">IF(AND(p_eng=1,ISNUMBER(Country_Data!$DA$163)),Country_Data!$DA$163,Country_Data!$CN$163)*Sector_Params!$J$5</f>
        <v>0.0153403946180809</v>
      </c>
      <c r="V1111" s="37" t="n">
        <f aca="false">IF(AND(p_eng=1,ISNUMBER(Country_Data!$DB$163)),Country_Data!$DB$163,p_a)</f>
        <v>0.683050462147873</v>
      </c>
      <c r="W1111" s="16" t="n">
        <f aca="false">T1111*L1111</f>
        <v>0.00244540577803203</v>
      </c>
      <c r="X1111" s="16" t="n">
        <f aca="false">U1111*L1111</f>
        <v>0.00034345919816336</v>
      </c>
      <c r="Y1111" s="16" t="n">
        <f aca="false">V1111*L1111</f>
        <v>0.0152929549646599</v>
      </c>
      <c r="Z1111" s="16" t="n">
        <f aca="false">Q1111*L1111</f>
        <v>0.00256198118808915</v>
      </c>
      <c r="AA1111" s="16" t="n">
        <f aca="false">R1111*L1111</f>
        <v>0.00346359621118379</v>
      </c>
      <c r="AB1111" s="16" t="n">
        <f aca="false">S1111*L1111</f>
        <v>0.00175143381777619</v>
      </c>
      <c r="AC1111" s="16" t="n">
        <f aca="false">Z1111-W1111</f>
        <v>0.000116575410057115</v>
      </c>
      <c r="AD1111" s="16" t="n">
        <f aca="false">AA1111-W1111</f>
        <v>0.00101819043315176</v>
      </c>
      <c r="AE1111" s="16" t="n">
        <f aca="false">AB1111-W1111</f>
        <v>-0.000693971960255838</v>
      </c>
      <c r="AF1111" s="16" t="n">
        <f aca="false">AE1111-X1111</f>
        <v>-0.0010374311584192</v>
      </c>
      <c r="AG1111" s="16" t="n">
        <f aca="false">AF1111-p_spc_lo*Y1111/1000</f>
        <v>-0.00180207890665219</v>
      </c>
      <c r="AH1111" s="16" t="n">
        <f aca="false">AF1111-p_spc_hi*Y1111/1000</f>
        <v>-0.00256672665488518</v>
      </c>
      <c r="AI1111" s="16" t="n">
        <f aca="false">Q1111*J1111</f>
        <v>0.0106749216170381</v>
      </c>
      <c r="AJ1111" s="16" t="n">
        <f aca="false">S1111*J1111</f>
        <v>0.0072976409074008</v>
      </c>
      <c r="AK1111" s="16" t="n">
        <f aca="false">T1111*J1111</f>
        <v>0.0101891907418001</v>
      </c>
      <c r="AL1111" s="16" t="n">
        <f aca="false">U1111*J1111</f>
        <v>0.00143107999234734</v>
      </c>
      <c r="AM1111" s="16" t="n">
        <f aca="false">AI1111-AJ1111</f>
        <v>0.00337728070963731</v>
      </c>
      <c r="AN1111" s="16" t="n">
        <f aca="false">J1111*Country_Data!$EB$163</f>
        <v>0.106742171869082</v>
      </c>
      <c r="AO1111" s="16" t="n">
        <f aca="false">L1111*Country_Data!$EB$163</f>
        <v>0.0256181212485797</v>
      </c>
    </row>
    <row r="1112" customFormat="false" ht="15" hidden="false" customHeight="false" outlineLevel="0" collapsed="false">
      <c r="A1112" s="14" t="str">
        <f aca="false">Country_Data!$A$163</f>
        <v>FJI</v>
      </c>
      <c r="B1112" s="14" t="str">
        <f aca="false">Country_Data!$E$163</f>
        <v>EMDC</v>
      </c>
      <c r="C1112" s="35" t="s">
        <v>470</v>
      </c>
      <c r="D1112" s="37" t="n">
        <f aca="false">IF(Country_Data!$BZ$163="","",Country_Data!$BZ$163)</f>
        <v>1.06272522865784</v>
      </c>
      <c r="E1112" s="40" t="n">
        <f aca="false">Country_Data!$BW$163</f>
        <v>14.373</v>
      </c>
      <c r="F1112" s="41" t="n">
        <f aca="false">Country_Data!$BX$163</f>
        <v>0.415222987546093</v>
      </c>
      <c r="G1112" s="42" t="n">
        <f aca="false">IF(D1112="","",D1112/SUMIFS($D$5:$D$1369,$B$5:$B$1369,B1112,$C$5:$C$1369,C1112))</f>
        <v>0.000121322981478001</v>
      </c>
      <c r="H1112" s="42" t="n">
        <f aca="false">E1112/SUMIFS($E$5:$E$1369,$B$5:$B$1369,B1112,$C$5:$C$1369,C1112)</f>
        <v>0.000178033736110972</v>
      </c>
      <c r="I1112" s="43" t="n">
        <f aca="false">IF(G1112="",H1112,p_beta_alloc*G1112+(1-p_beta_alloc)*H1112)*F1112^p_phi</f>
        <v>9.64494392373355E-005</v>
      </c>
      <c r="J1112" s="16" t="n">
        <f aca="false">INDEX(Sector_Params!$C$17:$E$17,MATCH(B1112,Sector_Params!$C$15:$E$15,0))*I1112/SUMIFS($I$5:$I$1369,$B$5:$B$1369,B1112,$C$5:$C$1369,C1112)</f>
        <v>0.0639691493721967</v>
      </c>
      <c r="K1112" s="28" t="n">
        <f aca="false">INDEX(Sector_Params!$F$6:$H$6,MATCH(B1112,Sector_Params!$C$15:$E$15,0))</f>
        <v>0.24</v>
      </c>
      <c r="L1112" s="16" t="n">
        <f aca="false">J1112*K1112</f>
        <v>0.0153525958493272</v>
      </c>
      <c r="M1112" s="44" t="n">
        <f aca="false">Country_Data!$DW$163+Sector_Params!$E$6</f>
        <v>0.105</v>
      </c>
      <c r="N1112" s="44" t="n">
        <f aca="false">Country_Data!$DX$163+Sector_Params!$E$6</f>
        <v>0.15</v>
      </c>
      <c r="O1112" s="11" t="n">
        <f aca="false">IF(p_use_ibrd=1,p_r_ibrd,p_r_wb)</f>
        <v>0.06</v>
      </c>
      <c r="P1112" s="45" t="n">
        <f aca="false">Sector_Params!$D$6</f>
        <v>40</v>
      </c>
      <c r="Q1112" s="46" t="n">
        <f aca="false">M1112/(1-(1+M1112)^-P1112)</f>
        <v>0.10697140835497</v>
      </c>
      <c r="R1112" s="46" t="n">
        <f aca="false">N1112/(1-(1+N1112)^-P1112)</f>
        <v>0.150562085013545</v>
      </c>
      <c r="S1112" s="46" t="n">
        <f aca="false">O1112/(1-(1+O1112)^-P1112)</f>
        <v>0.0664615359206755</v>
      </c>
      <c r="T1112" s="37" t="n">
        <f aca="false">p_grid_credit*IF(AND(p_eng=1,ISNUMBER(Country_Data!$CZ$163)),Country_Data!$CZ$163,Country_Data!$CM$163)*Sector_Params!$I$6</f>
        <v>0</v>
      </c>
      <c r="U1112" s="37" t="n">
        <f aca="false">p_grid_credit*IF(AND(p_eng=1,ISNUMBER(Country_Data!$DA$163)),Country_Data!$DA$163,Country_Data!$CN$163)*Sector_Params!$J$6</f>
        <v>0</v>
      </c>
      <c r="V1112" s="37" t="n">
        <f aca="false">p_grid_credit*IF(AND(p_eng=1,ISNUMBER(Country_Data!$DB$163)),Country_Data!$DB$163,p_a)</f>
        <v>0</v>
      </c>
      <c r="W1112" s="16" t="n">
        <f aca="false">T1112*L1112</f>
        <v>0</v>
      </c>
      <c r="X1112" s="16" t="n">
        <f aca="false">U1112*L1112</f>
        <v>0</v>
      </c>
      <c r="Y1112" s="16" t="n">
        <f aca="false">V1112*L1112</f>
        <v>0</v>
      </c>
      <c r="Z1112" s="16" t="n">
        <f aca="false">Q1112*L1112</f>
        <v>0.0016422887999072</v>
      </c>
      <c r="AA1112" s="16" t="n">
        <f aca="false">R1112*L1112</f>
        <v>0.002311518841445</v>
      </c>
      <c r="AB1112" s="16" t="n">
        <f aca="false">S1112*L1112</f>
        <v>0.00102035710051567</v>
      </c>
      <c r="AC1112" s="16" t="n">
        <f aca="false">Z1112-W1112</f>
        <v>0.0016422887999072</v>
      </c>
      <c r="AD1112" s="16" t="n">
        <f aca="false">AA1112-W1112</f>
        <v>0.002311518841445</v>
      </c>
      <c r="AE1112" s="16" t="n">
        <f aca="false">AB1112-W1112</f>
        <v>0.00102035710051567</v>
      </c>
      <c r="AF1112" s="16" t="n">
        <f aca="false">AE1112-X1112</f>
        <v>0.00102035710051567</v>
      </c>
      <c r="AG1112" s="16" t="n">
        <f aca="false">AF1112-p_spc_lo*Y1112/1000</f>
        <v>0.00102035710051567</v>
      </c>
      <c r="AH1112" s="16" t="n">
        <f aca="false">AF1112-p_spc_hi*Y1112/1000</f>
        <v>0.00102035710051567</v>
      </c>
      <c r="AI1112" s="16" t="n">
        <f aca="false">Q1112*J1112</f>
        <v>0.00684286999961335</v>
      </c>
      <c r="AJ1112" s="16" t="n">
        <f aca="false">S1112*J1112</f>
        <v>0.00425148791881531</v>
      </c>
      <c r="AK1112" s="16" t="n">
        <f aca="false">T1112*J1112</f>
        <v>0</v>
      </c>
      <c r="AL1112" s="16" t="n">
        <f aca="false">U1112*J1112</f>
        <v>0</v>
      </c>
      <c r="AM1112" s="16" t="n">
        <f aca="false">AI1112-AJ1112</f>
        <v>0.00259138208079804</v>
      </c>
      <c r="AN1112" s="16" t="n">
        <f aca="false">J1112*Country_Data!$EB$163</f>
        <v>0.0731946321387993</v>
      </c>
      <c r="AO1112" s="16" t="n">
        <f aca="false">L1112*Country_Data!$EB$163</f>
        <v>0.0175667117133118</v>
      </c>
    </row>
    <row r="1113" customFormat="false" ht="15" hidden="false" customHeight="false" outlineLevel="0" collapsed="false">
      <c r="A1113" s="14" t="str">
        <f aca="false">Country_Data!$A$163</f>
        <v>FJI</v>
      </c>
      <c r="B1113" s="14" t="str">
        <f aca="false">Country_Data!$E$163</f>
        <v>EMDC</v>
      </c>
      <c r="C1113" s="35" t="s">
        <v>473</v>
      </c>
      <c r="D1113" s="37" t="n">
        <f aca="false">IF(Country_Data!$CA$163="","",Country_Data!$CA$163)</f>
        <v>0.0103912640199283</v>
      </c>
      <c r="E1113" s="40" t="n">
        <f aca="false">Country_Data!$BW$163</f>
        <v>14.373</v>
      </c>
      <c r="F1113" s="41" t="n">
        <f aca="false">Country_Data!$BX$163</f>
        <v>0.415222987546093</v>
      </c>
      <c r="G1113" s="42" t="n">
        <f aca="false">IF(D1113="","",D1113/SUMIFS($D$5:$D$1369,$B$5:$B$1369,B1113,$C$5:$C$1369,C1113))</f>
        <v>0.000240062376364082</v>
      </c>
      <c r="H1113" s="42" t="n">
        <f aca="false">E1113/SUMIFS($E$5:$E$1369,$B$5:$B$1369,B1113,$C$5:$C$1369,C1113)</f>
        <v>0.000178033736110972</v>
      </c>
      <c r="I1113" s="43" t="n">
        <f aca="false">IF(G1113="",H1113,p_beta_alloc*G1113+(1-p_beta_alloc)*H1113)*F1113^p_phi</f>
        <v>0.000134705965245439</v>
      </c>
      <c r="J1113" s="16" t="n">
        <f aca="false">INDEX(Sector_Params!$C$18:$E$18,MATCH(B1113,Sector_Params!$C$15:$E$15,0))*I1113/SUMIFS($I$5:$I$1369,$B$5:$B$1369,B1113,$C$5:$C$1369,C1113)</f>
        <v>0.0551589054612928</v>
      </c>
      <c r="K1113" s="28" t="n">
        <f aca="false">INDEX(Sector_Params!$F$7:$H$7,MATCH(B1113,Sector_Params!$C$15:$E$15,0))</f>
        <v>0.24</v>
      </c>
      <c r="L1113" s="16" t="n">
        <f aca="false">J1113*K1113</f>
        <v>0.0132381373107103</v>
      </c>
      <c r="M1113" s="44" t="n">
        <f aca="false">Country_Data!$DW$163+Sector_Params!$E$7</f>
        <v>0.105</v>
      </c>
      <c r="N1113" s="44" t="n">
        <f aca="false">Country_Data!$DX$163+Sector_Params!$E$7</f>
        <v>0.15</v>
      </c>
      <c r="O1113" s="11" t="n">
        <f aca="false">IF(p_use_ibrd=1,p_r_ibrd,p_r_wb)</f>
        <v>0.06</v>
      </c>
      <c r="P1113" s="45" t="n">
        <f aca="false">Sector_Params!$D$7</f>
        <v>12</v>
      </c>
      <c r="Q1113" s="46" t="n">
        <f aca="false">M1113/(1-(1+M1113)^-P1113)</f>
        <v>0.150376745634766</v>
      </c>
      <c r="R1113" s="46" t="n">
        <f aca="false">N1113/(1-(1+N1113)^-P1113)</f>
        <v>0.18448077613084</v>
      </c>
      <c r="S1113" s="46" t="n">
        <f aca="false">O1113/(1-(1+O1113)^-P1113)</f>
        <v>0.119277029380664</v>
      </c>
      <c r="T1113" s="37" t="n">
        <f aca="false">IF(AND(p_eng=1,ISNUMBER(Country_Data!$DE$163)),Country_Data!$DE$163,Country_Data!$CM$163)*Sector_Params!$I$7</f>
        <v>0.09970758</v>
      </c>
      <c r="U1113" s="37" t="n">
        <f aca="false">IF(AND(p_eng=1,ISNUMBER(Country_Data!$DF$163)),Country_Data!$DF$163,Country_Data!$CN$163)*Sector_Params!$J$7</f>
        <v>0.00258795</v>
      </c>
      <c r="V1113" s="37" t="n">
        <f aca="false">IF(AND(p_eng=1,ISNUMBER(Country_Data!$DG$163)),Country_Data!$DG$163,p_a)</f>
        <v>0.372984926086957</v>
      </c>
      <c r="W1113" s="16" t="n">
        <f aca="false">T1113*L1113</f>
        <v>0.00131994263495863</v>
      </c>
      <c r="X1113" s="16" t="n">
        <f aca="false">U1113*L1113</f>
        <v>3.42596374532526E-005</v>
      </c>
      <c r="Y1113" s="16" t="n">
        <f aca="false">V1113*L1113</f>
        <v>0.00493762566636425</v>
      </c>
      <c r="Z1113" s="16" t="n">
        <f aca="false">Q1113*L1113</f>
        <v>0.00199070800705078</v>
      </c>
      <c r="AA1113" s="16" t="n">
        <f aca="false">R1113*L1113</f>
        <v>0.00244218184560646</v>
      </c>
      <c r="AB1113" s="16" t="n">
        <f aca="false">S1113*L1113</f>
        <v>0.00157900569295485</v>
      </c>
      <c r="AC1113" s="16" t="n">
        <f aca="false">Z1113-W1113</f>
        <v>0.00067076537209215</v>
      </c>
      <c r="AD1113" s="16" t="n">
        <f aca="false">AA1113-W1113</f>
        <v>0.00112223921064783</v>
      </c>
      <c r="AE1113" s="16" t="n">
        <f aca="false">AB1113-W1113</f>
        <v>0.000259063057996218</v>
      </c>
      <c r="AF1113" s="16" t="n">
        <f aca="false">AE1113-X1113</f>
        <v>0.000224803420542965</v>
      </c>
      <c r="AG1113" s="16" t="n">
        <f aca="false">AF1113-p_spc_lo*Y1113/1000</f>
        <v>-2.20778627752476E-005</v>
      </c>
      <c r="AH1113" s="16" t="n">
        <f aca="false">AF1113-p_spc_hi*Y1113/1000</f>
        <v>-0.00026895914609346</v>
      </c>
      <c r="AI1113" s="16" t="n">
        <f aca="false">Q1113*J1113</f>
        <v>0.00829461669604492</v>
      </c>
      <c r="AJ1113" s="16" t="n">
        <f aca="false">S1113*J1113</f>
        <v>0.00657919038731186</v>
      </c>
      <c r="AK1113" s="16" t="n">
        <f aca="false">T1113*J1113</f>
        <v>0.00549976097899429</v>
      </c>
      <c r="AL1113" s="16" t="n">
        <f aca="false">U1113*J1113</f>
        <v>0.000142748489388553</v>
      </c>
      <c r="AM1113" s="16" t="n">
        <f aca="false">AI1113-AJ1113</f>
        <v>0.00171542630873305</v>
      </c>
      <c r="AN1113" s="16" t="n">
        <f aca="false">J1113*Country_Data!$EB$163</f>
        <v>0.0631137952284996</v>
      </c>
      <c r="AO1113" s="16" t="n">
        <f aca="false">L1113*Country_Data!$EB$163</f>
        <v>0.0151473108548399</v>
      </c>
    </row>
    <row r="1114" customFormat="false" ht="15" hidden="false" customHeight="false" outlineLevel="0" collapsed="false">
      <c r="A1114" s="14" t="str">
        <f aca="false">Country_Data!$A$163</f>
        <v>FJI</v>
      </c>
      <c r="B1114" s="14" t="str">
        <f aca="false">Country_Data!$E$163</f>
        <v>EMDC</v>
      </c>
      <c r="C1114" s="35" t="s">
        <v>477</v>
      </c>
      <c r="D1114" s="37" t="n">
        <f aca="false">IF(Country_Data!$CB$163="","",Country_Data!$CB$163)</f>
        <v>0.00326563897121987</v>
      </c>
      <c r="E1114" s="40" t="n">
        <f aca="false">Country_Data!$BW$163</f>
        <v>14.373</v>
      </c>
      <c r="F1114" s="41" t="n">
        <f aca="false">Country_Data!$BX$163</f>
        <v>0.415222987546093</v>
      </c>
      <c r="G1114" s="42" t="n">
        <f aca="false">IF(D1114="","",D1114/SUMIFS($D$5:$D$1369,$B$5:$B$1369,B1114,$C$5:$C$1369,C1114))</f>
        <v>0.000102975540634263</v>
      </c>
      <c r="H1114" s="42" t="n">
        <f aca="false">E1114/SUMIFS($E$5:$E$1369,$B$5:$B$1369,B1114,$C$5:$C$1369,C1114)</f>
        <v>0.000178033736110972</v>
      </c>
      <c r="I1114" s="43" t="n">
        <f aca="false">IF(G1114="",H1114,p_beta_alloc*G1114+(1-p_beta_alloc)*H1114)*F1114^p_phi</f>
        <v>9.0538095756985E-005</v>
      </c>
      <c r="J1114" s="16" t="n">
        <f aca="false">INDEX(Sector_Params!$C$19:$E$19,MATCH(B1114,Sector_Params!$C$15:$E$15,0))*I1114/SUMIFS($I$5:$I$1369,$B$5:$B$1369,B1114,$C$5:$C$1369,C1114)</f>
        <v>0.0291408265848163</v>
      </c>
      <c r="K1114" s="28" t="n">
        <f aca="false">INDEX(Sector_Params!$F$8:$H$8,MATCH(B1114,Sector_Params!$C$15:$E$15,0))</f>
        <v>0.24</v>
      </c>
      <c r="L1114" s="16" t="n">
        <f aca="false">J1114*K1114</f>
        <v>0.0069937983803559</v>
      </c>
      <c r="M1114" s="44" t="n">
        <f aca="false">Country_Data!$DW$163+Sector_Params!$E$8</f>
        <v>0.105</v>
      </c>
      <c r="N1114" s="44" t="n">
        <f aca="false">Country_Data!$DX$163+Sector_Params!$E$8</f>
        <v>0.15</v>
      </c>
      <c r="O1114" s="11" t="n">
        <f aca="false">IF(p_use_ibrd=1,p_r_ibrd,p_r_wb)</f>
        <v>0.06</v>
      </c>
      <c r="P1114" s="45" t="n">
        <f aca="false">Sector_Params!$D$8</f>
        <v>25</v>
      </c>
      <c r="Q1114" s="46" t="n">
        <f aca="false">M1114/(1-(1+M1114)^-P1114)</f>
        <v>0.114429319813103</v>
      </c>
      <c r="R1114" s="46" t="n">
        <f aca="false">N1114/(1-(1+N1114)^-P1114)</f>
        <v>0.154699402320206</v>
      </c>
      <c r="S1114" s="46" t="n">
        <f aca="false">O1114/(1-(1+O1114)^-P1114)</f>
        <v>0.078226718212274</v>
      </c>
      <c r="T1114" s="37" t="n">
        <f aca="false">Country_Data!$CM$163*Sector_Params!$I$8</f>
        <v>0.141854019341584</v>
      </c>
      <c r="U1114" s="37" t="n">
        <f aca="false">Country_Data!$CN$163*Sector_Params!$J$8</f>
        <v>0.03225</v>
      </c>
      <c r="V1114" s="37" t="n">
        <f aca="false">p_a</f>
        <v>0.35</v>
      </c>
      <c r="W1114" s="16" t="n">
        <f aca="false">T1114*L1114</f>
        <v>0.000992098410718144</v>
      </c>
      <c r="X1114" s="16" t="n">
        <f aca="false">U1114*L1114</f>
        <v>0.000225549997766478</v>
      </c>
      <c r="Y1114" s="16" t="n">
        <f aca="false">V1114*L1114</f>
        <v>0.00244782943312457</v>
      </c>
      <c r="Z1114" s="16" t="n">
        <f aca="false">Q1114*L1114</f>
        <v>0.00080029559157411</v>
      </c>
      <c r="AA1114" s="16" t="n">
        <f aca="false">R1114*L1114</f>
        <v>0.00108193642938909</v>
      </c>
      <c r="AB1114" s="16" t="n">
        <f aca="false">S1114*L1114</f>
        <v>0.000547101895133559</v>
      </c>
      <c r="AC1114" s="16" t="n">
        <f aca="false">Z1114-W1114</f>
        <v>-0.000191802819144034</v>
      </c>
      <c r="AD1114" s="16" t="n">
        <f aca="false">AA1114-W1114</f>
        <v>8.98380186709423E-005</v>
      </c>
      <c r="AE1114" s="16" t="n">
        <f aca="false">AB1114-W1114</f>
        <v>-0.000444996515584585</v>
      </c>
      <c r="AF1114" s="16" t="n">
        <f aca="false">AE1114-X1114</f>
        <v>-0.000670546513351063</v>
      </c>
      <c r="AG1114" s="16" t="n">
        <f aca="false">AF1114-p_spc_lo*Y1114/1000</f>
        <v>-0.000792937985007291</v>
      </c>
      <c r="AH1114" s="16" t="n">
        <f aca="false">AF1114-p_spc_hi*Y1114/1000</f>
        <v>-0.000915329456663519</v>
      </c>
      <c r="AI1114" s="16" t="n">
        <f aca="false">Q1114*J1114</f>
        <v>0.00333456496489212</v>
      </c>
      <c r="AJ1114" s="16" t="n">
        <f aca="false">S1114*J1114</f>
        <v>0.00227959122972316</v>
      </c>
      <c r="AK1114" s="16" t="n">
        <f aca="false">T1114*J1114</f>
        <v>0.00413374337799227</v>
      </c>
      <c r="AL1114" s="16" t="n">
        <f aca="false">U1114*J1114</f>
        <v>0.000939791657360324</v>
      </c>
      <c r="AM1114" s="16" t="n">
        <f aca="false">AI1114-AJ1114</f>
        <v>0.00105497373516896</v>
      </c>
      <c r="AN1114" s="16" t="n">
        <f aca="false">J1114*Country_Data!$EB$163</f>
        <v>0.0333434491943272</v>
      </c>
      <c r="AO1114" s="16" t="n">
        <f aca="false">L1114*Country_Data!$EB$163</f>
        <v>0.00800242780663852</v>
      </c>
    </row>
    <row r="1115" customFormat="false" ht="15" hidden="false" customHeight="false" outlineLevel="0" collapsed="false">
      <c r="A1115" s="14" t="str">
        <f aca="false">Country_Data!$A$163</f>
        <v>FJI</v>
      </c>
      <c r="B1115" s="14" t="str">
        <f aca="false">Country_Data!$E$163</f>
        <v>EMDC</v>
      </c>
      <c r="C1115" s="35" t="s">
        <v>481</v>
      </c>
      <c r="D1115" s="37" t="n">
        <f aca="false">IF(Country_Data!$CC$163="","",Country_Data!$CC$163)</f>
        <v>0.00645157569033141</v>
      </c>
      <c r="E1115" s="40" t="n">
        <f aca="false">Country_Data!$BW$163</f>
        <v>14.373</v>
      </c>
      <c r="F1115" s="41" t="n">
        <f aca="false">Country_Data!$BX$163</f>
        <v>0.415222987546093</v>
      </c>
      <c r="G1115" s="42" t="n">
        <f aca="false">IF(D1115="","",D1115/SUMIFS($D$5:$D$1369,$B$5:$B$1369,B1115,$C$5:$C$1369,C1115))</f>
        <v>9.21558123865478E-005</v>
      </c>
      <c r="H1115" s="42" t="n">
        <f aca="false">E1115/SUMIFS($E$5:$E$1369,$B$5:$B$1369,B1115,$C$5:$C$1369,C1115)</f>
        <v>0.000178033736110972</v>
      </c>
      <c r="I1115" s="43" t="n">
        <f aca="false">IF(G1115="",H1115,p_beta_alloc*G1115+(1-p_beta_alloc)*H1115)*F1115^p_phi</f>
        <v>8.70520984137573E-005</v>
      </c>
      <c r="J1115" s="16" t="n">
        <f aca="false">INDEX(Sector_Params!$C$20:$E$20,MATCH(B1115,Sector_Params!$C$15:$E$15,0))*I1115/SUMIFS($I$5:$I$1369,$B$5:$B$1369,B1115,$C$5:$C$1369,C1115)</f>
        <v>0.0158887609884213</v>
      </c>
      <c r="K1115" s="28" t="n">
        <f aca="false">INDEX(Sector_Params!$F$9:$H$9,MATCH(B1115,Sector_Params!$C$15:$E$15,0))</f>
        <v>0.24</v>
      </c>
      <c r="L1115" s="16" t="n">
        <f aca="false">J1115*K1115</f>
        <v>0.0038133026372211</v>
      </c>
      <c r="M1115" s="44" t="n">
        <f aca="false">Country_Data!$DW$163+Sector_Params!$E$9</f>
        <v>0.105</v>
      </c>
      <c r="N1115" s="44" t="n">
        <f aca="false">Country_Data!$DX$163+Sector_Params!$E$9</f>
        <v>0.15</v>
      </c>
      <c r="O1115" s="11" t="n">
        <f aca="false">IF(p_use_ibrd=1,p_r_ibrd,p_r_wb)</f>
        <v>0.06</v>
      </c>
      <c r="P1115" s="45" t="n">
        <f aca="false">Sector_Params!$D$9</f>
        <v>25</v>
      </c>
      <c r="Q1115" s="46" t="n">
        <f aca="false">M1115/(1-(1+M1115)^-P1115)</f>
        <v>0.114429319813103</v>
      </c>
      <c r="R1115" s="46" t="n">
        <f aca="false">N1115/(1-(1+N1115)^-P1115)</f>
        <v>0.154699402320206</v>
      </c>
      <c r="S1115" s="46" t="n">
        <f aca="false">O1115/(1-(1+O1115)^-P1115)</f>
        <v>0.078226718212274</v>
      </c>
      <c r="T1115" s="37" t="n">
        <f aca="false">Country_Data!$CM$163*Sector_Params!$I$9</f>
        <v>0.141854019341584</v>
      </c>
      <c r="U1115" s="37" t="n">
        <f aca="false">Country_Data!$CN$163*Sector_Params!$J$9</f>
        <v>0.03225</v>
      </c>
      <c r="V1115" s="37" t="n">
        <f aca="false">p_a</f>
        <v>0.35</v>
      </c>
      <c r="W1115" s="16" t="n">
        <f aca="false">T1115*L1115</f>
        <v>0.000540932306055675</v>
      </c>
      <c r="X1115" s="16" t="n">
        <f aca="false">U1115*L1115</f>
        <v>0.000122979010050381</v>
      </c>
      <c r="Y1115" s="16" t="n">
        <f aca="false">V1115*L1115</f>
        <v>0.00133465592302739</v>
      </c>
      <c r="Z1115" s="16" t="n">
        <f aca="false">Q1115*L1115</f>
        <v>0.000436353627018724</v>
      </c>
      <c r="AA1115" s="16" t="n">
        <f aca="false">R1115*L1115</f>
        <v>0.000589915638844172</v>
      </c>
      <c r="AB1115" s="16" t="n">
        <f aca="false">S1115*L1115</f>
        <v>0.000298302150860016</v>
      </c>
      <c r="AC1115" s="16" t="n">
        <f aca="false">Z1115-W1115</f>
        <v>-0.000104578679036951</v>
      </c>
      <c r="AD1115" s="16" t="n">
        <f aca="false">AA1115-W1115</f>
        <v>4.89833327884968E-005</v>
      </c>
      <c r="AE1115" s="16" t="n">
        <f aca="false">AB1115-W1115</f>
        <v>-0.000242630155195658</v>
      </c>
      <c r="AF1115" s="16" t="n">
        <f aca="false">AE1115-X1115</f>
        <v>-0.000365609165246039</v>
      </c>
      <c r="AG1115" s="16" t="n">
        <f aca="false">AF1115-p_spc_lo*Y1115/1000</f>
        <v>-0.000432341961397408</v>
      </c>
      <c r="AH1115" s="16" t="n">
        <f aca="false">AF1115-p_spc_hi*Y1115/1000</f>
        <v>-0.000499074757548778</v>
      </c>
      <c r="AI1115" s="16" t="n">
        <f aca="false">Q1115*J1115</f>
        <v>0.00181814011257802</v>
      </c>
      <c r="AJ1115" s="16" t="n">
        <f aca="false">S1115*J1115</f>
        <v>0.0012429256285834</v>
      </c>
      <c r="AK1115" s="16" t="n">
        <f aca="false">T1115*J1115</f>
        <v>0.00225388460856531</v>
      </c>
      <c r="AL1115" s="16" t="n">
        <f aca="false">U1115*J1115</f>
        <v>0.000512412541876586</v>
      </c>
      <c r="AM1115" s="16" t="n">
        <f aca="false">AI1115-AJ1115</f>
        <v>0.000575214483994615</v>
      </c>
      <c r="AN1115" s="16" t="n">
        <f aca="false">J1115*Country_Data!$EB$163</f>
        <v>0.0181802013486562</v>
      </c>
      <c r="AO1115" s="16" t="n">
        <f aca="false">L1115*Country_Data!$EB$163</f>
        <v>0.00436324832367748</v>
      </c>
    </row>
    <row r="1116" customFormat="false" ht="15" hidden="false" customHeight="false" outlineLevel="0" collapsed="false">
      <c r="A1116" s="14" t="str">
        <f aca="false">Country_Data!$A$163</f>
        <v>FJI</v>
      </c>
      <c r="B1116" s="14" t="str">
        <f aca="false">Country_Data!$E$163</f>
        <v>EMDC</v>
      </c>
      <c r="C1116" s="35" t="s">
        <v>484</v>
      </c>
      <c r="D1116" s="37" t="n">
        <f aca="false">IF(Country_Data!$CD$163="","",Country_Data!$CD$163)</f>
        <v>0.0162826678583114</v>
      </c>
      <c r="E1116" s="40" t="n">
        <f aca="false">Country_Data!$BW$163</f>
        <v>14.373</v>
      </c>
      <c r="F1116" s="41" t="n">
        <f aca="false">Country_Data!$BX$163</f>
        <v>0.415222987546093</v>
      </c>
      <c r="G1116" s="42" t="n">
        <f aca="false">IF(D1116="","",D1116/SUMIFS($D$5:$D$1369,$B$5:$B$1369,B1116,$C$5:$C$1369,C1116))</f>
        <v>9.09283656941055E-005</v>
      </c>
      <c r="H1116" s="42" t="n">
        <f aca="false">E1116/SUMIFS($E$5:$E$1369,$B$5:$B$1369,B1116,$C$5:$C$1369,C1116)</f>
        <v>0.000178033736110972</v>
      </c>
      <c r="I1116" s="43" t="n">
        <f aca="false">IF(G1116="",H1116,p_beta_alloc*G1116+(1-p_beta_alloc)*H1116)*F1116^p_phi</f>
        <v>8.6656628600575E-005</v>
      </c>
      <c r="J1116" s="16" t="n">
        <f aca="false">INDEX(Sector_Params!$C$21:$E$21,MATCH(B1116,Sector_Params!$C$15:$E$15,0))*I1116/SUMIFS($I$5:$I$1369,$B$5:$B$1369,B1116,$C$5:$C$1369,C1116)</f>
        <v>0.0192195586013774</v>
      </c>
      <c r="K1116" s="28" t="n">
        <f aca="false">INDEX(Sector_Params!$F$10:$H$10,MATCH(B1116,Sector_Params!$C$15:$E$15,0))</f>
        <v>0.24</v>
      </c>
      <c r="L1116" s="16" t="n">
        <f aca="false">J1116*K1116</f>
        <v>0.00461269406433058</v>
      </c>
      <c r="M1116" s="44" t="n">
        <f aca="false">Country_Data!$DW$163+Sector_Params!$E$10</f>
        <v>0.105</v>
      </c>
      <c r="N1116" s="44" t="n">
        <f aca="false">Country_Data!$DX$163+Sector_Params!$E$10</f>
        <v>0.15</v>
      </c>
      <c r="O1116" s="11" t="n">
        <f aca="false">IF(p_use_ibrd=1,p_r_ibrd,p_r_wb)</f>
        <v>0.06</v>
      </c>
      <c r="P1116" s="45" t="n">
        <f aca="false">Sector_Params!$D$10</f>
        <v>20</v>
      </c>
      <c r="Q1116" s="46" t="n">
        <f aca="false">M1116/(1-(1+M1116)^-P1116)</f>
        <v>0.121493265267016</v>
      </c>
      <c r="R1116" s="46" t="n">
        <f aca="false">N1116/(1-(1+N1116)^-P1116)</f>
        <v>0.159761470405744</v>
      </c>
      <c r="S1116" s="46" t="n">
        <f aca="false">O1116/(1-(1+O1116)^-P1116)</f>
        <v>0.0871845569768514</v>
      </c>
      <c r="T1116" s="37" t="n">
        <f aca="false">0*Sector_Params!$I$10</f>
        <v>0</v>
      </c>
      <c r="U1116" s="37" t="n">
        <f aca="false">0*Sector_Params!$J$10</f>
        <v>0</v>
      </c>
      <c r="V1116" s="37" t="n">
        <f aca="false">1000*p_r_wb/(1-(1+p_r_wb)^-Sector_Params!$D$10)/p_cpt_fuel</f>
        <v>0.871845569768514</v>
      </c>
      <c r="W1116" s="16" t="n">
        <f aca="false">T1116*L1116</f>
        <v>0</v>
      </c>
      <c r="X1116" s="16" t="n">
        <f aca="false">U1116*L1116</f>
        <v>0</v>
      </c>
      <c r="Y1116" s="16" t="n">
        <f aca="false">V1116*L1116</f>
        <v>0.00402155688468414</v>
      </c>
      <c r="Z1116" s="16" t="n">
        <f aca="false">Q1116*L1116</f>
        <v>0.000560411263553306</v>
      </c>
      <c r="AA1116" s="16" t="n">
        <f aca="false">R1116*L1116</f>
        <v>0.0007369307862493</v>
      </c>
      <c r="AB1116" s="16" t="n">
        <f aca="false">S1116*L1116</f>
        <v>0.000402155688468414</v>
      </c>
      <c r="AC1116" s="16" t="n">
        <f aca="false">Z1116-W1116</f>
        <v>0.000560411263553306</v>
      </c>
      <c r="AD1116" s="16" t="n">
        <f aca="false">AA1116-W1116</f>
        <v>0.0007369307862493</v>
      </c>
      <c r="AE1116" s="16" t="n">
        <f aca="false">AB1116-W1116</f>
        <v>0.000402155688468414</v>
      </c>
      <c r="AF1116" s="16" t="n">
        <f aca="false">AE1116-X1116</f>
        <v>0.000402155688468414</v>
      </c>
      <c r="AG1116" s="16" t="n">
        <f aca="false">AF1116-p_spc_lo*Y1116/1000</f>
        <v>0.000201077844234207</v>
      </c>
      <c r="AH1116" s="16" t="n">
        <f aca="false">AF1116-p_spc_hi*Y1116/1000</f>
        <v>0</v>
      </c>
      <c r="AI1116" s="16" t="n">
        <f aca="false">Q1116*J1116</f>
        <v>0.00233504693147211</v>
      </c>
      <c r="AJ1116" s="16" t="n">
        <f aca="false">S1116*J1116</f>
        <v>0.00167564870195172</v>
      </c>
      <c r="AK1116" s="16" t="n">
        <f aca="false">T1116*J1116</f>
        <v>0</v>
      </c>
      <c r="AL1116" s="16" t="n">
        <f aca="false">U1116*J1116</f>
        <v>0</v>
      </c>
      <c r="AM1116" s="16" t="n">
        <f aca="false">AI1116-AJ1116</f>
        <v>0.000659398229520385</v>
      </c>
      <c r="AN1116" s="16" t="n">
        <f aca="false">J1116*Country_Data!$EB$163</f>
        <v>0.0219913588894672</v>
      </c>
      <c r="AO1116" s="16" t="n">
        <f aca="false">L1116*Country_Data!$EB$163</f>
        <v>0.00527792613347213</v>
      </c>
    </row>
    <row r="1117" customFormat="false" ht="15" hidden="false" customHeight="false" outlineLevel="0" collapsed="false">
      <c r="A1117" s="14" t="str">
        <f aca="false">Country_Data!$A$163</f>
        <v>FJI</v>
      </c>
      <c r="B1117" s="14" t="str">
        <f aca="false">Country_Data!$E$163</f>
        <v>EMDC</v>
      </c>
      <c r="C1117" s="35" t="s">
        <v>488</v>
      </c>
      <c r="D1117" s="37" t="n">
        <f aca="false">IF(Country_Data!$CE$163="","",Country_Data!$CE$163)</f>
        <v>1.295</v>
      </c>
      <c r="E1117" s="40" t="n">
        <f aca="false">Country_Data!$BW$163</f>
        <v>14.373</v>
      </c>
      <c r="F1117" s="41" t="n">
        <f aca="false">Country_Data!$BX$163</f>
        <v>0.415222987546093</v>
      </c>
      <c r="G1117" s="42" t="n">
        <f aca="false">IF(D1117="","",D1117/SUMIFS($D$5:$D$1369,$B$5:$B$1369,B1117,$C$5:$C$1369,C1117))</f>
        <v>0.000106111793485965</v>
      </c>
      <c r="H1117" s="42" t="n">
        <f aca="false">E1117/SUMIFS($E$5:$E$1369,$B$5:$B$1369,B1117,$C$5:$C$1369,C1117)</f>
        <v>0.000178033736110972</v>
      </c>
      <c r="I1117" s="43" t="n">
        <f aca="false">IF(G1117="",H1117,p_beta_alloc*G1117+(1-p_beta_alloc)*H1117)*F1117^p_phi</f>
        <v>9.15485619034921E-005</v>
      </c>
      <c r="J1117" s="16" t="n">
        <f aca="false">INDEX(Sector_Params!$C$22:$E$22,MATCH(B1117,Sector_Params!$C$15:$E$15,0))*I1117/SUMIFS($I$5:$I$1369,$B$5:$B$1369,B1117,$C$5:$C$1369,C1117)</f>
        <v>0.055186241044802</v>
      </c>
      <c r="K1117" s="28" t="n">
        <f aca="false">INDEX(Sector_Params!$F$11:$H$11,MATCH(B1117,Sector_Params!$C$15:$E$15,0))</f>
        <v>0.24</v>
      </c>
      <c r="L1117" s="16" t="n">
        <f aca="false">J1117*K1117</f>
        <v>0.0132446978507525</v>
      </c>
      <c r="M1117" s="44" t="n">
        <f aca="false">Country_Data!$DW$163+Sector_Params!$E$11</f>
        <v>0.105</v>
      </c>
      <c r="N1117" s="44" t="n">
        <f aca="false">Country_Data!$DX$163+Sector_Params!$E$11</f>
        <v>0.15</v>
      </c>
      <c r="O1117" s="11" t="n">
        <f aca="false">IF(p_use_ibrd=1,p_r_ibrd,p_r_wb)</f>
        <v>0.06</v>
      </c>
      <c r="P1117" s="45" t="n">
        <f aca="false">Sector_Params!$D$11</f>
        <v>30</v>
      </c>
      <c r="Q1117" s="46" t="n">
        <f aca="false">M1117/(1-(1+M1117)^-P1117)</f>
        <v>0.110528481529605</v>
      </c>
      <c r="R1117" s="46" t="n">
        <f aca="false">N1117/(1-(1+N1117)^-P1117)</f>
        <v>0.152300198192734</v>
      </c>
      <c r="S1117" s="46" t="n">
        <f aca="false">O1117/(1-(1+O1117)^-P1117)</f>
        <v>0.0726489114900472</v>
      </c>
      <c r="T1117" s="37" t="n">
        <f aca="false">0*Sector_Params!$I$11</f>
        <v>0</v>
      </c>
      <c r="U1117" s="37" t="n">
        <f aca="false">p_c*Sector_Params!$J$11</f>
        <v>0.129</v>
      </c>
      <c r="V1117" s="37" t="n">
        <f aca="false">1000*p_r_wb/(1-(1+p_r_wb)^-Sector_Params!$D$11)/p_cpt_afolu</f>
        <v>1.45297822980094</v>
      </c>
      <c r="W1117" s="16" t="n">
        <f aca="false">T1117*L1117</f>
        <v>0</v>
      </c>
      <c r="X1117" s="16" t="n">
        <f aca="false">U1117*L1117</f>
        <v>0.00170856602274707</v>
      </c>
      <c r="Y1117" s="16" t="n">
        <f aca="false">V1117*L1117</f>
        <v>0.0192442576374347</v>
      </c>
      <c r="Z1117" s="16" t="n">
        <f aca="false">Q1117*L1117</f>
        <v>0.0014639163417621</v>
      </c>
      <c r="AA1117" s="16" t="n">
        <f aca="false">R1117*L1117</f>
        <v>0.00201717010767249</v>
      </c>
      <c r="AB1117" s="16" t="n">
        <f aca="false">S1117*L1117</f>
        <v>0.000962212881871736</v>
      </c>
      <c r="AC1117" s="16" t="n">
        <f aca="false">Z1117-W1117</f>
        <v>0.0014639163417621</v>
      </c>
      <c r="AD1117" s="16" t="n">
        <f aca="false">AA1117-W1117</f>
        <v>0.00201717010767249</v>
      </c>
      <c r="AE1117" s="16" t="n">
        <f aca="false">AB1117-W1117</f>
        <v>0.000962212881871736</v>
      </c>
      <c r="AF1117" s="16" t="n">
        <f aca="false">AE1117-X1117</f>
        <v>-0.000746353140875335</v>
      </c>
      <c r="AG1117" s="16" t="n">
        <f aca="false">AF1117-p_spc_lo*Y1117/1000</f>
        <v>-0.00170856602274707</v>
      </c>
      <c r="AH1117" s="16" t="n">
        <f aca="false">AF1117-p_spc_hi*Y1117/1000</f>
        <v>-0.00267077890461881</v>
      </c>
      <c r="AI1117" s="16" t="n">
        <f aca="false">Q1117*J1117</f>
        <v>0.00609965142400874</v>
      </c>
      <c r="AJ1117" s="16" t="n">
        <f aca="false">S1117*J1117</f>
        <v>0.00400922034113223</v>
      </c>
      <c r="AK1117" s="16" t="n">
        <f aca="false">T1117*J1117</f>
        <v>0</v>
      </c>
      <c r="AL1117" s="16" t="n">
        <f aca="false">U1117*J1117</f>
        <v>0.00711902509477946</v>
      </c>
      <c r="AM1117" s="16" t="n">
        <f aca="false">AI1117-AJ1117</f>
        <v>0.00209043108287651</v>
      </c>
      <c r="AN1117" s="16" t="n">
        <f aca="false">J1117*Country_Data!$EB$163</f>
        <v>0.0631450730866374</v>
      </c>
      <c r="AO1117" s="16" t="n">
        <f aca="false">L1117*Country_Data!$EB$163</f>
        <v>0.015154817540793</v>
      </c>
    </row>
    <row r="1118" customFormat="false" ht="15" hidden="false" customHeight="false" outlineLevel="0" collapsed="false">
      <c r="A1118" s="14" t="str">
        <f aca="false">Country_Data!$A$164</f>
        <v>SWZ</v>
      </c>
      <c r="B1118" s="14" t="str">
        <f aca="false">Country_Data!$E$164</f>
        <v>EMDC</v>
      </c>
      <c r="C1118" s="35" t="s">
        <v>466</v>
      </c>
      <c r="D1118" s="37" t="n">
        <f aca="false">IF(Country_Data!$BZ$164="","",Country_Data!$BZ$164)</f>
        <v>1.84119487358179</v>
      </c>
      <c r="E1118" s="40" t="n">
        <f aca="false">Country_Data!$BW$164</f>
        <v>14.686</v>
      </c>
      <c r="F1118" s="41" t="n">
        <f aca="false">Country_Data!$BX$164</f>
        <v>0.330586953561215</v>
      </c>
      <c r="G1118" s="42" t="n">
        <f aca="false">IF(D1118="","",D1118/SUMIFS($D$5:$D$1369,$B$5:$B$1369,B1118,$C$5:$C$1369,C1118))</f>
        <v>0.000210194738509284</v>
      </c>
      <c r="H1118" s="42" t="n">
        <f aca="false">E1118/SUMIFS($E$5:$E$1369,$B$5:$B$1369,B1118,$C$5:$C$1369,C1118)</f>
        <v>0.000181910766612797</v>
      </c>
      <c r="I1118" s="43" t="n">
        <f aca="false">IF(G1118="",H1118,p_beta_alloc*G1118+(1-p_beta_alloc)*H1118)*F1118^p_phi</f>
        <v>0.000112723846354208</v>
      </c>
      <c r="J1118" s="16" t="n">
        <f aca="false">INDEX(Sector_Params!$C$16:$E$16,MATCH(B1118,Sector_Params!$C$15:$E$15,0))*I1118/SUMIFS($I$5:$I$1369,$B$5:$B$1369,B1118,$C$5:$C$1369,C1118)</f>
        <v>0.109029361989685</v>
      </c>
      <c r="K1118" s="28" t="n">
        <f aca="false">INDEX(Sector_Params!$F$5:$H$5,MATCH(B1118,Sector_Params!$C$15:$E$15,0))</f>
        <v>0.24</v>
      </c>
      <c r="L1118" s="16" t="n">
        <f aca="false">J1118*K1118</f>
        <v>0.0261670468775244</v>
      </c>
      <c r="M1118" s="44" t="n">
        <f aca="false">Country_Data!$DW$164+Sector_Params!$E$5</f>
        <v>0.105</v>
      </c>
      <c r="N1118" s="44" t="n">
        <f aca="false">Country_Data!$DX$164+Sector_Params!$E$5</f>
        <v>0.15</v>
      </c>
      <c r="O1118" s="11" t="n">
        <f aca="false">IF(p_use_ibrd=1,p_r_ibrd,p_r_wb)</f>
        <v>0.06</v>
      </c>
      <c r="P1118" s="45" t="n">
        <f aca="false">Sector_Params!$D$5</f>
        <v>25</v>
      </c>
      <c r="Q1118" s="46" t="n">
        <f aca="false">M1118/(1-(1+M1118)^-P1118)</f>
        <v>0.114429319813103</v>
      </c>
      <c r="R1118" s="46" t="n">
        <f aca="false">N1118/(1-(1+N1118)^-P1118)</f>
        <v>0.154699402320206</v>
      </c>
      <c r="S1118" s="46" t="n">
        <f aca="false">O1118/(1-(1+O1118)^-P1118)</f>
        <v>0.078226718212274</v>
      </c>
      <c r="T1118" s="37" t="n">
        <f aca="false">IF(AND(p_eng=1,ISNUMBER(Country_Data!$CZ$164)),Country_Data!$CZ$164,Country_Data!$CM$164)*Sector_Params!$I$5</f>
        <v>-0.010793546309244</v>
      </c>
      <c r="U1118" s="37" t="n">
        <f aca="false">IF(AND(p_eng=1,ISNUMBER(Country_Data!$DA$164)),Country_Data!$DA$164,Country_Data!$CN$164)*Sector_Params!$J$5</f>
        <v>0</v>
      </c>
      <c r="V1118" s="37" t="n">
        <f aca="false">IF(AND(p_eng=1,ISNUMBER(Country_Data!$DB$164)),Country_Data!$DB$164,p_a)</f>
        <v>0.0713776715956086</v>
      </c>
      <c r="W1118" s="16" t="n">
        <f aca="false">T1118*L1118</f>
        <v>-0.000282435232248718</v>
      </c>
      <c r="X1118" s="16" t="n">
        <f aca="false">U1118*L1118</f>
        <v>0</v>
      </c>
      <c r="Y1118" s="16" t="n">
        <f aca="false">V1118*L1118</f>
        <v>0.00186774287865083</v>
      </c>
      <c r="Z1118" s="16" t="n">
        <f aca="false">Q1118*L1118</f>
        <v>0.00299427737571271</v>
      </c>
      <c r="AA1118" s="16" t="n">
        <f aca="false">R1118*L1118</f>
        <v>0.00404802651243785</v>
      </c>
      <c r="AB1118" s="16" t="n">
        <f aca="false">S1118*L1118</f>
        <v>0.00204696220253546</v>
      </c>
      <c r="AC1118" s="16" t="n">
        <f aca="false">Z1118-W1118</f>
        <v>0.00327671260796142</v>
      </c>
      <c r="AD1118" s="16" t="n">
        <f aca="false">AA1118-W1118</f>
        <v>0.00433046174468657</v>
      </c>
      <c r="AE1118" s="16" t="n">
        <f aca="false">AB1118-W1118</f>
        <v>0.00232939743478418</v>
      </c>
      <c r="AF1118" s="16" t="n">
        <f aca="false">AE1118-X1118</f>
        <v>0.00232939743478418</v>
      </c>
      <c r="AG1118" s="16" t="n">
        <f aca="false">AF1118-p_spc_lo*Y1118/1000</f>
        <v>0.00223601029085164</v>
      </c>
      <c r="AH1118" s="16" t="n">
        <f aca="false">AF1118-p_spc_hi*Y1118/1000</f>
        <v>0.0021426231469191</v>
      </c>
      <c r="AI1118" s="16" t="n">
        <f aca="false">Q1118*J1118</f>
        <v>0.0124761557321363</v>
      </c>
      <c r="AJ1118" s="16" t="n">
        <f aca="false">S1118*J1118</f>
        <v>0.0085290091772311</v>
      </c>
      <c r="AK1118" s="16" t="n">
        <f aca="false">T1118*J1118</f>
        <v>-0.00117681346770299</v>
      </c>
      <c r="AL1118" s="16" t="n">
        <f aca="false">U1118*J1118</f>
        <v>0</v>
      </c>
      <c r="AM1118" s="16" t="n">
        <f aca="false">AI1118-AJ1118</f>
        <v>0.00394714655490517</v>
      </c>
      <c r="AN1118" s="16" t="n">
        <f aca="false">J1118*Country_Data!$EB$164</f>
        <v>0.125159733352543</v>
      </c>
      <c r="AO1118" s="16" t="n">
        <f aca="false">L1118*Country_Data!$EB$164</f>
        <v>0.0300383360046102</v>
      </c>
    </row>
    <row r="1119" customFormat="false" ht="15" hidden="false" customHeight="false" outlineLevel="0" collapsed="false">
      <c r="A1119" s="14" t="str">
        <f aca="false">Country_Data!$A$164</f>
        <v>SWZ</v>
      </c>
      <c r="B1119" s="14" t="str">
        <f aca="false">Country_Data!$E$164</f>
        <v>EMDC</v>
      </c>
      <c r="C1119" s="35" t="s">
        <v>470</v>
      </c>
      <c r="D1119" s="37" t="n">
        <f aca="false">IF(Country_Data!$BZ$164="","",Country_Data!$BZ$164)</f>
        <v>1.84119487358179</v>
      </c>
      <c r="E1119" s="40" t="n">
        <f aca="false">Country_Data!$BW$164</f>
        <v>14.686</v>
      </c>
      <c r="F1119" s="41" t="n">
        <f aca="false">Country_Data!$BX$164</f>
        <v>0.330586953561215</v>
      </c>
      <c r="G1119" s="42" t="n">
        <f aca="false">IF(D1119="","",D1119/SUMIFS($D$5:$D$1369,$B$5:$B$1369,B1119,$C$5:$C$1369,C1119))</f>
        <v>0.000210194738509284</v>
      </c>
      <c r="H1119" s="42" t="n">
        <f aca="false">E1119/SUMIFS($E$5:$E$1369,$B$5:$B$1369,B1119,$C$5:$C$1369,C1119)</f>
        <v>0.000181910766612797</v>
      </c>
      <c r="I1119" s="43" t="n">
        <f aca="false">IF(G1119="",H1119,p_beta_alloc*G1119+(1-p_beta_alloc)*H1119)*F1119^p_phi</f>
        <v>0.000112723846354208</v>
      </c>
      <c r="J1119" s="16" t="n">
        <f aca="false">INDEX(Sector_Params!$C$17:$E$17,MATCH(B1119,Sector_Params!$C$15:$E$15,0))*I1119/SUMIFS($I$5:$I$1369,$B$5:$B$1369,B1119,$C$5:$C$1369,C1119)</f>
        <v>0.0747629910786412</v>
      </c>
      <c r="K1119" s="28" t="n">
        <f aca="false">INDEX(Sector_Params!$F$6:$H$6,MATCH(B1119,Sector_Params!$C$15:$E$15,0))</f>
        <v>0.24</v>
      </c>
      <c r="L1119" s="16" t="n">
        <f aca="false">J1119*K1119</f>
        <v>0.0179431178588739</v>
      </c>
      <c r="M1119" s="44" t="n">
        <f aca="false">Country_Data!$DW$164+Sector_Params!$E$6</f>
        <v>0.105</v>
      </c>
      <c r="N1119" s="44" t="n">
        <f aca="false">Country_Data!$DX$164+Sector_Params!$E$6</f>
        <v>0.15</v>
      </c>
      <c r="O1119" s="11" t="n">
        <f aca="false">IF(p_use_ibrd=1,p_r_ibrd,p_r_wb)</f>
        <v>0.06</v>
      </c>
      <c r="P1119" s="45" t="n">
        <f aca="false">Sector_Params!$D$6</f>
        <v>40</v>
      </c>
      <c r="Q1119" s="46" t="n">
        <f aca="false">M1119/(1-(1+M1119)^-P1119)</f>
        <v>0.10697140835497</v>
      </c>
      <c r="R1119" s="46" t="n">
        <f aca="false">N1119/(1-(1+N1119)^-P1119)</f>
        <v>0.150562085013545</v>
      </c>
      <c r="S1119" s="46" t="n">
        <f aca="false">O1119/(1-(1+O1119)^-P1119)</f>
        <v>0.0664615359206755</v>
      </c>
      <c r="T1119" s="37" t="n">
        <f aca="false">p_grid_credit*IF(AND(p_eng=1,ISNUMBER(Country_Data!$CZ$164)),Country_Data!$CZ$164,Country_Data!$CM$164)*Sector_Params!$I$6</f>
        <v>-0</v>
      </c>
      <c r="U1119" s="37" t="n">
        <f aca="false">p_grid_credit*IF(AND(p_eng=1,ISNUMBER(Country_Data!$DA$164)),Country_Data!$DA$164,Country_Data!$CN$164)*Sector_Params!$J$6</f>
        <v>0</v>
      </c>
      <c r="V1119" s="37" t="n">
        <f aca="false">p_grid_credit*IF(AND(p_eng=1,ISNUMBER(Country_Data!$DB$164)),Country_Data!$DB$164,p_a)</f>
        <v>0</v>
      </c>
      <c r="W1119" s="16" t="n">
        <f aca="false">T1119*L1119</f>
        <v>-0</v>
      </c>
      <c r="X1119" s="16" t="n">
        <f aca="false">U1119*L1119</f>
        <v>0</v>
      </c>
      <c r="Y1119" s="16" t="n">
        <f aca="false">V1119*L1119</f>
        <v>0</v>
      </c>
      <c r="Z1119" s="16" t="n">
        <f aca="false">Q1119*L1119</f>
        <v>0.00191940058764296</v>
      </c>
      <c r="AA1119" s="16" t="n">
        <f aca="false">R1119*L1119</f>
        <v>0.00270155323647583</v>
      </c>
      <c r="AB1119" s="16" t="n">
        <f aca="false">S1119*L1119</f>
        <v>0.00119252717210646</v>
      </c>
      <c r="AC1119" s="16" t="n">
        <f aca="false">Z1119-W1119</f>
        <v>0.00191940058764296</v>
      </c>
      <c r="AD1119" s="16" t="n">
        <f aca="false">AA1119-W1119</f>
        <v>0.00270155323647583</v>
      </c>
      <c r="AE1119" s="16" t="n">
        <f aca="false">AB1119-W1119</f>
        <v>0.00119252717210646</v>
      </c>
      <c r="AF1119" s="16" t="n">
        <f aca="false">AE1119-X1119</f>
        <v>0.00119252717210646</v>
      </c>
      <c r="AG1119" s="16" t="n">
        <f aca="false">AF1119-p_spc_lo*Y1119/1000</f>
        <v>0.00119252717210646</v>
      </c>
      <c r="AH1119" s="16" t="n">
        <f aca="false">AF1119-p_spc_hi*Y1119/1000</f>
        <v>0.00119252717210646</v>
      </c>
      <c r="AI1119" s="16" t="n">
        <f aca="false">Q1119*J1119</f>
        <v>0.00799750244851233</v>
      </c>
      <c r="AJ1119" s="16" t="n">
        <f aca="false">S1119*J1119</f>
        <v>0.00496886321711025</v>
      </c>
      <c r="AK1119" s="16" t="n">
        <f aca="false">T1119*J1119</f>
        <v>-0</v>
      </c>
      <c r="AL1119" s="16" t="n">
        <f aca="false">U1119*J1119</f>
        <v>0</v>
      </c>
      <c r="AM1119" s="16" t="n">
        <f aca="false">AI1119-AJ1119</f>
        <v>0.00302863923140208</v>
      </c>
      <c r="AN1119" s="16" t="n">
        <f aca="false">J1119*Country_Data!$EB$164</f>
        <v>0.0858238171560292</v>
      </c>
      <c r="AO1119" s="16" t="n">
        <f aca="false">L1119*Country_Data!$EB$164</f>
        <v>0.020597716117447</v>
      </c>
    </row>
    <row r="1120" customFormat="false" ht="15" hidden="false" customHeight="false" outlineLevel="0" collapsed="false">
      <c r="A1120" s="14" t="str">
        <f aca="false">Country_Data!$A$164</f>
        <v>SWZ</v>
      </c>
      <c r="B1120" s="14" t="str">
        <f aca="false">Country_Data!$E$164</f>
        <v>EMDC</v>
      </c>
      <c r="C1120" s="35" t="s">
        <v>473</v>
      </c>
      <c r="D1120" s="37" t="n">
        <f aca="false">IF(Country_Data!$CA$164="","",Country_Data!$CA$164)</f>
        <v>0.0127143373306779</v>
      </c>
      <c r="E1120" s="40" t="n">
        <f aca="false">Country_Data!$BW$164</f>
        <v>14.686</v>
      </c>
      <c r="F1120" s="41" t="n">
        <f aca="false">Country_Data!$BX$164</f>
        <v>0.330586953561215</v>
      </c>
      <c r="G1120" s="42" t="n">
        <f aca="false">IF(D1120="","",D1120/SUMIFS($D$5:$D$1369,$B$5:$B$1369,B1120,$C$5:$C$1369,C1120))</f>
        <v>0.000293730774970545</v>
      </c>
      <c r="H1120" s="42" t="n">
        <f aca="false">E1120/SUMIFS($E$5:$E$1369,$B$5:$B$1369,B1120,$C$5:$C$1369,C1120)</f>
        <v>0.000181910766612797</v>
      </c>
      <c r="I1120" s="43" t="n">
        <f aca="false">IF(G1120="",H1120,p_beta_alloc*G1120+(1-p_beta_alloc)*H1120)*F1120^p_phi</f>
        <v>0.000136739074949804</v>
      </c>
      <c r="J1120" s="16" t="n">
        <f aca="false">INDEX(Sector_Params!$C$18:$E$18,MATCH(B1120,Sector_Params!$C$15:$E$15,0))*I1120/SUMIFS($I$5:$I$1369,$B$5:$B$1369,B1120,$C$5:$C$1369,C1120)</f>
        <v>0.0559914157793859</v>
      </c>
      <c r="K1120" s="28" t="n">
        <f aca="false">INDEX(Sector_Params!$F$7:$H$7,MATCH(B1120,Sector_Params!$C$15:$E$15,0))</f>
        <v>0.24</v>
      </c>
      <c r="L1120" s="16" t="n">
        <f aca="false">J1120*K1120</f>
        <v>0.0134379397870526</v>
      </c>
      <c r="M1120" s="44" t="n">
        <f aca="false">Country_Data!$DW$164+Sector_Params!$E$7</f>
        <v>0.105</v>
      </c>
      <c r="N1120" s="44" t="n">
        <f aca="false">Country_Data!$DX$164+Sector_Params!$E$7</f>
        <v>0.15</v>
      </c>
      <c r="O1120" s="11" t="n">
        <f aca="false">IF(p_use_ibrd=1,p_r_ibrd,p_r_wb)</f>
        <v>0.06</v>
      </c>
      <c r="P1120" s="45" t="n">
        <f aca="false">Sector_Params!$D$7</f>
        <v>12</v>
      </c>
      <c r="Q1120" s="46" t="n">
        <f aca="false">M1120/(1-(1+M1120)^-P1120)</f>
        <v>0.150376745634766</v>
      </c>
      <c r="R1120" s="46" t="n">
        <f aca="false">N1120/(1-(1+N1120)^-P1120)</f>
        <v>0.18448077613084</v>
      </c>
      <c r="S1120" s="46" t="n">
        <f aca="false">O1120/(1-(1+O1120)^-P1120)</f>
        <v>0.119277029380664</v>
      </c>
      <c r="T1120" s="37" t="n">
        <f aca="false">IF(AND(p_eng=1,ISNUMBER(Country_Data!$DE$164)),Country_Data!$DE$164,Country_Data!$CM$164)*Sector_Params!$I$7</f>
        <v>0.11461104</v>
      </c>
      <c r="U1120" s="37" t="n">
        <f aca="false">IF(AND(p_eng=1,ISNUMBER(Country_Data!$DF$164)),Country_Data!$DF$164,Country_Data!$CN$164)*Sector_Params!$J$7</f>
        <v>0</v>
      </c>
      <c r="V1120" s="37" t="n">
        <f aca="false">IF(AND(p_eng=1,ISNUMBER(Country_Data!$DG$164)),Country_Data!$DG$164,p_a)</f>
        <v>0.516514647540984</v>
      </c>
      <c r="W1120" s="16" t="n">
        <f aca="false">T1120*L1120</f>
        <v>0.00154013625445148</v>
      </c>
      <c r="X1120" s="16" t="n">
        <f aca="false">U1120*L1120</f>
        <v>0</v>
      </c>
      <c r="Y1120" s="16" t="n">
        <f aca="false">V1120*L1120</f>
        <v>0.00694089273278644</v>
      </c>
      <c r="Z1120" s="16" t="n">
        <f aca="false">Q1120*L1120</f>
        <v>0.00202075365321291</v>
      </c>
      <c r="AA1120" s="16" t="n">
        <f aca="false">R1120*L1120</f>
        <v>0.00247904156151495</v>
      </c>
      <c r="AB1120" s="16" t="n">
        <f aca="false">S1120*L1120</f>
        <v>0.00160283753879586</v>
      </c>
      <c r="AC1120" s="16" t="n">
        <f aca="false">Z1120-W1120</f>
        <v>0.00048061739876143</v>
      </c>
      <c r="AD1120" s="16" t="n">
        <f aca="false">AA1120-W1120</f>
        <v>0.000938905307063476</v>
      </c>
      <c r="AE1120" s="16" t="n">
        <f aca="false">AB1120-W1120</f>
        <v>6.27012843443836E-005</v>
      </c>
      <c r="AF1120" s="16" t="n">
        <f aca="false">AE1120-X1120</f>
        <v>6.27012843443836E-005</v>
      </c>
      <c r="AG1120" s="16" t="n">
        <f aca="false">AF1120-p_spc_lo*Y1120/1000</f>
        <v>-0.000284343352294938</v>
      </c>
      <c r="AH1120" s="16" t="n">
        <f aca="false">AF1120-p_spc_hi*Y1120/1000</f>
        <v>-0.00063138798893426</v>
      </c>
      <c r="AI1120" s="16" t="n">
        <f aca="false">Q1120*J1120</f>
        <v>0.00841980688838712</v>
      </c>
      <c r="AJ1120" s="16" t="n">
        <f aca="false">S1120*J1120</f>
        <v>0.00667848974498276</v>
      </c>
      <c r="AK1120" s="16" t="n">
        <f aca="false">T1120*J1120</f>
        <v>0.00641723439354783</v>
      </c>
      <c r="AL1120" s="16" t="n">
        <f aca="false">U1120*J1120</f>
        <v>0</v>
      </c>
      <c r="AM1120" s="16" t="n">
        <f aca="false">AI1120-AJ1120</f>
        <v>0.00174131714340436</v>
      </c>
      <c r="AN1120" s="16" t="n">
        <f aca="false">J1120*Country_Data!$EB$164</f>
        <v>0.0642750772919526</v>
      </c>
      <c r="AO1120" s="16" t="n">
        <f aca="false">L1120*Country_Data!$EB$164</f>
        <v>0.0154260185500686</v>
      </c>
    </row>
    <row r="1121" customFormat="false" ht="15" hidden="false" customHeight="false" outlineLevel="0" collapsed="false">
      <c r="A1121" s="14" t="str">
        <f aca="false">Country_Data!$A$164</f>
        <v>SWZ</v>
      </c>
      <c r="B1121" s="14" t="str">
        <f aca="false">Country_Data!$E$164</f>
        <v>EMDC</v>
      </c>
      <c r="C1121" s="35" t="s">
        <v>477</v>
      </c>
      <c r="D1121" s="37" t="n">
        <f aca="false">IF(Country_Data!$CB$164="","",Country_Data!$CB$164)</f>
        <v>0.0040760884786575</v>
      </c>
      <c r="E1121" s="40" t="n">
        <f aca="false">Country_Data!$BW$164</f>
        <v>14.686</v>
      </c>
      <c r="F1121" s="41" t="n">
        <f aca="false">Country_Data!$BX$164</f>
        <v>0.330586953561215</v>
      </c>
      <c r="G1121" s="42" t="n">
        <f aca="false">IF(D1121="","",D1121/SUMIFS($D$5:$D$1369,$B$5:$B$1369,B1121,$C$5:$C$1369,C1121))</f>
        <v>0.000128531481422779</v>
      </c>
      <c r="H1121" s="42" t="n">
        <f aca="false">E1121/SUMIFS($E$5:$E$1369,$B$5:$B$1369,B1121,$C$5:$C$1369,C1121)</f>
        <v>0.000181910766612797</v>
      </c>
      <c r="I1121" s="43" t="n">
        <f aca="false">IF(G1121="",H1121,p_beta_alloc*G1121+(1-p_beta_alloc)*H1121)*F1121^p_phi</f>
        <v>8.92470108485768E-005</v>
      </c>
      <c r="J1121" s="16" t="n">
        <f aca="false">INDEX(Sector_Params!$C$19:$E$19,MATCH(B1121,Sector_Params!$C$15:$E$15,0))*I1121/SUMIFS($I$5:$I$1369,$B$5:$B$1369,B1121,$C$5:$C$1369,C1121)</f>
        <v>0.0287252746438611</v>
      </c>
      <c r="K1121" s="28" t="n">
        <f aca="false">INDEX(Sector_Params!$F$8:$H$8,MATCH(B1121,Sector_Params!$C$15:$E$15,0))</f>
        <v>0.24</v>
      </c>
      <c r="L1121" s="16" t="n">
        <f aca="false">J1121*K1121</f>
        <v>0.00689406591452666</v>
      </c>
      <c r="M1121" s="44" t="n">
        <f aca="false">Country_Data!$DW$164+Sector_Params!$E$8</f>
        <v>0.105</v>
      </c>
      <c r="N1121" s="44" t="n">
        <f aca="false">Country_Data!$DX$164+Sector_Params!$E$8</f>
        <v>0.15</v>
      </c>
      <c r="O1121" s="11" t="n">
        <f aca="false">IF(p_use_ibrd=1,p_r_ibrd,p_r_wb)</f>
        <v>0.06</v>
      </c>
      <c r="P1121" s="45" t="n">
        <f aca="false">Sector_Params!$D$8</f>
        <v>25</v>
      </c>
      <c r="Q1121" s="46" t="n">
        <f aca="false">M1121/(1-(1+M1121)^-P1121)</f>
        <v>0.114429319813103</v>
      </c>
      <c r="R1121" s="46" t="n">
        <f aca="false">N1121/(1-(1+N1121)^-P1121)</f>
        <v>0.154699402320206</v>
      </c>
      <c r="S1121" s="46" t="n">
        <f aca="false">O1121/(1-(1+O1121)^-P1121)</f>
        <v>0.078226718212274</v>
      </c>
      <c r="T1121" s="37" t="n">
        <f aca="false">Country_Data!$CM$164*Sector_Params!$I$8</f>
        <v>0.197558294347266</v>
      </c>
      <c r="U1121" s="37" t="n">
        <f aca="false">Country_Data!$CN$164*Sector_Params!$J$8</f>
        <v>0.03225</v>
      </c>
      <c r="V1121" s="37" t="n">
        <f aca="false">p_a</f>
        <v>0.35</v>
      </c>
      <c r="W1121" s="16" t="n">
        <f aca="false">T1121*L1121</f>
        <v>0.00136197990319151</v>
      </c>
      <c r="X1121" s="16" t="n">
        <f aca="false">U1121*L1121</f>
        <v>0.000222333625743485</v>
      </c>
      <c r="Y1121" s="16" t="n">
        <f aca="false">V1121*L1121</f>
        <v>0.00241292307008433</v>
      </c>
      <c r="Z1121" s="16" t="n">
        <f aca="false">Q1121*L1121</f>
        <v>0.000788883273345986</v>
      </c>
      <c r="AA1121" s="16" t="n">
        <f aca="false">R1121*L1121</f>
        <v>0.00106650787653338</v>
      </c>
      <c r="AB1121" s="16" t="n">
        <f aca="false">S1121*L1121</f>
        <v>0.00053930015163252</v>
      </c>
      <c r="AC1121" s="16" t="n">
        <f aca="false">Z1121-W1121</f>
        <v>-0.000573096629845524</v>
      </c>
      <c r="AD1121" s="16" t="n">
        <f aca="false">AA1121-W1121</f>
        <v>-0.000295472026658128</v>
      </c>
      <c r="AE1121" s="16" t="n">
        <f aca="false">AB1121-W1121</f>
        <v>-0.00082267975155899</v>
      </c>
      <c r="AF1121" s="16" t="n">
        <f aca="false">AE1121-X1121</f>
        <v>-0.00104501337730248</v>
      </c>
      <c r="AG1121" s="16" t="n">
        <f aca="false">AF1121-p_spc_lo*Y1121/1000</f>
        <v>-0.00116565953080669</v>
      </c>
      <c r="AH1121" s="16" t="n">
        <f aca="false">AF1121-p_spc_hi*Y1121/1000</f>
        <v>-0.00128630568431091</v>
      </c>
      <c r="AI1121" s="16" t="n">
        <f aca="false">Q1121*J1121</f>
        <v>0.00328701363894161</v>
      </c>
      <c r="AJ1121" s="16" t="n">
        <f aca="false">S1121*J1121</f>
        <v>0.0022470839651355</v>
      </c>
      <c r="AK1121" s="16" t="n">
        <f aca="false">T1121*J1121</f>
        <v>0.00567491626329796</v>
      </c>
      <c r="AL1121" s="16" t="n">
        <f aca="false">U1121*J1121</f>
        <v>0.000926390107264521</v>
      </c>
      <c r="AM1121" s="16" t="n">
        <f aca="false">AI1121-AJ1121</f>
        <v>0.00103992967380611</v>
      </c>
      <c r="AN1121" s="16" t="n">
        <f aca="false">J1121*Country_Data!$EB$164</f>
        <v>0.0329750413035008</v>
      </c>
      <c r="AO1121" s="16" t="n">
        <f aca="false">L1121*Country_Data!$EB$164</f>
        <v>0.0079140099128402</v>
      </c>
    </row>
    <row r="1122" customFormat="false" ht="15" hidden="false" customHeight="false" outlineLevel="0" collapsed="false">
      <c r="A1122" s="14" t="str">
        <f aca="false">Country_Data!$A$164</f>
        <v>SWZ</v>
      </c>
      <c r="B1122" s="14" t="str">
        <f aca="false">Country_Data!$E$164</f>
        <v>EMDC</v>
      </c>
      <c r="C1122" s="35" t="s">
        <v>481</v>
      </c>
      <c r="D1122" s="37" t="n">
        <f aca="false">IF(Country_Data!$CC$164="","",Country_Data!$CC$164)</f>
        <v>0.00464210467185697</v>
      </c>
      <c r="E1122" s="40" t="n">
        <f aca="false">Country_Data!$BW$164</f>
        <v>14.686</v>
      </c>
      <c r="F1122" s="41" t="n">
        <f aca="false">Country_Data!$BX$164</f>
        <v>0.330586953561215</v>
      </c>
      <c r="G1122" s="42" t="n">
        <f aca="false">IF(D1122="","",D1122/SUMIFS($D$5:$D$1369,$B$5:$B$1369,B1122,$C$5:$C$1369,C1122))</f>
        <v>6.63089061885272E-005</v>
      </c>
      <c r="H1122" s="42" t="n">
        <f aca="false">E1122/SUMIFS($E$5:$E$1369,$B$5:$B$1369,B1122,$C$5:$C$1369,C1122)</f>
        <v>0.000181910766612797</v>
      </c>
      <c r="I1122" s="43" t="n">
        <f aca="false">IF(G1122="",H1122,p_beta_alloc*G1122+(1-p_beta_alloc)*H1122)*F1122^p_phi</f>
        <v>7.13590497798203E-005</v>
      </c>
      <c r="J1122" s="16" t="n">
        <f aca="false">INDEX(Sector_Params!$C$20:$E$20,MATCH(B1122,Sector_Params!$C$15:$E$15,0))*I1122/SUMIFS($I$5:$I$1369,$B$5:$B$1369,B1122,$C$5:$C$1369,C1122)</f>
        <v>0.0130244635910263</v>
      </c>
      <c r="K1122" s="28" t="n">
        <f aca="false">INDEX(Sector_Params!$F$9:$H$9,MATCH(B1122,Sector_Params!$C$15:$E$15,0))</f>
        <v>0.24</v>
      </c>
      <c r="L1122" s="16" t="n">
        <f aca="false">J1122*K1122</f>
        <v>0.00312587126184631</v>
      </c>
      <c r="M1122" s="44" t="n">
        <f aca="false">Country_Data!$DW$164+Sector_Params!$E$9</f>
        <v>0.105</v>
      </c>
      <c r="N1122" s="44" t="n">
        <f aca="false">Country_Data!$DX$164+Sector_Params!$E$9</f>
        <v>0.15</v>
      </c>
      <c r="O1122" s="11" t="n">
        <f aca="false">IF(p_use_ibrd=1,p_r_ibrd,p_r_wb)</f>
        <v>0.06</v>
      </c>
      <c r="P1122" s="45" t="n">
        <f aca="false">Sector_Params!$D$9</f>
        <v>25</v>
      </c>
      <c r="Q1122" s="46" t="n">
        <f aca="false">M1122/(1-(1+M1122)^-P1122)</f>
        <v>0.114429319813103</v>
      </c>
      <c r="R1122" s="46" t="n">
        <f aca="false">N1122/(1-(1+N1122)^-P1122)</f>
        <v>0.154699402320206</v>
      </c>
      <c r="S1122" s="46" t="n">
        <f aca="false">O1122/(1-(1+O1122)^-P1122)</f>
        <v>0.078226718212274</v>
      </c>
      <c r="T1122" s="37" t="n">
        <f aca="false">Country_Data!$CM$164*Sector_Params!$I$9</f>
        <v>0.197558294347266</v>
      </c>
      <c r="U1122" s="37" t="n">
        <f aca="false">Country_Data!$CN$164*Sector_Params!$J$9</f>
        <v>0.03225</v>
      </c>
      <c r="V1122" s="37" t="n">
        <f aca="false">p_a</f>
        <v>0.35</v>
      </c>
      <c r="W1122" s="16" t="n">
        <f aca="false">T1122*L1122</f>
        <v>0.000617541794839492</v>
      </c>
      <c r="X1122" s="16" t="n">
        <f aca="false">U1122*L1122</f>
        <v>0.000100809348194543</v>
      </c>
      <c r="Y1122" s="16" t="n">
        <f aca="false">V1122*L1122</f>
        <v>0.00109405494164621</v>
      </c>
      <c r="Z1122" s="16" t="n">
        <f aca="false">Q1122*L1122</f>
        <v>0.0003576913223164</v>
      </c>
      <c r="AA1122" s="16" t="n">
        <f aca="false">R1122*L1122</f>
        <v>0.000483570415937533</v>
      </c>
      <c r="AB1122" s="16" t="n">
        <f aca="false">S1122*L1122</f>
        <v>0.000244526650368296</v>
      </c>
      <c r="AC1122" s="16" t="n">
        <f aca="false">Z1122-W1122</f>
        <v>-0.000259850472523092</v>
      </c>
      <c r="AD1122" s="16" t="n">
        <f aca="false">AA1122-W1122</f>
        <v>-0.000133971378901958</v>
      </c>
      <c r="AE1122" s="16" t="n">
        <f aca="false">AB1122-W1122</f>
        <v>-0.000373015144471195</v>
      </c>
      <c r="AF1122" s="16" t="n">
        <f aca="false">AE1122-X1122</f>
        <v>-0.000473824492665739</v>
      </c>
      <c r="AG1122" s="16" t="n">
        <f aca="false">AF1122-p_spc_lo*Y1122/1000</f>
        <v>-0.000528527239748049</v>
      </c>
      <c r="AH1122" s="16" t="n">
        <f aca="false">AF1122-p_spc_hi*Y1122/1000</f>
        <v>-0.00058322998683036</v>
      </c>
      <c r="AI1122" s="16" t="n">
        <f aca="false">Q1122*J1122</f>
        <v>0.00149038050965167</v>
      </c>
      <c r="AJ1122" s="16" t="n">
        <f aca="false">S1122*J1122</f>
        <v>0.00101886104320123</v>
      </c>
      <c r="AK1122" s="16" t="n">
        <f aca="false">T1122*J1122</f>
        <v>0.00257309081183122</v>
      </c>
      <c r="AL1122" s="16" t="n">
        <f aca="false">U1122*J1122</f>
        <v>0.000420038950810598</v>
      </c>
      <c r="AM1122" s="16" t="n">
        <f aca="false">AI1122-AJ1122</f>
        <v>0.000471519466450432</v>
      </c>
      <c r="AN1122" s="16" t="n">
        <f aca="false">J1122*Country_Data!$EB$164</f>
        <v>0.0149513705332603</v>
      </c>
      <c r="AO1122" s="16" t="n">
        <f aca="false">L1122*Country_Data!$EB$164</f>
        <v>0.00358832892798247</v>
      </c>
    </row>
    <row r="1123" customFormat="false" ht="15" hidden="false" customHeight="false" outlineLevel="0" collapsed="false">
      <c r="A1123" s="14" t="str">
        <f aca="false">Country_Data!$A$164</f>
        <v>SWZ</v>
      </c>
      <c r="B1123" s="14" t="str">
        <f aca="false">Country_Data!$E$164</f>
        <v>EMDC</v>
      </c>
      <c r="C1123" s="35" t="s">
        <v>484</v>
      </c>
      <c r="D1123" s="37" t="n">
        <f aca="false">IF(Country_Data!$CD$164="","",Country_Data!$CD$164)</f>
        <v>0.014929030904835</v>
      </c>
      <c r="E1123" s="40" t="n">
        <f aca="false">Country_Data!$BW$164</f>
        <v>14.686</v>
      </c>
      <c r="F1123" s="41" t="n">
        <f aca="false">Country_Data!$BX$164</f>
        <v>0.330586953561215</v>
      </c>
      <c r="G1123" s="42" t="n">
        <f aca="false">IF(D1123="","",D1123/SUMIFS($D$5:$D$1369,$B$5:$B$1369,B1123,$C$5:$C$1369,C1123))</f>
        <v>8.336916243615E-005</v>
      </c>
      <c r="H1123" s="42" t="n">
        <f aca="false">E1123/SUMIFS($E$5:$E$1369,$B$5:$B$1369,B1123,$C$5:$C$1369,C1123)</f>
        <v>0.000181910766612797</v>
      </c>
      <c r="I1123" s="43" t="n">
        <f aca="false">IF(G1123="",H1123,p_beta_alloc*G1123+(1-p_beta_alloc)*H1123)*F1123^p_phi</f>
        <v>7.62635912333296E-005</v>
      </c>
      <c r="J1123" s="16" t="n">
        <f aca="false">INDEX(Sector_Params!$C$21:$E$21,MATCH(B1123,Sector_Params!$C$15:$E$15,0))*I1123/SUMIFS($I$5:$I$1369,$B$5:$B$1369,B1123,$C$5:$C$1369,C1123)</f>
        <v>0.0169144886494089</v>
      </c>
      <c r="K1123" s="28" t="n">
        <f aca="false">INDEX(Sector_Params!$F$10:$H$10,MATCH(B1123,Sector_Params!$C$15:$E$15,0))</f>
        <v>0.24</v>
      </c>
      <c r="L1123" s="16" t="n">
        <f aca="false">J1123*K1123</f>
        <v>0.00405947727585814</v>
      </c>
      <c r="M1123" s="44" t="n">
        <f aca="false">Country_Data!$DW$164+Sector_Params!$E$10</f>
        <v>0.105</v>
      </c>
      <c r="N1123" s="44" t="n">
        <f aca="false">Country_Data!$DX$164+Sector_Params!$E$10</f>
        <v>0.15</v>
      </c>
      <c r="O1123" s="11" t="n">
        <f aca="false">IF(p_use_ibrd=1,p_r_ibrd,p_r_wb)</f>
        <v>0.06</v>
      </c>
      <c r="P1123" s="45" t="n">
        <f aca="false">Sector_Params!$D$10</f>
        <v>20</v>
      </c>
      <c r="Q1123" s="46" t="n">
        <f aca="false">M1123/(1-(1+M1123)^-P1123)</f>
        <v>0.121493265267016</v>
      </c>
      <c r="R1123" s="46" t="n">
        <f aca="false">N1123/(1-(1+N1123)^-P1123)</f>
        <v>0.159761470405744</v>
      </c>
      <c r="S1123" s="46" t="n">
        <f aca="false">O1123/(1-(1+O1123)^-P1123)</f>
        <v>0.0871845569768514</v>
      </c>
      <c r="T1123" s="37" t="n">
        <f aca="false">0*Sector_Params!$I$10</f>
        <v>0</v>
      </c>
      <c r="U1123" s="37" t="n">
        <f aca="false">0*Sector_Params!$J$10</f>
        <v>0</v>
      </c>
      <c r="V1123" s="37" t="n">
        <f aca="false">1000*p_r_wb/(1-(1+p_r_wb)^-Sector_Params!$D$10)/p_cpt_fuel</f>
        <v>0.871845569768514</v>
      </c>
      <c r="W1123" s="16" t="n">
        <f aca="false">T1123*L1123</f>
        <v>0</v>
      </c>
      <c r="X1123" s="16" t="n">
        <f aca="false">U1123*L1123</f>
        <v>0</v>
      </c>
      <c r="Y1123" s="16" t="n">
        <f aca="false">V1123*L1123</f>
        <v>0.00353923727853288</v>
      </c>
      <c r="Z1123" s="16" t="n">
        <f aca="false">Q1123*L1123</f>
        <v>0.000493199149521257</v>
      </c>
      <c r="AA1123" s="16" t="n">
        <f aca="false">R1123*L1123</f>
        <v>0.0006485480586698</v>
      </c>
      <c r="AB1123" s="16" t="n">
        <f aca="false">S1123*L1123</f>
        <v>0.000353923727853288</v>
      </c>
      <c r="AC1123" s="16" t="n">
        <f aca="false">Z1123-W1123</f>
        <v>0.000493199149521257</v>
      </c>
      <c r="AD1123" s="16" t="n">
        <f aca="false">AA1123-W1123</f>
        <v>0.0006485480586698</v>
      </c>
      <c r="AE1123" s="16" t="n">
        <f aca="false">AB1123-W1123</f>
        <v>0.000353923727853288</v>
      </c>
      <c r="AF1123" s="16" t="n">
        <f aca="false">AE1123-X1123</f>
        <v>0.000353923727853288</v>
      </c>
      <c r="AG1123" s="16" t="n">
        <f aca="false">AF1123-p_spc_lo*Y1123/1000</f>
        <v>0.000176961863926644</v>
      </c>
      <c r="AH1123" s="16" t="n">
        <f aca="false">AF1123-p_spc_hi*Y1123/1000</f>
        <v>0</v>
      </c>
      <c r="AI1123" s="16" t="n">
        <f aca="false">Q1123*J1123</f>
        <v>0.00205499645633857</v>
      </c>
      <c r="AJ1123" s="16" t="n">
        <f aca="false">S1123*J1123</f>
        <v>0.0014746821993887</v>
      </c>
      <c r="AK1123" s="16" t="n">
        <f aca="false">T1123*J1123</f>
        <v>0</v>
      </c>
      <c r="AL1123" s="16" t="n">
        <f aca="false">U1123*J1123</f>
        <v>0</v>
      </c>
      <c r="AM1123" s="16" t="n">
        <f aca="false">AI1123-AJ1123</f>
        <v>0.000580314256949874</v>
      </c>
      <c r="AN1123" s="16" t="n">
        <f aca="false">J1123*Country_Data!$EB$164</f>
        <v>0.0194169061482256</v>
      </c>
      <c r="AO1123" s="16" t="n">
        <f aca="false">L1123*Country_Data!$EB$164</f>
        <v>0.00466005747557414</v>
      </c>
    </row>
    <row r="1124" customFormat="false" ht="15" hidden="false" customHeight="false" outlineLevel="0" collapsed="false">
      <c r="A1124" s="14" t="str">
        <f aca="false">Country_Data!$A$164</f>
        <v>SWZ</v>
      </c>
      <c r="B1124" s="14" t="str">
        <f aca="false">Country_Data!$E$164</f>
        <v>EMDC</v>
      </c>
      <c r="C1124" s="35" t="s">
        <v>488</v>
      </c>
      <c r="D1124" s="37" t="n">
        <f aca="false">IF(Country_Data!$CE$164="","",Country_Data!$CE$164)</f>
        <v>2.083</v>
      </c>
      <c r="E1124" s="40" t="n">
        <f aca="false">Country_Data!$BW$164</f>
        <v>14.686</v>
      </c>
      <c r="F1124" s="41" t="n">
        <f aca="false">Country_Data!$BX$164</f>
        <v>0.330586953561215</v>
      </c>
      <c r="G1124" s="42" t="n">
        <f aca="false">IF(D1124="","",D1124/SUMIFS($D$5:$D$1369,$B$5:$B$1369,B1124,$C$5:$C$1369,C1124))</f>
        <v>0.000170680205275108</v>
      </c>
      <c r="H1124" s="42" t="n">
        <f aca="false">E1124/SUMIFS($E$5:$E$1369,$B$5:$B$1369,B1124,$C$5:$C$1369,C1124)</f>
        <v>0.000181910766612797</v>
      </c>
      <c r="I1124" s="43" t="n">
        <f aca="false">IF(G1124="",H1124,p_beta_alloc*G1124+(1-p_beta_alloc)*H1124)*F1124^p_phi</f>
        <v>0.000101364071714827</v>
      </c>
      <c r="J1124" s="16" t="n">
        <f aca="false">INDEX(Sector_Params!$C$22:$E$22,MATCH(B1124,Sector_Params!$C$15:$E$15,0))*I1124/SUMIFS($I$5:$I$1369,$B$5:$B$1369,B1124,$C$5:$C$1369,C1124)</f>
        <v>0.0611031126937194</v>
      </c>
      <c r="K1124" s="28" t="n">
        <f aca="false">INDEX(Sector_Params!$F$11:$H$11,MATCH(B1124,Sector_Params!$C$15:$E$15,0))</f>
        <v>0.24</v>
      </c>
      <c r="L1124" s="16" t="n">
        <f aca="false">J1124*K1124</f>
        <v>0.0146647470464927</v>
      </c>
      <c r="M1124" s="44" t="n">
        <f aca="false">Country_Data!$DW$164+Sector_Params!$E$11</f>
        <v>0.105</v>
      </c>
      <c r="N1124" s="44" t="n">
        <f aca="false">Country_Data!$DX$164+Sector_Params!$E$11</f>
        <v>0.15</v>
      </c>
      <c r="O1124" s="11" t="n">
        <f aca="false">IF(p_use_ibrd=1,p_r_ibrd,p_r_wb)</f>
        <v>0.06</v>
      </c>
      <c r="P1124" s="45" t="n">
        <f aca="false">Sector_Params!$D$11</f>
        <v>30</v>
      </c>
      <c r="Q1124" s="46" t="n">
        <f aca="false">M1124/(1-(1+M1124)^-P1124)</f>
        <v>0.110528481529605</v>
      </c>
      <c r="R1124" s="46" t="n">
        <f aca="false">N1124/(1-(1+N1124)^-P1124)</f>
        <v>0.152300198192734</v>
      </c>
      <c r="S1124" s="46" t="n">
        <f aca="false">O1124/(1-(1+O1124)^-P1124)</f>
        <v>0.0726489114900472</v>
      </c>
      <c r="T1124" s="37" t="n">
        <f aca="false">0*Sector_Params!$I$11</f>
        <v>0</v>
      </c>
      <c r="U1124" s="37" t="n">
        <f aca="false">p_c*Sector_Params!$J$11</f>
        <v>0.129</v>
      </c>
      <c r="V1124" s="37" t="n">
        <f aca="false">1000*p_r_wb/(1-(1+p_r_wb)^-Sector_Params!$D$11)/p_cpt_afolu</f>
        <v>1.45297822980094</v>
      </c>
      <c r="W1124" s="16" t="n">
        <f aca="false">T1124*L1124</f>
        <v>0</v>
      </c>
      <c r="X1124" s="16" t="n">
        <f aca="false">U1124*L1124</f>
        <v>0.00189175236899755</v>
      </c>
      <c r="Y1124" s="16" t="n">
        <f aca="false">V1124*L1124</f>
        <v>0.0213075582040915</v>
      </c>
      <c r="Z1124" s="16" t="n">
        <f aca="false">Q1124*L1124</f>
        <v>0.0016208722230646</v>
      </c>
      <c r="AA1124" s="16" t="n">
        <f aca="false">R1124*L1124</f>
        <v>0.00223344388162715</v>
      </c>
      <c r="AB1124" s="16" t="n">
        <f aca="false">S1124*L1124</f>
        <v>0.00106537791020458</v>
      </c>
      <c r="AC1124" s="16" t="n">
        <f aca="false">Z1124-W1124</f>
        <v>0.0016208722230646</v>
      </c>
      <c r="AD1124" s="16" t="n">
        <f aca="false">AA1124-W1124</f>
        <v>0.00223344388162715</v>
      </c>
      <c r="AE1124" s="16" t="n">
        <f aca="false">AB1124-W1124</f>
        <v>0.00106537791020458</v>
      </c>
      <c r="AF1124" s="16" t="n">
        <f aca="false">AE1124-X1124</f>
        <v>-0.000826374458792977</v>
      </c>
      <c r="AG1124" s="16" t="n">
        <f aca="false">AF1124-p_spc_lo*Y1124/1000</f>
        <v>-0.00189175236899755</v>
      </c>
      <c r="AH1124" s="16" t="n">
        <f aca="false">AF1124-p_spc_hi*Y1124/1000</f>
        <v>-0.00295713027920213</v>
      </c>
      <c r="AI1124" s="16" t="n">
        <f aca="false">Q1124*J1124</f>
        <v>0.00675363426276915</v>
      </c>
      <c r="AJ1124" s="16" t="n">
        <f aca="false">S1124*J1124</f>
        <v>0.0044390746258524</v>
      </c>
      <c r="AK1124" s="16" t="n">
        <f aca="false">T1124*J1124</f>
        <v>0</v>
      </c>
      <c r="AL1124" s="16" t="n">
        <f aca="false">U1124*J1124</f>
        <v>0.00788230153748981</v>
      </c>
      <c r="AM1124" s="16" t="n">
        <f aca="false">AI1124-AJ1124</f>
        <v>0.00231455963691675</v>
      </c>
      <c r="AN1124" s="16" t="n">
        <f aca="false">J1124*Country_Data!$EB$164</f>
        <v>0.0701430252566259</v>
      </c>
      <c r="AO1124" s="16" t="n">
        <f aca="false">L1124*Country_Data!$EB$164</f>
        <v>0.0168343260615902</v>
      </c>
    </row>
    <row r="1125" customFormat="false" ht="15" hidden="false" customHeight="false" outlineLevel="0" collapsed="false">
      <c r="A1125" s="14" t="str">
        <f aca="false">Country_Data!$A$165</f>
        <v>BDI</v>
      </c>
      <c r="B1125" s="14" t="str">
        <f aca="false">Country_Data!$E$165</f>
        <v>EMDC</v>
      </c>
      <c r="C1125" s="35" t="s">
        <v>466</v>
      </c>
      <c r="D1125" s="37" t="n">
        <f aca="false">IF(Country_Data!$BZ$165="","",Country_Data!$BZ$165)</f>
        <v>0.366188917991138</v>
      </c>
      <c r="E1125" s="40" t="n">
        <f aca="false">Country_Data!$BW$165</f>
        <v>13.463</v>
      </c>
      <c r="F1125" s="41" t="n">
        <f aca="false">Country_Data!$BX$165</f>
        <v>0.359355269999257</v>
      </c>
      <c r="G1125" s="42" t="n">
        <f aca="false">IF(D1125="","",D1125/SUMIFS($D$5:$D$1369,$B$5:$B$1369,B1125,$C$5:$C$1369,C1125))</f>
        <v>4.18049088483548E-005</v>
      </c>
      <c r="H1125" s="42" t="n">
        <f aca="false">E1125/SUMIFS($E$5:$E$1369,$B$5:$B$1369,B1125,$C$5:$C$1369,C1125)</f>
        <v>0.000166761858294164</v>
      </c>
      <c r="I1125" s="43" t="n">
        <f aca="false">IF(G1125="",H1125,p_beta_alloc*G1125+(1-p_beta_alloc)*H1125)*F1125^p_phi</f>
        <v>6.25139761795417E-005</v>
      </c>
      <c r="J1125" s="16" t="n">
        <f aca="false">INDEX(Sector_Params!$C$16:$E$16,MATCH(B1125,Sector_Params!$C$15:$E$15,0))*I1125/SUMIFS($I$5:$I$1369,$B$5:$B$1369,B1125,$C$5:$C$1369,C1125)</f>
        <v>0.0604651026267911</v>
      </c>
      <c r="K1125" s="28" t="n">
        <f aca="false">INDEX(Sector_Params!$F$5:$H$5,MATCH(B1125,Sector_Params!$C$15:$E$15,0))</f>
        <v>0.24</v>
      </c>
      <c r="L1125" s="16" t="n">
        <f aca="false">J1125*K1125</f>
        <v>0.0145116246304299</v>
      </c>
      <c r="M1125" s="44" t="n">
        <f aca="false">Country_Data!$DW$165+Sector_Params!$E$5</f>
        <v>0.105</v>
      </c>
      <c r="N1125" s="44" t="n">
        <f aca="false">Country_Data!$DX$165+Sector_Params!$E$5</f>
        <v>0.15</v>
      </c>
      <c r="O1125" s="11" t="n">
        <f aca="false">IF(p_use_ibrd=1,p_r_ibrd,p_r_wb)</f>
        <v>0.06</v>
      </c>
      <c r="P1125" s="45" t="n">
        <f aca="false">Sector_Params!$D$5</f>
        <v>25</v>
      </c>
      <c r="Q1125" s="46" t="n">
        <f aca="false">M1125/(1-(1+M1125)^-P1125)</f>
        <v>0.114429319813103</v>
      </c>
      <c r="R1125" s="46" t="n">
        <f aca="false">N1125/(1-(1+N1125)^-P1125)</f>
        <v>0.154699402320206</v>
      </c>
      <c r="S1125" s="46" t="n">
        <f aca="false">O1125/(1-(1+O1125)^-P1125)</f>
        <v>0.078226718212274</v>
      </c>
      <c r="T1125" s="37" t="n">
        <f aca="false">IF(AND(p_eng=1,ISNUMBER(Country_Data!$CZ$165)),Country_Data!$CZ$165,Country_Data!$CM$165)*Sector_Params!$I$5</f>
        <v>0.0646366108336698</v>
      </c>
      <c r="U1125" s="37" t="n">
        <f aca="false">IF(AND(p_eng=1,ISNUMBER(Country_Data!$DA$165)),Country_Data!$DA$165,Country_Data!$CN$165)*Sector_Params!$J$5</f>
        <v>3.43053010516174E-006</v>
      </c>
      <c r="V1125" s="37" t="n">
        <f aca="false">IF(AND(p_eng=1,ISNUMBER(Country_Data!$DB$165)),Country_Data!$DB$165,p_a)</f>
        <v>0.458022175784288</v>
      </c>
      <c r="W1125" s="16" t="n">
        <f aca="false">T1125*L1125</f>
        <v>0.000937982233801393</v>
      </c>
      <c r="X1125" s="16" t="n">
        <f aca="false">U1125*L1125</f>
        <v>4.97825651694962E-008</v>
      </c>
      <c r="Y1125" s="16" t="n">
        <f aca="false">V1125*L1125</f>
        <v>0.00664664588739436</v>
      </c>
      <c r="Z1125" s="16" t="n">
        <f aca="false">Q1125*L1125</f>
        <v>0.00166055533584317</v>
      </c>
      <c r="AA1125" s="16" t="n">
        <f aca="false">R1125*L1125</f>
        <v>0.00224493965702269</v>
      </c>
      <c r="AB1125" s="16" t="n">
        <f aca="false">S1125*L1125</f>
        <v>0.00113519677076693</v>
      </c>
      <c r="AC1125" s="16" t="n">
        <f aca="false">Z1125-W1125</f>
        <v>0.000722573102041774</v>
      </c>
      <c r="AD1125" s="16" t="n">
        <f aca="false">AA1125-W1125</f>
        <v>0.0013069574232213</v>
      </c>
      <c r="AE1125" s="16" t="n">
        <f aca="false">AB1125-W1125</f>
        <v>0.000197214536965539</v>
      </c>
      <c r="AF1125" s="16" t="n">
        <f aca="false">AE1125-X1125</f>
        <v>0.000197164754400369</v>
      </c>
      <c r="AG1125" s="16" t="n">
        <f aca="false">AF1125-p_spc_lo*Y1125/1000</f>
        <v>-0.000135167539969349</v>
      </c>
      <c r="AH1125" s="16" t="n">
        <f aca="false">AF1125-p_spc_hi*Y1125/1000</f>
        <v>-0.000467499834339066</v>
      </c>
      <c r="AI1125" s="16" t="n">
        <f aca="false">Q1125*J1125</f>
        <v>0.0069189805660132</v>
      </c>
      <c r="AJ1125" s="16" t="n">
        <f aca="false">S1125*J1125</f>
        <v>0.00472998654486222</v>
      </c>
      <c r="AK1125" s="16" t="n">
        <f aca="false">T1125*J1125</f>
        <v>0.0039082593075058</v>
      </c>
      <c r="AL1125" s="16" t="n">
        <f aca="false">U1125*J1125</f>
        <v>2.07427354872901E-007</v>
      </c>
      <c r="AM1125" s="16" t="n">
        <f aca="false">AI1125-AJ1125</f>
        <v>0.00218899402115098</v>
      </c>
      <c r="AN1125" s="16" t="n">
        <f aca="false">J1125*Country_Data!$EB$165</f>
        <v>0.0765891299939354</v>
      </c>
      <c r="AO1125" s="16" t="n">
        <f aca="false">L1125*Country_Data!$EB$165</f>
        <v>0.0183813911985445</v>
      </c>
    </row>
    <row r="1126" customFormat="false" ht="15" hidden="false" customHeight="false" outlineLevel="0" collapsed="false">
      <c r="A1126" s="14" t="str">
        <f aca="false">Country_Data!$A$165</f>
        <v>BDI</v>
      </c>
      <c r="B1126" s="14" t="str">
        <f aca="false">Country_Data!$E$165</f>
        <v>EMDC</v>
      </c>
      <c r="C1126" s="35" t="s">
        <v>470</v>
      </c>
      <c r="D1126" s="37" t="n">
        <f aca="false">IF(Country_Data!$BZ$165="","",Country_Data!$BZ$165)</f>
        <v>0.366188917991138</v>
      </c>
      <c r="E1126" s="40" t="n">
        <f aca="false">Country_Data!$BW$165</f>
        <v>13.463</v>
      </c>
      <c r="F1126" s="41" t="n">
        <f aca="false">Country_Data!$BX$165</f>
        <v>0.359355269999257</v>
      </c>
      <c r="G1126" s="42" t="n">
        <f aca="false">IF(D1126="","",D1126/SUMIFS($D$5:$D$1369,$B$5:$B$1369,B1126,$C$5:$C$1369,C1126))</f>
        <v>4.18049088483548E-005</v>
      </c>
      <c r="H1126" s="42" t="n">
        <f aca="false">E1126/SUMIFS($E$5:$E$1369,$B$5:$B$1369,B1126,$C$5:$C$1369,C1126)</f>
        <v>0.000166761858294164</v>
      </c>
      <c r="I1126" s="43" t="n">
        <f aca="false">IF(G1126="",H1126,p_beta_alloc*G1126+(1-p_beta_alloc)*H1126)*F1126^p_phi</f>
        <v>6.25139761795417E-005</v>
      </c>
      <c r="J1126" s="16" t="n">
        <f aca="false">INDEX(Sector_Params!$C$17:$E$17,MATCH(B1126,Sector_Params!$C$15:$E$15,0))*I1126/SUMIFS($I$5:$I$1369,$B$5:$B$1369,B1126,$C$5:$C$1369,C1126)</f>
        <v>0.0414617846583711</v>
      </c>
      <c r="K1126" s="28" t="n">
        <f aca="false">INDEX(Sector_Params!$F$6:$H$6,MATCH(B1126,Sector_Params!$C$15:$E$15,0))</f>
        <v>0.24</v>
      </c>
      <c r="L1126" s="16" t="n">
        <f aca="false">J1126*K1126</f>
        <v>0.00995082831800905</v>
      </c>
      <c r="M1126" s="44" t="n">
        <f aca="false">Country_Data!$DW$165+Sector_Params!$E$6</f>
        <v>0.105</v>
      </c>
      <c r="N1126" s="44" t="n">
        <f aca="false">Country_Data!$DX$165+Sector_Params!$E$6</f>
        <v>0.15</v>
      </c>
      <c r="O1126" s="11" t="n">
        <f aca="false">IF(p_use_ibrd=1,p_r_ibrd,p_r_wb)</f>
        <v>0.06</v>
      </c>
      <c r="P1126" s="45" t="n">
        <f aca="false">Sector_Params!$D$6</f>
        <v>40</v>
      </c>
      <c r="Q1126" s="46" t="n">
        <f aca="false">M1126/(1-(1+M1126)^-P1126)</f>
        <v>0.10697140835497</v>
      </c>
      <c r="R1126" s="46" t="n">
        <f aca="false">N1126/(1-(1+N1126)^-P1126)</f>
        <v>0.150562085013545</v>
      </c>
      <c r="S1126" s="46" t="n">
        <f aca="false">O1126/(1-(1+O1126)^-P1126)</f>
        <v>0.0664615359206755</v>
      </c>
      <c r="T1126" s="37" t="n">
        <f aca="false">p_grid_credit*IF(AND(p_eng=1,ISNUMBER(Country_Data!$CZ$165)),Country_Data!$CZ$165,Country_Data!$CM$165)*Sector_Params!$I$6</f>
        <v>0</v>
      </c>
      <c r="U1126" s="37" t="n">
        <f aca="false">p_grid_credit*IF(AND(p_eng=1,ISNUMBER(Country_Data!$DA$165)),Country_Data!$DA$165,Country_Data!$CN$165)*Sector_Params!$J$6</f>
        <v>0</v>
      </c>
      <c r="V1126" s="37" t="n">
        <f aca="false">p_grid_credit*IF(AND(p_eng=1,ISNUMBER(Country_Data!$DB$165)),Country_Data!$DB$165,p_a)</f>
        <v>0</v>
      </c>
      <c r="W1126" s="16" t="n">
        <f aca="false">T1126*L1126</f>
        <v>0</v>
      </c>
      <c r="X1126" s="16" t="n">
        <f aca="false">U1126*L1126</f>
        <v>0</v>
      </c>
      <c r="Y1126" s="16" t="n">
        <f aca="false">V1126*L1126</f>
        <v>0</v>
      </c>
      <c r="Z1126" s="16" t="n">
        <f aca="false">Q1126*L1126</f>
        <v>0.00106445411947595</v>
      </c>
      <c r="AA1126" s="16" t="n">
        <f aca="false">R1126*L1126</f>
        <v>0.00149821745917127</v>
      </c>
      <c r="AB1126" s="16" t="n">
        <f aca="false">S1126*L1126</f>
        <v>0.000661347333697834</v>
      </c>
      <c r="AC1126" s="16" t="n">
        <f aca="false">Z1126-W1126</f>
        <v>0.00106445411947595</v>
      </c>
      <c r="AD1126" s="16" t="n">
        <f aca="false">AA1126-W1126</f>
        <v>0.00149821745917127</v>
      </c>
      <c r="AE1126" s="16" t="n">
        <f aca="false">AB1126-W1126</f>
        <v>0.000661347333697834</v>
      </c>
      <c r="AF1126" s="16" t="n">
        <f aca="false">AE1126-X1126</f>
        <v>0.000661347333697834</v>
      </c>
      <c r="AG1126" s="16" t="n">
        <f aca="false">AF1126-p_spc_lo*Y1126/1000</f>
        <v>0.000661347333697834</v>
      </c>
      <c r="AH1126" s="16" t="n">
        <f aca="false">AF1126-p_spc_hi*Y1126/1000</f>
        <v>0.000661347333697834</v>
      </c>
      <c r="AI1126" s="16" t="n">
        <f aca="false">Q1126*J1126</f>
        <v>0.00443522549781646</v>
      </c>
      <c r="AJ1126" s="16" t="n">
        <f aca="false">S1126*J1126</f>
        <v>0.00275561389040764</v>
      </c>
      <c r="AK1126" s="16" t="n">
        <f aca="false">T1126*J1126</f>
        <v>0</v>
      </c>
      <c r="AL1126" s="16" t="n">
        <f aca="false">U1126*J1126</f>
        <v>0</v>
      </c>
      <c r="AM1126" s="16" t="n">
        <f aca="false">AI1126-AJ1126</f>
        <v>0.00167961160740881</v>
      </c>
      <c r="AN1126" s="16" t="n">
        <f aca="false">J1126*Country_Data!$EB$165</f>
        <v>0.05251826056727</v>
      </c>
      <c r="AO1126" s="16" t="n">
        <f aca="false">L1126*Country_Data!$EB$165</f>
        <v>0.0126043825361448</v>
      </c>
    </row>
    <row r="1127" customFormat="false" ht="15" hidden="false" customHeight="false" outlineLevel="0" collapsed="false">
      <c r="A1127" s="14" t="str">
        <f aca="false">Country_Data!$A$165</f>
        <v>BDI</v>
      </c>
      <c r="B1127" s="14" t="str">
        <f aca="false">Country_Data!$E$165</f>
        <v>EMDC</v>
      </c>
      <c r="C1127" s="35" t="s">
        <v>473</v>
      </c>
      <c r="D1127" s="37" t="n">
        <f aca="false">IF(Country_Data!$CA$165="","",Country_Data!$CA$165)</f>
        <v>0.00908867122862329</v>
      </c>
      <c r="E1127" s="40" t="n">
        <f aca="false">Country_Data!$BW$165</f>
        <v>13.463</v>
      </c>
      <c r="F1127" s="41" t="n">
        <f aca="false">Country_Data!$BX$165</f>
        <v>0.359355269999257</v>
      </c>
      <c r="G1127" s="42" t="n">
        <f aca="false">IF(D1127="","",D1127/SUMIFS($D$5:$D$1369,$B$5:$B$1369,B1127,$C$5:$C$1369,C1127))</f>
        <v>0.000209969452123517</v>
      </c>
      <c r="H1127" s="42" t="n">
        <f aca="false">E1127/SUMIFS($E$5:$E$1369,$B$5:$B$1369,B1127,$C$5:$C$1369,C1127)</f>
        <v>0.000166761858294164</v>
      </c>
      <c r="I1127" s="43" t="n">
        <f aca="false">IF(G1127="",H1127,p_beta_alloc*G1127+(1-p_beta_alloc)*H1127)*F1127^p_phi</f>
        <v>0.000112918143615111</v>
      </c>
      <c r="J1127" s="16" t="n">
        <f aca="false">INDEX(Sector_Params!$C$18:$E$18,MATCH(B1127,Sector_Params!$C$15:$E$15,0))*I1127/SUMIFS($I$5:$I$1369,$B$5:$B$1369,B1127,$C$5:$C$1369,C1127)</f>
        <v>0.0462373080299909</v>
      </c>
      <c r="K1127" s="28" t="n">
        <f aca="false">INDEX(Sector_Params!$F$7:$H$7,MATCH(B1127,Sector_Params!$C$15:$E$15,0))</f>
        <v>0.24</v>
      </c>
      <c r="L1127" s="16" t="n">
        <f aca="false">J1127*K1127</f>
        <v>0.0110969539271978</v>
      </c>
      <c r="M1127" s="44" t="n">
        <f aca="false">Country_Data!$DW$165+Sector_Params!$E$7</f>
        <v>0.105</v>
      </c>
      <c r="N1127" s="44" t="n">
        <f aca="false">Country_Data!$DX$165+Sector_Params!$E$7</f>
        <v>0.15</v>
      </c>
      <c r="O1127" s="11" t="n">
        <f aca="false">IF(p_use_ibrd=1,p_r_ibrd,p_r_wb)</f>
        <v>0.06</v>
      </c>
      <c r="P1127" s="45" t="n">
        <f aca="false">Sector_Params!$D$7</f>
        <v>12</v>
      </c>
      <c r="Q1127" s="46" t="n">
        <f aca="false">M1127/(1-(1+M1127)^-P1127)</f>
        <v>0.150376745634766</v>
      </c>
      <c r="R1127" s="46" t="n">
        <f aca="false">N1127/(1-(1+N1127)^-P1127)</f>
        <v>0.18448077613084</v>
      </c>
      <c r="S1127" s="46" t="n">
        <f aca="false">O1127/(1-(1+O1127)^-P1127)</f>
        <v>0.119277029380664</v>
      </c>
      <c r="T1127" s="37" t="n">
        <f aca="false">IF(AND(p_eng=1,ISNUMBER(Country_Data!$DE$165)),Country_Data!$DE$165,Country_Data!$CM$165)*Sector_Params!$I$7</f>
        <v>0.08536392</v>
      </c>
      <c r="U1127" s="37" t="n">
        <f aca="false">IF(AND(p_eng=1,ISNUMBER(Country_Data!$DF$165)),Country_Data!$DF$165,Country_Data!$CN$165)*Sector_Params!$J$7</f>
        <v>0.000231525</v>
      </c>
      <c r="V1127" s="37" t="n">
        <f aca="false">IF(AND(p_eng=1,ISNUMBER(Country_Data!$DG$165)),Country_Data!$DG$165,p_a)</f>
        <v>0.425788071428571</v>
      </c>
      <c r="W1127" s="16" t="n">
        <f aca="false">T1127*L1127</f>
        <v>0.000947279487285001</v>
      </c>
      <c r="X1127" s="16" t="n">
        <f aca="false">U1127*L1127</f>
        <v>2.56922225799448E-006</v>
      </c>
      <c r="Y1127" s="16" t="n">
        <f aca="false">V1127*L1127</f>
        <v>0.00472495061139327</v>
      </c>
      <c r="Z1127" s="16" t="n">
        <f aca="false">Q1127*L1127</f>
        <v>0.00166872381803094</v>
      </c>
      <c r="AA1127" s="16" t="n">
        <f aca="false">R1127*L1127</f>
        <v>0.00204717467317762</v>
      </c>
      <c r="AB1127" s="16" t="n">
        <f aca="false">S1127*L1127</f>
        <v>0.00132361169961024</v>
      </c>
      <c r="AC1127" s="16" t="n">
        <f aca="false">Z1127-W1127</f>
        <v>0.000721444330745941</v>
      </c>
      <c r="AD1127" s="16" t="n">
        <f aca="false">AA1127-W1127</f>
        <v>0.00109989518589262</v>
      </c>
      <c r="AE1127" s="16" t="n">
        <f aca="false">AB1127-W1127</f>
        <v>0.000376332212325244</v>
      </c>
      <c r="AF1127" s="16" t="n">
        <f aca="false">AE1127-X1127</f>
        <v>0.000373762990067249</v>
      </c>
      <c r="AG1127" s="16" t="n">
        <f aca="false">AF1127-p_spc_lo*Y1127/1000</f>
        <v>0.000137515459497585</v>
      </c>
      <c r="AH1127" s="16" t="n">
        <f aca="false">AF1127-p_spc_hi*Y1127/1000</f>
        <v>-9.87320710720783E-005</v>
      </c>
      <c r="AI1127" s="16" t="n">
        <f aca="false">Q1127*J1127</f>
        <v>0.00695301590846226</v>
      </c>
      <c r="AJ1127" s="16" t="n">
        <f aca="false">S1127*J1127</f>
        <v>0.00551504874837602</v>
      </c>
      <c r="AK1127" s="16" t="n">
        <f aca="false">T1127*J1127</f>
        <v>0.0039469978636875</v>
      </c>
      <c r="AL1127" s="16" t="n">
        <f aca="false">U1127*J1127</f>
        <v>1.07050927416437E-005</v>
      </c>
      <c r="AM1127" s="16" t="n">
        <f aca="false">AI1127-AJ1127</f>
        <v>0.00143796716008624</v>
      </c>
      <c r="AN1127" s="16" t="n">
        <f aca="false">J1127*Country_Data!$EB$165</f>
        <v>0.0585672568379885</v>
      </c>
      <c r="AO1127" s="16" t="n">
        <f aca="false">L1127*Country_Data!$EB$165</f>
        <v>0.0140561416411172</v>
      </c>
    </row>
    <row r="1128" customFormat="false" ht="15" hidden="false" customHeight="false" outlineLevel="0" collapsed="false">
      <c r="A1128" s="14" t="str">
        <f aca="false">Country_Data!$A$165</f>
        <v>BDI</v>
      </c>
      <c r="B1128" s="14" t="str">
        <f aca="false">Country_Data!$E$165</f>
        <v>EMDC</v>
      </c>
      <c r="C1128" s="35" t="s">
        <v>477</v>
      </c>
      <c r="D1128" s="37" t="n">
        <f aca="false">IF(Country_Data!$CB$165="","",Country_Data!$CB$165)</f>
        <v>0.000762162398598542</v>
      </c>
      <c r="E1128" s="40" t="n">
        <f aca="false">Country_Data!$BW$165</f>
        <v>13.463</v>
      </c>
      <c r="F1128" s="41" t="n">
        <f aca="false">Country_Data!$BX$165</f>
        <v>0.359355269999257</v>
      </c>
      <c r="G1128" s="42" t="n">
        <f aca="false">IF(D1128="","",D1128/SUMIFS($D$5:$D$1369,$B$5:$B$1369,B1128,$C$5:$C$1369,C1128))</f>
        <v>2.4033301212557E-005</v>
      </c>
      <c r="H1128" s="42" t="n">
        <f aca="false">E1128/SUMIFS($E$5:$E$1369,$B$5:$B$1369,B1128,$C$5:$C$1369,C1128)</f>
        <v>0.000166761858294164</v>
      </c>
      <c r="I1128" s="43" t="n">
        <f aca="false">IF(G1128="",H1128,p_beta_alloc*G1128+(1-p_beta_alloc)*H1128)*F1128^p_phi</f>
        <v>5.71872701484832E-005</v>
      </c>
      <c r="J1128" s="16" t="n">
        <f aca="false">INDEX(Sector_Params!$C$19:$E$19,MATCH(B1128,Sector_Params!$C$15:$E$15,0))*I1128/SUMIFS($I$5:$I$1369,$B$5:$B$1369,B1128,$C$5:$C$1369,C1128)</f>
        <v>0.0184064432581952</v>
      </c>
      <c r="K1128" s="28" t="n">
        <f aca="false">INDEX(Sector_Params!$F$8:$H$8,MATCH(B1128,Sector_Params!$C$15:$E$15,0))</f>
        <v>0.24</v>
      </c>
      <c r="L1128" s="16" t="n">
        <f aca="false">J1128*K1128</f>
        <v>0.00441754638196685</v>
      </c>
      <c r="M1128" s="44" t="n">
        <f aca="false">Country_Data!$DW$165+Sector_Params!$E$8</f>
        <v>0.105</v>
      </c>
      <c r="N1128" s="44" t="n">
        <f aca="false">Country_Data!$DX$165+Sector_Params!$E$8</f>
        <v>0.15</v>
      </c>
      <c r="O1128" s="11" t="n">
        <f aca="false">IF(p_use_ibrd=1,p_r_ibrd,p_r_wb)</f>
        <v>0.06</v>
      </c>
      <c r="P1128" s="45" t="n">
        <f aca="false">Sector_Params!$D$8</f>
        <v>25</v>
      </c>
      <c r="Q1128" s="46" t="n">
        <f aca="false">M1128/(1-(1+M1128)^-P1128)</f>
        <v>0.114429319813103</v>
      </c>
      <c r="R1128" s="46" t="n">
        <f aca="false">N1128/(1-(1+N1128)^-P1128)</f>
        <v>0.154699402320206</v>
      </c>
      <c r="S1128" s="46" t="n">
        <f aca="false">O1128/(1-(1+O1128)^-P1128)</f>
        <v>0.078226718212274</v>
      </c>
      <c r="T1128" s="37" t="n">
        <f aca="false">Country_Data!$CM$165*Sector_Params!$I$8</f>
        <v>0.214159144194349</v>
      </c>
      <c r="U1128" s="37" t="n">
        <f aca="false">Country_Data!$CN$165*Sector_Params!$J$8</f>
        <v>0.03225</v>
      </c>
      <c r="V1128" s="37" t="n">
        <f aca="false">p_a</f>
        <v>0.35</v>
      </c>
      <c r="W1128" s="16" t="n">
        <f aca="false">T1128*L1128</f>
        <v>0.000946057952600865</v>
      </c>
      <c r="X1128" s="16" t="n">
        <f aca="false">U1128*L1128</f>
        <v>0.000142465870818431</v>
      </c>
      <c r="Y1128" s="16" t="n">
        <f aca="false">V1128*L1128</f>
        <v>0.0015461412336884</v>
      </c>
      <c r="Z1128" s="16" t="n">
        <f aca="false">Q1128*L1128</f>
        <v>0.000505496827731302</v>
      </c>
      <c r="AA1128" s="16" t="n">
        <f aca="false">R1128*L1128</f>
        <v>0.000683391785012062</v>
      </c>
      <c r="AB1128" s="16" t="n">
        <f aca="false">S1128*L1128</f>
        <v>0.000345570156011771</v>
      </c>
      <c r="AC1128" s="16" t="n">
        <f aca="false">Z1128-W1128</f>
        <v>-0.000440561124869563</v>
      </c>
      <c r="AD1128" s="16" t="n">
        <f aca="false">AA1128-W1128</f>
        <v>-0.000262666167588803</v>
      </c>
      <c r="AE1128" s="16" t="n">
        <f aca="false">AB1128-W1128</f>
        <v>-0.000600487796589094</v>
      </c>
      <c r="AF1128" s="16" t="n">
        <f aca="false">AE1128-X1128</f>
        <v>-0.000742953667407525</v>
      </c>
      <c r="AG1128" s="16" t="n">
        <f aca="false">AF1128-p_spc_lo*Y1128/1000</f>
        <v>-0.000820260729091945</v>
      </c>
      <c r="AH1128" s="16" t="n">
        <f aca="false">AF1128-p_spc_hi*Y1128/1000</f>
        <v>-0.000897567790776365</v>
      </c>
      <c r="AI1128" s="16" t="n">
        <f aca="false">Q1128*J1128</f>
        <v>0.00210623678221376</v>
      </c>
      <c r="AJ1128" s="16" t="n">
        <f aca="false">S1128*J1128</f>
        <v>0.00143987565004905</v>
      </c>
      <c r="AK1128" s="16" t="n">
        <f aca="false">T1128*J1128</f>
        <v>0.00394190813583694</v>
      </c>
      <c r="AL1128" s="16" t="n">
        <f aca="false">U1128*J1128</f>
        <v>0.000593607795076795</v>
      </c>
      <c r="AM1128" s="16" t="n">
        <f aca="false">AI1128-AJ1128</f>
        <v>0.000666361132164712</v>
      </c>
      <c r="AN1128" s="16" t="n">
        <f aca="false">J1128*Country_Data!$EB$165</f>
        <v>0.0233148281270473</v>
      </c>
      <c r="AO1128" s="16" t="n">
        <f aca="false">L1128*Country_Data!$EB$165</f>
        <v>0.00559555875049134</v>
      </c>
    </row>
    <row r="1129" customFormat="false" ht="15" hidden="false" customHeight="false" outlineLevel="0" collapsed="false">
      <c r="A1129" s="14" t="str">
        <f aca="false">Country_Data!$A$165</f>
        <v>BDI</v>
      </c>
      <c r="B1129" s="14" t="str">
        <f aca="false">Country_Data!$E$165</f>
        <v>EMDC</v>
      </c>
      <c r="C1129" s="35" t="s">
        <v>481</v>
      </c>
      <c r="D1129" s="37" t="n">
        <f aca="false">IF(Country_Data!$CC$165="","",Country_Data!$CC$165)</f>
        <v>0.00231409492535708</v>
      </c>
      <c r="E1129" s="40" t="n">
        <f aca="false">Country_Data!$BW$165</f>
        <v>13.463</v>
      </c>
      <c r="F1129" s="41" t="n">
        <f aca="false">Country_Data!$BX$165</f>
        <v>0.359355269999257</v>
      </c>
      <c r="G1129" s="42" t="n">
        <f aca="false">IF(D1129="","",D1129/SUMIFS($D$5:$D$1369,$B$5:$B$1369,B1129,$C$5:$C$1369,C1129))</f>
        <v>3.30550718184187E-005</v>
      </c>
      <c r="H1129" s="42" t="n">
        <f aca="false">E1129/SUMIFS($E$5:$E$1369,$B$5:$B$1369,B1129,$C$5:$C$1369,C1129)</f>
        <v>0.000166761858294164</v>
      </c>
      <c r="I1129" s="43" t="n">
        <f aca="false">IF(G1129="",H1129,p_beta_alloc*G1129+(1-p_beta_alloc)*H1129)*F1129^p_phi</f>
        <v>5.98913766582549E-005</v>
      </c>
      <c r="J1129" s="16" t="n">
        <f aca="false">INDEX(Sector_Params!$C$20:$E$20,MATCH(B1129,Sector_Params!$C$15:$E$15,0))*I1129/SUMIFS($I$5:$I$1369,$B$5:$B$1369,B1129,$C$5:$C$1369,C1129)</f>
        <v>0.0109313823139287</v>
      </c>
      <c r="K1129" s="28" t="n">
        <f aca="false">INDEX(Sector_Params!$F$9:$H$9,MATCH(B1129,Sector_Params!$C$15:$E$15,0))</f>
        <v>0.24</v>
      </c>
      <c r="L1129" s="16" t="n">
        <f aca="false">J1129*K1129</f>
        <v>0.00262353175534288</v>
      </c>
      <c r="M1129" s="44" t="n">
        <f aca="false">Country_Data!$DW$165+Sector_Params!$E$9</f>
        <v>0.105</v>
      </c>
      <c r="N1129" s="44" t="n">
        <f aca="false">Country_Data!$DX$165+Sector_Params!$E$9</f>
        <v>0.15</v>
      </c>
      <c r="O1129" s="11" t="n">
        <f aca="false">IF(p_use_ibrd=1,p_r_ibrd,p_r_wb)</f>
        <v>0.06</v>
      </c>
      <c r="P1129" s="45" t="n">
        <f aca="false">Sector_Params!$D$9</f>
        <v>25</v>
      </c>
      <c r="Q1129" s="46" t="n">
        <f aca="false">M1129/(1-(1+M1129)^-P1129)</f>
        <v>0.114429319813103</v>
      </c>
      <c r="R1129" s="46" t="n">
        <f aca="false">N1129/(1-(1+N1129)^-P1129)</f>
        <v>0.154699402320206</v>
      </c>
      <c r="S1129" s="46" t="n">
        <f aca="false">O1129/(1-(1+O1129)^-P1129)</f>
        <v>0.078226718212274</v>
      </c>
      <c r="T1129" s="37" t="n">
        <f aca="false">Country_Data!$CM$165*Sector_Params!$I$9</f>
        <v>0.214159144194349</v>
      </c>
      <c r="U1129" s="37" t="n">
        <f aca="false">Country_Data!$CN$165*Sector_Params!$J$9</f>
        <v>0.03225</v>
      </c>
      <c r="V1129" s="37" t="n">
        <f aca="false">p_a</f>
        <v>0.35</v>
      </c>
      <c r="W1129" s="16" t="n">
        <f aca="false">T1129*L1129</f>
        <v>0.00056185331549093</v>
      </c>
      <c r="X1129" s="16" t="n">
        <f aca="false">U1129*L1129</f>
        <v>8.46088991098079E-005</v>
      </c>
      <c r="Y1129" s="16" t="n">
        <f aca="false">V1129*L1129</f>
        <v>0.000918236114370008</v>
      </c>
      <c r="Z1129" s="16" t="n">
        <f aca="false">Q1129*L1129</f>
        <v>0.000300208954271963</v>
      </c>
      <c r="AA1129" s="16" t="n">
        <f aca="false">R1129*L1129</f>
        <v>0.000405858794519626</v>
      </c>
      <c r="AB1129" s="16" t="n">
        <f aca="false">S1129*L1129</f>
        <v>0.00020523027934616</v>
      </c>
      <c r="AC1129" s="16" t="n">
        <f aca="false">Z1129-W1129</f>
        <v>-0.000261644361218968</v>
      </c>
      <c r="AD1129" s="16" t="n">
        <f aca="false">AA1129-W1129</f>
        <v>-0.000155994520971305</v>
      </c>
      <c r="AE1129" s="16" t="n">
        <f aca="false">AB1129-W1129</f>
        <v>-0.000356623036144771</v>
      </c>
      <c r="AF1129" s="16" t="n">
        <f aca="false">AE1129-X1129</f>
        <v>-0.000441231935254578</v>
      </c>
      <c r="AG1129" s="16" t="n">
        <f aca="false">AF1129-p_spc_lo*Y1129/1000</f>
        <v>-0.000487143740973079</v>
      </c>
      <c r="AH1129" s="16" t="n">
        <f aca="false">AF1129-p_spc_hi*Y1129/1000</f>
        <v>-0.000533055546691579</v>
      </c>
      <c r="AI1129" s="16" t="n">
        <f aca="false">Q1129*J1129</f>
        <v>0.00125087064279984</v>
      </c>
      <c r="AJ1129" s="16" t="n">
        <f aca="false">S1129*J1129</f>
        <v>0.000855126163942333</v>
      </c>
      <c r="AK1129" s="16" t="n">
        <f aca="false">T1129*J1129</f>
        <v>0.00234105548121221</v>
      </c>
      <c r="AL1129" s="16" t="n">
        <f aca="false">U1129*J1129</f>
        <v>0.000352537079624199</v>
      </c>
      <c r="AM1129" s="16" t="n">
        <f aca="false">AI1129-AJ1129</f>
        <v>0.000395744478857512</v>
      </c>
      <c r="AN1129" s="16" t="n">
        <f aca="false">J1129*Country_Data!$EB$165</f>
        <v>0.013846417597643</v>
      </c>
      <c r="AO1129" s="16" t="n">
        <f aca="false">L1129*Country_Data!$EB$165</f>
        <v>0.00332314022343431</v>
      </c>
    </row>
    <row r="1130" customFormat="false" ht="15" hidden="false" customHeight="false" outlineLevel="0" collapsed="false">
      <c r="A1130" s="14" t="str">
        <f aca="false">Country_Data!$A$165</f>
        <v>BDI</v>
      </c>
      <c r="B1130" s="14" t="str">
        <f aca="false">Country_Data!$E$165</f>
        <v>EMDC</v>
      </c>
      <c r="C1130" s="35" t="s">
        <v>484</v>
      </c>
      <c r="D1130" s="37" t="n">
        <f aca="false">IF(Country_Data!$CD$165="","",Country_Data!$CD$165)</f>
        <v>0.0108466484478108</v>
      </c>
      <c r="E1130" s="40" t="n">
        <f aca="false">Country_Data!$BW$165</f>
        <v>13.463</v>
      </c>
      <c r="F1130" s="41" t="n">
        <f aca="false">Country_Data!$BX$165</f>
        <v>0.359355269999257</v>
      </c>
      <c r="G1130" s="42" t="n">
        <f aca="false">IF(D1130="","",D1130/SUMIFS($D$5:$D$1369,$B$5:$B$1369,B1130,$C$5:$C$1369,C1130))</f>
        <v>6.05716474229074E-005</v>
      </c>
      <c r="H1130" s="42" t="n">
        <f aca="false">E1130/SUMIFS($E$5:$E$1369,$B$5:$B$1369,B1130,$C$5:$C$1369,C1130)</f>
        <v>0.000166761858294164</v>
      </c>
      <c r="I1130" s="43" t="n">
        <f aca="false">IF(G1130="",H1130,p_beta_alloc*G1130+(1-p_beta_alloc)*H1130)*F1130^p_phi</f>
        <v>6.81389540429403E-005</v>
      </c>
      <c r="J1130" s="16" t="n">
        <f aca="false">INDEX(Sector_Params!$C$21:$E$21,MATCH(B1130,Sector_Params!$C$15:$E$15,0))*I1130/SUMIFS($I$5:$I$1369,$B$5:$B$1369,B1130,$C$5:$C$1369,C1130)</f>
        <v>0.0151125267785477</v>
      </c>
      <c r="K1130" s="28" t="n">
        <f aca="false">INDEX(Sector_Params!$F$10:$H$10,MATCH(B1130,Sector_Params!$C$15:$E$15,0))</f>
        <v>0.24</v>
      </c>
      <c r="L1130" s="16" t="n">
        <f aca="false">J1130*K1130</f>
        <v>0.00362700642685145</v>
      </c>
      <c r="M1130" s="44" t="n">
        <f aca="false">Country_Data!$DW$165+Sector_Params!$E$10</f>
        <v>0.105</v>
      </c>
      <c r="N1130" s="44" t="n">
        <f aca="false">Country_Data!$DX$165+Sector_Params!$E$10</f>
        <v>0.15</v>
      </c>
      <c r="O1130" s="11" t="n">
        <f aca="false">IF(p_use_ibrd=1,p_r_ibrd,p_r_wb)</f>
        <v>0.06</v>
      </c>
      <c r="P1130" s="45" t="n">
        <f aca="false">Sector_Params!$D$10</f>
        <v>20</v>
      </c>
      <c r="Q1130" s="46" t="n">
        <f aca="false">M1130/(1-(1+M1130)^-P1130)</f>
        <v>0.121493265267016</v>
      </c>
      <c r="R1130" s="46" t="n">
        <f aca="false">N1130/(1-(1+N1130)^-P1130)</f>
        <v>0.159761470405744</v>
      </c>
      <c r="S1130" s="46" t="n">
        <f aca="false">O1130/(1-(1+O1130)^-P1130)</f>
        <v>0.0871845569768514</v>
      </c>
      <c r="T1130" s="37" t="n">
        <f aca="false">0*Sector_Params!$I$10</f>
        <v>0</v>
      </c>
      <c r="U1130" s="37" t="n">
        <f aca="false">0*Sector_Params!$J$10</f>
        <v>0</v>
      </c>
      <c r="V1130" s="37" t="n">
        <f aca="false">1000*p_r_wb/(1-(1+p_r_wb)^-Sector_Params!$D$10)/p_cpt_fuel</f>
        <v>0.871845569768514</v>
      </c>
      <c r="W1130" s="16" t="n">
        <f aca="false">T1130*L1130</f>
        <v>0</v>
      </c>
      <c r="X1130" s="16" t="n">
        <f aca="false">U1130*L1130</f>
        <v>0</v>
      </c>
      <c r="Y1130" s="16" t="n">
        <f aca="false">V1130*L1130</f>
        <v>0.00316218948477236</v>
      </c>
      <c r="Z1130" s="16" t="n">
        <f aca="false">Q1130*L1130</f>
        <v>0.000440656853942636</v>
      </c>
      <c r="AA1130" s="16" t="n">
        <f aca="false">R1130*L1130</f>
        <v>0.000579455879924871</v>
      </c>
      <c r="AB1130" s="16" t="n">
        <f aca="false">S1130*L1130</f>
        <v>0.000316218948477236</v>
      </c>
      <c r="AC1130" s="16" t="n">
        <f aca="false">Z1130-W1130</f>
        <v>0.000440656853942636</v>
      </c>
      <c r="AD1130" s="16" t="n">
        <f aca="false">AA1130-W1130</f>
        <v>0.000579455879924871</v>
      </c>
      <c r="AE1130" s="16" t="n">
        <f aca="false">AB1130-W1130</f>
        <v>0.000316218948477236</v>
      </c>
      <c r="AF1130" s="16" t="n">
        <f aca="false">AE1130-X1130</f>
        <v>0.000316218948477236</v>
      </c>
      <c r="AG1130" s="16" t="n">
        <f aca="false">AF1130-p_spc_lo*Y1130/1000</f>
        <v>0.000158109474238618</v>
      </c>
      <c r="AH1130" s="16" t="n">
        <f aca="false">AF1130-p_spc_hi*Y1130/1000</f>
        <v>0</v>
      </c>
      <c r="AI1130" s="16" t="n">
        <f aca="false">Q1130*J1130</f>
        <v>0.00183607022476098</v>
      </c>
      <c r="AJ1130" s="16" t="n">
        <f aca="false">S1130*J1130</f>
        <v>0.00131757895198849</v>
      </c>
      <c r="AK1130" s="16" t="n">
        <f aca="false">T1130*J1130</f>
        <v>0</v>
      </c>
      <c r="AL1130" s="16" t="n">
        <f aca="false">U1130*J1130</f>
        <v>0</v>
      </c>
      <c r="AM1130" s="16" t="n">
        <f aca="false">AI1130-AJ1130</f>
        <v>0.000518491272772497</v>
      </c>
      <c r="AN1130" s="16" t="n">
        <f aca="false">J1130*Country_Data!$EB$165</f>
        <v>0.0191425339194938</v>
      </c>
      <c r="AO1130" s="16" t="n">
        <f aca="false">L1130*Country_Data!$EB$165</f>
        <v>0.0045942081406785</v>
      </c>
    </row>
    <row r="1131" customFormat="false" ht="15" hidden="false" customHeight="false" outlineLevel="0" collapsed="false">
      <c r="A1131" s="14" t="str">
        <f aca="false">Country_Data!$A$165</f>
        <v>BDI</v>
      </c>
      <c r="B1131" s="14" t="str">
        <f aca="false">Country_Data!$E$165</f>
        <v>EMDC</v>
      </c>
      <c r="C1131" s="35" t="s">
        <v>488</v>
      </c>
      <c r="D1131" s="37" t="n">
        <f aca="false">IF(Country_Data!$CE$165="","",Country_Data!$CE$165)</f>
        <v>9.604</v>
      </c>
      <c r="E1131" s="40" t="n">
        <f aca="false">Country_Data!$BW$165</f>
        <v>13.463</v>
      </c>
      <c r="F1131" s="41" t="n">
        <f aca="false">Country_Data!$BX$165</f>
        <v>0.359355269999257</v>
      </c>
      <c r="G1131" s="42" t="n">
        <f aca="false">IF(D1131="","",D1131/SUMIFS($D$5:$D$1369,$B$5:$B$1369,B1131,$C$5:$C$1369,C1131))</f>
        <v>0.0007869480035824</v>
      </c>
      <c r="H1131" s="42" t="n">
        <f aca="false">E1131/SUMIFS($E$5:$E$1369,$B$5:$B$1369,B1131,$C$5:$C$1369,C1131)</f>
        <v>0.000166761858294164</v>
      </c>
      <c r="I1131" s="43" t="n">
        <f aca="false">IF(G1131="",H1131,p_beta_alloc*G1131+(1-p_beta_alloc)*H1131)*F1131^p_phi</f>
        <v>0.000285856641517609</v>
      </c>
      <c r="J1131" s="16" t="n">
        <f aca="false">INDEX(Sector_Params!$C$22:$E$22,MATCH(B1131,Sector_Params!$C$15:$E$15,0))*I1131/SUMIFS($I$5:$I$1369,$B$5:$B$1369,B1131,$C$5:$C$1369,C1131)</f>
        <v>0.172316781334897</v>
      </c>
      <c r="K1131" s="28" t="n">
        <f aca="false">INDEX(Sector_Params!$F$11:$H$11,MATCH(B1131,Sector_Params!$C$15:$E$15,0))</f>
        <v>0.24</v>
      </c>
      <c r="L1131" s="16" t="n">
        <f aca="false">J1131*K1131</f>
        <v>0.0413560275203753</v>
      </c>
      <c r="M1131" s="44" t="n">
        <f aca="false">Country_Data!$DW$165+Sector_Params!$E$11</f>
        <v>0.105</v>
      </c>
      <c r="N1131" s="44" t="n">
        <f aca="false">Country_Data!$DX$165+Sector_Params!$E$11</f>
        <v>0.15</v>
      </c>
      <c r="O1131" s="11" t="n">
        <f aca="false">IF(p_use_ibrd=1,p_r_ibrd,p_r_wb)</f>
        <v>0.06</v>
      </c>
      <c r="P1131" s="45" t="n">
        <f aca="false">Sector_Params!$D$11</f>
        <v>30</v>
      </c>
      <c r="Q1131" s="46" t="n">
        <f aca="false">M1131/(1-(1+M1131)^-P1131)</f>
        <v>0.110528481529605</v>
      </c>
      <c r="R1131" s="46" t="n">
        <f aca="false">N1131/(1-(1+N1131)^-P1131)</f>
        <v>0.152300198192734</v>
      </c>
      <c r="S1131" s="46" t="n">
        <f aca="false">O1131/(1-(1+O1131)^-P1131)</f>
        <v>0.0726489114900472</v>
      </c>
      <c r="T1131" s="37" t="n">
        <f aca="false">0*Sector_Params!$I$11</f>
        <v>0</v>
      </c>
      <c r="U1131" s="37" t="n">
        <f aca="false">p_c*Sector_Params!$J$11</f>
        <v>0.129</v>
      </c>
      <c r="V1131" s="37" t="n">
        <f aca="false">1000*p_r_wb/(1-(1+p_r_wb)^-Sector_Params!$D$11)/p_cpt_afolu</f>
        <v>1.45297822980094</v>
      </c>
      <c r="W1131" s="16" t="n">
        <f aca="false">T1131*L1131</f>
        <v>0</v>
      </c>
      <c r="X1131" s="16" t="n">
        <f aca="false">U1131*L1131</f>
        <v>0.00533492755012841</v>
      </c>
      <c r="Y1131" s="16" t="n">
        <f aca="false">V1131*L1131</f>
        <v>0.060089407658154</v>
      </c>
      <c r="Z1131" s="16" t="n">
        <f aca="false">Q1131*L1131</f>
        <v>0.00457101892392364</v>
      </c>
      <c r="AA1131" s="16" t="n">
        <f aca="false">R1131*L1131</f>
        <v>0.00629853118781733</v>
      </c>
      <c r="AB1131" s="16" t="n">
        <f aca="false">S1131*L1131</f>
        <v>0.0030044703829077</v>
      </c>
      <c r="AC1131" s="16" t="n">
        <f aca="false">Z1131-W1131</f>
        <v>0.00457101892392364</v>
      </c>
      <c r="AD1131" s="16" t="n">
        <f aca="false">AA1131-W1131</f>
        <v>0.00629853118781733</v>
      </c>
      <c r="AE1131" s="16" t="n">
        <f aca="false">AB1131-W1131</f>
        <v>0.0030044703829077</v>
      </c>
      <c r="AF1131" s="16" t="n">
        <f aca="false">AE1131-X1131</f>
        <v>-0.00233045716722071</v>
      </c>
      <c r="AG1131" s="16" t="n">
        <f aca="false">AF1131-p_spc_lo*Y1131/1000</f>
        <v>-0.00533492755012841</v>
      </c>
      <c r="AH1131" s="16" t="n">
        <f aca="false">AF1131-p_spc_hi*Y1131/1000</f>
        <v>-0.00833939793303612</v>
      </c>
      <c r="AI1131" s="16" t="n">
        <f aca="false">Q1131*J1131</f>
        <v>0.0190459121830152</v>
      </c>
      <c r="AJ1131" s="16" t="n">
        <f aca="false">S1131*J1131</f>
        <v>0.0125186265954488</v>
      </c>
      <c r="AK1131" s="16" t="n">
        <f aca="false">T1131*J1131</f>
        <v>0</v>
      </c>
      <c r="AL1131" s="16" t="n">
        <f aca="false">U1131*J1131</f>
        <v>0.0222288647922017</v>
      </c>
      <c r="AM1131" s="16" t="n">
        <f aca="false">AI1131-AJ1131</f>
        <v>0.00652728558756642</v>
      </c>
      <c r="AN1131" s="16" t="n">
        <f aca="false">J1131*Country_Data!$EB$165</f>
        <v>0.218267923024203</v>
      </c>
      <c r="AO1131" s="16" t="n">
        <f aca="false">L1131*Country_Data!$EB$165</f>
        <v>0.0523843015258087</v>
      </c>
    </row>
    <row r="1132" customFormat="false" ht="15" hidden="false" customHeight="false" outlineLevel="0" collapsed="false">
      <c r="A1132" s="14" t="str">
        <f aca="false">Country_Data!$A$166</f>
        <v>LBR</v>
      </c>
      <c r="B1132" s="14" t="str">
        <f aca="false">Country_Data!$E$166</f>
        <v>EMDC</v>
      </c>
      <c r="C1132" s="35" t="s">
        <v>466</v>
      </c>
      <c r="D1132" s="37" t="n">
        <f aca="false">IF(Country_Data!$BZ$166="","",Country_Data!$BZ$166)</f>
        <v>0.37789518927977</v>
      </c>
      <c r="E1132" s="40" t="n">
        <f aca="false">Country_Data!$BW$166</f>
        <v>10.492</v>
      </c>
      <c r="F1132" s="41" t="n">
        <f aca="false">Country_Data!$BX$166</f>
        <v>0.455394586351506</v>
      </c>
      <c r="G1132" s="42" t="n">
        <f aca="false">IF(D1132="","",D1132/SUMIFS($D$5:$D$1369,$B$5:$B$1369,B1132,$C$5:$C$1369,C1132))</f>
        <v>4.31413217765778E-005</v>
      </c>
      <c r="H1132" s="42" t="n">
        <f aca="false">E1132/SUMIFS($E$5:$E$1369,$B$5:$B$1369,B1132,$C$5:$C$1369,C1132)</f>
        <v>0.000129961035224123</v>
      </c>
      <c r="I1132" s="43" t="n">
        <f aca="false">IF(G1132="",H1132,p_beta_alloc*G1132+(1-p_beta_alloc)*H1132)*F1132^p_phi</f>
        <v>5.84072713434831E-005</v>
      </c>
      <c r="J1132" s="16" t="n">
        <f aca="false">INDEX(Sector_Params!$C$16:$E$16,MATCH(B1132,Sector_Params!$C$15:$E$15,0))*I1132/SUMIFS($I$5:$I$1369,$B$5:$B$1369,B1132,$C$5:$C$1369,C1132)</f>
        <v>0.0564929935954113</v>
      </c>
      <c r="K1132" s="28" t="n">
        <f aca="false">INDEX(Sector_Params!$F$5:$H$5,MATCH(B1132,Sector_Params!$C$15:$E$15,0))</f>
        <v>0.24</v>
      </c>
      <c r="L1132" s="16" t="n">
        <f aca="false">J1132*K1132</f>
        <v>0.0135583184628987</v>
      </c>
      <c r="M1132" s="44" t="n">
        <f aca="false">Country_Data!$DW$166+Sector_Params!$E$5</f>
        <v>0.105</v>
      </c>
      <c r="N1132" s="44" t="n">
        <f aca="false">Country_Data!$DX$166+Sector_Params!$E$5</f>
        <v>0.15</v>
      </c>
      <c r="O1132" s="11" t="n">
        <f aca="false">IF(p_use_ibrd=1,p_r_ibrd,p_r_wb)</f>
        <v>0.06</v>
      </c>
      <c r="P1132" s="45" t="n">
        <f aca="false">Sector_Params!$D$5</f>
        <v>25</v>
      </c>
      <c r="Q1132" s="46" t="n">
        <f aca="false">M1132/(1-(1+M1132)^-P1132)</f>
        <v>0.114429319813103</v>
      </c>
      <c r="R1132" s="46" t="n">
        <f aca="false">N1132/(1-(1+N1132)^-P1132)</f>
        <v>0.154699402320206</v>
      </c>
      <c r="S1132" s="46" t="n">
        <f aca="false">O1132/(1-(1+O1132)^-P1132)</f>
        <v>0.078226718212274</v>
      </c>
      <c r="T1132" s="37" t="n">
        <f aca="false">IF(AND(p_eng=1,ISNUMBER(Country_Data!$CZ$166)),Country_Data!$CZ$166,Country_Data!$CM$166)*Sector_Params!$I$5</f>
        <v>0.148161903827158</v>
      </c>
      <c r="U1132" s="37" t="n">
        <f aca="false">IF(AND(p_eng=1,ISNUMBER(Country_Data!$DA$166)),Country_Data!$DA$166,Country_Data!$CN$166)*Sector_Params!$J$5</f>
        <v>0.00116496587890219</v>
      </c>
      <c r="V1132" s="37" t="n">
        <f aca="false">IF(AND(p_eng=1,ISNUMBER(Country_Data!$DB$166)),Country_Data!$DB$166,p_a)</f>
        <v>0.853099783551437</v>
      </c>
      <c r="W1132" s="16" t="n">
        <f aca="false">T1132*L1132</f>
        <v>0.00200882627615799</v>
      </c>
      <c r="X1132" s="16" t="n">
        <f aca="false">U1132*L1132</f>
        <v>1.57949783845667E-005</v>
      </c>
      <c r="Y1132" s="16" t="n">
        <f aca="false">V1132*L1132</f>
        <v>0.0115665985460204</v>
      </c>
      <c r="Z1132" s="16" t="n">
        <f aca="false">Q1132*L1132</f>
        <v>0.00155146915951894</v>
      </c>
      <c r="AA1132" s="16" t="n">
        <f aca="false">R1132*L1132</f>
        <v>0.00209746376267745</v>
      </c>
      <c r="AB1132" s="16" t="n">
        <f aca="false">S1132*L1132</f>
        <v>0.00106062275782945</v>
      </c>
      <c r="AC1132" s="16" t="n">
        <f aca="false">Z1132-W1132</f>
        <v>-0.000457357116639045</v>
      </c>
      <c r="AD1132" s="16" t="n">
        <f aca="false">AA1132-W1132</f>
        <v>8.86374865194657E-005</v>
      </c>
      <c r="AE1132" s="16" t="n">
        <f aca="false">AB1132-W1132</f>
        <v>-0.000948203518328537</v>
      </c>
      <c r="AF1132" s="16" t="n">
        <f aca="false">AE1132-X1132</f>
        <v>-0.000963998496713104</v>
      </c>
      <c r="AG1132" s="16" t="n">
        <f aca="false">AF1132-p_spc_lo*Y1132/1000</f>
        <v>-0.00154232842401412</v>
      </c>
      <c r="AH1132" s="16" t="n">
        <f aca="false">AF1132-p_spc_hi*Y1132/1000</f>
        <v>-0.00212065835131514</v>
      </c>
      <c r="AI1132" s="16" t="n">
        <f aca="false">Q1132*J1132</f>
        <v>0.00646445483132892</v>
      </c>
      <c r="AJ1132" s="16" t="n">
        <f aca="false">S1132*J1132</f>
        <v>0.00441926149095604</v>
      </c>
      <c r="AK1132" s="16" t="n">
        <f aca="false">T1132*J1132</f>
        <v>0.00837010948399161</v>
      </c>
      <c r="AL1132" s="16" t="n">
        <f aca="false">U1132*J1132</f>
        <v>6.58124099356944E-005</v>
      </c>
      <c r="AM1132" s="16" t="n">
        <f aca="false">AI1132-AJ1132</f>
        <v>0.00204519334037288</v>
      </c>
      <c r="AN1132" s="16" t="n">
        <f aca="false">J1132*Country_Data!$EB$166</f>
        <v>0.06893021079006</v>
      </c>
      <c r="AO1132" s="16" t="n">
        <f aca="false">L1132*Country_Data!$EB$166</f>
        <v>0.0165432505896144</v>
      </c>
    </row>
    <row r="1133" customFormat="false" ht="15" hidden="false" customHeight="false" outlineLevel="0" collapsed="false">
      <c r="A1133" s="14" t="str">
        <f aca="false">Country_Data!$A$166</f>
        <v>LBR</v>
      </c>
      <c r="B1133" s="14" t="str">
        <f aca="false">Country_Data!$E$166</f>
        <v>EMDC</v>
      </c>
      <c r="C1133" s="35" t="s">
        <v>470</v>
      </c>
      <c r="D1133" s="37" t="n">
        <f aca="false">IF(Country_Data!$BZ$166="","",Country_Data!$BZ$166)</f>
        <v>0.37789518927977</v>
      </c>
      <c r="E1133" s="40" t="n">
        <f aca="false">Country_Data!$BW$166</f>
        <v>10.492</v>
      </c>
      <c r="F1133" s="41" t="n">
        <f aca="false">Country_Data!$BX$166</f>
        <v>0.455394586351506</v>
      </c>
      <c r="G1133" s="42" t="n">
        <f aca="false">IF(D1133="","",D1133/SUMIFS($D$5:$D$1369,$B$5:$B$1369,B1133,$C$5:$C$1369,C1133))</f>
        <v>4.31413217765778E-005</v>
      </c>
      <c r="H1133" s="42" t="n">
        <f aca="false">E1133/SUMIFS($E$5:$E$1369,$B$5:$B$1369,B1133,$C$5:$C$1369,C1133)</f>
        <v>0.000129961035224123</v>
      </c>
      <c r="I1133" s="43" t="n">
        <f aca="false">IF(G1133="",H1133,p_beta_alloc*G1133+(1-p_beta_alloc)*H1133)*F1133^p_phi</f>
        <v>5.84072713434831E-005</v>
      </c>
      <c r="J1133" s="16" t="n">
        <f aca="false">INDEX(Sector_Params!$C$17:$E$17,MATCH(B1133,Sector_Params!$C$15:$E$15,0))*I1133/SUMIFS($I$5:$I$1369,$B$5:$B$1369,B1133,$C$5:$C$1369,C1133)</f>
        <v>0.0387380527511392</v>
      </c>
      <c r="K1133" s="28" t="n">
        <f aca="false">INDEX(Sector_Params!$F$6:$H$6,MATCH(B1133,Sector_Params!$C$15:$E$15,0))</f>
        <v>0.24</v>
      </c>
      <c r="L1133" s="16" t="n">
        <f aca="false">J1133*K1133</f>
        <v>0.00929713266027341</v>
      </c>
      <c r="M1133" s="44" t="n">
        <f aca="false">Country_Data!$DW$166+Sector_Params!$E$6</f>
        <v>0.105</v>
      </c>
      <c r="N1133" s="44" t="n">
        <f aca="false">Country_Data!$DX$166+Sector_Params!$E$6</f>
        <v>0.15</v>
      </c>
      <c r="O1133" s="11" t="n">
        <f aca="false">IF(p_use_ibrd=1,p_r_ibrd,p_r_wb)</f>
        <v>0.06</v>
      </c>
      <c r="P1133" s="45" t="n">
        <f aca="false">Sector_Params!$D$6</f>
        <v>40</v>
      </c>
      <c r="Q1133" s="46" t="n">
        <f aca="false">M1133/(1-(1+M1133)^-P1133)</f>
        <v>0.10697140835497</v>
      </c>
      <c r="R1133" s="46" t="n">
        <f aca="false">N1133/(1-(1+N1133)^-P1133)</f>
        <v>0.150562085013545</v>
      </c>
      <c r="S1133" s="46" t="n">
        <f aca="false">O1133/(1-(1+O1133)^-P1133)</f>
        <v>0.0664615359206755</v>
      </c>
      <c r="T1133" s="37" t="n">
        <f aca="false">p_grid_credit*IF(AND(p_eng=1,ISNUMBER(Country_Data!$CZ$166)),Country_Data!$CZ$166,Country_Data!$CM$166)*Sector_Params!$I$6</f>
        <v>0</v>
      </c>
      <c r="U1133" s="37" t="n">
        <f aca="false">p_grid_credit*IF(AND(p_eng=1,ISNUMBER(Country_Data!$DA$166)),Country_Data!$DA$166,Country_Data!$CN$166)*Sector_Params!$J$6</f>
        <v>0</v>
      </c>
      <c r="V1133" s="37" t="n">
        <f aca="false">p_grid_credit*IF(AND(p_eng=1,ISNUMBER(Country_Data!$DB$166)),Country_Data!$DB$166,p_a)</f>
        <v>0</v>
      </c>
      <c r="W1133" s="16" t="n">
        <f aca="false">T1133*L1133</f>
        <v>0</v>
      </c>
      <c r="X1133" s="16" t="n">
        <f aca="false">U1133*L1133</f>
        <v>0</v>
      </c>
      <c r="Y1133" s="16" t="n">
        <f aca="false">V1133*L1133</f>
        <v>0</v>
      </c>
      <c r="Z1133" s="16" t="n">
        <f aca="false">Q1133*L1133</f>
        <v>0.000994527374332438</v>
      </c>
      <c r="AA1133" s="16" t="n">
        <f aca="false">R1133*L1133</f>
        <v>0.00139979567797829</v>
      </c>
      <c r="AB1133" s="16" t="n">
        <f aca="false">S1133*L1133</f>
        <v>0.000617901716260046</v>
      </c>
      <c r="AC1133" s="16" t="n">
        <f aca="false">Z1133-W1133</f>
        <v>0.000994527374332438</v>
      </c>
      <c r="AD1133" s="16" t="n">
        <f aca="false">AA1133-W1133</f>
        <v>0.00139979567797829</v>
      </c>
      <c r="AE1133" s="16" t="n">
        <f aca="false">AB1133-W1133</f>
        <v>0.000617901716260046</v>
      </c>
      <c r="AF1133" s="16" t="n">
        <f aca="false">AE1133-X1133</f>
        <v>0.000617901716260046</v>
      </c>
      <c r="AG1133" s="16" t="n">
        <f aca="false">AF1133-p_spc_lo*Y1133/1000</f>
        <v>0.000617901716260046</v>
      </c>
      <c r="AH1133" s="16" t="n">
        <f aca="false">AF1133-p_spc_hi*Y1133/1000</f>
        <v>0.000617901716260046</v>
      </c>
      <c r="AI1133" s="16" t="n">
        <f aca="false">Q1133*J1133</f>
        <v>0.00414386405971849</v>
      </c>
      <c r="AJ1133" s="16" t="n">
        <f aca="false">S1133*J1133</f>
        <v>0.00257459048441686</v>
      </c>
      <c r="AK1133" s="16" t="n">
        <f aca="false">T1133*J1133</f>
        <v>0</v>
      </c>
      <c r="AL1133" s="16" t="n">
        <f aca="false">U1133*J1133</f>
        <v>0</v>
      </c>
      <c r="AM1133" s="16" t="n">
        <f aca="false">AI1133-AJ1133</f>
        <v>0.00156927357530163</v>
      </c>
      <c r="AN1133" s="16" t="n">
        <f aca="false">J1133*Country_Data!$EB$166</f>
        <v>0.0472664302560411</v>
      </c>
      <c r="AO1133" s="16" t="n">
        <f aca="false">L1133*Country_Data!$EB$166</f>
        <v>0.0113439432614499</v>
      </c>
    </row>
    <row r="1134" customFormat="false" ht="15" hidden="false" customHeight="false" outlineLevel="0" collapsed="false">
      <c r="A1134" s="14" t="str">
        <f aca="false">Country_Data!$A$166</f>
        <v>LBR</v>
      </c>
      <c r="B1134" s="14" t="str">
        <f aca="false">Country_Data!$E$166</f>
        <v>EMDC</v>
      </c>
      <c r="C1134" s="35" t="s">
        <v>473</v>
      </c>
      <c r="D1134" s="37" t="n">
        <f aca="false">IF(Country_Data!$CA$166="","",Country_Data!$CA$166)</f>
        <v>0.00578022313661534</v>
      </c>
      <c r="E1134" s="40" t="n">
        <f aca="false">Country_Data!$BW$166</f>
        <v>10.492</v>
      </c>
      <c r="F1134" s="41" t="n">
        <f aca="false">Country_Data!$BX$166</f>
        <v>0.455394586351506</v>
      </c>
      <c r="G1134" s="42" t="n">
        <f aca="false">IF(D1134="","",D1134/SUMIFS($D$5:$D$1369,$B$5:$B$1369,B1134,$C$5:$C$1369,C1134))</f>
        <v>0.000133536603384281</v>
      </c>
      <c r="H1134" s="42" t="n">
        <f aca="false">E1134/SUMIFS($E$5:$E$1369,$B$5:$B$1369,B1134,$C$5:$C$1369,C1134)</f>
        <v>0.000129961035224123</v>
      </c>
      <c r="I1134" s="43" t="n">
        <f aca="false">IF(G1134="",H1134,p_beta_alloc*G1134+(1-p_beta_alloc)*H1134)*F1134^p_phi</f>
        <v>8.89079637229078E-005</v>
      </c>
      <c r="J1134" s="16" t="n">
        <f aca="false">INDEX(Sector_Params!$C$18:$E$18,MATCH(B1134,Sector_Params!$C$15:$E$15,0))*I1134/SUMIFS($I$5:$I$1369,$B$5:$B$1369,B1134,$C$5:$C$1369,C1134)</f>
        <v>0.0364057074741459</v>
      </c>
      <c r="K1134" s="28" t="n">
        <f aca="false">INDEX(Sector_Params!$F$7:$H$7,MATCH(B1134,Sector_Params!$C$15:$E$15,0))</f>
        <v>0.24</v>
      </c>
      <c r="L1134" s="16" t="n">
        <f aca="false">J1134*K1134</f>
        <v>0.00873736979379503</v>
      </c>
      <c r="M1134" s="44" t="n">
        <f aca="false">Country_Data!$DW$166+Sector_Params!$E$7</f>
        <v>0.105</v>
      </c>
      <c r="N1134" s="44" t="n">
        <f aca="false">Country_Data!$DX$166+Sector_Params!$E$7</f>
        <v>0.15</v>
      </c>
      <c r="O1134" s="11" t="n">
        <f aca="false">IF(p_use_ibrd=1,p_r_ibrd,p_r_wb)</f>
        <v>0.06</v>
      </c>
      <c r="P1134" s="45" t="n">
        <f aca="false">Sector_Params!$D$7</f>
        <v>12</v>
      </c>
      <c r="Q1134" s="46" t="n">
        <f aca="false">M1134/(1-(1+M1134)^-P1134)</f>
        <v>0.150376745634766</v>
      </c>
      <c r="R1134" s="46" t="n">
        <f aca="false">N1134/(1-(1+N1134)^-P1134)</f>
        <v>0.18448077613084</v>
      </c>
      <c r="S1134" s="46" t="n">
        <f aca="false">O1134/(1-(1+O1134)^-P1134)</f>
        <v>0.119277029380664</v>
      </c>
      <c r="T1134" s="37" t="n">
        <f aca="false">IF(AND(p_eng=1,ISNUMBER(Country_Data!$DE$166)),Country_Data!$DE$166,Country_Data!$CM$166)*Sector_Params!$I$7</f>
        <v>0.0316791</v>
      </c>
      <c r="U1134" s="37" t="n">
        <f aca="false">IF(AND(p_eng=1,ISNUMBER(Country_Data!$DF$166)),Country_Data!$DF$166,Country_Data!$CN$166)*Sector_Params!$J$7</f>
        <v>0.000120375</v>
      </c>
      <c r="V1134" s="37" t="n">
        <f aca="false">IF(AND(p_eng=1,ISNUMBER(Country_Data!$DG$166)),Country_Data!$DG$166,p_a)</f>
        <v>0.333082657894737</v>
      </c>
      <c r="W1134" s="16" t="n">
        <f aca="false">T1134*L1134</f>
        <v>0.000276792011434612</v>
      </c>
      <c r="X1134" s="16" t="n">
        <f aca="false">U1134*L1134</f>
        <v>1.05176088892808E-006</v>
      </c>
      <c r="Y1134" s="16" t="n">
        <f aca="false">V1134*L1134</f>
        <v>0.00291026635392644</v>
      </c>
      <c r="Z1134" s="16" t="n">
        <f aca="false">Q1134*L1134</f>
        <v>0.0013138972349984</v>
      </c>
      <c r="AA1134" s="16" t="n">
        <f aca="false">R1134*L1134</f>
        <v>0.00161187676090146</v>
      </c>
      <c r="AB1134" s="16" t="n">
        <f aca="false">S1134*L1134</f>
        <v>0.00104216751360421</v>
      </c>
      <c r="AC1134" s="16" t="n">
        <f aca="false">Z1134-W1134</f>
        <v>0.00103710522356379</v>
      </c>
      <c r="AD1134" s="16" t="n">
        <f aca="false">AA1134-W1134</f>
        <v>0.00133508474946685</v>
      </c>
      <c r="AE1134" s="16" t="n">
        <f aca="false">AB1134-W1134</f>
        <v>0.000765375502169599</v>
      </c>
      <c r="AF1134" s="16" t="n">
        <f aca="false">AE1134-X1134</f>
        <v>0.000764323741280671</v>
      </c>
      <c r="AG1134" s="16" t="n">
        <f aca="false">AF1134-p_spc_lo*Y1134/1000</f>
        <v>0.00061881042358435</v>
      </c>
      <c r="AH1134" s="16" t="n">
        <f aca="false">AF1134-p_spc_hi*Y1134/1000</f>
        <v>0.000473297105888028</v>
      </c>
      <c r="AI1134" s="16" t="n">
        <f aca="false">Q1134*J1134</f>
        <v>0.00547457181249333</v>
      </c>
      <c r="AJ1134" s="16" t="n">
        <f aca="false">S1134*J1134</f>
        <v>0.00434236464001755</v>
      </c>
      <c r="AK1134" s="16" t="n">
        <f aca="false">T1134*J1134</f>
        <v>0.00115330004764422</v>
      </c>
      <c r="AL1134" s="16" t="n">
        <f aca="false">U1134*J1134</f>
        <v>4.38233703720032E-006</v>
      </c>
      <c r="AM1134" s="16" t="n">
        <f aca="false">AI1134-AJ1134</f>
        <v>0.00113220717247579</v>
      </c>
      <c r="AN1134" s="16" t="n">
        <f aca="false">J1134*Country_Data!$EB$166</f>
        <v>0.0444206074141905</v>
      </c>
      <c r="AO1134" s="16" t="n">
        <f aca="false">L1134*Country_Data!$EB$166</f>
        <v>0.0106609457794057</v>
      </c>
    </row>
    <row r="1135" customFormat="false" ht="15" hidden="false" customHeight="false" outlineLevel="0" collapsed="false">
      <c r="A1135" s="14" t="str">
        <f aca="false">Country_Data!$A$166</f>
        <v>LBR</v>
      </c>
      <c r="B1135" s="14" t="str">
        <f aca="false">Country_Data!$E$166</f>
        <v>EMDC</v>
      </c>
      <c r="C1135" s="35" t="s">
        <v>477</v>
      </c>
      <c r="D1135" s="37" t="n">
        <f aca="false">IF(Country_Data!$CB$166="","",Country_Data!$CB$166)</f>
        <v>0.00166931860124886</v>
      </c>
      <c r="E1135" s="40" t="n">
        <f aca="false">Country_Data!$BW$166</f>
        <v>10.492</v>
      </c>
      <c r="F1135" s="41" t="n">
        <f aca="false">Country_Data!$BX$166</f>
        <v>0.455394586351506</v>
      </c>
      <c r="G1135" s="42" t="n">
        <f aca="false">IF(D1135="","",D1135/SUMIFS($D$5:$D$1369,$B$5:$B$1369,B1135,$C$5:$C$1369,C1135))</f>
        <v>5.26386985730457E-005</v>
      </c>
      <c r="H1135" s="42" t="n">
        <f aca="false">E1135/SUMIFS($E$5:$E$1369,$B$5:$B$1369,B1135,$C$5:$C$1369,C1135)</f>
        <v>0.000129961035224123</v>
      </c>
      <c r="I1135" s="43" t="n">
        <f aca="false">IF(G1135="",H1135,p_beta_alloc*G1135+(1-p_beta_alloc)*H1135)*F1135^p_phi</f>
        <v>6.16118254189678E-005</v>
      </c>
      <c r="J1135" s="16" t="n">
        <f aca="false">INDEX(Sector_Params!$C$19:$E$19,MATCH(B1135,Sector_Params!$C$15:$E$15,0))*I1135/SUMIFS($I$5:$I$1369,$B$5:$B$1369,B1135,$C$5:$C$1369,C1135)</f>
        <v>0.0198305421060239</v>
      </c>
      <c r="K1135" s="28" t="n">
        <f aca="false">INDEX(Sector_Params!$F$8:$H$8,MATCH(B1135,Sector_Params!$C$15:$E$15,0))</f>
        <v>0.24</v>
      </c>
      <c r="L1135" s="16" t="n">
        <f aca="false">J1135*K1135</f>
        <v>0.00475933010544574</v>
      </c>
      <c r="M1135" s="44" t="n">
        <f aca="false">Country_Data!$DW$166+Sector_Params!$E$8</f>
        <v>0.105</v>
      </c>
      <c r="N1135" s="44" t="n">
        <f aca="false">Country_Data!$DX$166+Sector_Params!$E$8</f>
        <v>0.15</v>
      </c>
      <c r="O1135" s="11" t="n">
        <f aca="false">IF(p_use_ibrd=1,p_r_ibrd,p_r_wb)</f>
        <v>0.06</v>
      </c>
      <c r="P1135" s="45" t="n">
        <f aca="false">Sector_Params!$D$8</f>
        <v>25</v>
      </c>
      <c r="Q1135" s="46" t="n">
        <f aca="false">M1135/(1-(1+M1135)^-P1135)</f>
        <v>0.114429319813103</v>
      </c>
      <c r="R1135" s="46" t="n">
        <f aca="false">N1135/(1-(1+N1135)^-P1135)</f>
        <v>0.154699402320206</v>
      </c>
      <c r="S1135" s="46" t="n">
        <f aca="false">O1135/(1-(1+O1135)^-P1135)</f>
        <v>0.078226718212274</v>
      </c>
      <c r="T1135" s="37" t="n">
        <f aca="false">Country_Data!$CM$166*Sector_Params!$I$8</f>
        <v>0.0848976079080163</v>
      </c>
      <c r="U1135" s="37" t="n">
        <f aca="false">Country_Data!$CN$166*Sector_Params!$J$8</f>
        <v>0.03225</v>
      </c>
      <c r="V1135" s="37" t="n">
        <f aca="false">p_a</f>
        <v>0.35</v>
      </c>
      <c r="W1135" s="16" t="n">
        <f aca="false">T1135*L1135</f>
        <v>0.00040405574119695</v>
      </c>
      <c r="X1135" s="16" t="n">
        <f aca="false">U1135*L1135</f>
        <v>0.000153488395900625</v>
      </c>
      <c r="Y1135" s="16" t="n">
        <f aca="false">V1135*L1135</f>
        <v>0.00166576553690601</v>
      </c>
      <c r="Z1135" s="16" t="n">
        <f aca="false">Q1135*L1135</f>
        <v>0.000544606906732181</v>
      </c>
      <c r="AA1135" s="16" t="n">
        <f aca="false">R1135*L1135</f>
        <v>0.000736265522757021</v>
      </c>
      <c r="AB1135" s="16" t="n">
        <f aca="false">S1135*L1135</f>
        <v>0.000372306775037896</v>
      </c>
      <c r="AC1135" s="16" t="n">
        <f aca="false">Z1135-W1135</f>
        <v>0.000140551165535231</v>
      </c>
      <c r="AD1135" s="16" t="n">
        <f aca="false">AA1135-W1135</f>
        <v>0.000332209781560071</v>
      </c>
      <c r="AE1135" s="16" t="n">
        <f aca="false">AB1135-W1135</f>
        <v>-3.17489661590543E-005</v>
      </c>
      <c r="AF1135" s="16" t="n">
        <f aca="false">AE1135-X1135</f>
        <v>-0.000185237362059679</v>
      </c>
      <c r="AG1135" s="16" t="n">
        <f aca="false">AF1135-p_spc_lo*Y1135/1000</f>
        <v>-0.00026852563890498</v>
      </c>
      <c r="AH1135" s="16" t="n">
        <f aca="false">AF1135-p_spc_hi*Y1135/1000</f>
        <v>-0.00035181391575028</v>
      </c>
      <c r="AI1135" s="16" t="n">
        <f aca="false">Q1135*J1135</f>
        <v>0.00226919544471742</v>
      </c>
      <c r="AJ1135" s="16" t="n">
        <f aca="false">S1135*J1135</f>
        <v>0.00155127822932457</v>
      </c>
      <c r="AK1135" s="16" t="n">
        <f aca="false">T1135*J1135</f>
        <v>0.00168356558832063</v>
      </c>
      <c r="AL1135" s="16" t="n">
        <f aca="false">U1135*J1135</f>
        <v>0.000639534982919271</v>
      </c>
      <c r="AM1135" s="16" t="n">
        <f aca="false">AI1135-AJ1135</f>
        <v>0.000717917215392855</v>
      </c>
      <c r="AN1135" s="16" t="n">
        <f aca="false">J1135*Country_Data!$EB$166</f>
        <v>0.0241963358720013</v>
      </c>
      <c r="AO1135" s="16" t="n">
        <f aca="false">L1135*Country_Data!$EB$166</f>
        <v>0.0058071206092803</v>
      </c>
    </row>
    <row r="1136" customFormat="false" ht="15" hidden="false" customHeight="false" outlineLevel="0" collapsed="false">
      <c r="A1136" s="14" t="str">
        <f aca="false">Country_Data!$A$166</f>
        <v>LBR</v>
      </c>
      <c r="B1136" s="14" t="str">
        <f aca="false">Country_Data!$E$166</f>
        <v>EMDC</v>
      </c>
      <c r="C1136" s="35" t="s">
        <v>481</v>
      </c>
      <c r="D1136" s="37" t="n">
        <f aca="false">IF(Country_Data!$CC$166="","",Country_Data!$CC$166)</f>
        <v>0.00309818249070512</v>
      </c>
      <c r="E1136" s="40" t="n">
        <f aca="false">Country_Data!$BW$166</f>
        <v>10.492</v>
      </c>
      <c r="F1136" s="41" t="n">
        <f aca="false">Country_Data!$BX$166</f>
        <v>0.455394586351506</v>
      </c>
      <c r="G1136" s="42" t="n">
        <f aca="false">IF(D1136="","",D1136/SUMIFS($D$5:$D$1369,$B$5:$B$1369,B1136,$C$5:$C$1369,C1136))</f>
        <v>4.4255161538381E-005</v>
      </c>
      <c r="H1136" s="42" t="n">
        <f aca="false">E1136/SUMIFS($E$5:$E$1369,$B$5:$B$1369,B1136,$C$5:$C$1369,C1136)</f>
        <v>0.000129961035224123</v>
      </c>
      <c r="I1136" s="43" t="n">
        <f aca="false">IF(G1136="",H1136,p_beta_alloc*G1136+(1-p_beta_alloc)*H1136)*F1136^p_phi</f>
        <v>5.87830971977812E-005</v>
      </c>
      <c r="J1136" s="16" t="n">
        <f aca="false">INDEX(Sector_Params!$C$20:$E$20,MATCH(B1136,Sector_Params!$C$15:$E$15,0))*I1136/SUMIFS($I$5:$I$1369,$B$5:$B$1369,B1136,$C$5:$C$1369,C1136)</f>
        <v>0.0107290989942073</v>
      </c>
      <c r="K1136" s="28" t="n">
        <f aca="false">INDEX(Sector_Params!$F$9:$H$9,MATCH(B1136,Sector_Params!$C$15:$E$15,0))</f>
        <v>0.24</v>
      </c>
      <c r="L1136" s="16" t="n">
        <f aca="false">J1136*K1136</f>
        <v>0.00257498375860976</v>
      </c>
      <c r="M1136" s="44" t="n">
        <f aca="false">Country_Data!$DW$166+Sector_Params!$E$9</f>
        <v>0.105</v>
      </c>
      <c r="N1136" s="44" t="n">
        <f aca="false">Country_Data!$DX$166+Sector_Params!$E$9</f>
        <v>0.15</v>
      </c>
      <c r="O1136" s="11" t="n">
        <f aca="false">IF(p_use_ibrd=1,p_r_ibrd,p_r_wb)</f>
        <v>0.06</v>
      </c>
      <c r="P1136" s="45" t="n">
        <f aca="false">Sector_Params!$D$9</f>
        <v>25</v>
      </c>
      <c r="Q1136" s="46" t="n">
        <f aca="false">M1136/(1-(1+M1136)^-P1136)</f>
        <v>0.114429319813103</v>
      </c>
      <c r="R1136" s="46" t="n">
        <f aca="false">N1136/(1-(1+N1136)^-P1136)</f>
        <v>0.154699402320206</v>
      </c>
      <c r="S1136" s="46" t="n">
        <f aca="false">O1136/(1-(1+O1136)^-P1136)</f>
        <v>0.078226718212274</v>
      </c>
      <c r="T1136" s="37" t="n">
        <f aca="false">Country_Data!$CM$166*Sector_Params!$I$9</f>
        <v>0.0848976079080163</v>
      </c>
      <c r="U1136" s="37" t="n">
        <f aca="false">Country_Data!$CN$166*Sector_Params!$J$9</f>
        <v>0.03225</v>
      </c>
      <c r="V1136" s="37" t="n">
        <f aca="false">p_a</f>
        <v>0.35</v>
      </c>
      <c r="W1136" s="16" t="n">
        <f aca="false">T1136*L1136</f>
        <v>0.000218609961507961</v>
      </c>
      <c r="X1136" s="16" t="n">
        <f aca="false">U1136*L1136</f>
        <v>8.30432262151647E-005</v>
      </c>
      <c r="Y1136" s="16" t="n">
        <f aca="false">V1136*L1136</f>
        <v>0.000901244315513416</v>
      </c>
      <c r="Z1136" s="16" t="n">
        <f aca="false">Q1136*L1136</f>
        <v>0.000294653640027503</v>
      </c>
      <c r="AA1136" s="16" t="n">
        <f aca="false">R1136*L1136</f>
        <v>0.000398348448441168</v>
      </c>
      <c r="AB1136" s="16" t="n">
        <f aca="false">S1136*L1136</f>
        <v>0.000201432528885948</v>
      </c>
      <c r="AC1136" s="16" t="n">
        <f aca="false">Z1136-W1136</f>
        <v>7.60436785195415E-005</v>
      </c>
      <c r="AD1136" s="16" t="n">
        <f aca="false">AA1136-W1136</f>
        <v>0.000179738486933207</v>
      </c>
      <c r="AE1136" s="16" t="n">
        <f aca="false">AB1136-W1136</f>
        <v>-1.71774326220138E-005</v>
      </c>
      <c r="AF1136" s="16" t="n">
        <f aca="false">AE1136-X1136</f>
        <v>-0.000100220658837178</v>
      </c>
      <c r="AG1136" s="16" t="n">
        <f aca="false">AF1136-p_spc_lo*Y1136/1000</f>
        <v>-0.000145282874612849</v>
      </c>
      <c r="AH1136" s="16" t="n">
        <f aca="false">AF1136-p_spc_hi*Y1136/1000</f>
        <v>-0.00019034509038852</v>
      </c>
      <c r="AI1136" s="16" t="n">
        <f aca="false">Q1136*J1136</f>
        <v>0.0012277235001146</v>
      </c>
      <c r="AJ1136" s="16" t="n">
        <f aca="false">S1136*J1136</f>
        <v>0.000839302203691449</v>
      </c>
      <c r="AK1136" s="16" t="n">
        <f aca="false">T1136*J1136</f>
        <v>0.000910874839616506</v>
      </c>
      <c r="AL1136" s="16" t="n">
        <f aca="false">U1136*J1136</f>
        <v>0.000346013442563186</v>
      </c>
      <c r="AM1136" s="16" t="n">
        <f aca="false">AI1136-AJ1136</f>
        <v>0.000388421296423147</v>
      </c>
      <c r="AN1136" s="16" t="n">
        <f aca="false">J1136*Country_Data!$EB$166</f>
        <v>0.0130911641991336</v>
      </c>
      <c r="AO1136" s="16" t="n">
        <f aca="false">L1136*Country_Data!$EB$166</f>
        <v>0.00314187940779206</v>
      </c>
    </row>
    <row r="1137" customFormat="false" ht="15" hidden="false" customHeight="false" outlineLevel="0" collapsed="false">
      <c r="A1137" s="14" t="str">
        <f aca="false">Country_Data!$A$166</f>
        <v>LBR</v>
      </c>
      <c r="B1137" s="14" t="str">
        <f aca="false">Country_Data!$E$166</f>
        <v>EMDC</v>
      </c>
      <c r="C1137" s="35" t="s">
        <v>484</v>
      </c>
      <c r="D1137" s="37" t="n">
        <f aca="false">IF(Country_Data!$CD$166="","",Country_Data!$CD$166)</f>
        <v>0.00918730154716215</v>
      </c>
      <c r="E1137" s="40" t="n">
        <f aca="false">Country_Data!$BW$166</f>
        <v>10.492</v>
      </c>
      <c r="F1137" s="41" t="n">
        <f aca="false">Country_Data!$BX$166</f>
        <v>0.455394586351506</v>
      </c>
      <c r="G1137" s="42" t="n">
        <f aca="false">IF(D1137="","",D1137/SUMIFS($D$5:$D$1369,$B$5:$B$1369,B1137,$C$5:$C$1369,C1137))</f>
        <v>5.13052481381891E-005</v>
      </c>
      <c r="H1137" s="42" t="n">
        <f aca="false">E1137/SUMIFS($E$5:$E$1369,$B$5:$B$1369,B1137,$C$5:$C$1369,C1137)</f>
        <v>0.000129961035224123</v>
      </c>
      <c r="I1137" s="43" t="n">
        <f aca="false">IF(G1137="",H1137,p_beta_alloc*G1137+(1-p_beta_alloc)*H1137)*F1137^p_phi</f>
        <v>6.11618997061051E-005</v>
      </c>
      <c r="J1137" s="16" t="n">
        <f aca="false">INDEX(Sector_Params!$C$21:$E$21,MATCH(B1137,Sector_Params!$C$15:$E$15,0))*I1137/SUMIFS($I$5:$I$1369,$B$5:$B$1369,B1137,$C$5:$C$1369,C1137)</f>
        <v>0.0135650871093923</v>
      </c>
      <c r="K1137" s="28" t="n">
        <f aca="false">INDEX(Sector_Params!$F$10:$H$10,MATCH(B1137,Sector_Params!$C$15:$E$15,0))</f>
        <v>0.24</v>
      </c>
      <c r="L1137" s="16" t="n">
        <f aca="false">J1137*K1137</f>
        <v>0.00325562090625415</v>
      </c>
      <c r="M1137" s="44" t="n">
        <f aca="false">Country_Data!$DW$166+Sector_Params!$E$10</f>
        <v>0.105</v>
      </c>
      <c r="N1137" s="44" t="n">
        <f aca="false">Country_Data!$DX$166+Sector_Params!$E$10</f>
        <v>0.15</v>
      </c>
      <c r="O1137" s="11" t="n">
        <f aca="false">IF(p_use_ibrd=1,p_r_ibrd,p_r_wb)</f>
        <v>0.06</v>
      </c>
      <c r="P1137" s="45" t="n">
        <f aca="false">Sector_Params!$D$10</f>
        <v>20</v>
      </c>
      <c r="Q1137" s="46" t="n">
        <f aca="false">M1137/(1-(1+M1137)^-P1137)</f>
        <v>0.121493265267016</v>
      </c>
      <c r="R1137" s="46" t="n">
        <f aca="false">N1137/(1-(1+N1137)^-P1137)</f>
        <v>0.159761470405744</v>
      </c>
      <c r="S1137" s="46" t="n">
        <f aca="false">O1137/(1-(1+O1137)^-P1137)</f>
        <v>0.0871845569768514</v>
      </c>
      <c r="T1137" s="37" t="n">
        <f aca="false">0*Sector_Params!$I$10</f>
        <v>0</v>
      </c>
      <c r="U1137" s="37" t="n">
        <f aca="false">0*Sector_Params!$J$10</f>
        <v>0</v>
      </c>
      <c r="V1137" s="37" t="n">
        <f aca="false">1000*p_r_wb/(1-(1+p_r_wb)^-Sector_Params!$D$10)/p_cpt_fuel</f>
        <v>0.871845569768514</v>
      </c>
      <c r="W1137" s="16" t="n">
        <f aca="false">T1137*L1137</f>
        <v>0</v>
      </c>
      <c r="X1137" s="16" t="n">
        <f aca="false">U1137*L1137</f>
        <v>0</v>
      </c>
      <c r="Y1137" s="16" t="n">
        <f aca="false">V1137*L1137</f>
        <v>0.00283839866396344</v>
      </c>
      <c r="Z1137" s="16" t="n">
        <f aca="false">Q1137*L1137</f>
        <v>0.000395536014372379</v>
      </c>
      <c r="AA1137" s="16" t="n">
        <f aca="false">R1137*L1137</f>
        <v>0.000520122783066843</v>
      </c>
      <c r="AB1137" s="16" t="n">
        <f aca="false">S1137*L1137</f>
        <v>0.000283839866396344</v>
      </c>
      <c r="AC1137" s="16" t="n">
        <f aca="false">Z1137-W1137</f>
        <v>0.000395536014372379</v>
      </c>
      <c r="AD1137" s="16" t="n">
        <f aca="false">AA1137-W1137</f>
        <v>0.000520122783066843</v>
      </c>
      <c r="AE1137" s="16" t="n">
        <f aca="false">AB1137-W1137</f>
        <v>0.000283839866396344</v>
      </c>
      <c r="AF1137" s="16" t="n">
        <f aca="false">AE1137-X1137</f>
        <v>0.000283839866396344</v>
      </c>
      <c r="AG1137" s="16" t="n">
        <f aca="false">AF1137-p_spc_lo*Y1137/1000</f>
        <v>0.000141919933198172</v>
      </c>
      <c r="AH1137" s="16" t="n">
        <f aca="false">AF1137-p_spc_hi*Y1137/1000</f>
        <v>0</v>
      </c>
      <c r="AI1137" s="16" t="n">
        <f aca="false">Q1137*J1137</f>
        <v>0.00164806672655158</v>
      </c>
      <c r="AJ1137" s="16" t="n">
        <f aca="false">S1137*J1137</f>
        <v>0.00118266610998476</v>
      </c>
      <c r="AK1137" s="16" t="n">
        <f aca="false">T1137*J1137</f>
        <v>0</v>
      </c>
      <c r="AL1137" s="16" t="n">
        <f aca="false">U1137*J1137</f>
        <v>0</v>
      </c>
      <c r="AM1137" s="16" t="n">
        <f aca="false">AI1137-AJ1137</f>
        <v>0.000465400616566814</v>
      </c>
      <c r="AN1137" s="16" t="n">
        <f aca="false">J1137*Country_Data!$EB$166</f>
        <v>0.0165515093877391</v>
      </c>
      <c r="AO1137" s="16" t="n">
        <f aca="false">L1137*Country_Data!$EB$166</f>
        <v>0.00397236225305739</v>
      </c>
    </row>
    <row r="1138" customFormat="false" ht="15" hidden="false" customHeight="false" outlineLevel="0" collapsed="false">
      <c r="A1138" s="14" t="str">
        <f aca="false">Country_Data!$A$166</f>
        <v>LBR</v>
      </c>
      <c r="B1138" s="14" t="str">
        <f aca="false">Country_Data!$E$166</f>
        <v>EMDC</v>
      </c>
      <c r="C1138" s="35" t="s">
        <v>488</v>
      </c>
      <c r="D1138" s="37" t="n">
        <f aca="false">IF(Country_Data!$CE$166="","",Country_Data!$CE$166)</f>
        <v>16.522</v>
      </c>
      <c r="E1138" s="40" t="n">
        <f aca="false">Country_Data!$BW$166</f>
        <v>10.492</v>
      </c>
      <c r="F1138" s="41" t="n">
        <f aca="false">Country_Data!$BX$166</f>
        <v>0.455394586351506</v>
      </c>
      <c r="G1138" s="42" t="n">
        <f aca="false">IF(D1138="","",D1138/SUMIFS($D$5:$D$1369,$B$5:$B$1369,B1138,$C$5:$C$1369,C1138))</f>
        <v>0.0013538062177414</v>
      </c>
      <c r="H1138" s="42" t="n">
        <f aca="false">E1138/SUMIFS($E$5:$E$1369,$B$5:$B$1369,B1138,$C$5:$C$1369,C1138)</f>
        <v>0.000129961035224123</v>
      </c>
      <c r="I1138" s="43" t="n">
        <f aca="false">IF(G1138="",H1138,p_beta_alloc*G1138+(1-p_beta_alloc)*H1138)*F1138^p_phi</f>
        <v>0.000500644809557279</v>
      </c>
      <c r="J1138" s="16" t="n">
        <f aca="false">INDEX(Sector_Params!$C$22:$E$22,MATCH(B1138,Sector_Params!$C$15:$E$15,0))*I1138/SUMIFS($I$5:$I$1369,$B$5:$B$1369,B1138,$C$5:$C$1369,C1138)</f>
        <v>0.301792890719381</v>
      </c>
      <c r="K1138" s="28" t="n">
        <f aca="false">INDEX(Sector_Params!$F$11:$H$11,MATCH(B1138,Sector_Params!$C$15:$E$15,0))</f>
        <v>0.24</v>
      </c>
      <c r="L1138" s="16" t="n">
        <f aca="false">J1138*K1138</f>
        <v>0.0724302937726513</v>
      </c>
      <c r="M1138" s="44" t="n">
        <f aca="false">Country_Data!$DW$166+Sector_Params!$E$11</f>
        <v>0.105</v>
      </c>
      <c r="N1138" s="44" t="n">
        <f aca="false">Country_Data!$DX$166+Sector_Params!$E$11</f>
        <v>0.15</v>
      </c>
      <c r="O1138" s="11" t="n">
        <f aca="false">IF(p_use_ibrd=1,p_r_ibrd,p_r_wb)</f>
        <v>0.06</v>
      </c>
      <c r="P1138" s="45" t="n">
        <f aca="false">Sector_Params!$D$11</f>
        <v>30</v>
      </c>
      <c r="Q1138" s="46" t="n">
        <f aca="false">M1138/(1-(1+M1138)^-P1138)</f>
        <v>0.110528481529605</v>
      </c>
      <c r="R1138" s="46" t="n">
        <f aca="false">N1138/(1-(1+N1138)^-P1138)</f>
        <v>0.152300198192734</v>
      </c>
      <c r="S1138" s="46" t="n">
        <f aca="false">O1138/(1-(1+O1138)^-P1138)</f>
        <v>0.0726489114900472</v>
      </c>
      <c r="T1138" s="37" t="n">
        <f aca="false">0*Sector_Params!$I$11</f>
        <v>0</v>
      </c>
      <c r="U1138" s="37" t="n">
        <f aca="false">p_c*Sector_Params!$J$11</f>
        <v>0.129</v>
      </c>
      <c r="V1138" s="37" t="n">
        <f aca="false">1000*p_r_wb/(1-(1+p_r_wb)^-Sector_Params!$D$11)/p_cpt_afolu</f>
        <v>1.45297822980094</v>
      </c>
      <c r="W1138" s="16" t="n">
        <f aca="false">T1138*L1138</f>
        <v>0</v>
      </c>
      <c r="X1138" s="16" t="n">
        <f aca="false">U1138*L1138</f>
        <v>0.00934350789667202</v>
      </c>
      <c r="Y1138" s="16" t="n">
        <f aca="false">V1138*L1138</f>
        <v>0.105239640029749</v>
      </c>
      <c r="Z1138" s="16" t="n">
        <f aca="false">Q1138*L1138</f>
        <v>0.00800561038743437</v>
      </c>
      <c r="AA1138" s="16" t="n">
        <f aca="false">R1138*L1138</f>
        <v>0.0110311480967328</v>
      </c>
      <c r="AB1138" s="16" t="n">
        <f aca="false">S1138*L1138</f>
        <v>0.00526198200148746</v>
      </c>
      <c r="AC1138" s="16" t="n">
        <f aca="false">Z1138-W1138</f>
        <v>0.00800561038743437</v>
      </c>
      <c r="AD1138" s="16" t="n">
        <f aca="false">AA1138-W1138</f>
        <v>0.0110311480967328</v>
      </c>
      <c r="AE1138" s="16" t="n">
        <f aca="false">AB1138-W1138</f>
        <v>0.00526198200148746</v>
      </c>
      <c r="AF1138" s="16" t="n">
        <f aca="false">AE1138-X1138</f>
        <v>-0.00408152589518456</v>
      </c>
      <c r="AG1138" s="16" t="n">
        <f aca="false">AF1138-p_spc_lo*Y1138/1000</f>
        <v>-0.00934350789667202</v>
      </c>
      <c r="AH1138" s="16" t="n">
        <f aca="false">AF1138-p_spc_hi*Y1138/1000</f>
        <v>-0.0146054898981595</v>
      </c>
      <c r="AI1138" s="16" t="n">
        <f aca="false">Q1138*J1138</f>
        <v>0.0333567099476432</v>
      </c>
      <c r="AJ1138" s="16" t="n">
        <f aca="false">S1138*J1138</f>
        <v>0.0219249250061978</v>
      </c>
      <c r="AK1138" s="16" t="n">
        <f aca="false">T1138*J1138</f>
        <v>0</v>
      </c>
      <c r="AL1138" s="16" t="n">
        <f aca="false">U1138*J1138</f>
        <v>0.0389312829028001</v>
      </c>
      <c r="AM1138" s="16" t="n">
        <f aca="false">AI1138-AJ1138</f>
        <v>0.0114317849414454</v>
      </c>
      <c r="AN1138" s="16" t="n">
        <f aca="false">J1138*Country_Data!$EB$166</f>
        <v>0.368234116273105</v>
      </c>
      <c r="AO1138" s="16" t="n">
        <f aca="false">L1138*Country_Data!$EB$166</f>
        <v>0.0883761879055451</v>
      </c>
    </row>
    <row r="1139" customFormat="false" ht="15" hidden="false" customHeight="false" outlineLevel="0" collapsed="false">
      <c r="A1139" s="14" t="str">
        <f aca="false">Country_Data!$A$167</f>
        <v>SSD</v>
      </c>
      <c r="B1139" s="14" t="str">
        <f aca="false">Country_Data!$E$167</f>
        <v>EMDC</v>
      </c>
      <c r="C1139" s="35" t="s">
        <v>466</v>
      </c>
      <c r="D1139" s="37" t="str">
        <f aca="false">IF(Country_Data!$BZ$167="","",Country_Data!$BZ$167)</f>
        <v/>
      </c>
      <c r="E1139" s="40" t="n">
        <f aca="false">Country_Data!$BW$167</f>
        <v>11.903</v>
      </c>
      <c r="F1139" s="41" t="n">
        <f aca="false">Country_Data!$BX$167</f>
        <v>0.389565655717046</v>
      </c>
      <c r="G1139" s="42" t="str">
        <f aca="false">IF(D1139="","",D1139/SUMIFS($D$5:$D$1369,$B$5:$B$1369,B1139,$C$5:$C$1369,C1139))</f>
        <v/>
      </c>
      <c r="H1139" s="42" t="n">
        <f aca="false">E1139/SUMIFS($E$5:$E$1369,$B$5:$B$1369,B1139,$C$5:$C$1369,C1139)</f>
        <v>0.000147438639179635</v>
      </c>
      <c r="I1139" s="43" t="n">
        <f aca="false">IF(G1139="",H1139,p_beta_alloc*G1139+(1-p_beta_alloc)*H1139)*F1139^p_phi</f>
        <v>9.20241140345404E-005</v>
      </c>
      <c r="J1139" s="16" t="n">
        <f aca="false">INDEX(Sector_Params!$C$16:$E$16,MATCH(B1139,Sector_Params!$C$15:$E$15,0))*I1139/SUMIFS($I$5:$I$1369,$B$5:$B$1369,B1139,$C$5:$C$1369,C1139)</f>
        <v>0.0890080561066434</v>
      </c>
      <c r="K1139" s="28" t="n">
        <f aca="false">INDEX(Sector_Params!$F$5:$H$5,MATCH(B1139,Sector_Params!$C$15:$E$15,0))</f>
        <v>0.24</v>
      </c>
      <c r="L1139" s="16" t="n">
        <f aca="false">J1139*K1139</f>
        <v>0.0213619334655944</v>
      </c>
      <c r="M1139" s="44" t="n">
        <f aca="false">Country_Data!$DW$167+Sector_Params!$E$5</f>
        <v>0.105</v>
      </c>
      <c r="N1139" s="44" t="n">
        <f aca="false">Country_Data!$DX$167+Sector_Params!$E$5</f>
        <v>0.15</v>
      </c>
      <c r="O1139" s="11" t="n">
        <f aca="false">IF(p_use_ibrd=1,p_r_ibrd,p_r_wb)</f>
        <v>0.06</v>
      </c>
      <c r="P1139" s="45" t="n">
        <f aca="false">Sector_Params!$D$5</f>
        <v>25</v>
      </c>
      <c r="Q1139" s="46" t="n">
        <f aca="false">M1139/(1-(1+M1139)^-P1139)</f>
        <v>0.114429319813103</v>
      </c>
      <c r="R1139" s="46" t="n">
        <f aca="false">N1139/(1-(1+N1139)^-P1139)</f>
        <v>0.154699402320206</v>
      </c>
      <c r="S1139" s="46" t="n">
        <f aca="false">O1139/(1-(1+O1139)^-P1139)</f>
        <v>0.078226718212274</v>
      </c>
      <c r="T1139" s="37" t="n">
        <f aca="false">IF(AND(p_eng=1,ISNUMBER(Country_Data!$CZ$167)),Country_Data!$CZ$167,Country_Data!$CM$167)*Sector_Params!$I$5</f>
        <v>0.133</v>
      </c>
      <c r="U1139" s="37" t="n">
        <f aca="false">IF(AND(p_eng=1,ISNUMBER(Country_Data!$DA$167)),Country_Data!$DA$167,Country_Data!$CN$167)*Sector_Params!$J$5</f>
        <v>0.129</v>
      </c>
      <c r="V1139" s="37" t="n">
        <f aca="false">IF(AND(p_eng=1,ISNUMBER(Country_Data!$DB$167)),Country_Data!$DB$167,p_a)</f>
        <v>0.35</v>
      </c>
      <c r="W1139" s="16" t="n">
        <f aca="false">T1139*L1139</f>
        <v>0.00284113715092406</v>
      </c>
      <c r="X1139" s="16" t="n">
        <f aca="false">U1139*L1139</f>
        <v>0.00275568941706168</v>
      </c>
      <c r="Y1139" s="16" t="n">
        <f aca="false">V1139*L1139</f>
        <v>0.00747667671295805</v>
      </c>
      <c r="Z1139" s="16" t="n">
        <f aca="false">Q1139*L1139</f>
        <v>0.00244443151636074</v>
      </c>
      <c r="AA1139" s="16" t="n">
        <f aca="false">R1139*L1139</f>
        <v>0.00330467833953147</v>
      </c>
      <c r="AB1139" s="16" t="n">
        <f aca="false">S1139*L1139</f>
        <v>0.0016710739496824</v>
      </c>
      <c r="AC1139" s="16" t="n">
        <f aca="false">Z1139-W1139</f>
        <v>-0.00039670563456332</v>
      </c>
      <c r="AD1139" s="16" t="n">
        <f aca="false">AA1139-W1139</f>
        <v>0.000463541188607415</v>
      </c>
      <c r="AE1139" s="16" t="n">
        <f aca="false">AB1139-W1139</f>
        <v>-0.00117006320124166</v>
      </c>
      <c r="AF1139" s="16" t="n">
        <f aca="false">AE1139-X1139</f>
        <v>-0.00392575261830334</v>
      </c>
      <c r="AG1139" s="16" t="n">
        <f aca="false">AF1139-p_spc_lo*Y1139/1000</f>
        <v>-0.00429958645395124</v>
      </c>
      <c r="AH1139" s="16" t="n">
        <f aca="false">AF1139-p_spc_hi*Y1139/1000</f>
        <v>-0.00467342028959914</v>
      </c>
      <c r="AI1139" s="16" t="n">
        <f aca="false">Q1139*J1139</f>
        <v>0.0101851313181697</v>
      </c>
      <c r="AJ1139" s="16" t="n">
        <f aca="false">S1139*J1139</f>
        <v>0.00696280812367667</v>
      </c>
      <c r="AK1139" s="16" t="n">
        <f aca="false">T1139*J1139</f>
        <v>0.0118380714621836</v>
      </c>
      <c r="AL1139" s="16" t="n">
        <f aca="false">U1139*J1139</f>
        <v>0.011482039237757</v>
      </c>
      <c r="AM1139" s="16" t="n">
        <f aca="false">AI1139-AJ1139</f>
        <v>0.00322232319449308</v>
      </c>
      <c r="AN1139" s="16" t="n">
        <f aca="false">J1139*Country_Data!$EB$167</f>
        <v>0.112743537735082</v>
      </c>
      <c r="AO1139" s="16" t="n">
        <f aca="false">L1139*Country_Data!$EB$167</f>
        <v>0.0270584490564196</v>
      </c>
    </row>
    <row r="1140" customFormat="false" ht="15" hidden="false" customHeight="false" outlineLevel="0" collapsed="false">
      <c r="A1140" s="14" t="str">
        <f aca="false">Country_Data!$A$167</f>
        <v>SSD</v>
      </c>
      <c r="B1140" s="14" t="str">
        <f aca="false">Country_Data!$E$167</f>
        <v>EMDC</v>
      </c>
      <c r="C1140" s="35" t="s">
        <v>470</v>
      </c>
      <c r="D1140" s="37" t="str">
        <f aca="false">IF(Country_Data!$BZ$167="","",Country_Data!$BZ$167)</f>
        <v/>
      </c>
      <c r="E1140" s="40" t="n">
        <f aca="false">Country_Data!$BW$167</f>
        <v>11.903</v>
      </c>
      <c r="F1140" s="41" t="n">
        <f aca="false">Country_Data!$BX$167</f>
        <v>0.389565655717046</v>
      </c>
      <c r="G1140" s="42" t="str">
        <f aca="false">IF(D1140="","",D1140/SUMIFS($D$5:$D$1369,$B$5:$B$1369,B1140,$C$5:$C$1369,C1140))</f>
        <v/>
      </c>
      <c r="H1140" s="42" t="n">
        <f aca="false">E1140/SUMIFS($E$5:$E$1369,$B$5:$B$1369,B1140,$C$5:$C$1369,C1140)</f>
        <v>0.000147438639179635</v>
      </c>
      <c r="I1140" s="43" t="n">
        <f aca="false">IF(G1140="",H1140,p_beta_alloc*G1140+(1-p_beta_alloc)*H1140)*F1140^p_phi</f>
        <v>9.20241140345404E-005</v>
      </c>
      <c r="J1140" s="16" t="n">
        <f aca="false">INDEX(Sector_Params!$C$17:$E$17,MATCH(B1140,Sector_Params!$C$15:$E$15,0))*I1140/SUMIFS($I$5:$I$1369,$B$5:$B$1369,B1140,$C$5:$C$1369,C1140)</f>
        <v>0.0610340956159841</v>
      </c>
      <c r="K1140" s="28" t="n">
        <f aca="false">INDEX(Sector_Params!$F$6:$H$6,MATCH(B1140,Sector_Params!$C$15:$E$15,0))</f>
        <v>0.24</v>
      </c>
      <c r="L1140" s="16" t="n">
        <f aca="false">J1140*K1140</f>
        <v>0.0146481829478362</v>
      </c>
      <c r="M1140" s="44" t="n">
        <f aca="false">Country_Data!$DW$167+Sector_Params!$E$6</f>
        <v>0.105</v>
      </c>
      <c r="N1140" s="44" t="n">
        <f aca="false">Country_Data!$DX$167+Sector_Params!$E$6</f>
        <v>0.15</v>
      </c>
      <c r="O1140" s="11" t="n">
        <f aca="false">IF(p_use_ibrd=1,p_r_ibrd,p_r_wb)</f>
        <v>0.06</v>
      </c>
      <c r="P1140" s="45" t="n">
        <f aca="false">Sector_Params!$D$6</f>
        <v>40</v>
      </c>
      <c r="Q1140" s="46" t="n">
        <f aca="false">M1140/(1-(1+M1140)^-P1140)</f>
        <v>0.10697140835497</v>
      </c>
      <c r="R1140" s="46" t="n">
        <f aca="false">N1140/(1-(1+N1140)^-P1140)</f>
        <v>0.150562085013545</v>
      </c>
      <c r="S1140" s="46" t="n">
        <f aca="false">O1140/(1-(1+O1140)^-P1140)</f>
        <v>0.0664615359206755</v>
      </c>
      <c r="T1140" s="37" t="n">
        <f aca="false">p_grid_credit*IF(AND(p_eng=1,ISNUMBER(Country_Data!$CZ$167)),Country_Data!$CZ$167,Country_Data!$CM$167)*Sector_Params!$I$6</f>
        <v>0</v>
      </c>
      <c r="U1140" s="37" t="n">
        <f aca="false">p_grid_credit*IF(AND(p_eng=1,ISNUMBER(Country_Data!$DA$167)),Country_Data!$DA$167,Country_Data!$CN$167)*Sector_Params!$J$6</f>
        <v>0</v>
      </c>
      <c r="V1140" s="37" t="n">
        <f aca="false">p_grid_credit*IF(AND(p_eng=1,ISNUMBER(Country_Data!$DB$167)),Country_Data!$DB$167,p_a)</f>
        <v>0</v>
      </c>
      <c r="W1140" s="16" t="n">
        <f aca="false">T1140*L1140</f>
        <v>0</v>
      </c>
      <c r="X1140" s="16" t="n">
        <f aca="false">U1140*L1140</f>
        <v>0</v>
      </c>
      <c r="Y1140" s="16" t="n">
        <f aca="false">V1140*L1140</f>
        <v>0</v>
      </c>
      <c r="Z1140" s="16" t="n">
        <f aca="false">Q1140*L1140</f>
        <v>0.0015669367597713</v>
      </c>
      <c r="AA1140" s="16" t="n">
        <f aca="false">R1140*L1140</f>
        <v>0.00220546096628607</v>
      </c>
      <c r="AB1140" s="16" t="n">
        <f aca="false">S1140*L1140</f>
        <v>0.00097354073716024</v>
      </c>
      <c r="AC1140" s="16" t="n">
        <f aca="false">Z1140-W1140</f>
        <v>0.0015669367597713</v>
      </c>
      <c r="AD1140" s="16" t="n">
        <f aca="false">AA1140-W1140</f>
        <v>0.00220546096628607</v>
      </c>
      <c r="AE1140" s="16" t="n">
        <f aca="false">AB1140-W1140</f>
        <v>0.00097354073716024</v>
      </c>
      <c r="AF1140" s="16" t="n">
        <f aca="false">AE1140-X1140</f>
        <v>0.00097354073716024</v>
      </c>
      <c r="AG1140" s="16" t="n">
        <f aca="false">AF1140-p_spc_lo*Y1140/1000</f>
        <v>0.00097354073716024</v>
      </c>
      <c r="AH1140" s="16" t="n">
        <f aca="false">AF1140-p_spc_hi*Y1140/1000</f>
        <v>0.00097354073716024</v>
      </c>
      <c r="AI1140" s="16" t="n">
        <f aca="false">Q1140*J1140</f>
        <v>0.00652890316571374</v>
      </c>
      <c r="AJ1140" s="16" t="n">
        <f aca="false">S1140*J1140</f>
        <v>0.00405641973816767</v>
      </c>
      <c r="AK1140" s="16" t="n">
        <f aca="false">T1140*J1140</f>
        <v>0</v>
      </c>
      <c r="AL1140" s="16" t="n">
        <f aca="false">U1140*J1140</f>
        <v>0</v>
      </c>
      <c r="AM1140" s="16" t="n">
        <f aca="false">AI1140-AJ1140</f>
        <v>0.00247248342754607</v>
      </c>
      <c r="AN1140" s="16" t="n">
        <f aca="false">J1140*Country_Data!$EB$167</f>
        <v>0.0773098544469131</v>
      </c>
      <c r="AO1140" s="16" t="n">
        <f aca="false">L1140*Country_Data!$EB$167</f>
        <v>0.0185543650672592</v>
      </c>
    </row>
    <row r="1141" customFormat="false" ht="15" hidden="false" customHeight="false" outlineLevel="0" collapsed="false">
      <c r="A1141" s="14" t="str">
        <f aca="false">Country_Data!$A$167</f>
        <v>SSD</v>
      </c>
      <c r="B1141" s="14" t="str">
        <f aca="false">Country_Data!$E$167</f>
        <v>EMDC</v>
      </c>
      <c r="C1141" s="35" t="s">
        <v>473</v>
      </c>
      <c r="D1141" s="37" t="str">
        <f aca="false">IF(Country_Data!$CA$167="","",Country_Data!$CA$167)</f>
        <v/>
      </c>
      <c r="E1141" s="40" t="n">
        <f aca="false">Country_Data!$BW$167</f>
        <v>11.903</v>
      </c>
      <c r="F1141" s="41" t="n">
        <f aca="false">Country_Data!$BX$167</f>
        <v>0.389565655717046</v>
      </c>
      <c r="G1141" s="42" t="str">
        <f aca="false">IF(D1141="","",D1141/SUMIFS($D$5:$D$1369,$B$5:$B$1369,B1141,$C$5:$C$1369,C1141))</f>
        <v/>
      </c>
      <c r="H1141" s="42" t="n">
        <f aca="false">E1141/SUMIFS($E$5:$E$1369,$B$5:$B$1369,B1141,$C$5:$C$1369,C1141)</f>
        <v>0.000147438639179635</v>
      </c>
      <c r="I1141" s="43" t="n">
        <f aca="false">IF(G1141="",H1141,p_beta_alloc*G1141+(1-p_beta_alloc)*H1141)*F1141^p_phi</f>
        <v>9.20241140345404E-005</v>
      </c>
      <c r="J1141" s="16" t="n">
        <f aca="false">INDEX(Sector_Params!$C$18:$E$18,MATCH(B1141,Sector_Params!$C$15:$E$15,0))*I1141/SUMIFS($I$5:$I$1369,$B$5:$B$1369,B1141,$C$5:$C$1369,C1141)</f>
        <v>0.0376816972948591</v>
      </c>
      <c r="K1141" s="28" t="n">
        <f aca="false">INDEX(Sector_Params!$F$7:$H$7,MATCH(B1141,Sector_Params!$C$15:$E$15,0))</f>
        <v>0.24</v>
      </c>
      <c r="L1141" s="16" t="n">
        <f aca="false">J1141*K1141</f>
        <v>0.00904360735076619</v>
      </c>
      <c r="M1141" s="44" t="n">
        <f aca="false">Country_Data!$DW$167+Sector_Params!$E$7</f>
        <v>0.105</v>
      </c>
      <c r="N1141" s="44" t="n">
        <f aca="false">Country_Data!$DX$167+Sector_Params!$E$7</f>
        <v>0.15</v>
      </c>
      <c r="O1141" s="11" t="n">
        <f aca="false">IF(p_use_ibrd=1,p_r_ibrd,p_r_wb)</f>
        <v>0.06</v>
      </c>
      <c r="P1141" s="45" t="n">
        <f aca="false">Sector_Params!$D$7</f>
        <v>12</v>
      </c>
      <c r="Q1141" s="46" t="n">
        <f aca="false">M1141/(1-(1+M1141)^-P1141)</f>
        <v>0.150376745634766</v>
      </c>
      <c r="R1141" s="46" t="n">
        <f aca="false">N1141/(1-(1+N1141)^-P1141)</f>
        <v>0.18448077613084</v>
      </c>
      <c r="S1141" s="46" t="n">
        <f aca="false">O1141/(1-(1+O1141)^-P1141)</f>
        <v>0.119277029380664</v>
      </c>
      <c r="T1141" s="37" t="n">
        <f aca="false">IF(AND(p_eng=1,ISNUMBER(Country_Data!$DE$167)),Country_Data!$DE$167,Country_Data!$CM$167)*Sector_Params!$I$7</f>
        <v>0.133</v>
      </c>
      <c r="U1141" s="37" t="n">
        <f aca="false">IF(AND(p_eng=1,ISNUMBER(Country_Data!$DF$167)),Country_Data!$DF$167,Country_Data!$CN$167)*Sector_Params!$J$7</f>
        <v>0.129</v>
      </c>
      <c r="V1141" s="37" t="n">
        <f aca="false">IF(AND(p_eng=1,ISNUMBER(Country_Data!$DG$167)),Country_Data!$DG$167,p_a)</f>
        <v>0.35</v>
      </c>
      <c r="W1141" s="16" t="n">
        <f aca="false">T1141*L1141</f>
        <v>0.0012027997776519</v>
      </c>
      <c r="X1141" s="16" t="n">
        <f aca="false">U1141*L1141</f>
        <v>0.00116662534824884</v>
      </c>
      <c r="Y1141" s="16" t="n">
        <f aca="false">V1141*L1141</f>
        <v>0.00316526257276817</v>
      </c>
      <c r="Z1141" s="16" t="n">
        <f aca="false">Q1141*L1141</f>
        <v>0.00135994824220686</v>
      </c>
      <c r="AA1141" s="16" t="n">
        <f aca="false">R1141*L1141</f>
        <v>0.00166837170309191</v>
      </c>
      <c r="AB1141" s="16" t="n">
        <f aca="false">S1141*L1141</f>
        <v>0.00107869461968452</v>
      </c>
      <c r="AC1141" s="16" t="n">
        <f aca="false">Z1141-W1141</f>
        <v>0.000157148464554962</v>
      </c>
      <c r="AD1141" s="16" t="n">
        <f aca="false">AA1141-W1141</f>
        <v>0.000465571925440009</v>
      </c>
      <c r="AE1141" s="16" t="n">
        <f aca="false">AB1141-W1141</f>
        <v>-0.00012410515796738</v>
      </c>
      <c r="AF1141" s="16" t="n">
        <f aca="false">AE1141-X1141</f>
        <v>-0.00129073050621622</v>
      </c>
      <c r="AG1141" s="16" t="n">
        <f aca="false">AF1141-p_spc_lo*Y1141/1000</f>
        <v>-0.00144899363485463</v>
      </c>
      <c r="AH1141" s="16" t="n">
        <f aca="false">AF1141-p_spc_hi*Y1141/1000</f>
        <v>-0.00160725676349303</v>
      </c>
      <c r="AI1141" s="16" t="n">
        <f aca="false">Q1141*J1141</f>
        <v>0.00566645100919527</v>
      </c>
      <c r="AJ1141" s="16" t="n">
        <f aca="false">S1141*J1141</f>
        <v>0.00449456091535218</v>
      </c>
      <c r="AK1141" s="16" t="n">
        <f aca="false">T1141*J1141</f>
        <v>0.00501166574021626</v>
      </c>
      <c r="AL1141" s="16" t="n">
        <f aca="false">U1141*J1141</f>
        <v>0.00486093895103683</v>
      </c>
      <c r="AM1141" s="16" t="n">
        <f aca="false">AI1141-AJ1141</f>
        <v>0.00117189009384309</v>
      </c>
      <c r="AN1141" s="16" t="n">
        <f aca="false">J1141*Country_Data!$EB$167</f>
        <v>0.0477301499068216</v>
      </c>
      <c r="AO1141" s="16" t="n">
        <f aca="false">L1141*Country_Data!$EB$167</f>
        <v>0.0114552359776372</v>
      </c>
    </row>
    <row r="1142" customFormat="false" ht="15" hidden="false" customHeight="false" outlineLevel="0" collapsed="false">
      <c r="A1142" s="14" t="str">
        <f aca="false">Country_Data!$A$167</f>
        <v>SSD</v>
      </c>
      <c r="B1142" s="14" t="str">
        <f aca="false">Country_Data!$E$167</f>
        <v>EMDC</v>
      </c>
      <c r="C1142" s="35" t="s">
        <v>477</v>
      </c>
      <c r="D1142" s="37" t="str">
        <f aca="false">IF(Country_Data!$CB$167="","",Country_Data!$CB$167)</f>
        <v/>
      </c>
      <c r="E1142" s="40" t="n">
        <f aca="false">Country_Data!$BW$167</f>
        <v>11.903</v>
      </c>
      <c r="F1142" s="41" t="n">
        <f aca="false">Country_Data!$BX$167</f>
        <v>0.389565655717046</v>
      </c>
      <c r="G1142" s="42" t="str">
        <f aca="false">IF(D1142="","",D1142/SUMIFS($D$5:$D$1369,$B$5:$B$1369,B1142,$C$5:$C$1369,C1142))</f>
        <v/>
      </c>
      <c r="H1142" s="42" t="n">
        <f aca="false">E1142/SUMIFS($E$5:$E$1369,$B$5:$B$1369,B1142,$C$5:$C$1369,C1142)</f>
        <v>0.000147438639179635</v>
      </c>
      <c r="I1142" s="43" t="n">
        <f aca="false">IF(G1142="",H1142,p_beta_alloc*G1142+(1-p_beta_alloc)*H1142)*F1142^p_phi</f>
        <v>9.20241140345404E-005</v>
      </c>
      <c r="J1142" s="16" t="n">
        <f aca="false">INDEX(Sector_Params!$C$19:$E$19,MATCH(B1142,Sector_Params!$C$15:$E$15,0))*I1142/SUMIFS($I$5:$I$1369,$B$5:$B$1369,B1142,$C$5:$C$1369,C1142)</f>
        <v>0.0296191202861146</v>
      </c>
      <c r="K1142" s="28" t="n">
        <f aca="false">INDEX(Sector_Params!$F$8:$H$8,MATCH(B1142,Sector_Params!$C$15:$E$15,0))</f>
        <v>0.24</v>
      </c>
      <c r="L1142" s="16" t="n">
        <f aca="false">J1142*K1142</f>
        <v>0.0071085888686675</v>
      </c>
      <c r="M1142" s="44" t="n">
        <f aca="false">Country_Data!$DW$167+Sector_Params!$E$8</f>
        <v>0.105</v>
      </c>
      <c r="N1142" s="44" t="n">
        <f aca="false">Country_Data!$DX$167+Sector_Params!$E$8</f>
        <v>0.15</v>
      </c>
      <c r="O1142" s="11" t="n">
        <f aca="false">IF(p_use_ibrd=1,p_r_ibrd,p_r_wb)</f>
        <v>0.06</v>
      </c>
      <c r="P1142" s="45" t="n">
        <f aca="false">Sector_Params!$D$8</f>
        <v>25</v>
      </c>
      <c r="Q1142" s="46" t="n">
        <f aca="false">M1142/(1-(1+M1142)^-P1142)</f>
        <v>0.114429319813103</v>
      </c>
      <c r="R1142" s="46" t="n">
        <f aca="false">N1142/(1-(1+N1142)^-P1142)</f>
        <v>0.154699402320206</v>
      </c>
      <c r="S1142" s="46" t="n">
        <f aca="false">O1142/(1-(1+O1142)^-P1142)</f>
        <v>0.078226718212274</v>
      </c>
      <c r="T1142" s="37" t="n">
        <f aca="false">Country_Data!$CM$167*Sector_Params!$I$8</f>
        <v>0.133</v>
      </c>
      <c r="U1142" s="37" t="n">
        <f aca="false">Country_Data!$CN$167*Sector_Params!$J$8</f>
        <v>0.129</v>
      </c>
      <c r="V1142" s="37" t="n">
        <f aca="false">p_a</f>
        <v>0.35</v>
      </c>
      <c r="W1142" s="16" t="n">
        <f aca="false">T1142*L1142</f>
        <v>0.000945442319532777</v>
      </c>
      <c r="X1142" s="16" t="n">
        <f aca="false">U1142*L1142</f>
        <v>0.000917007964058107</v>
      </c>
      <c r="Y1142" s="16" t="n">
        <f aca="false">V1142*L1142</f>
        <v>0.00248800610403362</v>
      </c>
      <c r="Z1142" s="16" t="n">
        <f aca="false">Q1142*L1142</f>
        <v>0.000813430989072619</v>
      </c>
      <c r="AA1142" s="16" t="n">
        <f aca="false">R1142*L1142</f>
        <v>0.00109969444932293</v>
      </c>
      <c r="AB1142" s="16" t="n">
        <f aca="false">S1142*L1142</f>
        <v>0.00055608157831616</v>
      </c>
      <c r="AC1142" s="16" t="n">
        <f aca="false">Z1142-W1142</f>
        <v>-0.000132011330460158</v>
      </c>
      <c r="AD1142" s="16" t="n">
        <f aca="false">AA1142-W1142</f>
        <v>0.000154252129790157</v>
      </c>
      <c r="AE1142" s="16" t="n">
        <f aca="false">AB1142-W1142</f>
        <v>-0.000389360741216618</v>
      </c>
      <c r="AF1142" s="16" t="n">
        <f aca="false">AE1142-X1142</f>
        <v>-0.00130636870527473</v>
      </c>
      <c r="AG1142" s="16" t="n">
        <f aca="false">AF1142-p_spc_lo*Y1142/1000</f>
        <v>-0.00143076901047641</v>
      </c>
      <c r="AH1142" s="16" t="n">
        <f aca="false">AF1142-p_spc_hi*Y1142/1000</f>
        <v>-0.00155516931567809</v>
      </c>
      <c r="AI1142" s="16" t="n">
        <f aca="false">Q1142*J1142</f>
        <v>0.00338929578780258</v>
      </c>
      <c r="AJ1142" s="16" t="n">
        <f aca="false">S1142*J1142</f>
        <v>0.00231700657631733</v>
      </c>
      <c r="AK1142" s="16" t="n">
        <f aca="false">T1142*J1142</f>
        <v>0.00393934299805324</v>
      </c>
      <c r="AL1142" s="16" t="n">
        <f aca="false">U1142*J1142</f>
        <v>0.00382086651690878</v>
      </c>
      <c r="AM1142" s="16" t="n">
        <f aca="false">AI1142-AJ1142</f>
        <v>0.00107228921148525</v>
      </c>
      <c r="AN1142" s="16" t="n">
        <f aca="false">J1142*Country_Data!$EB$167</f>
        <v>0.0375175523624118</v>
      </c>
      <c r="AO1142" s="16" t="n">
        <f aca="false">L1142*Country_Data!$EB$167</f>
        <v>0.00900421256697883</v>
      </c>
    </row>
    <row r="1143" customFormat="false" ht="15" hidden="false" customHeight="false" outlineLevel="0" collapsed="false">
      <c r="A1143" s="14" t="str">
        <f aca="false">Country_Data!$A$167</f>
        <v>SSD</v>
      </c>
      <c r="B1143" s="14" t="str">
        <f aca="false">Country_Data!$E$167</f>
        <v>EMDC</v>
      </c>
      <c r="C1143" s="35" t="s">
        <v>481</v>
      </c>
      <c r="D1143" s="37" t="str">
        <f aca="false">IF(Country_Data!$CC$167="","",Country_Data!$CC$167)</f>
        <v/>
      </c>
      <c r="E1143" s="40" t="n">
        <f aca="false">Country_Data!$BW$167</f>
        <v>11.903</v>
      </c>
      <c r="F1143" s="41" t="n">
        <f aca="false">Country_Data!$BX$167</f>
        <v>0.389565655717046</v>
      </c>
      <c r="G1143" s="42" t="str">
        <f aca="false">IF(D1143="","",D1143/SUMIFS($D$5:$D$1369,$B$5:$B$1369,B1143,$C$5:$C$1369,C1143))</f>
        <v/>
      </c>
      <c r="H1143" s="42" t="n">
        <f aca="false">E1143/SUMIFS($E$5:$E$1369,$B$5:$B$1369,B1143,$C$5:$C$1369,C1143)</f>
        <v>0.000147438639179635</v>
      </c>
      <c r="I1143" s="43" t="n">
        <f aca="false">IF(G1143="",H1143,p_beta_alloc*G1143+(1-p_beta_alloc)*H1143)*F1143^p_phi</f>
        <v>9.20241140345404E-005</v>
      </c>
      <c r="J1143" s="16" t="n">
        <f aca="false">INDEX(Sector_Params!$C$20:$E$20,MATCH(B1143,Sector_Params!$C$15:$E$15,0))*I1143/SUMIFS($I$5:$I$1369,$B$5:$B$1369,B1143,$C$5:$C$1369,C1143)</f>
        <v>0.0167962539641085</v>
      </c>
      <c r="K1143" s="28" t="n">
        <f aca="false">INDEX(Sector_Params!$F$9:$H$9,MATCH(B1143,Sector_Params!$C$15:$E$15,0))</f>
        <v>0.24</v>
      </c>
      <c r="L1143" s="16" t="n">
        <f aca="false">J1143*K1143</f>
        <v>0.00403110095138604</v>
      </c>
      <c r="M1143" s="44" t="n">
        <f aca="false">Country_Data!$DW$167+Sector_Params!$E$9</f>
        <v>0.105</v>
      </c>
      <c r="N1143" s="44" t="n">
        <f aca="false">Country_Data!$DX$167+Sector_Params!$E$9</f>
        <v>0.15</v>
      </c>
      <c r="O1143" s="11" t="n">
        <f aca="false">IF(p_use_ibrd=1,p_r_ibrd,p_r_wb)</f>
        <v>0.06</v>
      </c>
      <c r="P1143" s="45" t="n">
        <f aca="false">Sector_Params!$D$9</f>
        <v>25</v>
      </c>
      <c r="Q1143" s="46" t="n">
        <f aca="false">M1143/(1-(1+M1143)^-P1143)</f>
        <v>0.114429319813103</v>
      </c>
      <c r="R1143" s="46" t="n">
        <f aca="false">N1143/(1-(1+N1143)^-P1143)</f>
        <v>0.154699402320206</v>
      </c>
      <c r="S1143" s="46" t="n">
        <f aca="false">O1143/(1-(1+O1143)^-P1143)</f>
        <v>0.078226718212274</v>
      </c>
      <c r="T1143" s="37" t="n">
        <f aca="false">Country_Data!$CM$167*Sector_Params!$I$9</f>
        <v>0.133</v>
      </c>
      <c r="U1143" s="37" t="n">
        <f aca="false">Country_Data!$CN$167*Sector_Params!$J$9</f>
        <v>0.129</v>
      </c>
      <c r="V1143" s="37" t="n">
        <f aca="false">p_a</f>
        <v>0.35</v>
      </c>
      <c r="W1143" s="16" t="n">
        <f aca="false">T1143*L1143</f>
        <v>0.000536136426534343</v>
      </c>
      <c r="X1143" s="16" t="n">
        <f aca="false">U1143*L1143</f>
        <v>0.000520012022728799</v>
      </c>
      <c r="Y1143" s="16" t="n">
        <f aca="false">V1143*L1143</f>
        <v>0.00141088533298511</v>
      </c>
      <c r="Z1143" s="16" t="n">
        <f aca="false">Q1143*L1143</f>
        <v>0.000461276139965058</v>
      </c>
      <c r="AA1143" s="16" t="n">
        <f aca="false">R1143*L1143</f>
        <v>0.000623608907871836</v>
      </c>
      <c r="AB1143" s="16" t="n">
        <f aca="false">S1143*L1143</f>
        <v>0.000315339798209305</v>
      </c>
      <c r="AC1143" s="16" t="n">
        <f aca="false">Z1143-W1143</f>
        <v>-7.48602865692851E-005</v>
      </c>
      <c r="AD1143" s="16" t="n">
        <f aca="false">AA1143-W1143</f>
        <v>8.74724813374927E-005</v>
      </c>
      <c r="AE1143" s="16" t="n">
        <f aca="false">AB1143-W1143</f>
        <v>-0.000220796628325038</v>
      </c>
      <c r="AF1143" s="16" t="n">
        <f aca="false">AE1143-X1143</f>
        <v>-0.000740808651053838</v>
      </c>
      <c r="AG1143" s="16" t="n">
        <f aca="false">AF1143-p_spc_lo*Y1143/1000</f>
        <v>-0.000811352917703093</v>
      </c>
      <c r="AH1143" s="16" t="n">
        <f aca="false">AF1143-p_spc_hi*Y1143/1000</f>
        <v>-0.000881897184352349</v>
      </c>
      <c r="AI1143" s="16" t="n">
        <f aca="false">Q1143*J1143</f>
        <v>0.00192198391652108</v>
      </c>
      <c r="AJ1143" s="16" t="n">
        <f aca="false">S1143*J1143</f>
        <v>0.00131391582587211</v>
      </c>
      <c r="AK1143" s="16" t="n">
        <f aca="false">T1143*J1143</f>
        <v>0.00223390177722643</v>
      </c>
      <c r="AL1143" s="16" t="n">
        <f aca="false">U1143*J1143</f>
        <v>0.00216671676137</v>
      </c>
      <c r="AM1143" s="16" t="n">
        <f aca="false">AI1143-AJ1143</f>
        <v>0.000608068090648971</v>
      </c>
      <c r="AN1143" s="16" t="n">
        <f aca="false">J1143*Country_Data!$EB$167</f>
        <v>0.0212752550212041</v>
      </c>
      <c r="AO1143" s="16" t="n">
        <f aca="false">L1143*Country_Data!$EB$167</f>
        <v>0.00510606120508898</v>
      </c>
    </row>
    <row r="1144" customFormat="false" ht="15" hidden="false" customHeight="false" outlineLevel="0" collapsed="false">
      <c r="A1144" s="14" t="str">
        <f aca="false">Country_Data!$A$167</f>
        <v>SSD</v>
      </c>
      <c r="B1144" s="14" t="str">
        <f aca="false">Country_Data!$E$167</f>
        <v>EMDC</v>
      </c>
      <c r="C1144" s="35" t="s">
        <v>484</v>
      </c>
      <c r="D1144" s="37" t="str">
        <f aca="false">IF(Country_Data!$CD$167="","",Country_Data!$CD$167)</f>
        <v/>
      </c>
      <c r="E1144" s="40" t="n">
        <f aca="false">Country_Data!$BW$167</f>
        <v>11.903</v>
      </c>
      <c r="F1144" s="41" t="n">
        <f aca="false">Country_Data!$BX$167</f>
        <v>0.389565655717046</v>
      </c>
      <c r="G1144" s="42" t="str">
        <f aca="false">IF(D1144="","",D1144/SUMIFS($D$5:$D$1369,$B$5:$B$1369,B1144,$C$5:$C$1369,C1144))</f>
        <v/>
      </c>
      <c r="H1144" s="42" t="n">
        <f aca="false">E1144/SUMIFS($E$5:$E$1369,$B$5:$B$1369,B1144,$C$5:$C$1369,C1144)</f>
        <v>0.000147438639179635</v>
      </c>
      <c r="I1144" s="43" t="n">
        <f aca="false">IF(G1144="",H1144,p_beta_alloc*G1144+(1-p_beta_alloc)*H1144)*F1144^p_phi</f>
        <v>9.20241140345404E-005</v>
      </c>
      <c r="J1144" s="16" t="n">
        <f aca="false">INDEX(Sector_Params!$C$21:$E$21,MATCH(B1144,Sector_Params!$C$15:$E$15,0))*I1144/SUMIFS($I$5:$I$1369,$B$5:$B$1369,B1144,$C$5:$C$1369,C1144)</f>
        <v>0.020410012263216</v>
      </c>
      <c r="K1144" s="28" t="n">
        <f aca="false">INDEX(Sector_Params!$F$10:$H$10,MATCH(B1144,Sector_Params!$C$15:$E$15,0))</f>
        <v>0.24</v>
      </c>
      <c r="L1144" s="16" t="n">
        <f aca="false">J1144*K1144</f>
        <v>0.00489840294317183</v>
      </c>
      <c r="M1144" s="44" t="n">
        <f aca="false">Country_Data!$DW$167+Sector_Params!$E$10</f>
        <v>0.105</v>
      </c>
      <c r="N1144" s="44" t="n">
        <f aca="false">Country_Data!$DX$167+Sector_Params!$E$10</f>
        <v>0.15</v>
      </c>
      <c r="O1144" s="11" t="n">
        <f aca="false">IF(p_use_ibrd=1,p_r_ibrd,p_r_wb)</f>
        <v>0.06</v>
      </c>
      <c r="P1144" s="45" t="n">
        <f aca="false">Sector_Params!$D$10</f>
        <v>20</v>
      </c>
      <c r="Q1144" s="46" t="n">
        <f aca="false">M1144/(1-(1+M1144)^-P1144)</f>
        <v>0.121493265267016</v>
      </c>
      <c r="R1144" s="46" t="n">
        <f aca="false">N1144/(1-(1+N1144)^-P1144)</f>
        <v>0.159761470405744</v>
      </c>
      <c r="S1144" s="46" t="n">
        <f aca="false">O1144/(1-(1+O1144)^-P1144)</f>
        <v>0.0871845569768514</v>
      </c>
      <c r="T1144" s="37" t="n">
        <f aca="false">0*Sector_Params!$I$10</f>
        <v>0</v>
      </c>
      <c r="U1144" s="37" t="n">
        <f aca="false">0*Sector_Params!$J$10</f>
        <v>0</v>
      </c>
      <c r="V1144" s="37" t="n">
        <f aca="false">1000*p_r_wb/(1-(1+p_r_wb)^-Sector_Params!$D$10)/p_cpt_fuel</f>
        <v>0.871845569768514</v>
      </c>
      <c r="W1144" s="16" t="n">
        <f aca="false">T1144*L1144</f>
        <v>0</v>
      </c>
      <c r="X1144" s="16" t="n">
        <f aca="false">U1144*L1144</f>
        <v>0</v>
      </c>
      <c r="Y1144" s="16" t="n">
        <f aca="false">V1144*L1144</f>
        <v>0.00427065090494541</v>
      </c>
      <c r="Z1144" s="16" t="n">
        <f aca="false">Q1144*L1144</f>
        <v>0.000595122968159508</v>
      </c>
      <c r="AA1144" s="16" t="n">
        <f aca="false">R1144*L1144</f>
        <v>0.000782576056840955</v>
      </c>
      <c r="AB1144" s="16" t="n">
        <f aca="false">S1144*L1144</f>
        <v>0.000427065090494541</v>
      </c>
      <c r="AC1144" s="16" t="n">
        <f aca="false">Z1144-W1144</f>
        <v>0.000595122968159508</v>
      </c>
      <c r="AD1144" s="16" t="n">
        <f aca="false">AA1144-W1144</f>
        <v>0.000782576056840955</v>
      </c>
      <c r="AE1144" s="16" t="n">
        <f aca="false">AB1144-W1144</f>
        <v>0.000427065090494541</v>
      </c>
      <c r="AF1144" s="16" t="n">
        <f aca="false">AE1144-X1144</f>
        <v>0.000427065090494541</v>
      </c>
      <c r="AG1144" s="16" t="n">
        <f aca="false">AF1144-p_spc_lo*Y1144/1000</f>
        <v>0.00021353254524727</v>
      </c>
      <c r="AH1144" s="16" t="n">
        <f aca="false">AF1144-p_spc_hi*Y1144/1000</f>
        <v>0</v>
      </c>
      <c r="AI1144" s="16" t="n">
        <f aca="false">Q1144*J1144</f>
        <v>0.00247967903399795</v>
      </c>
      <c r="AJ1144" s="16" t="n">
        <f aca="false">S1144*J1144</f>
        <v>0.00177943787706059</v>
      </c>
      <c r="AK1144" s="16" t="n">
        <f aca="false">T1144*J1144</f>
        <v>0</v>
      </c>
      <c r="AL1144" s="16" t="n">
        <f aca="false">U1144*J1144</f>
        <v>0</v>
      </c>
      <c r="AM1144" s="16" t="n">
        <f aca="false">AI1144-AJ1144</f>
        <v>0.000700241156937363</v>
      </c>
      <c r="AN1144" s="16" t="n">
        <f aca="false">J1144*Country_Data!$EB$167</f>
        <v>0.0258526822000736</v>
      </c>
      <c r="AO1144" s="16" t="n">
        <f aca="false">L1144*Country_Data!$EB$167</f>
        <v>0.00620464372801765</v>
      </c>
    </row>
    <row r="1145" customFormat="false" ht="15" hidden="false" customHeight="false" outlineLevel="0" collapsed="false">
      <c r="A1145" s="14" t="str">
        <f aca="false">Country_Data!$A$167</f>
        <v>SSD</v>
      </c>
      <c r="B1145" s="14" t="str">
        <f aca="false">Country_Data!$E$167</f>
        <v>EMDC</v>
      </c>
      <c r="C1145" s="35" t="s">
        <v>488</v>
      </c>
      <c r="D1145" s="37" t="str">
        <f aca="false">IF(Country_Data!$CE$167="","",Country_Data!$CE$167)</f>
        <v/>
      </c>
      <c r="E1145" s="40" t="n">
        <f aca="false">Country_Data!$BW$167</f>
        <v>11.903</v>
      </c>
      <c r="F1145" s="41" t="n">
        <f aca="false">Country_Data!$BX$167</f>
        <v>0.389565655717046</v>
      </c>
      <c r="G1145" s="42" t="str">
        <f aca="false">IF(D1145="","",D1145/SUMIFS($D$5:$D$1369,$B$5:$B$1369,B1145,$C$5:$C$1369,C1145))</f>
        <v/>
      </c>
      <c r="H1145" s="42" t="n">
        <f aca="false">E1145/SUMIFS($E$5:$E$1369,$B$5:$B$1369,B1145,$C$5:$C$1369,C1145)</f>
        <v>0.000147438639179635</v>
      </c>
      <c r="I1145" s="43" t="n">
        <f aca="false">IF(G1145="",H1145,p_beta_alloc*G1145+(1-p_beta_alloc)*H1145)*F1145^p_phi</f>
        <v>9.20241140345404E-005</v>
      </c>
      <c r="J1145" s="16" t="n">
        <f aca="false">INDEX(Sector_Params!$C$22:$E$22,MATCH(B1145,Sector_Params!$C$15:$E$15,0))*I1145/SUMIFS($I$5:$I$1369,$B$5:$B$1369,B1145,$C$5:$C$1369,C1145)</f>
        <v>0.0554729078584334</v>
      </c>
      <c r="K1145" s="28" t="n">
        <f aca="false">INDEX(Sector_Params!$F$11:$H$11,MATCH(B1145,Sector_Params!$C$15:$E$15,0))</f>
        <v>0.24</v>
      </c>
      <c r="L1145" s="16" t="n">
        <f aca="false">J1145*K1145</f>
        <v>0.013313497886024</v>
      </c>
      <c r="M1145" s="44" t="n">
        <f aca="false">Country_Data!$DW$167+Sector_Params!$E$11</f>
        <v>0.105</v>
      </c>
      <c r="N1145" s="44" t="n">
        <f aca="false">Country_Data!$DX$167+Sector_Params!$E$11</f>
        <v>0.15</v>
      </c>
      <c r="O1145" s="11" t="n">
        <f aca="false">IF(p_use_ibrd=1,p_r_ibrd,p_r_wb)</f>
        <v>0.06</v>
      </c>
      <c r="P1145" s="45" t="n">
        <f aca="false">Sector_Params!$D$11</f>
        <v>30</v>
      </c>
      <c r="Q1145" s="46" t="n">
        <f aca="false">M1145/(1-(1+M1145)^-P1145)</f>
        <v>0.110528481529605</v>
      </c>
      <c r="R1145" s="46" t="n">
        <f aca="false">N1145/(1-(1+N1145)^-P1145)</f>
        <v>0.152300198192734</v>
      </c>
      <c r="S1145" s="46" t="n">
        <f aca="false">O1145/(1-(1+O1145)^-P1145)</f>
        <v>0.0726489114900472</v>
      </c>
      <c r="T1145" s="37" t="n">
        <f aca="false">0*Sector_Params!$I$11</f>
        <v>0</v>
      </c>
      <c r="U1145" s="37" t="n">
        <f aca="false">p_c*Sector_Params!$J$11</f>
        <v>0.129</v>
      </c>
      <c r="V1145" s="37" t="n">
        <f aca="false">1000*p_r_wb/(1-(1+p_r_wb)^-Sector_Params!$D$11)/p_cpt_afolu</f>
        <v>1.45297822980094</v>
      </c>
      <c r="W1145" s="16" t="n">
        <f aca="false">T1145*L1145</f>
        <v>0</v>
      </c>
      <c r="X1145" s="16" t="n">
        <f aca="false">U1145*L1145</f>
        <v>0.0017174412272971</v>
      </c>
      <c r="Y1145" s="16" t="n">
        <f aca="false">V1145*L1145</f>
        <v>0.0193442225908938</v>
      </c>
      <c r="Z1145" s="16" t="n">
        <f aca="false">Q1145*L1145</f>
        <v>0.00147152070518984</v>
      </c>
      <c r="AA1145" s="16" t="n">
        <f aca="false">R1145*L1145</f>
        <v>0.00202764836668001</v>
      </c>
      <c r="AB1145" s="16" t="n">
        <f aca="false">S1145*L1145</f>
        <v>0.000967211129544689</v>
      </c>
      <c r="AC1145" s="16" t="n">
        <f aca="false">Z1145-W1145</f>
        <v>0.00147152070518984</v>
      </c>
      <c r="AD1145" s="16" t="n">
        <f aca="false">AA1145-W1145</f>
        <v>0.00202764836668001</v>
      </c>
      <c r="AE1145" s="16" t="n">
        <f aca="false">AB1145-W1145</f>
        <v>0.000967211129544689</v>
      </c>
      <c r="AF1145" s="16" t="n">
        <f aca="false">AE1145-X1145</f>
        <v>-0.000750230097752408</v>
      </c>
      <c r="AG1145" s="16" t="n">
        <f aca="false">AF1145-p_spc_lo*Y1145/1000</f>
        <v>-0.0017174412272971</v>
      </c>
      <c r="AH1145" s="16" t="n">
        <f aca="false">AF1145-p_spc_hi*Y1145/1000</f>
        <v>-0.00268465235684179</v>
      </c>
      <c r="AI1145" s="16" t="n">
        <f aca="false">Q1145*J1145</f>
        <v>0.00613133627162434</v>
      </c>
      <c r="AJ1145" s="16" t="n">
        <f aca="false">S1145*J1145</f>
        <v>0.00403004637310287</v>
      </c>
      <c r="AK1145" s="16" t="n">
        <f aca="false">T1145*J1145</f>
        <v>0</v>
      </c>
      <c r="AL1145" s="16" t="n">
        <f aca="false">U1145*J1145</f>
        <v>0.00715600511373791</v>
      </c>
      <c r="AM1145" s="16" t="n">
        <f aca="false">AI1145-AJ1145</f>
        <v>0.00210128989852147</v>
      </c>
      <c r="AN1145" s="16" t="n">
        <f aca="false">J1145*Country_Data!$EB$167</f>
        <v>0.0702656832873489</v>
      </c>
      <c r="AO1145" s="16" t="n">
        <f aca="false">L1145*Country_Data!$EB$167</f>
        <v>0.0168637639889637</v>
      </c>
    </row>
    <row r="1146" customFormat="false" ht="15" hidden="false" customHeight="false" outlineLevel="0" collapsed="false">
      <c r="A1146" s="14" t="str">
        <f aca="false">Country_Data!$A$168</f>
        <v>SUR</v>
      </c>
      <c r="B1146" s="14" t="str">
        <f aca="false">Country_Data!$E$168</f>
        <v>EMDC</v>
      </c>
      <c r="C1146" s="35" t="s">
        <v>466</v>
      </c>
      <c r="D1146" s="37" t="n">
        <f aca="false">IF(Country_Data!$BZ$168="","",Country_Data!$BZ$168)</f>
        <v>2.33925593528027</v>
      </c>
      <c r="E1146" s="40" t="n">
        <f aca="false">Country_Data!$BW$168</f>
        <v>13.74</v>
      </c>
      <c r="F1146" s="41" t="n">
        <f aca="false">Country_Data!$BX$168</f>
        <v>0.322707423580786</v>
      </c>
      <c r="G1146" s="42" t="n">
        <f aca="false">IF(D1146="","",D1146/SUMIFS($D$5:$D$1369,$B$5:$B$1369,B1146,$C$5:$C$1369,C1146))</f>
        <v>0.000267054452886887</v>
      </c>
      <c r="H1146" s="42" t="n">
        <f aca="false">E1146/SUMIFS($E$5:$E$1369,$B$5:$B$1369,B1146,$C$5:$C$1369,C1146)</f>
        <v>0.000170192968354884</v>
      </c>
      <c r="I1146" s="43" t="n">
        <f aca="false">IF(G1146="",H1146,p_beta_alloc*G1146+(1-p_beta_alloc)*H1146)*F1146^p_phi</f>
        <v>0.000124194321500555</v>
      </c>
      <c r="J1146" s="16" t="n">
        <f aca="false">INDEX(Sector_Params!$C$16:$E$16,MATCH(B1146,Sector_Params!$C$15:$E$15,0))*I1146/SUMIFS($I$5:$I$1369,$B$5:$B$1369,B1146,$C$5:$C$1369,C1146)</f>
        <v>0.120123896352849</v>
      </c>
      <c r="K1146" s="28" t="n">
        <f aca="false">INDEX(Sector_Params!$F$5:$H$5,MATCH(B1146,Sector_Params!$C$15:$E$15,0))</f>
        <v>0.24</v>
      </c>
      <c r="L1146" s="16" t="n">
        <f aca="false">J1146*K1146</f>
        <v>0.0288297351246838</v>
      </c>
      <c r="M1146" s="44" t="n">
        <f aca="false">Country_Data!$DW$168+Sector_Params!$E$5</f>
        <v>0.105</v>
      </c>
      <c r="N1146" s="44" t="n">
        <f aca="false">Country_Data!$DX$168+Sector_Params!$E$5</f>
        <v>0.15</v>
      </c>
      <c r="O1146" s="11" t="n">
        <f aca="false">IF(p_use_ibrd=1,p_r_ibrd,p_r_wb)</f>
        <v>0.06</v>
      </c>
      <c r="P1146" s="45" t="n">
        <f aca="false">Sector_Params!$D$5</f>
        <v>25</v>
      </c>
      <c r="Q1146" s="46" t="n">
        <f aca="false">M1146/(1-(1+M1146)^-P1146)</f>
        <v>0.114429319813103</v>
      </c>
      <c r="R1146" s="46" t="n">
        <f aca="false">N1146/(1-(1+N1146)^-P1146)</f>
        <v>0.154699402320206</v>
      </c>
      <c r="S1146" s="46" t="n">
        <f aca="false">O1146/(1-(1+O1146)^-P1146)</f>
        <v>0.078226718212274</v>
      </c>
      <c r="T1146" s="37" t="n">
        <f aca="false">IF(AND(p_eng=1,ISNUMBER(Country_Data!$CZ$168)),Country_Data!$CZ$168,Country_Data!$CM$168)*Sector_Params!$I$5</f>
        <v>0.135737559588331</v>
      </c>
      <c r="U1146" s="37" t="n">
        <f aca="false">IF(AND(p_eng=1,ISNUMBER(Country_Data!$DA$168)),Country_Data!$DA$168,Country_Data!$CN$168)*Sector_Params!$J$5</f>
        <v>0</v>
      </c>
      <c r="V1146" s="37" t="n">
        <f aca="false">IF(AND(p_eng=1,ISNUMBER(Country_Data!$DB$168)),Country_Data!$DB$168,p_a)</f>
        <v>0.871017883628512</v>
      </c>
      <c r="W1146" s="16" t="n">
        <f aca="false">T1146*L1146</f>
        <v>0.00391327788940257</v>
      </c>
      <c r="X1146" s="16" t="n">
        <f aca="false">U1146*L1146</f>
        <v>0</v>
      </c>
      <c r="Y1146" s="16" t="n">
        <f aca="false">V1146*L1146</f>
        <v>0.0251112148738726</v>
      </c>
      <c r="Z1146" s="16" t="n">
        <f aca="false">Q1146*L1146</f>
        <v>0.0032989669807095</v>
      </c>
      <c r="AA1146" s="16" t="n">
        <f aca="false">R1146*L1146</f>
        <v>0.00445994279283844</v>
      </c>
      <c r="AB1146" s="16" t="n">
        <f aca="false">S1146*L1146</f>
        <v>0.00225525556573313</v>
      </c>
      <c r="AC1146" s="16" t="n">
        <f aca="false">Z1146-W1146</f>
        <v>-0.000614310908693073</v>
      </c>
      <c r="AD1146" s="16" t="n">
        <f aca="false">AA1146-W1146</f>
        <v>0.000546664903435872</v>
      </c>
      <c r="AE1146" s="16" t="n">
        <f aca="false">AB1146-W1146</f>
        <v>-0.00165802232366944</v>
      </c>
      <c r="AF1146" s="16" t="n">
        <f aca="false">AE1146-X1146</f>
        <v>-0.00165802232366944</v>
      </c>
      <c r="AG1146" s="16" t="n">
        <f aca="false">AF1146-p_spc_lo*Y1146/1000</f>
        <v>-0.00291358306736307</v>
      </c>
      <c r="AH1146" s="16" t="n">
        <f aca="false">AF1146-p_spc_hi*Y1146/1000</f>
        <v>-0.0041691438110567</v>
      </c>
      <c r="AI1146" s="16" t="n">
        <f aca="false">Q1146*J1146</f>
        <v>0.0137456957529562</v>
      </c>
      <c r="AJ1146" s="16" t="n">
        <f aca="false">S1146*J1146</f>
        <v>0.00939689819055472</v>
      </c>
      <c r="AK1146" s="16" t="n">
        <f aca="false">T1146*J1146</f>
        <v>0.0163053245391774</v>
      </c>
      <c r="AL1146" s="16" t="n">
        <f aca="false">U1146*J1146</f>
        <v>0</v>
      </c>
      <c r="AM1146" s="16" t="n">
        <f aca="false">AI1146-AJ1146</f>
        <v>0.00434879756240151</v>
      </c>
      <c r="AN1146" s="16" t="n">
        <f aca="false">J1146*Country_Data!$EB$168</f>
        <v>0.137895650881764</v>
      </c>
      <c r="AO1146" s="16" t="n">
        <f aca="false">L1146*Country_Data!$EB$168</f>
        <v>0.0330949562116233</v>
      </c>
    </row>
    <row r="1147" customFormat="false" ht="15" hidden="false" customHeight="false" outlineLevel="0" collapsed="false">
      <c r="A1147" s="14" t="str">
        <f aca="false">Country_Data!$A$168</f>
        <v>SUR</v>
      </c>
      <c r="B1147" s="14" t="str">
        <f aca="false">Country_Data!$E$168</f>
        <v>EMDC</v>
      </c>
      <c r="C1147" s="35" t="s">
        <v>470</v>
      </c>
      <c r="D1147" s="37" t="n">
        <f aca="false">IF(Country_Data!$BZ$168="","",Country_Data!$BZ$168)</f>
        <v>2.33925593528027</v>
      </c>
      <c r="E1147" s="40" t="n">
        <f aca="false">Country_Data!$BW$168</f>
        <v>13.74</v>
      </c>
      <c r="F1147" s="41" t="n">
        <f aca="false">Country_Data!$BX$168</f>
        <v>0.322707423580786</v>
      </c>
      <c r="G1147" s="42" t="n">
        <f aca="false">IF(D1147="","",D1147/SUMIFS($D$5:$D$1369,$B$5:$B$1369,B1147,$C$5:$C$1369,C1147))</f>
        <v>0.000267054452886887</v>
      </c>
      <c r="H1147" s="42" t="n">
        <f aca="false">E1147/SUMIFS($E$5:$E$1369,$B$5:$B$1369,B1147,$C$5:$C$1369,C1147)</f>
        <v>0.000170192968354884</v>
      </c>
      <c r="I1147" s="43" t="n">
        <f aca="false">IF(G1147="",H1147,p_beta_alloc*G1147+(1-p_beta_alloc)*H1147)*F1147^p_phi</f>
        <v>0.000124194321500555</v>
      </c>
      <c r="J1147" s="16" t="n">
        <f aca="false">INDEX(Sector_Params!$C$17:$E$17,MATCH(B1147,Sector_Params!$C$15:$E$15,0))*I1147/SUMIFS($I$5:$I$1369,$B$5:$B$1369,B1147,$C$5:$C$1369,C1147)</f>
        <v>0.0823706717848108</v>
      </c>
      <c r="K1147" s="28" t="n">
        <f aca="false">INDEX(Sector_Params!$F$6:$H$6,MATCH(B1147,Sector_Params!$C$15:$E$15,0))</f>
        <v>0.24</v>
      </c>
      <c r="L1147" s="16" t="n">
        <f aca="false">J1147*K1147</f>
        <v>0.0197689612283546</v>
      </c>
      <c r="M1147" s="44" t="n">
        <f aca="false">Country_Data!$DW$168+Sector_Params!$E$6</f>
        <v>0.105</v>
      </c>
      <c r="N1147" s="44" t="n">
        <f aca="false">Country_Data!$DX$168+Sector_Params!$E$6</f>
        <v>0.15</v>
      </c>
      <c r="O1147" s="11" t="n">
        <f aca="false">IF(p_use_ibrd=1,p_r_ibrd,p_r_wb)</f>
        <v>0.06</v>
      </c>
      <c r="P1147" s="45" t="n">
        <f aca="false">Sector_Params!$D$6</f>
        <v>40</v>
      </c>
      <c r="Q1147" s="46" t="n">
        <f aca="false">M1147/(1-(1+M1147)^-P1147)</f>
        <v>0.10697140835497</v>
      </c>
      <c r="R1147" s="46" t="n">
        <f aca="false">N1147/(1-(1+N1147)^-P1147)</f>
        <v>0.150562085013545</v>
      </c>
      <c r="S1147" s="46" t="n">
        <f aca="false">O1147/(1-(1+O1147)^-P1147)</f>
        <v>0.0664615359206755</v>
      </c>
      <c r="T1147" s="37" t="n">
        <f aca="false">p_grid_credit*IF(AND(p_eng=1,ISNUMBER(Country_Data!$CZ$168)),Country_Data!$CZ$168,Country_Data!$CM$168)*Sector_Params!$I$6</f>
        <v>0</v>
      </c>
      <c r="U1147" s="37" t="n">
        <f aca="false">p_grid_credit*IF(AND(p_eng=1,ISNUMBER(Country_Data!$DA$168)),Country_Data!$DA$168,Country_Data!$CN$168)*Sector_Params!$J$6</f>
        <v>0</v>
      </c>
      <c r="V1147" s="37" t="n">
        <f aca="false">p_grid_credit*IF(AND(p_eng=1,ISNUMBER(Country_Data!$DB$168)),Country_Data!$DB$168,p_a)</f>
        <v>0</v>
      </c>
      <c r="W1147" s="16" t="n">
        <f aca="false">T1147*L1147</f>
        <v>0</v>
      </c>
      <c r="X1147" s="16" t="n">
        <f aca="false">U1147*L1147</f>
        <v>0</v>
      </c>
      <c r="Y1147" s="16" t="n">
        <f aca="false">V1147*L1147</f>
        <v>0</v>
      </c>
      <c r="Z1147" s="16" t="n">
        <f aca="false">Q1147*L1147</f>
        <v>0.00211471362431189</v>
      </c>
      <c r="AA1147" s="16" t="n">
        <f aca="false">R1147*L1147</f>
        <v>0.002976456021093</v>
      </c>
      <c r="AB1147" s="16" t="n">
        <f aca="false">S1147*L1147</f>
        <v>0.00131387552679273</v>
      </c>
      <c r="AC1147" s="16" t="n">
        <f aca="false">Z1147-W1147</f>
        <v>0.00211471362431189</v>
      </c>
      <c r="AD1147" s="16" t="n">
        <f aca="false">AA1147-W1147</f>
        <v>0.002976456021093</v>
      </c>
      <c r="AE1147" s="16" t="n">
        <f aca="false">AB1147-W1147</f>
        <v>0.00131387552679273</v>
      </c>
      <c r="AF1147" s="16" t="n">
        <f aca="false">AE1147-X1147</f>
        <v>0.00131387552679273</v>
      </c>
      <c r="AG1147" s="16" t="n">
        <f aca="false">AF1147-p_spc_lo*Y1147/1000</f>
        <v>0.00131387552679273</v>
      </c>
      <c r="AH1147" s="16" t="n">
        <f aca="false">AF1147-p_spc_hi*Y1147/1000</f>
        <v>0.00131387552679273</v>
      </c>
      <c r="AI1147" s="16" t="n">
        <f aca="false">Q1147*J1147</f>
        <v>0.00881130676796623</v>
      </c>
      <c r="AJ1147" s="16" t="n">
        <f aca="false">S1147*J1147</f>
        <v>0.00547448136163637</v>
      </c>
      <c r="AK1147" s="16" t="n">
        <f aca="false">T1147*J1147</f>
        <v>0</v>
      </c>
      <c r="AL1147" s="16" t="n">
        <f aca="false">U1147*J1147</f>
        <v>0</v>
      </c>
      <c r="AM1147" s="16" t="n">
        <f aca="false">AI1147-AJ1147</f>
        <v>0.00333682540632986</v>
      </c>
      <c r="AN1147" s="16" t="n">
        <f aca="false">J1147*Country_Data!$EB$168</f>
        <v>0.0945570177474951</v>
      </c>
      <c r="AO1147" s="16" t="n">
        <f aca="false">L1147*Country_Data!$EB$168</f>
        <v>0.0226936842593988</v>
      </c>
    </row>
    <row r="1148" customFormat="false" ht="15" hidden="false" customHeight="false" outlineLevel="0" collapsed="false">
      <c r="A1148" s="14" t="str">
        <f aca="false">Country_Data!$A$168</f>
        <v>SUR</v>
      </c>
      <c r="B1148" s="14" t="str">
        <f aca="false">Country_Data!$E$168</f>
        <v>EMDC</v>
      </c>
      <c r="C1148" s="35" t="s">
        <v>473</v>
      </c>
      <c r="D1148" s="37" t="n">
        <f aca="false">IF(Country_Data!$CA$168="","",Country_Data!$CA$168)</f>
        <v>0.019319575284118</v>
      </c>
      <c r="E1148" s="40" t="n">
        <f aca="false">Country_Data!$BW$168</f>
        <v>13.74</v>
      </c>
      <c r="F1148" s="41" t="n">
        <f aca="false">Country_Data!$BX$168</f>
        <v>0.322707423580786</v>
      </c>
      <c r="G1148" s="42" t="n">
        <f aca="false">IF(D1148="","",D1148/SUMIFS($D$5:$D$1369,$B$5:$B$1369,B1148,$C$5:$C$1369,C1148))</f>
        <v>0.00044632714019734</v>
      </c>
      <c r="H1148" s="42" t="n">
        <f aca="false">E1148/SUMIFS($E$5:$E$1369,$B$5:$B$1369,B1148,$C$5:$C$1369,C1148)</f>
        <v>0.000170192968354884</v>
      </c>
      <c r="I1148" s="43" t="n">
        <f aca="false">IF(G1148="",H1148,p_beta_alloc*G1148+(1-p_beta_alloc)*H1148)*F1148^p_phi</f>
        <v>0.000175114346828256</v>
      </c>
      <c r="J1148" s="16" t="n">
        <f aca="false">INDEX(Sector_Params!$C$18:$E$18,MATCH(B1148,Sector_Params!$C$15:$E$15,0))*I1148/SUMIFS($I$5:$I$1369,$B$5:$B$1369,B1148,$C$5:$C$1369,C1148)</f>
        <v>0.0717051816080791</v>
      </c>
      <c r="K1148" s="28" t="n">
        <f aca="false">INDEX(Sector_Params!$F$7:$H$7,MATCH(B1148,Sector_Params!$C$15:$E$15,0))</f>
        <v>0.24</v>
      </c>
      <c r="L1148" s="16" t="n">
        <f aca="false">J1148*K1148</f>
        <v>0.017209243585939</v>
      </c>
      <c r="M1148" s="44" t="n">
        <f aca="false">Country_Data!$DW$168+Sector_Params!$E$7</f>
        <v>0.105</v>
      </c>
      <c r="N1148" s="44" t="n">
        <f aca="false">Country_Data!$DX$168+Sector_Params!$E$7</f>
        <v>0.15</v>
      </c>
      <c r="O1148" s="11" t="n">
        <f aca="false">IF(p_use_ibrd=1,p_r_ibrd,p_r_wb)</f>
        <v>0.06</v>
      </c>
      <c r="P1148" s="45" t="n">
        <f aca="false">Sector_Params!$D$7</f>
        <v>12</v>
      </c>
      <c r="Q1148" s="46" t="n">
        <f aca="false">M1148/(1-(1+M1148)^-P1148)</f>
        <v>0.150376745634766</v>
      </c>
      <c r="R1148" s="46" t="n">
        <f aca="false">N1148/(1-(1+N1148)^-P1148)</f>
        <v>0.18448077613084</v>
      </c>
      <c r="S1148" s="46" t="n">
        <f aca="false">O1148/(1-(1+O1148)^-P1148)</f>
        <v>0.119277029380664</v>
      </c>
      <c r="T1148" s="37" t="n">
        <f aca="false">IF(AND(p_eng=1,ISNUMBER(Country_Data!$DE$168)),Country_Data!$DE$168,Country_Data!$CM$168)*Sector_Params!$I$7</f>
        <v>0.087102945</v>
      </c>
      <c r="U1148" s="37" t="n">
        <f aca="false">IF(AND(p_eng=1,ISNUMBER(Country_Data!$DF$168)),Country_Data!$DF$168,Country_Data!$CN$168)*Sector_Params!$J$7</f>
        <v>0</v>
      </c>
      <c r="V1148" s="37" t="n">
        <f aca="false">IF(AND(p_eng=1,ISNUMBER(Country_Data!$DG$168)),Country_Data!$DG$168,p_a)</f>
        <v>0.328878155172414</v>
      </c>
      <c r="W1148" s="16" t="n">
        <f aca="false">T1148*L1148</f>
        <v>0.00149897579755765</v>
      </c>
      <c r="X1148" s="16" t="n">
        <f aca="false">U1148*L1148</f>
        <v>0</v>
      </c>
      <c r="Y1148" s="16" t="n">
        <f aca="false">V1148*L1148</f>
        <v>0.00565974428245631</v>
      </c>
      <c r="Z1148" s="16" t="n">
        <f aca="false">Q1148*L1148</f>
        <v>0.00258787004528947</v>
      </c>
      <c r="AA1148" s="16" t="n">
        <f aca="false">R1148*L1148</f>
        <v>0.0031747746133587</v>
      </c>
      <c r="AB1148" s="16" t="n">
        <f aca="false">S1148*L1148</f>
        <v>0.00205266745281904</v>
      </c>
      <c r="AC1148" s="16" t="n">
        <f aca="false">Z1148-W1148</f>
        <v>0.00108889424773182</v>
      </c>
      <c r="AD1148" s="16" t="n">
        <f aca="false">AA1148-W1148</f>
        <v>0.00167579881580105</v>
      </c>
      <c r="AE1148" s="16" t="n">
        <f aca="false">AB1148-W1148</f>
        <v>0.000553691655261394</v>
      </c>
      <c r="AF1148" s="16" t="n">
        <f aca="false">AE1148-X1148</f>
        <v>0.000553691655261394</v>
      </c>
      <c r="AG1148" s="16" t="n">
        <f aca="false">AF1148-p_spc_lo*Y1148/1000</f>
        <v>0.000270704441138578</v>
      </c>
      <c r="AH1148" s="16" t="n">
        <f aca="false">AF1148-p_spc_hi*Y1148/1000</f>
        <v>-1.22827729842371E-005</v>
      </c>
      <c r="AI1148" s="16" t="n">
        <f aca="false">Q1148*J1148</f>
        <v>0.0107827918553728</v>
      </c>
      <c r="AJ1148" s="16" t="n">
        <f aca="false">S1148*J1148</f>
        <v>0.00855278105341267</v>
      </c>
      <c r="AK1148" s="16" t="n">
        <f aca="false">T1148*J1148</f>
        <v>0.00624573248982353</v>
      </c>
      <c r="AL1148" s="16" t="n">
        <f aca="false">U1148*J1148</f>
        <v>0</v>
      </c>
      <c r="AM1148" s="16" t="n">
        <f aca="false">AI1148-AJ1148</f>
        <v>0.00223001080196013</v>
      </c>
      <c r="AN1148" s="16" t="n">
        <f aca="false">J1148*Country_Data!$EB$168</f>
        <v>0.0823136194350278</v>
      </c>
      <c r="AO1148" s="16" t="n">
        <f aca="false">L1148*Country_Data!$EB$168</f>
        <v>0.0197552686644067</v>
      </c>
    </row>
    <row r="1149" customFormat="false" ht="15" hidden="false" customHeight="false" outlineLevel="0" collapsed="false">
      <c r="A1149" s="14" t="str">
        <f aca="false">Country_Data!$A$168</f>
        <v>SUR</v>
      </c>
      <c r="B1149" s="14" t="str">
        <f aca="false">Country_Data!$E$168</f>
        <v>EMDC</v>
      </c>
      <c r="C1149" s="35" t="s">
        <v>477</v>
      </c>
      <c r="D1149" s="37" t="n">
        <f aca="false">IF(Country_Data!$CB$168="","",Country_Data!$CB$168)</f>
        <v>0.00426230244185747</v>
      </c>
      <c r="E1149" s="40" t="n">
        <f aca="false">Country_Data!$BW$168</f>
        <v>13.74</v>
      </c>
      <c r="F1149" s="41" t="n">
        <f aca="false">Country_Data!$BX$168</f>
        <v>0.322707423580786</v>
      </c>
      <c r="G1149" s="42" t="n">
        <f aca="false">IF(D1149="","",D1149/SUMIFS($D$5:$D$1369,$B$5:$B$1369,B1149,$C$5:$C$1369,C1149))</f>
        <v>0.00013440337470405</v>
      </c>
      <c r="H1149" s="42" t="n">
        <f aca="false">E1149/SUMIFS($E$5:$E$1369,$B$5:$B$1369,B1149,$C$5:$C$1369,C1149)</f>
        <v>0.000170192968354884</v>
      </c>
      <c r="I1149" s="43" t="n">
        <f aca="false">IF(G1149="",H1149,p_beta_alloc*G1149+(1-p_beta_alloc)*H1149)*F1149^p_phi</f>
        <v>8.65165449125368E-005</v>
      </c>
      <c r="J1149" s="16" t="n">
        <f aca="false">INDEX(Sector_Params!$C$19:$E$19,MATCH(B1149,Sector_Params!$C$15:$E$15,0))*I1149/SUMIFS($I$5:$I$1369,$B$5:$B$1369,B1149,$C$5:$C$1369,C1149)</f>
        <v>0.0278464397879629</v>
      </c>
      <c r="K1149" s="28" t="n">
        <f aca="false">INDEX(Sector_Params!$F$8:$H$8,MATCH(B1149,Sector_Params!$C$15:$E$15,0))</f>
        <v>0.24</v>
      </c>
      <c r="L1149" s="16" t="n">
        <f aca="false">J1149*K1149</f>
        <v>0.0066831455491111</v>
      </c>
      <c r="M1149" s="44" t="n">
        <f aca="false">Country_Data!$DW$168+Sector_Params!$E$8</f>
        <v>0.105</v>
      </c>
      <c r="N1149" s="44" t="n">
        <f aca="false">Country_Data!$DX$168+Sector_Params!$E$8</f>
        <v>0.15</v>
      </c>
      <c r="O1149" s="11" t="n">
        <f aca="false">IF(p_use_ibrd=1,p_r_ibrd,p_r_wb)</f>
        <v>0.06</v>
      </c>
      <c r="P1149" s="45" t="n">
        <f aca="false">Sector_Params!$D$8</f>
        <v>25</v>
      </c>
      <c r="Q1149" s="46" t="n">
        <f aca="false">M1149/(1-(1+M1149)^-P1149)</f>
        <v>0.114429319813103</v>
      </c>
      <c r="R1149" s="46" t="n">
        <f aca="false">N1149/(1-(1+N1149)^-P1149)</f>
        <v>0.154699402320206</v>
      </c>
      <c r="S1149" s="46" t="n">
        <f aca="false">O1149/(1-(1+O1149)^-P1149)</f>
        <v>0.078226718212274</v>
      </c>
      <c r="T1149" s="37" t="n">
        <f aca="false">Country_Data!$CM$168*Sector_Params!$I$8</f>
        <v>0.150663511652444</v>
      </c>
      <c r="U1149" s="37" t="n">
        <f aca="false">Country_Data!$CN$168*Sector_Params!$J$8</f>
        <v>0.03225</v>
      </c>
      <c r="V1149" s="37" t="n">
        <f aca="false">p_a</f>
        <v>0.35</v>
      </c>
      <c r="W1149" s="16" t="n">
        <f aca="false">T1149*L1149</f>
        <v>0.00100690617731348</v>
      </c>
      <c r="X1149" s="16" t="n">
        <f aca="false">U1149*L1149</f>
        <v>0.000215531443958833</v>
      </c>
      <c r="Y1149" s="16" t="n">
        <f aca="false">V1149*L1149</f>
        <v>0.00233910094218888</v>
      </c>
      <c r="Z1149" s="16" t="n">
        <f aca="false">Q1149*L1149</f>
        <v>0.000764747799396752</v>
      </c>
      <c r="AA1149" s="16" t="n">
        <f aca="false">R1149*L1149</f>
        <v>0.00103387862206643</v>
      </c>
      <c r="AB1149" s="16" t="n">
        <f aca="false">S1149*L1149</f>
        <v>0.000522800543641926</v>
      </c>
      <c r="AC1149" s="16" t="n">
        <f aca="false">Z1149-W1149</f>
        <v>-0.000242158377916724</v>
      </c>
      <c r="AD1149" s="16" t="n">
        <f aca="false">AA1149-W1149</f>
        <v>2.69724447529587E-005</v>
      </c>
      <c r="AE1149" s="16" t="n">
        <f aca="false">AB1149-W1149</f>
        <v>-0.000484105633671549</v>
      </c>
      <c r="AF1149" s="16" t="n">
        <f aca="false">AE1149-X1149</f>
        <v>-0.000699637077630382</v>
      </c>
      <c r="AG1149" s="16" t="n">
        <f aca="false">AF1149-p_spc_lo*Y1149/1000</f>
        <v>-0.000816592124739826</v>
      </c>
      <c r="AH1149" s="16" t="n">
        <f aca="false">AF1149-p_spc_hi*Y1149/1000</f>
        <v>-0.00093354717184927</v>
      </c>
      <c r="AI1149" s="16" t="n">
        <f aca="false">Q1149*J1149</f>
        <v>0.00318644916415313</v>
      </c>
      <c r="AJ1149" s="16" t="n">
        <f aca="false">S1149*J1149</f>
        <v>0.00217833559850803</v>
      </c>
      <c r="AK1149" s="16" t="n">
        <f aca="false">T1149*J1149</f>
        <v>0.00419544240547282</v>
      </c>
      <c r="AL1149" s="16" t="n">
        <f aca="false">U1149*J1149</f>
        <v>0.000898047683161803</v>
      </c>
      <c r="AM1149" s="16" t="n">
        <f aca="false">AI1149-AJ1149</f>
        <v>0.0010081135656451</v>
      </c>
      <c r="AN1149" s="16" t="n">
        <f aca="false">J1149*Country_Data!$EB$168</f>
        <v>0.0319661870442643</v>
      </c>
      <c r="AO1149" s="16" t="n">
        <f aca="false">L1149*Country_Data!$EB$168</f>
        <v>0.00767188489062342</v>
      </c>
    </row>
    <row r="1150" customFormat="false" ht="15" hidden="false" customHeight="false" outlineLevel="0" collapsed="false">
      <c r="A1150" s="14" t="str">
        <f aca="false">Country_Data!$A$168</f>
        <v>SUR</v>
      </c>
      <c r="B1150" s="14" t="str">
        <f aca="false">Country_Data!$E$168</f>
        <v>EMDC</v>
      </c>
      <c r="C1150" s="35" t="s">
        <v>481</v>
      </c>
      <c r="D1150" s="37" t="n">
        <f aca="false">IF(Country_Data!$CC$168="","",Country_Data!$CC$168)</f>
        <v>0.0240984348793579</v>
      </c>
      <c r="E1150" s="40" t="n">
        <f aca="false">Country_Data!$BW$168</f>
        <v>13.74</v>
      </c>
      <c r="F1150" s="41" t="n">
        <f aca="false">Country_Data!$BX$168</f>
        <v>0.322707423580786</v>
      </c>
      <c r="G1150" s="42" t="n">
        <f aca="false">IF(D1150="","",D1150/SUMIFS($D$5:$D$1369,$B$5:$B$1369,B1150,$C$5:$C$1369,C1150))</f>
        <v>0.000344227666255198</v>
      </c>
      <c r="H1150" s="42" t="n">
        <f aca="false">E1150/SUMIFS($E$5:$E$1369,$B$5:$B$1369,B1150,$C$5:$C$1369,C1150)</f>
        <v>0.000170192968354884</v>
      </c>
      <c r="I1150" s="43" t="n">
        <f aca="false">IF(G1150="",H1150,p_beta_alloc*G1150+(1-p_beta_alloc)*H1150)*F1150^p_phi</f>
        <v>0.00014611434756972</v>
      </c>
      <c r="J1150" s="16" t="n">
        <f aca="false">INDEX(Sector_Params!$C$20:$E$20,MATCH(B1150,Sector_Params!$C$15:$E$15,0))*I1150/SUMIFS($I$5:$I$1369,$B$5:$B$1369,B1150,$C$5:$C$1369,C1150)</f>
        <v>0.0266688108364715</v>
      </c>
      <c r="K1150" s="28" t="n">
        <f aca="false">INDEX(Sector_Params!$F$9:$H$9,MATCH(B1150,Sector_Params!$C$15:$E$15,0))</f>
        <v>0.24</v>
      </c>
      <c r="L1150" s="16" t="n">
        <f aca="false">J1150*K1150</f>
        <v>0.00640051460075315</v>
      </c>
      <c r="M1150" s="44" t="n">
        <f aca="false">Country_Data!$DW$168+Sector_Params!$E$9</f>
        <v>0.105</v>
      </c>
      <c r="N1150" s="44" t="n">
        <f aca="false">Country_Data!$DX$168+Sector_Params!$E$9</f>
        <v>0.15</v>
      </c>
      <c r="O1150" s="11" t="n">
        <f aca="false">IF(p_use_ibrd=1,p_r_ibrd,p_r_wb)</f>
        <v>0.06</v>
      </c>
      <c r="P1150" s="45" t="n">
        <f aca="false">Sector_Params!$D$9</f>
        <v>25</v>
      </c>
      <c r="Q1150" s="46" t="n">
        <f aca="false">M1150/(1-(1+M1150)^-P1150)</f>
        <v>0.114429319813103</v>
      </c>
      <c r="R1150" s="46" t="n">
        <f aca="false">N1150/(1-(1+N1150)^-P1150)</f>
        <v>0.154699402320206</v>
      </c>
      <c r="S1150" s="46" t="n">
        <f aca="false">O1150/(1-(1+O1150)^-P1150)</f>
        <v>0.078226718212274</v>
      </c>
      <c r="T1150" s="37" t="n">
        <f aca="false">Country_Data!$CM$168*Sector_Params!$I$9</f>
        <v>0.150663511652444</v>
      </c>
      <c r="U1150" s="37" t="n">
        <f aca="false">Country_Data!$CN$168*Sector_Params!$J$9</f>
        <v>0.03225</v>
      </c>
      <c r="V1150" s="37" t="n">
        <f aca="false">p_a</f>
        <v>0.35</v>
      </c>
      <c r="W1150" s="16" t="n">
        <f aca="false">T1150*L1150</f>
        <v>0.000964324006132208</v>
      </c>
      <c r="X1150" s="16" t="n">
        <f aca="false">U1150*L1150</f>
        <v>0.000206416595874289</v>
      </c>
      <c r="Y1150" s="16" t="n">
        <f aca="false">V1150*L1150</f>
        <v>0.0022401801102636</v>
      </c>
      <c r="Z1150" s="16" t="n">
        <f aca="false">Q1150*L1150</f>
        <v>0.00073240653221802</v>
      </c>
      <c r="AA1150" s="16" t="n">
        <f aca="false">R1150*L1150</f>
        <v>0.000990155783278268</v>
      </c>
      <c r="AB1150" s="16" t="n">
        <f aca="false">S1150*L1150</f>
        <v>0.000500691252086662</v>
      </c>
      <c r="AC1150" s="16" t="n">
        <f aca="false">Z1150-W1150</f>
        <v>-0.000231917473914188</v>
      </c>
      <c r="AD1150" s="16" t="n">
        <f aca="false">AA1150-W1150</f>
        <v>2.583177714606E-005</v>
      </c>
      <c r="AE1150" s="16" t="n">
        <f aca="false">AB1150-W1150</f>
        <v>-0.000463632754045546</v>
      </c>
      <c r="AF1150" s="16" t="n">
        <f aca="false">AE1150-X1150</f>
        <v>-0.000670049349919835</v>
      </c>
      <c r="AG1150" s="16" t="n">
        <f aca="false">AF1150-p_spc_lo*Y1150/1000</f>
        <v>-0.000782058355433015</v>
      </c>
      <c r="AH1150" s="16" t="n">
        <f aca="false">AF1150-p_spc_hi*Y1150/1000</f>
        <v>-0.000894067360946195</v>
      </c>
      <c r="AI1150" s="16" t="n">
        <f aca="false">Q1150*J1150</f>
        <v>0.00305169388424175</v>
      </c>
      <c r="AJ1150" s="16" t="n">
        <f aca="false">S1150*J1150</f>
        <v>0.00208621355036109</v>
      </c>
      <c r="AK1150" s="16" t="n">
        <f aca="false">T1150*J1150</f>
        <v>0.00401801669221753</v>
      </c>
      <c r="AL1150" s="16" t="n">
        <f aca="false">U1150*J1150</f>
        <v>0.000860069149476205</v>
      </c>
      <c r="AM1150" s="16" t="n">
        <f aca="false">AI1150-AJ1150</f>
        <v>0.000965480333880658</v>
      </c>
      <c r="AN1150" s="16" t="n">
        <f aca="false">J1150*Country_Data!$EB$168</f>
        <v>0.0306143335355659</v>
      </c>
      <c r="AO1150" s="16" t="n">
        <f aca="false">L1150*Country_Data!$EB$168</f>
        <v>0.00734744004853581</v>
      </c>
    </row>
    <row r="1151" customFormat="false" ht="15" hidden="false" customHeight="false" outlineLevel="0" collapsed="false">
      <c r="A1151" s="14" t="str">
        <f aca="false">Country_Data!$A$168</f>
        <v>SUR</v>
      </c>
      <c r="B1151" s="14" t="str">
        <f aca="false">Country_Data!$E$168</f>
        <v>EMDC</v>
      </c>
      <c r="C1151" s="35" t="s">
        <v>484</v>
      </c>
      <c r="D1151" s="37" t="n">
        <f aca="false">IF(Country_Data!$CD$168="","",Country_Data!$CD$168)</f>
        <v>0.0393790235255392</v>
      </c>
      <c r="E1151" s="40" t="n">
        <f aca="false">Country_Data!$BW$168</f>
        <v>13.74</v>
      </c>
      <c r="F1151" s="41" t="n">
        <f aca="false">Country_Data!$BX$168</f>
        <v>0.322707423580786</v>
      </c>
      <c r="G1151" s="42" t="n">
        <f aca="false">IF(D1151="","",D1151/SUMIFS($D$5:$D$1369,$B$5:$B$1369,B1151,$C$5:$C$1369,C1151))</f>
        <v>0.000219906853285058</v>
      </c>
      <c r="H1151" s="42" t="n">
        <f aca="false">E1151/SUMIFS($E$5:$E$1369,$B$5:$B$1369,B1151,$C$5:$C$1369,C1151)</f>
        <v>0.000170192968354884</v>
      </c>
      <c r="I1151" s="43" t="n">
        <f aca="false">IF(G1151="",H1151,p_beta_alloc*G1151+(1-p_beta_alloc)*H1151)*F1151^p_phi</f>
        <v>0.00011080267215406</v>
      </c>
      <c r="J1151" s="16" t="n">
        <f aca="false">INDEX(Sector_Params!$C$21:$E$21,MATCH(B1151,Sector_Params!$C$15:$E$15,0))*I1151/SUMIFS($I$5:$I$1369,$B$5:$B$1369,B1151,$C$5:$C$1369,C1151)</f>
        <v>0.0245749054059095</v>
      </c>
      <c r="K1151" s="28" t="n">
        <f aca="false">INDEX(Sector_Params!$F$10:$H$10,MATCH(B1151,Sector_Params!$C$15:$E$15,0))</f>
        <v>0.24</v>
      </c>
      <c r="L1151" s="16" t="n">
        <f aca="false">J1151*K1151</f>
        <v>0.00589797729741828</v>
      </c>
      <c r="M1151" s="44" t="n">
        <f aca="false">Country_Data!$DW$168+Sector_Params!$E$10</f>
        <v>0.105</v>
      </c>
      <c r="N1151" s="44" t="n">
        <f aca="false">Country_Data!$DX$168+Sector_Params!$E$10</f>
        <v>0.15</v>
      </c>
      <c r="O1151" s="11" t="n">
        <f aca="false">IF(p_use_ibrd=1,p_r_ibrd,p_r_wb)</f>
        <v>0.06</v>
      </c>
      <c r="P1151" s="45" t="n">
        <f aca="false">Sector_Params!$D$10</f>
        <v>20</v>
      </c>
      <c r="Q1151" s="46" t="n">
        <f aca="false">M1151/(1-(1+M1151)^-P1151)</f>
        <v>0.121493265267016</v>
      </c>
      <c r="R1151" s="46" t="n">
        <f aca="false">N1151/(1-(1+N1151)^-P1151)</f>
        <v>0.159761470405744</v>
      </c>
      <c r="S1151" s="46" t="n">
        <f aca="false">O1151/(1-(1+O1151)^-P1151)</f>
        <v>0.0871845569768514</v>
      </c>
      <c r="T1151" s="37" t="n">
        <f aca="false">0*Sector_Params!$I$10</f>
        <v>0</v>
      </c>
      <c r="U1151" s="37" t="n">
        <f aca="false">0*Sector_Params!$J$10</f>
        <v>0</v>
      </c>
      <c r="V1151" s="37" t="n">
        <f aca="false">1000*p_r_wb/(1-(1+p_r_wb)^-Sector_Params!$D$10)/p_cpt_fuel</f>
        <v>0.871845569768514</v>
      </c>
      <c r="W1151" s="16" t="n">
        <f aca="false">T1151*L1151</f>
        <v>0</v>
      </c>
      <c r="X1151" s="16" t="n">
        <f aca="false">U1151*L1151</f>
        <v>0</v>
      </c>
      <c r="Y1151" s="16" t="n">
        <f aca="false">V1151*L1151</f>
        <v>0.0051421253773494</v>
      </c>
      <c r="Z1151" s="16" t="n">
        <f aca="false">Q1151*L1151</f>
        <v>0.000716564520334078</v>
      </c>
      <c r="AA1151" s="16" t="n">
        <f aca="false">R1151*L1151</f>
        <v>0.00094226952545524</v>
      </c>
      <c r="AB1151" s="16" t="n">
        <f aca="false">S1151*L1151</f>
        <v>0.00051421253773494</v>
      </c>
      <c r="AC1151" s="16" t="n">
        <f aca="false">Z1151-W1151</f>
        <v>0.000716564520334078</v>
      </c>
      <c r="AD1151" s="16" t="n">
        <f aca="false">AA1151-W1151</f>
        <v>0.00094226952545524</v>
      </c>
      <c r="AE1151" s="16" t="n">
        <f aca="false">AB1151-W1151</f>
        <v>0.00051421253773494</v>
      </c>
      <c r="AF1151" s="16" t="n">
        <f aca="false">AE1151-X1151</f>
        <v>0.00051421253773494</v>
      </c>
      <c r="AG1151" s="16" t="n">
        <f aca="false">AF1151-p_spc_lo*Y1151/1000</f>
        <v>0.00025710626886747</v>
      </c>
      <c r="AH1151" s="16" t="n">
        <f aca="false">AF1151-p_spc_hi*Y1151/1000</f>
        <v>0</v>
      </c>
      <c r="AI1151" s="16" t="n">
        <f aca="false">Q1151*J1151</f>
        <v>0.00298568550139199</v>
      </c>
      <c r="AJ1151" s="16" t="n">
        <f aca="false">S1151*J1151</f>
        <v>0.00214255224056225</v>
      </c>
      <c r="AK1151" s="16" t="n">
        <f aca="false">T1151*J1151</f>
        <v>0</v>
      </c>
      <c r="AL1151" s="16" t="n">
        <f aca="false">U1151*J1151</f>
        <v>0</v>
      </c>
      <c r="AM1151" s="16" t="n">
        <f aca="false">AI1151-AJ1151</f>
        <v>0.000843133260829743</v>
      </c>
      <c r="AN1151" s="16" t="n">
        <f aca="false">J1151*Country_Data!$EB$168</f>
        <v>0.0282106448358249</v>
      </c>
      <c r="AO1151" s="16" t="n">
        <f aca="false">L1151*Country_Data!$EB$168</f>
        <v>0.00677055476059797</v>
      </c>
    </row>
    <row r="1152" customFormat="false" ht="15" hidden="false" customHeight="false" outlineLevel="0" collapsed="false">
      <c r="A1152" s="14" t="str">
        <f aca="false">Country_Data!$A$168</f>
        <v>SUR</v>
      </c>
      <c r="B1152" s="14" t="str">
        <f aca="false">Country_Data!$E$168</f>
        <v>EMDC</v>
      </c>
      <c r="C1152" s="35" t="s">
        <v>488</v>
      </c>
      <c r="D1152" s="37" t="n">
        <f aca="false">IF(Country_Data!$CE$168="","",Country_Data!$CE$168)</f>
        <v>10.015</v>
      </c>
      <c r="E1152" s="40" t="n">
        <f aca="false">Country_Data!$BW$168</f>
        <v>13.74</v>
      </c>
      <c r="F1152" s="41" t="n">
        <f aca="false">Country_Data!$BX$168</f>
        <v>0.322707423580786</v>
      </c>
      <c r="G1152" s="42" t="n">
        <f aca="false">IF(D1152="","",D1152/SUMIFS($D$5:$D$1369,$B$5:$B$1369,B1152,$C$5:$C$1369,C1152))</f>
        <v>0.000820625182827752</v>
      </c>
      <c r="H1152" s="42" t="n">
        <f aca="false">E1152/SUMIFS($E$5:$E$1369,$B$5:$B$1369,B1152,$C$5:$C$1369,C1152)</f>
        <v>0.000170192968354884</v>
      </c>
      <c r="I1152" s="43" t="n">
        <f aca="false">IF(G1152="",H1152,p_beta_alloc*G1152+(1-p_beta_alloc)*H1152)*F1152^p_phi</f>
        <v>0.000281428733569409</v>
      </c>
      <c r="J1152" s="16" t="n">
        <f aca="false">INDEX(Sector_Params!$C$22:$E$22,MATCH(B1152,Sector_Params!$C$15:$E$15,0))*I1152/SUMIFS($I$5:$I$1369,$B$5:$B$1369,B1152,$C$5:$C$1369,C1152)</f>
        <v>0.169647601281461</v>
      </c>
      <c r="K1152" s="28" t="n">
        <f aca="false">INDEX(Sector_Params!$F$11:$H$11,MATCH(B1152,Sector_Params!$C$15:$E$15,0))</f>
        <v>0.24</v>
      </c>
      <c r="L1152" s="16" t="n">
        <f aca="false">J1152*K1152</f>
        <v>0.0407154243075507</v>
      </c>
      <c r="M1152" s="44" t="n">
        <f aca="false">Country_Data!$DW$168+Sector_Params!$E$11</f>
        <v>0.105</v>
      </c>
      <c r="N1152" s="44" t="n">
        <f aca="false">Country_Data!$DX$168+Sector_Params!$E$11</f>
        <v>0.15</v>
      </c>
      <c r="O1152" s="11" t="n">
        <f aca="false">IF(p_use_ibrd=1,p_r_ibrd,p_r_wb)</f>
        <v>0.06</v>
      </c>
      <c r="P1152" s="45" t="n">
        <f aca="false">Sector_Params!$D$11</f>
        <v>30</v>
      </c>
      <c r="Q1152" s="46" t="n">
        <f aca="false">M1152/(1-(1+M1152)^-P1152)</f>
        <v>0.110528481529605</v>
      </c>
      <c r="R1152" s="46" t="n">
        <f aca="false">N1152/(1-(1+N1152)^-P1152)</f>
        <v>0.152300198192734</v>
      </c>
      <c r="S1152" s="46" t="n">
        <f aca="false">O1152/(1-(1+O1152)^-P1152)</f>
        <v>0.0726489114900472</v>
      </c>
      <c r="T1152" s="37" t="n">
        <f aca="false">0*Sector_Params!$I$11</f>
        <v>0</v>
      </c>
      <c r="U1152" s="37" t="n">
        <f aca="false">p_c*Sector_Params!$J$11</f>
        <v>0.129</v>
      </c>
      <c r="V1152" s="37" t="n">
        <f aca="false">1000*p_r_wb/(1-(1+p_r_wb)^-Sector_Params!$D$11)/p_cpt_afolu</f>
        <v>1.45297822980094</v>
      </c>
      <c r="W1152" s="16" t="n">
        <f aca="false">T1152*L1152</f>
        <v>0</v>
      </c>
      <c r="X1152" s="16" t="n">
        <f aca="false">U1152*L1152</f>
        <v>0.00525228973567404</v>
      </c>
      <c r="Y1152" s="16" t="n">
        <f aca="false">V1152*L1152</f>
        <v>0.0591586251359793</v>
      </c>
      <c r="Z1152" s="16" t="n">
        <f aca="false">Q1152*L1152</f>
        <v>0.00450021402354715</v>
      </c>
      <c r="AA1152" s="16" t="n">
        <f aca="false">R1152*L1152</f>
        <v>0.00620096719154124</v>
      </c>
      <c r="AB1152" s="16" t="n">
        <f aca="false">S1152*L1152</f>
        <v>0.00295793125679897</v>
      </c>
      <c r="AC1152" s="16" t="n">
        <f aca="false">Z1152-W1152</f>
        <v>0.00450021402354715</v>
      </c>
      <c r="AD1152" s="16" t="n">
        <f aca="false">AA1152-W1152</f>
        <v>0.00620096719154124</v>
      </c>
      <c r="AE1152" s="16" t="n">
        <f aca="false">AB1152-W1152</f>
        <v>0.00295793125679897</v>
      </c>
      <c r="AF1152" s="16" t="n">
        <f aca="false">AE1152-X1152</f>
        <v>-0.00229435847887507</v>
      </c>
      <c r="AG1152" s="16" t="n">
        <f aca="false">AF1152-p_spc_lo*Y1152/1000</f>
        <v>-0.00525228973567404</v>
      </c>
      <c r="AH1152" s="16" t="n">
        <f aca="false">AF1152-p_spc_hi*Y1152/1000</f>
        <v>-0.008210220992473</v>
      </c>
      <c r="AI1152" s="16" t="n">
        <f aca="false">Q1152*J1152</f>
        <v>0.0187508917647798</v>
      </c>
      <c r="AJ1152" s="16" t="n">
        <f aca="false">S1152*J1152</f>
        <v>0.0123247135699957</v>
      </c>
      <c r="AK1152" s="16" t="n">
        <f aca="false">T1152*J1152</f>
        <v>0</v>
      </c>
      <c r="AL1152" s="16" t="n">
        <f aca="false">U1152*J1152</f>
        <v>0.0218845405653085</v>
      </c>
      <c r="AM1152" s="16" t="n">
        <f aca="false">AI1152-AJ1152</f>
        <v>0.00642617819478411</v>
      </c>
      <c r="AN1152" s="16" t="n">
        <f aca="false">J1152*Country_Data!$EB$168</f>
        <v>0.194746150512143</v>
      </c>
      <c r="AO1152" s="16" t="n">
        <f aca="false">L1152*Country_Data!$EB$168</f>
        <v>0.0467390761229143</v>
      </c>
    </row>
    <row r="1153" customFormat="false" ht="15" hidden="false" customHeight="false" outlineLevel="0" collapsed="false">
      <c r="A1153" s="14" t="str">
        <f aca="false">Country_Data!$A$169</f>
        <v>ABW</v>
      </c>
      <c r="B1153" s="14" t="str">
        <f aca="false">Country_Data!$E$169</f>
        <v>EMDC</v>
      </c>
      <c r="C1153" s="35" t="s">
        <v>466</v>
      </c>
      <c r="D1153" s="37" t="n">
        <f aca="false">IF(Country_Data!$BZ$169="","",Country_Data!$BZ$169)</f>
        <v>0.862927540418131</v>
      </c>
      <c r="E1153" s="40" t="n">
        <f aca="false">Country_Data!$BW$169</f>
        <v>5.579</v>
      </c>
      <c r="F1153" s="41" t="n">
        <f aca="false">Country_Data!$BX$169</f>
        <v>0.76805879189819</v>
      </c>
      <c r="G1153" s="42" t="n">
        <f aca="false">IF(D1153="","",D1153/SUMIFS($D$5:$D$1369,$B$5:$B$1369,B1153,$C$5:$C$1369,C1153))</f>
        <v>9.85136507347498E-005</v>
      </c>
      <c r="H1153" s="42" t="n">
        <f aca="false">E1153/SUMIFS($E$5:$E$1369,$B$5:$B$1369,B1153,$C$5:$C$1369,C1153)</f>
        <v>6.9105281692278E-005</v>
      </c>
      <c r="I1153" s="43" t="n">
        <f aca="false">IF(G1153="",H1153,p_beta_alloc*G1153+(1-p_beta_alloc)*H1153)*F1153^p_phi</f>
        <v>7.34497474834994E-005</v>
      </c>
      <c r="J1153" s="16" t="n">
        <f aca="false">INDEX(Sector_Params!$C$16:$E$16,MATCH(B1153,Sector_Params!$C$15:$E$15,0))*I1153/SUMIFS($I$5:$I$1369,$B$5:$B$1369,B1153,$C$5:$C$1369,C1153)</f>
        <v>0.0710424578776849</v>
      </c>
      <c r="K1153" s="28" t="n">
        <f aca="false">INDEX(Sector_Params!$F$5:$H$5,MATCH(B1153,Sector_Params!$C$15:$E$15,0))</f>
        <v>0.24</v>
      </c>
      <c r="L1153" s="16" t="n">
        <f aca="false">J1153*K1153</f>
        <v>0.0170501898906444</v>
      </c>
      <c r="M1153" s="44" t="n">
        <f aca="false">Country_Data!$DW$169+Sector_Params!$E$5</f>
        <v>0.105</v>
      </c>
      <c r="N1153" s="44" t="n">
        <f aca="false">Country_Data!$DX$169+Sector_Params!$E$5</f>
        <v>0.15</v>
      </c>
      <c r="O1153" s="11" t="n">
        <f aca="false">IF(p_use_ibrd=1,p_r_ibrd,p_r_wb)</f>
        <v>0.06</v>
      </c>
      <c r="P1153" s="45" t="n">
        <f aca="false">Sector_Params!$D$5</f>
        <v>25</v>
      </c>
      <c r="Q1153" s="46" t="n">
        <f aca="false">M1153/(1-(1+M1153)^-P1153)</f>
        <v>0.114429319813103</v>
      </c>
      <c r="R1153" s="46" t="n">
        <f aca="false">N1153/(1-(1+N1153)^-P1153)</f>
        <v>0.154699402320206</v>
      </c>
      <c r="S1153" s="46" t="n">
        <f aca="false">O1153/(1-(1+O1153)^-P1153)</f>
        <v>0.078226718212274</v>
      </c>
      <c r="T1153" s="37" t="n">
        <f aca="false">IF(AND(p_eng=1,ISNUMBER(Country_Data!$CZ$169)),Country_Data!$CZ$169,Country_Data!$CM$169)*Sector_Params!$I$5</f>
        <v>0.254956284125378</v>
      </c>
      <c r="U1153" s="37" t="n">
        <f aca="false">IF(AND(p_eng=1,ISNUMBER(Country_Data!$DA$169)),Country_Data!$DA$169,Country_Data!$CN$169)*Sector_Params!$J$5</f>
        <v>0</v>
      </c>
      <c r="V1153" s="37" t="n">
        <f aca="false">IF(AND(p_eng=1,ISNUMBER(Country_Data!$DB$169)),Country_Data!$DB$169,p_a)</f>
        <v>1.55231349076225</v>
      </c>
      <c r="W1153" s="16" t="n">
        <f aca="false">T1153*L1153</f>
        <v>0.00434705305815077</v>
      </c>
      <c r="X1153" s="16" t="n">
        <f aca="false">U1153*L1153</f>
        <v>0</v>
      </c>
      <c r="Y1153" s="16" t="n">
        <f aca="false">V1153*L1153</f>
        <v>0.0264672397873054</v>
      </c>
      <c r="Z1153" s="16" t="n">
        <f aca="false">Q1153*L1153</f>
        <v>0.00195104163187069</v>
      </c>
      <c r="AA1153" s="16" t="n">
        <f aca="false">R1153*L1153</f>
        <v>0.00263765418552871</v>
      </c>
      <c r="AB1153" s="16" t="n">
        <f aca="false">S1153*L1153</f>
        <v>0.0013337804000412</v>
      </c>
      <c r="AC1153" s="16" t="n">
        <f aca="false">Z1153-W1153</f>
        <v>-0.00239601142628008</v>
      </c>
      <c r="AD1153" s="16" t="n">
        <f aca="false">AA1153-W1153</f>
        <v>-0.00170939887262206</v>
      </c>
      <c r="AE1153" s="16" t="n">
        <f aca="false">AB1153-W1153</f>
        <v>-0.00301327265810957</v>
      </c>
      <c r="AF1153" s="16" t="n">
        <f aca="false">AE1153-X1153</f>
        <v>-0.00301327265810957</v>
      </c>
      <c r="AG1153" s="16" t="n">
        <f aca="false">AF1153-p_spc_lo*Y1153/1000</f>
        <v>-0.00433663464747484</v>
      </c>
      <c r="AH1153" s="16" t="n">
        <f aca="false">AF1153-p_spc_hi*Y1153/1000</f>
        <v>-0.0056599966368401</v>
      </c>
      <c r="AI1153" s="16" t="n">
        <f aca="false">Q1153*J1153</f>
        <v>0.00812934013279452</v>
      </c>
      <c r="AJ1153" s="16" t="n">
        <f aca="false">S1153*J1153</f>
        <v>0.005557418333505</v>
      </c>
      <c r="AK1153" s="16" t="n">
        <f aca="false">T1153*J1153</f>
        <v>0.0181127210756282</v>
      </c>
      <c r="AL1153" s="16" t="n">
        <f aca="false">U1153*J1153</f>
        <v>0</v>
      </c>
      <c r="AM1153" s="16" t="n">
        <f aca="false">AI1153-AJ1153</f>
        <v>0.00257192179928953</v>
      </c>
      <c r="AN1153" s="16" t="n">
        <f aca="false">J1153*Country_Data!$EB$169</f>
        <v>0.0815528489061643</v>
      </c>
      <c r="AO1153" s="16" t="n">
        <f aca="false">L1153*Country_Data!$EB$169</f>
        <v>0.0195726837374794</v>
      </c>
    </row>
    <row r="1154" customFormat="false" ht="15" hidden="false" customHeight="false" outlineLevel="0" collapsed="false">
      <c r="A1154" s="14" t="str">
        <f aca="false">Country_Data!$A$169</f>
        <v>ABW</v>
      </c>
      <c r="B1154" s="14" t="str">
        <f aca="false">Country_Data!$E$169</f>
        <v>EMDC</v>
      </c>
      <c r="C1154" s="35" t="s">
        <v>470</v>
      </c>
      <c r="D1154" s="37" t="n">
        <f aca="false">IF(Country_Data!$BZ$169="","",Country_Data!$BZ$169)</f>
        <v>0.862927540418131</v>
      </c>
      <c r="E1154" s="40" t="n">
        <f aca="false">Country_Data!$BW$169</f>
        <v>5.579</v>
      </c>
      <c r="F1154" s="41" t="n">
        <f aca="false">Country_Data!$BX$169</f>
        <v>0.76805879189819</v>
      </c>
      <c r="G1154" s="42" t="n">
        <f aca="false">IF(D1154="","",D1154/SUMIFS($D$5:$D$1369,$B$5:$B$1369,B1154,$C$5:$C$1369,C1154))</f>
        <v>9.85136507347498E-005</v>
      </c>
      <c r="H1154" s="42" t="n">
        <f aca="false">E1154/SUMIFS($E$5:$E$1369,$B$5:$B$1369,B1154,$C$5:$C$1369,C1154)</f>
        <v>6.9105281692278E-005</v>
      </c>
      <c r="I1154" s="43" t="n">
        <f aca="false">IF(G1154="",H1154,p_beta_alloc*G1154+(1-p_beta_alloc)*H1154)*F1154^p_phi</f>
        <v>7.34497474834994E-005</v>
      </c>
      <c r="J1154" s="16" t="n">
        <f aca="false">INDEX(Sector_Params!$C$17:$E$17,MATCH(B1154,Sector_Params!$C$15:$E$15,0))*I1154/SUMIFS($I$5:$I$1369,$B$5:$B$1369,B1154,$C$5:$C$1369,C1154)</f>
        <v>0.0487148282589839</v>
      </c>
      <c r="K1154" s="28" t="n">
        <f aca="false">INDEX(Sector_Params!$F$6:$H$6,MATCH(B1154,Sector_Params!$C$15:$E$15,0))</f>
        <v>0.24</v>
      </c>
      <c r="L1154" s="16" t="n">
        <f aca="false">J1154*K1154</f>
        <v>0.0116915587821561</v>
      </c>
      <c r="M1154" s="44" t="n">
        <f aca="false">Country_Data!$DW$169+Sector_Params!$E$6</f>
        <v>0.105</v>
      </c>
      <c r="N1154" s="44" t="n">
        <f aca="false">Country_Data!$DX$169+Sector_Params!$E$6</f>
        <v>0.15</v>
      </c>
      <c r="O1154" s="11" t="n">
        <f aca="false">IF(p_use_ibrd=1,p_r_ibrd,p_r_wb)</f>
        <v>0.06</v>
      </c>
      <c r="P1154" s="45" t="n">
        <f aca="false">Sector_Params!$D$6</f>
        <v>40</v>
      </c>
      <c r="Q1154" s="46" t="n">
        <f aca="false">M1154/(1-(1+M1154)^-P1154)</f>
        <v>0.10697140835497</v>
      </c>
      <c r="R1154" s="46" t="n">
        <f aca="false">N1154/(1-(1+N1154)^-P1154)</f>
        <v>0.150562085013545</v>
      </c>
      <c r="S1154" s="46" t="n">
        <f aca="false">O1154/(1-(1+O1154)^-P1154)</f>
        <v>0.0664615359206755</v>
      </c>
      <c r="T1154" s="37" t="n">
        <f aca="false">p_grid_credit*IF(AND(p_eng=1,ISNUMBER(Country_Data!$CZ$169)),Country_Data!$CZ$169,Country_Data!$CM$169)*Sector_Params!$I$6</f>
        <v>0</v>
      </c>
      <c r="U1154" s="37" t="n">
        <f aca="false">p_grid_credit*IF(AND(p_eng=1,ISNUMBER(Country_Data!$DA$169)),Country_Data!$DA$169,Country_Data!$CN$169)*Sector_Params!$J$6</f>
        <v>0</v>
      </c>
      <c r="V1154" s="37" t="n">
        <f aca="false">p_grid_credit*IF(AND(p_eng=1,ISNUMBER(Country_Data!$DB$169)),Country_Data!$DB$169,p_a)</f>
        <v>0</v>
      </c>
      <c r="W1154" s="16" t="n">
        <f aca="false">T1154*L1154</f>
        <v>0</v>
      </c>
      <c r="X1154" s="16" t="n">
        <f aca="false">U1154*L1154</f>
        <v>0</v>
      </c>
      <c r="Y1154" s="16" t="n">
        <f aca="false">V1154*L1154</f>
        <v>0</v>
      </c>
      <c r="Z1154" s="16" t="n">
        <f aca="false">Q1154*L1154</f>
        <v>0.00125066250879216</v>
      </c>
      <c r="AA1154" s="16" t="n">
        <f aca="false">R1154*L1154</f>
        <v>0.00176030546729985</v>
      </c>
      <c r="AB1154" s="16" t="n">
        <f aca="false">S1154*L1154</f>
        <v>0.000777038953968959</v>
      </c>
      <c r="AC1154" s="16" t="n">
        <f aca="false">Z1154-W1154</f>
        <v>0.00125066250879216</v>
      </c>
      <c r="AD1154" s="16" t="n">
        <f aca="false">AA1154-W1154</f>
        <v>0.00176030546729985</v>
      </c>
      <c r="AE1154" s="16" t="n">
        <f aca="false">AB1154-W1154</f>
        <v>0.000777038953968959</v>
      </c>
      <c r="AF1154" s="16" t="n">
        <f aca="false">AE1154-X1154</f>
        <v>0.000777038953968959</v>
      </c>
      <c r="AG1154" s="16" t="n">
        <f aca="false">AF1154-p_spc_lo*Y1154/1000</f>
        <v>0.000777038953968959</v>
      </c>
      <c r="AH1154" s="16" t="n">
        <f aca="false">AF1154-p_spc_hi*Y1154/1000</f>
        <v>0.000777038953968959</v>
      </c>
      <c r="AI1154" s="16" t="n">
        <f aca="false">Q1154*J1154</f>
        <v>0.00521109378663402</v>
      </c>
      <c r="AJ1154" s="16" t="n">
        <f aca="false">S1154*J1154</f>
        <v>0.003237662308204</v>
      </c>
      <c r="AK1154" s="16" t="n">
        <f aca="false">T1154*J1154</f>
        <v>0</v>
      </c>
      <c r="AL1154" s="16" t="n">
        <f aca="false">U1154*J1154</f>
        <v>0</v>
      </c>
      <c r="AM1154" s="16" t="n">
        <f aca="false">AI1154-AJ1154</f>
        <v>0.00197343147843002</v>
      </c>
      <c r="AN1154" s="16" t="n">
        <f aca="false">J1154*Country_Data!$EB$169</f>
        <v>0.0559219535356555</v>
      </c>
      <c r="AO1154" s="16" t="n">
        <f aca="false">L1154*Country_Data!$EB$169</f>
        <v>0.0134212688485573</v>
      </c>
    </row>
    <row r="1155" customFormat="false" ht="15" hidden="false" customHeight="false" outlineLevel="0" collapsed="false">
      <c r="A1155" s="14" t="str">
        <f aca="false">Country_Data!$A$169</f>
        <v>ABW</v>
      </c>
      <c r="B1155" s="14" t="str">
        <f aca="false">Country_Data!$E$169</f>
        <v>EMDC</v>
      </c>
      <c r="C1155" s="35" t="s">
        <v>473</v>
      </c>
      <c r="D1155" s="37" t="n">
        <f aca="false">IF(Country_Data!$CA$169="","",Country_Data!$CA$169)</f>
        <v>0.00421255941845457</v>
      </c>
      <c r="E1155" s="40" t="n">
        <f aca="false">Country_Data!$BW$169</f>
        <v>5.579</v>
      </c>
      <c r="F1155" s="41" t="n">
        <f aca="false">Country_Data!$BX$169</f>
        <v>0.76805879189819</v>
      </c>
      <c r="G1155" s="42" t="n">
        <f aca="false">IF(D1155="","",D1155/SUMIFS($D$5:$D$1369,$B$5:$B$1369,B1155,$C$5:$C$1369,C1155))</f>
        <v>9.73199239890039E-005</v>
      </c>
      <c r="H1155" s="42" t="n">
        <f aca="false">E1155/SUMIFS($E$5:$E$1369,$B$5:$B$1369,B1155,$C$5:$C$1369,C1155)</f>
        <v>6.9105281692278E-005</v>
      </c>
      <c r="I1155" s="43" t="n">
        <f aca="false">IF(G1155="",H1155,p_beta_alloc*G1155+(1-p_beta_alloc)*H1155)*F1155^p_phi</f>
        <v>7.29266626101513E-005</v>
      </c>
      <c r="J1155" s="16" t="n">
        <f aca="false">INDEX(Sector_Params!$C$18:$E$18,MATCH(B1155,Sector_Params!$C$15:$E$15,0))*I1155/SUMIFS($I$5:$I$1369,$B$5:$B$1369,B1155,$C$5:$C$1369,C1155)</f>
        <v>0.029861742805463</v>
      </c>
      <c r="K1155" s="28" t="n">
        <f aca="false">INDEX(Sector_Params!$F$7:$H$7,MATCH(B1155,Sector_Params!$C$15:$E$15,0))</f>
        <v>0.24</v>
      </c>
      <c r="L1155" s="16" t="n">
        <f aca="false">J1155*K1155</f>
        <v>0.00716681827331111</v>
      </c>
      <c r="M1155" s="44" t="n">
        <f aca="false">Country_Data!$DW$169+Sector_Params!$E$7</f>
        <v>0.105</v>
      </c>
      <c r="N1155" s="44" t="n">
        <f aca="false">Country_Data!$DX$169+Sector_Params!$E$7</f>
        <v>0.15</v>
      </c>
      <c r="O1155" s="11" t="n">
        <f aca="false">IF(p_use_ibrd=1,p_r_ibrd,p_r_wb)</f>
        <v>0.06</v>
      </c>
      <c r="P1155" s="45" t="n">
        <f aca="false">Sector_Params!$D$7</f>
        <v>12</v>
      </c>
      <c r="Q1155" s="46" t="n">
        <f aca="false">M1155/(1-(1+M1155)^-P1155)</f>
        <v>0.150376745634766</v>
      </c>
      <c r="R1155" s="46" t="n">
        <f aca="false">N1155/(1-(1+N1155)^-P1155)</f>
        <v>0.18448077613084</v>
      </c>
      <c r="S1155" s="46" t="n">
        <f aca="false">O1155/(1-(1+O1155)^-P1155)</f>
        <v>0.119277029380664</v>
      </c>
      <c r="T1155" s="37" t="n">
        <f aca="false">IF(AND(p_eng=1,ISNUMBER(Country_Data!$DE$169)),Country_Data!$DE$169,Country_Data!$CM$169)*Sector_Params!$I$7</f>
        <v>0.08168157</v>
      </c>
      <c r="U1155" s="37" t="n">
        <f aca="false">IF(AND(p_eng=1,ISNUMBER(Country_Data!$DF$169)),Country_Data!$DF$169,Country_Data!$CN$169)*Sector_Params!$J$7</f>
        <v>0</v>
      </c>
      <c r="V1155" s="37" t="n">
        <f aca="false">IF(AND(p_eng=1,ISNUMBER(Country_Data!$DG$169)),Country_Data!$DG$169,p_a)</f>
        <v>0.16901136</v>
      </c>
      <c r="W1155" s="16" t="n">
        <f aca="false">T1155*L1155</f>
        <v>0.000585396968468741</v>
      </c>
      <c r="X1155" s="16" t="n">
        <f aca="false">U1155*L1155</f>
        <v>0</v>
      </c>
      <c r="Y1155" s="16" t="n">
        <f aca="false">V1155*L1155</f>
        <v>0.00121127370324516</v>
      </c>
      <c r="Z1155" s="16" t="n">
        <f aca="false">Q1155*L1155</f>
        <v>0.0010777228084963</v>
      </c>
      <c r="AA1155" s="16" t="n">
        <f aca="false">R1155*L1155</f>
        <v>0.00132214019744912</v>
      </c>
      <c r="AB1155" s="16" t="n">
        <f aca="false">S1155*L1155</f>
        <v>0.000854836793751606</v>
      </c>
      <c r="AC1155" s="16" t="n">
        <f aca="false">Z1155-W1155</f>
        <v>0.000492325840027555</v>
      </c>
      <c r="AD1155" s="16" t="n">
        <f aca="false">AA1155-W1155</f>
        <v>0.000736743228980377</v>
      </c>
      <c r="AE1155" s="16" t="n">
        <f aca="false">AB1155-W1155</f>
        <v>0.000269439825282865</v>
      </c>
      <c r="AF1155" s="16" t="n">
        <f aca="false">AE1155-X1155</f>
        <v>0.000269439825282865</v>
      </c>
      <c r="AG1155" s="16" t="n">
        <f aca="false">AF1155-p_spc_lo*Y1155/1000</f>
        <v>0.000208876140120607</v>
      </c>
      <c r="AH1155" s="16" t="n">
        <f aca="false">AF1155-p_spc_hi*Y1155/1000</f>
        <v>0.000148312454958349</v>
      </c>
      <c r="AI1155" s="16" t="n">
        <f aca="false">Q1155*J1155</f>
        <v>0.0044905117020679</v>
      </c>
      <c r="AJ1155" s="16" t="n">
        <f aca="false">S1155*J1155</f>
        <v>0.00356181997396503</v>
      </c>
      <c r="AK1155" s="16" t="n">
        <f aca="false">T1155*J1155</f>
        <v>0.00243915403528642</v>
      </c>
      <c r="AL1155" s="16" t="n">
        <f aca="false">U1155*J1155</f>
        <v>0</v>
      </c>
      <c r="AM1155" s="16" t="n">
        <f aca="false">AI1155-AJ1155</f>
        <v>0.000928691728102876</v>
      </c>
      <c r="AN1155" s="16" t="n">
        <f aca="false">J1155*Country_Data!$EB$169</f>
        <v>0.0342796444807917</v>
      </c>
      <c r="AO1155" s="16" t="n">
        <f aca="false">L1155*Country_Data!$EB$169</f>
        <v>0.00822711467539002</v>
      </c>
    </row>
    <row r="1156" customFormat="false" ht="15" hidden="false" customHeight="false" outlineLevel="0" collapsed="false">
      <c r="A1156" s="14" t="str">
        <f aca="false">Country_Data!$A$169</f>
        <v>ABW</v>
      </c>
      <c r="B1156" s="14" t="str">
        <f aca="false">Country_Data!$E$169</f>
        <v>EMDC</v>
      </c>
      <c r="C1156" s="35" t="s">
        <v>477</v>
      </c>
      <c r="D1156" s="37" t="n">
        <f aca="false">IF(Country_Data!$CB$169="","",Country_Data!$CB$169)</f>
        <v>0.00178630298556615</v>
      </c>
      <c r="E1156" s="40" t="n">
        <f aca="false">Country_Data!$BW$169</f>
        <v>5.579</v>
      </c>
      <c r="F1156" s="41" t="n">
        <f aca="false">Country_Data!$BX$169</f>
        <v>0.76805879189819</v>
      </c>
      <c r="G1156" s="42" t="n">
        <f aca="false">IF(D1156="","",D1156/SUMIFS($D$5:$D$1369,$B$5:$B$1369,B1156,$C$5:$C$1369,C1156))</f>
        <v>5.6327572428057E-005</v>
      </c>
      <c r="H1156" s="42" t="n">
        <f aca="false">E1156/SUMIFS($E$5:$E$1369,$B$5:$B$1369,B1156,$C$5:$C$1369,C1156)</f>
        <v>6.9105281692278E-005</v>
      </c>
      <c r="I1156" s="43" t="n">
        <f aca="false">IF(G1156="",H1156,p_beta_alloc*G1156+(1-p_beta_alloc)*H1156)*F1156^p_phi</f>
        <v>5.49640266041193E-005</v>
      </c>
      <c r="J1156" s="16" t="n">
        <f aca="false">INDEX(Sector_Params!$C$19:$E$19,MATCH(B1156,Sector_Params!$C$15:$E$15,0))*I1156/SUMIFS($I$5:$I$1369,$B$5:$B$1369,B1156,$C$5:$C$1369,C1156)</f>
        <v>0.0176908643182977</v>
      </c>
      <c r="K1156" s="28" t="n">
        <f aca="false">INDEX(Sector_Params!$F$8:$H$8,MATCH(B1156,Sector_Params!$C$15:$E$15,0))</f>
        <v>0.24</v>
      </c>
      <c r="L1156" s="16" t="n">
        <f aca="false">J1156*K1156</f>
        <v>0.00424580743639145</v>
      </c>
      <c r="M1156" s="44" t="n">
        <f aca="false">Country_Data!$DW$169+Sector_Params!$E$8</f>
        <v>0.105</v>
      </c>
      <c r="N1156" s="44" t="n">
        <f aca="false">Country_Data!$DX$169+Sector_Params!$E$8</f>
        <v>0.15</v>
      </c>
      <c r="O1156" s="11" t="n">
        <f aca="false">IF(p_use_ibrd=1,p_r_ibrd,p_r_wb)</f>
        <v>0.06</v>
      </c>
      <c r="P1156" s="45" t="n">
        <f aca="false">Sector_Params!$D$8</f>
        <v>25</v>
      </c>
      <c r="Q1156" s="46" t="n">
        <f aca="false">M1156/(1-(1+M1156)^-P1156)</f>
        <v>0.114429319813103</v>
      </c>
      <c r="R1156" s="46" t="n">
        <f aca="false">N1156/(1-(1+N1156)^-P1156)</f>
        <v>0.154699402320206</v>
      </c>
      <c r="S1156" s="46" t="n">
        <f aca="false">O1156/(1-(1+O1156)^-P1156)</f>
        <v>0.078226718212274</v>
      </c>
      <c r="T1156" s="37" t="n">
        <f aca="false">Country_Data!$CM$169*Sector_Params!$I$8</f>
        <v>0.467288631759336</v>
      </c>
      <c r="U1156" s="37" t="n">
        <f aca="false">Country_Data!$CN$169*Sector_Params!$J$8</f>
        <v>0.03225</v>
      </c>
      <c r="V1156" s="37" t="n">
        <f aca="false">p_a</f>
        <v>0.35</v>
      </c>
      <c r="W1156" s="16" t="n">
        <f aca="false">T1156*L1156</f>
        <v>0.00198401754766497</v>
      </c>
      <c r="X1156" s="16" t="n">
        <f aca="false">U1156*L1156</f>
        <v>0.000136927289823624</v>
      </c>
      <c r="Y1156" s="16" t="n">
        <f aca="false">V1156*L1156</f>
        <v>0.00148603260273701</v>
      </c>
      <c r="Z1156" s="16" t="n">
        <f aca="false">Q1156*L1156</f>
        <v>0.000485844857003689</v>
      </c>
      <c r="AA1156" s="16" t="n">
        <f aca="false">R1156*L1156</f>
        <v>0.000656823872776445</v>
      </c>
      <c r="AB1156" s="16" t="n">
        <f aca="false">S1156*L1156</f>
        <v>0.000332135581910171</v>
      </c>
      <c r="AC1156" s="16" t="n">
        <f aca="false">Z1156-W1156</f>
        <v>-0.00149817269066128</v>
      </c>
      <c r="AD1156" s="16" t="n">
        <f aca="false">AA1156-W1156</f>
        <v>-0.00132719367488853</v>
      </c>
      <c r="AE1156" s="16" t="n">
        <f aca="false">AB1156-W1156</f>
        <v>-0.0016518819657548</v>
      </c>
      <c r="AF1156" s="16" t="n">
        <f aca="false">AE1156-X1156</f>
        <v>-0.00178880925557842</v>
      </c>
      <c r="AG1156" s="16" t="n">
        <f aca="false">AF1156-p_spc_lo*Y1156/1000</f>
        <v>-0.00186311088571527</v>
      </c>
      <c r="AH1156" s="16" t="n">
        <f aca="false">AF1156-p_spc_hi*Y1156/1000</f>
        <v>-0.00193741251585213</v>
      </c>
      <c r="AI1156" s="16" t="n">
        <f aca="false">Q1156*J1156</f>
        <v>0.00202435357084871</v>
      </c>
      <c r="AJ1156" s="16" t="n">
        <f aca="false">S1156*J1156</f>
        <v>0.00138389825795905</v>
      </c>
      <c r="AK1156" s="16" t="n">
        <f aca="false">T1156*J1156</f>
        <v>0.00826673978193738</v>
      </c>
      <c r="AL1156" s="16" t="n">
        <f aca="false">U1156*J1156</f>
        <v>0.000570530374265101</v>
      </c>
      <c r="AM1156" s="16" t="n">
        <f aca="false">AI1156-AJ1156</f>
        <v>0.00064045531288966</v>
      </c>
      <c r="AN1156" s="16" t="n">
        <f aca="false">J1156*Country_Data!$EB$169</f>
        <v>0.0203081428749774</v>
      </c>
      <c r="AO1156" s="16" t="n">
        <f aca="false">L1156*Country_Data!$EB$169</f>
        <v>0.00487395428999457</v>
      </c>
    </row>
    <row r="1157" customFormat="false" ht="15" hidden="false" customHeight="false" outlineLevel="0" collapsed="false">
      <c r="A1157" s="14" t="str">
        <f aca="false">Country_Data!$A$169</f>
        <v>ABW</v>
      </c>
      <c r="B1157" s="14" t="str">
        <f aca="false">Country_Data!$E$169</f>
        <v>EMDC</v>
      </c>
      <c r="C1157" s="35" t="s">
        <v>481</v>
      </c>
      <c r="D1157" s="37" t="n">
        <f aca="false">IF(Country_Data!$CC$169="","",Country_Data!$CC$169)</f>
        <v>0.0123334041820641</v>
      </c>
      <c r="E1157" s="40" t="n">
        <f aca="false">Country_Data!$BW$169</f>
        <v>5.579</v>
      </c>
      <c r="F1157" s="41" t="n">
        <f aca="false">Country_Data!$BX$169</f>
        <v>0.76805879189819</v>
      </c>
      <c r="G1157" s="42" t="n">
        <f aca="false">IF(D1157="","",D1157/SUMIFS($D$5:$D$1369,$B$5:$B$1369,B1157,$C$5:$C$1369,C1157))</f>
        <v>0.000176173222859822</v>
      </c>
      <c r="H1157" s="42" t="n">
        <f aca="false">E1157/SUMIFS($E$5:$E$1369,$B$5:$B$1369,B1157,$C$5:$C$1369,C1157)</f>
        <v>6.9105281692278E-005</v>
      </c>
      <c r="I1157" s="43" t="n">
        <f aca="false">IF(G1157="",H1157,p_beta_alloc*G1157+(1-p_beta_alloc)*H1157)*F1157^p_phi</f>
        <v>0.000107479769508287</v>
      </c>
      <c r="J1157" s="16" t="n">
        <f aca="false">INDEX(Sector_Params!$C$20:$E$20,MATCH(B1157,Sector_Params!$C$15:$E$15,0))*I1157/SUMIFS($I$5:$I$1369,$B$5:$B$1369,B1157,$C$5:$C$1369,C1157)</f>
        <v>0.0196172223292196</v>
      </c>
      <c r="K1157" s="28" t="n">
        <f aca="false">INDEX(Sector_Params!$F$9:$H$9,MATCH(B1157,Sector_Params!$C$15:$E$15,0))</f>
        <v>0.24</v>
      </c>
      <c r="L1157" s="16" t="n">
        <f aca="false">J1157*K1157</f>
        <v>0.00470813335901269</v>
      </c>
      <c r="M1157" s="44" t="n">
        <f aca="false">Country_Data!$DW$169+Sector_Params!$E$9</f>
        <v>0.105</v>
      </c>
      <c r="N1157" s="44" t="n">
        <f aca="false">Country_Data!$DX$169+Sector_Params!$E$9</f>
        <v>0.15</v>
      </c>
      <c r="O1157" s="11" t="n">
        <f aca="false">IF(p_use_ibrd=1,p_r_ibrd,p_r_wb)</f>
        <v>0.06</v>
      </c>
      <c r="P1157" s="45" t="n">
        <f aca="false">Sector_Params!$D$9</f>
        <v>25</v>
      </c>
      <c r="Q1157" s="46" t="n">
        <f aca="false">M1157/(1-(1+M1157)^-P1157)</f>
        <v>0.114429319813103</v>
      </c>
      <c r="R1157" s="46" t="n">
        <f aca="false">N1157/(1-(1+N1157)^-P1157)</f>
        <v>0.154699402320206</v>
      </c>
      <c r="S1157" s="46" t="n">
        <f aca="false">O1157/(1-(1+O1157)^-P1157)</f>
        <v>0.078226718212274</v>
      </c>
      <c r="T1157" s="37" t="n">
        <f aca="false">Country_Data!$CM$169*Sector_Params!$I$9</f>
        <v>0.467288631759336</v>
      </c>
      <c r="U1157" s="37" t="n">
        <f aca="false">Country_Data!$CN$169*Sector_Params!$J$9</f>
        <v>0.03225</v>
      </c>
      <c r="V1157" s="37" t="n">
        <f aca="false">p_a</f>
        <v>0.35</v>
      </c>
      <c r="W1157" s="16" t="n">
        <f aca="false">T1157*L1157</f>
        <v>0.00220005719547353</v>
      </c>
      <c r="X1157" s="16" t="n">
        <f aca="false">U1157*L1157</f>
        <v>0.000151837300828159</v>
      </c>
      <c r="Y1157" s="16" t="n">
        <f aca="false">V1157*L1157</f>
        <v>0.00164784667565444</v>
      </c>
      <c r="Z1157" s="16" t="n">
        <f aca="false">Q1157*L1157</f>
        <v>0.000538748497861204</v>
      </c>
      <c r="AA1157" s="16" t="n">
        <f aca="false">R1157*L1157</f>
        <v>0.00072834541668309</v>
      </c>
      <c r="AB1157" s="16" t="n">
        <f aca="false">S1157*L1157</f>
        <v>0.000368301821581293</v>
      </c>
      <c r="AC1157" s="16" t="n">
        <f aca="false">Z1157-W1157</f>
        <v>-0.00166130869761232</v>
      </c>
      <c r="AD1157" s="16" t="n">
        <f aca="false">AA1157-W1157</f>
        <v>-0.00147171177879044</v>
      </c>
      <c r="AE1157" s="16" t="n">
        <f aca="false">AB1157-W1157</f>
        <v>-0.00183175537389223</v>
      </c>
      <c r="AF1157" s="16" t="n">
        <f aca="false">AE1157-X1157</f>
        <v>-0.00198359267472039</v>
      </c>
      <c r="AG1157" s="16" t="n">
        <f aca="false">AF1157-p_spc_lo*Y1157/1000</f>
        <v>-0.00206598500850311</v>
      </c>
      <c r="AH1157" s="16" t="n">
        <f aca="false">AF1157-p_spc_hi*Y1157/1000</f>
        <v>-0.00214837734228584</v>
      </c>
      <c r="AI1157" s="16" t="n">
        <f aca="false">Q1157*J1157</f>
        <v>0.00224478540775502</v>
      </c>
      <c r="AJ1157" s="16" t="n">
        <f aca="false">S1157*J1157</f>
        <v>0.00153459092325539</v>
      </c>
      <c r="AK1157" s="16" t="n">
        <f aca="false">T1157*J1157</f>
        <v>0.00916690498113969</v>
      </c>
      <c r="AL1157" s="16" t="n">
        <f aca="false">U1157*J1157</f>
        <v>0.000632655420117331</v>
      </c>
      <c r="AM1157" s="16" t="n">
        <f aca="false">AI1157-AJ1157</f>
        <v>0.000710194484499629</v>
      </c>
      <c r="AN1157" s="16" t="n">
        <f aca="false">J1157*Country_Data!$EB$169</f>
        <v>0.022519496317652</v>
      </c>
      <c r="AO1157" s="16" t="n">
        <f aca="false">L1157*Country_Data!$EB$169</f>
        <v>0.00540467911623649</v>
      </c>
    </row>
    <row r="1158" customFormat="false" ht="15" hidden="false" customHeight="false" outlineLevel="0" collapsed="false">
      <c r="A1158" s="14" t="str">
        <f aca="false">Country_Data!$A$169</f>
        <v>ABW</v>
      </c>
      <c r="B1158" s="14" t="str">
        <f aca="false">Country_Data!$E$169</f>
        <v>EMDC</v>
      </c>
      <c r="C1158" s="35" t="s">
        <v>484</v>
      </c>
      <c r="D1158" s="37" t="n">
        <f aca="false">IF(Country_Data!$CD$169="","",Country_Data!$CD$169)</f>
        <v>0.0152257274405795</v>
      </c>
      <c r="E1158" s="40" t="n">
        <f aca="false">Country_Data!$BW$169</f>
        <v>5.579</v>
      </c>
      <c r="F1158" s="41" t="n">
        <f aca="false">Country_Data!$BX$169</f>
        <v>0.76805879189819</v>
      </c>
      <c r="G1158" s="42" t="n">
        <f aca="false">IF(D1158="","",D1158/SUMIFS($D$5:$D$1369,$B$5:$B$1369,B1158,$C$5:$C$1369,C1158))</f>
        <v>8.50260242807269E-005</v>
      </c>
      <c r="H1158" s="42" t="n">
        <f aca="false">E1158/SUMIFS($E$5:$E$1369,$B$5:$B$1369,B1158,$C$5:$C$1369,C1158)</f>
        <v>6.9105281692278E-005</v>
      </c>
      <c r="I1158" s="43" t="n">
        <f aca="false">IF(G1158="",H1158,p_beta_alloc*G1158+(1-p_beta_alloc)*H1158)*F1158^p_phi</f>
        <v>6.75395394726529E-005</v>
      </c>
      <c r="J1158" s="16" t="n">
        <f aca="false">INDEX(Sector_Params!$C$21:$E$21,MATCH(B1158,Sector_Params!$C$15:$E$15,0))*I1158/SUMIFS($I$5:$I$1369,$B$5:$B$1369,B1158,$C$5:$C$1369,C1158)</f>
        <v>0.0149795827251475</v>
      </c>
      <c r="K1158" s="28" t="n">
        <f aca="false">INDEX(Sector_Params!$F$10:$H$10,MATCH(B1158,Sector_Params!$C$15:$E$15,0))</f>
        <v>0.24</v>
      </c>
      <c r="L1158" s="16" t="n">
        <f aca="false">J1158*K1158</f>
        <v>0.0035950998540354</v>
      </c>
      <c r="M1158" s="44" t="n">
        <f aca="false">Country_Data!$DW$169+Sector_Params!$E$10</f>
        <v>0.105</v>
      </c>
      <c r="N1158" s="44" t="n">
        <f aca="false">Country_Data!$DX$169+Sector_Params!$E$10</f>
        <v>0.15</v>
      </c>
      <c r="O1158" s="11" t="n">
        <f aca="false">IF(p_use_ibrd=1,p_r_ibrd,p_r_wb)</f>
        <v>0.06</v>
      </c>
      <c r="P1158" s="45" t="n">
        <f aca="false">Sector_Params!$D$10</f>
        <v>20</v>
      </c>
      <c r="Q1158" s="46" t="n">
        <f aca="false">M1158/(1-(1+M1158)^-P1158)</f>
        <v>0.121493265267016</v>
      </c>
      <c r="R1158" s="46" t="n">
        <f aca="false">N1158/(1-(1+N1158)^-P1158)</f>
        <v>0.159761470405744</v>
      </c>
      <c r="S1158" s="46" t="n">
        <f aca="false">O1158/(1-(1+O1158)^-P1158)</f>
        <v>0.0871845569768514</v>
      </c>
      <c r="T1158" s="37" t="n">
        <f aca="false">0*Sector_Params!$I$10</f>
        <v>0</v>
      </c>
      <c r="U1158" s="37" t="n">
        <f aca="false">0*Sector_Params!$J$10</f>
        <v>0</v>
      </c>
      <c r="V1158" s="37" t="n">
        <f aca="false">1000*p_r_wb/(1-(1+p_r_wb)^-Sector_Params!$D$10)/p_cpt_fuel</f>
        <v>0.871845569768514</v>
      </c>
      <c r="W1158" s="16" t="n">
        <f aca="false">T1158*L1158</f>
        <v>0</v>
      </c>
      <c r="X1158" s="16" t="n">
        <f aca="false">U1158*L1158</f>
        <v>0</v>
      </c>
      <c r="Y1158" s="16" t="n">
        <f aca="false">V1158*L1158</f>
        <v>0.00313437188061619</v>
      </c>
      <c r="Z1158" s="16" t="n">
        <f aca="false">Q1158*L1158</f>
        <v>0.000436780420227734</v>
      </c>
      <c r="AA1158" s="16" t="n">
        <f aca="false">R1158*L1158</f>
        <v>0.000574358438936171</v>
      </c>
      <c r="AB1158" s="16" t="n">
        <f aca="false">S1158*L1158</f>
        <v>0.000313437188061619</v>
      </c>
      <c r="AC1158" s="16" t="n">
        <f aca="false">Z1158-W1158</f>
        <v>0.000436780420227734</v>
      </c>
      <c r="AD1158" s="16" t="n">
        <f aca="false">AA1158-W1158</f>
        <v>0.000574358438936171</v>
      </c>
      <c r="AE1158" s="16" t="n">
        <f aca="false">AB1158-W1158</f>
        <v>0.000313437188061619</v>
      </c>
      <c r="AF1158" s="16" t="n">
        <f aca="false">AE1158-X1158</f>
        <v>0.000313437188061619</v>
      </c>
      <c r="AG1158" s="16" t="n">
        <f aca="false">AF1158-p_spc_lo*Y1158/1000</f>
        <v>0.00015671859403081</v>
      </c>
      <c r="AH1158" s="16" t="n">
        <f aca="false">AF1158-p_spc_hi*Y1158/1000</f>
        <v>0</v>
      </c>
      <c r="AI1158" s="16" t="n">
        <f aca="false">Q1158*J1158</f>
        <v>0.00181991841761556</v>
      </c>
      <c r="AJ1158" s="16" t="n">
        <f aca="false">S1158*J1158</f>
        <v>0.00130598828359008</v>
      </c>
      <c r="AK1158" s="16" t="n">
        <f aca="false">T1158*J1158</f>
        <v>0</v>
      </c>
      <c r="AL1158" s="16" t="n">
        <f aca="false">U1158*J1158</f>
        <v>0</v>
      </c>
      <c r="AM1158" s="16" t="n">
        <f aca="false">AI1158-AJ1158</f>
        <v>0.000513930134025477</v>
      </c>
      <c r="AN1158" s="16" t="n">
        <f aca="false">J1158*Country_Data!$EB$169</f>
        <v>0.0171957401694159</v>
      </c>
      <c r="AO1158" s="16" t="n">
        <f aca="false">L1158*Country_Data!$EB$169</f>
        <v>0.00412697764065981</v>
      </c>
    </row>
    <row r="1159" customFormat="false" ht="15" hidden="false" customHeight="false" outlineLevel="0" collapsed="false">
      <c r="A1159" s="14" t="str">
        <f aca="false">Country_Data!$A$169</f>
        <v>ABW</v>
      </c>
      <c r="B1159" s="14" t="str">
        <f aca="false">Country_Data!$E$169</f>
        <v>EMDC</v>
      </c>
      <c r="C1159" s="35" t="s">
        <v>488</v>
      </c>
      <c r="D1159" s="37" t="n">
        <f aca="false">IF(Country_Data!$CE$169="","",Country_Data!$CE$169)</f>
        <v>0.041</v>
      </c>
      <c r="E1159" s="40" t="n">
        <f aca="false">Country_Data!$BW$169</f>
        <v>5.579</v>
      </c>
      <c r="F1159" s="41" t="n">
        <f aca="false">Country_Data!$BX$169</f>
        <v>0.76805879189819</v>
      </c>
      <c r="G1159" s="42" t="n">
        <f aca="false">IF(D1159="","",D1159/SUMIFS($D$5:$D$1369,$B$5:$B$1369,B1159,$C$5:$C$1369,C1159))</f>
        <v>3.35952396364831E-006</v>
      </c>
      <c r="H1159" s="42" t="n">
        <f aca="false">E1159/SUMIFS($E$5:$E$1369,$B$5:$B$1369,B1159,$C$5:$C$1369,C1159)</f>
        <v>6.9105281692278E-005</v>
      </c>
      <c r="I1159" s="43" t="n">
        <f aca="false">IF(G1159="",H1159,p_beta_alloc*G1159+(1-p_beta_alloc)*H1159)*F1159^p_phi</f>
        <v>3.17537022805332E-005</v>
      </c>
      <c r="J1159" s="16" t="n">
        <f aca="false">INDEX(Sector_Params!$C$22:$E$22,MATCH(B1159,Sector_Params!$C$15:$E$15,0))*I1159/SUMIFS($I$5:$I$1369,$B$5:$B$1369,B1159,$C$5:$C$1369,C1159)</f>
        <v>0.0191413980917109</v>
      </c>
      <c r="K1159" s="28" t="n">
        <f aca="false">INDEX(Sector_Params!$F$11:$H$11,MATCH(B1159,Sector_Params!$C$15:$E$15,0))</f>
        <v>0.24</v>
      </c>
      <c r="L1159" s="16" t="n">
        <f aca="false">J1159*K1159</f>
        <v>0.00459393554201062</v>
      </c>
      <c r="M1159" s="44" t="n">
        <f aca="false">Country_Data!$DW$169+Sector_Params!$E$11</f>
        <v>0.105</v>
      </c>
      <c r="N1159" s="44" t="n">
        <f aca="false">Country_Data!$DX$169+Sector_Params!$E$11</f>
        <v>0.15</v>
      </c>
      <c r="O1159" s="11" t="n">
        <f aca="false">IF(p_use_ibrd=1,p_r_ibrd,p_r_wb)</f>
        <v>0.06</v>
      </c>
      <c r="P1159" s="45" t="n">
        <f aca="false">Sector_Params!$D$11</f>
        <v>30</v>
      </c>
      <c r="Q1159" s="46" t="n">
        <f aca="false">M1159/(1-(1+M1159)^-P1159)</f>
        <v>0.110528481529605</v>
      </c>
      <c r="R1159" s="46" t="n">
        <f aca="false">N1159/(1-(1+N1159)^-P1159)</f>
        <v>0.152300198192734</v>
      </c>
      <c r="S1159" s="46" t="n">
        <f aca="false">O1159/(1-(1+O1159)^-P1159)</f>
        <v>0.0726489114900472</v>
      </c>
      <c r="T1159" s="37" t="n">
        <f aca="false">0*Sector_Params!$I$11</f>
        <v>0</v>
      </c>
      <c r="U1159" s="37" t="n">
        <f aca="false">p_c*Sector_Params!$J$11</f>
        <v>0.129</v>
      </c>
      <c r="V1159" s="37" t="n">
        <f aca="false">1000*p_r_wb/(1-(1+p_r_wb)^-Sector_Params!$D$11)/p_cpt_afolu</f>
        <v>1.45297822980094</v>
      </c>
      <c r="W1159" s="16" t="n">
        <f aca="false">T1159*L1159</f>
        <v>0</v>
      </c>
      <c r="X1159" s="16" t="n">
        <f aca="false">U1159*L1159</f>
        <v>0.00059261768491937</v>
      </c>
      <c r="Y1159" s="16" t="n">
        <f aca="false">V1159*L1159</f>
        <v>0.00667488833165024</v>
      </c>
      <c r="Z1159" s="16" t="n">
        <f aca="false">Q1159*L1159</f>
        <v>0.000507760719703318</v>
      </c>
      <c r="AA1159" s="16" t="n">
        <f aca="false">R1159*L1159</f>
        <v>0.000699657293532864</v>
      </c>
      <c r="AB1159" s="16" t="n">
        <f aca="false">S1159*L1159</f>
        <v>0.000333744416582512</v>
      </c>
      <c r="AC1159" s="16" t="n">
        <f aca="false">Z1159-W1159</f>
        <v>0.000507760719703318</v>
      </c>
      <c r="AD1159" s="16" t="n">
        <f aca="false">AA1159-W1159</f>
        <v>0.000699657293532864</v>
      </c>
      <c r="AE1159" s="16" t="n">
        <f aca="false">AB1159-W1159</f>
        <v>0.000333744416582512</v>
      </c>
      <c r="AF1159" s="16" t="n">
        <f aca="false">AE1159-X1159</f>
        <v>-0.000258873268336859</v>
      </c>
      <c r="AG1159" s="16" t="n">
        <f aca="false">AF1159-p_spc_lo*Y1159/1000</f>
        <v>-0.00059261768491937</v>
      </c>
      <c r="AH1159" s="16" t="n">
        <f aca="false">AF1159-p_spc_hi*Y1159/1000</f>
        <v>-0.000926362101501882</v>
      </c>
      <c r="AI1159" s="16" t="n">
        <f aca="false">Q1159*J1159</f>
        <v>0.00211566966543049</v>
      </c>
      <c r="AJ1159" s="16" t="n">
        <f aca="false">S1159*J1159</f>
        <v>0.00139060173576047</v>
      </c>
      <c r="AK1159" s="16" t="n">
        <f aca="false">T1159*J1159</f>
        <v>0</v>
      </c>
      <c r="AL1159" s="16" t="n">
        <f aca="false">U1159*J1159</f>
        <v>0.00246924035383071</v>
      </c>
      <c r="AM1159" s="16" t="n">
        <f aca="false">AI1159-AJ1159</f>
        <v>0.000725067929670025</v>
      </c>
      <c r="AN1159" s="16" t="n">
        <f aca="false">J1159*Country_Data!$EB$169</f>
        <v>0.0219732761655531</v>
      </c>
      <c r="AO1159" s="16" t="n">
        <f aca="false">L1159*Country_Data!$EB$169</f>
        <v>0.00527358627973274</v>
      </c>
    </row>
    <row r="1160" customFormat="false" ht="15" hidden="false" customHeight="false" outlineLevel="0" collapsed="false">
      <c r="A1160" s="14" t="str">
        <f aca="false">Country_Data!$A$170</f>
        <v>DJI</v>
      </c>
      <c r="B1160" s="14" t="str">
        <f aca="false">Country_Data!$E$170</f>
        <v>EMDC</v>
      </c>
      <c r="C1160" s="35" t="s">
        <v>466</v>
      </c>
      <c r="D1160" s="37" t="n">
        <f aca="false">IF(Country_Data!$BZ$170="","",Country_Data!$BZ$170)</f>
        <v>0.672742551323688</v>
      </c>
      <c r="E1160" s="40" t="n">
        <f aca="false">Country_Data!$BW$170</f>
        <v>9.141</v>
      </c>
      <c r="F1160" s="41" t="n">
        <f aca="false">Country_Data!$BX$170</f>
        <v>0.454217262881523</v>
      </c>
      <c r="G1160" s="42" t="n">
        <f aca="false">IF(D1160="","",D1160/SUMIFS($D$5:$D$1369,$B$5:$B$1369,B1160,$C$5:$C$1369,C1160))</f>
        <v>7.68017262531603E-005</v>
      </c>
      <c r="H1160" s="42" t="n">
        <f aca="false">E1160/SUMIFS($E$5:$E$1369,$B$5:$B$1369,B1160,$C$5:$C$1369,C1160)</f>
        <v>0.000113226632003784</v>
      </c>
      <c r="I1160" s="43" t="n">
        <f aca="false">IF(G1160="",H1160,p_beta_alloc*G1160+(1-p_beta_alloc)*H1160)*F1160^p_phi</f>
        <v>6.40354164955673E-005</v>
      </c>
      <c r="J1160" s="16" t="n">
        <f aca="false">INDEX(Sector_Params!$C$16:$E$16,MATCH(B1160,Sector_Params!$C$15:$E$15,0))*I1160/SUMIFS($I$5:$I$1369,$B$5:$B$1369,B1160,$C$5:$C$1369,C1160)</f>
        <v>0.0619366782722887</v>
      </c>
      <c r="K1160" s="28" t="n">
        <f aca="false">INDEX(Sector_Params!$F$5:$H$5,MATCH(B1160,Sector_Params!$C$15:$E$15,0))</f>
        <v>0.24</v>
      </c>
      <c r="L1160" s="16" t="n">
        <f aca="false">J1160*K1160</f>
        <v>0.0148648027853493</v>
      </c>
      <c r="M1160" s="44" t="n">
        <f aca="false">Country_Data!$DW$170+Sector_Params!$E$5</f>
        <v>0.105</v>
      </c>
      <c r="N1160" s="44" t="n">
        <f aca="false">Country_Data!$DX$170+Sector_Params!$E$5</f>
        <v>0.15</v>
      </c>
      <c r="O1160" s="11" t="n">
        <f aca="false">IF(p_use_ibrd=1,p_r_ibrd,p_r_wb)</f>
        <v>0.06</v>
      </c>
      <c r="P1160" s="45" t="n">
        <f aca="false">Sector_Params!$D$5</f>
        <v>25</v>
      </c>
      <c r="Q1160" s="46" t="n">
        <f aca="false">M1160/(1-(1+M1160)^-P1160)</f>
        <v>0.114429319813103</v>
      </c>
      <c r="R1160" s="46" t="n">
        <f aca="false">N1160/(1-(1+N1160)^-P1160)</f>
        <v>0.154699402320206</v>
      </c>
      <c r="S1160" s="46" t="n">
        <f aca="false">O1160/(1-(1+O1160)^-P1160)</f>
        <v>0.078226718212274</v>
      </c>
      <c r="T1160" s="37" t="n">
        <f aca="false">IF(AND(p_eng=1,ISNUMBER(Country_Data!$CZ$170)),Country_Data!$CZ$170,Country_Data!$CM$170)*Sector_Params!$I$5</f>
        <v>0.206086564248608</v>
      </c>
      <c r="U1160" s="37" t="n">
        <f aca="false">IF(AND(p_eng=1,ISNUMBER(Country_Data!$DA$170)),Country_Data!$DA$170,Country_Data!$CN$170)*Sector_Params!$J$5</f>
        <v>-0.0698320973186626</v>
      </c>
      <c r="V1160" s="37" t="n">
        <f aca="false">IF(AND(p_eng=1,ISNUMBER(Country_Data!$DB$170)),Country_Data!$DB$170,p_a)</f>
        <v>1.2156671915608</v>
      </c>
      <c r="W1160" s="16" t="n">
        <f aca="false">T1160*L1160</f>
        <v>0.00306343613426577</v>
      </c>
      <c r="X1160" s="16" t="n">
        <f aca="false">U1160*L1160</f>
        <v>-0.00103804035472924</v>
      </c>
      <c r="Y1160" s="16" t="n">
        <f aca="false">V1160*L1160</f>
        <v>0.0180706530551707</v>
      </c>
      <c r="Z1160" s="16" t="n">
        <f aca="false">Q1160*L1160</f>
        <v>0.00170096927188344</v>
      </c>
      <c r="AA1160" s="16" t="n">
        <f aca="false">R1160*L1160</f>
        <v>0.00229957610650127</v>
      </c>
      <c r="AB1160" s="16" t="n">
        <f aca="false">S1160*L1160</f>
        <v>0.00116282473877054</v>
      </c>
      <c r="AC1160" s="16" t="n">
        <f aca="false">Z1160-W1160</f>
        <v>-0.00136246686238232</v>
      </c>
      <c r="AD1160" s="16" t="n">
        <f aca="false">AA1160-W1160</f>
        <v>-0.000763860027764492</v>
      </c>
      <c r="AE1160" s="16" t="n">
        <f aca="false">AB1160-W1160</f>
        <v>-0.00190061139549522</v>
      </c>
      <c r="AF1160" s="16" t="n">
        <f aca="false">AE1160-X1160</f>
        <v>-0.000862571040765985</v>
      </c>
      <c r="AG1160" s="16" t="n">
        <f aca="false">AF1160-p_spc_lo*Y1160/1000</f>
        <v>-0.00176610369352452</v>
      </c>
      <c r="AH1160" s="16" t="n">
        <f aca="false">AF1160-p_spc_hi*Y1160/1000</f>
        <v>-0.00266963634628306</v>
      </c>
      <c r="AI1160" s="16" t="n">
        <f aca="false">Q1160*J1160</f>
        <v>0.00708737196618101</v>
      </c>
      <c r="AJ1160" s="16" t="n">
        <f aca="false">S1160*J1160</f>
        <v>0.0048451030782106</v>
      </c>
      <c r="AK1160" s="16" t="n">
        <f aca="false">T1160*J1160</f>
        <v>0.0127643172261074</v>
      </c>
      <c r="AL1160" s="16" t="n">
        <f aca="false">U1160*J1160</f>
        <v>-0.00432516814470516</v>
      </c>
      <c r="AM1160" s="16" t="n">
        <f aca="false">AI1160-AJ1160</f>
        <v>0.00224226888797041</v>
      </c>
      <c r="AN1160" s="16" t="n">
        <f aca="false">J1160*Country_Data!$EB$170</f>
        <v>0.070869042757816</v>
      </c>
      <c r="AO1160" s="16" t="n">
        <f aca="false">L1160*Country_Data!$EB$170</f>
        <v>0.0170085702618758</v>
      </c>
    </row>
    <row r="1161" customFormat="false" ht="15" hidden="false" customHeight="false" outlineLevel="0" collapsed="false">
      <c r="A1161" s="14" t="str">
        <f aca="false">Country_Data!$A$170</f>
        <v>DJI</v>
      </c>
      <c r="B1161" s="14" t="str">
        <f aca="false">Country_Data!$E$170</f>
        <v>EMDC</v>
      </c>
      <c r="C1161" s="35" t="s">
        <v>470</v>
      </c>
      <c r="D1161" s="37" t="n">
        <f aca="false">IF(Country_Data!$BZ$170="","",Country_Data!$BZ$170)</f>
        <v>0.672742551323688</v>
      </c>
      <c r="E1161" s="40" t="n">
        <f aca="false">Country_Data!$BW$170</f>
        <v>9.141</v>
      </c>
      <c r="F1161" s="41" t="n">
        <f aca="false">Country_Data!$BX$170</f>
        <v>0.454217262881523</v>
      </c>
      <c r="G1161" s="42" t="n">
        <f aca="false">IF(D1161="","",D1161/SUMIFS($D$5:$D$1369,$B$5:$B$1369,B1161,$C$5:$C$1369,C1161))</f>
        <v>7.68017262531603E-005</v>
      </c>
      <c r="H1161" s="42" t="n">
        <f aca="false">E1161/SUMIFS($E$5:$E$1369,$B$5:$B$1369,B1161,$C$5:$C$1369,C1161)</f>
        <v>0.000113226632003784</v>
      </c>
      <c r="I1161" s="43" t="n">
        <f aca="false">IF(G1161="",H1161,p_beta_alloc*G1161+(1-p_beta_alloc)*H1161)*F1161^p_phi</f>
        <v>6.40354164955673E-005</v>
      </c>
      <c r="J1161" s="16" t="n">
        <f aca="false">INDEX(Sector_Params!$C$17:$E$17,MATCH(B1161,Sector_Params!$C$15:$E$15,0))*I1161/SUMIFS($I$5:$I$1369,$B$5:$B$1369,B1161,$C$5:$C$1369,C1161)</f>
        <v>0.042470865100998</v>
      </c>
      <c r="K1161" s="28" t="n">
        <f aca="false">INDEX(Sector_Params!$F$6:$H$6,MATCH(B1161,Sector_Params!$C$15:$E$15,0))</f>
        <v>0.24</v>
      </c>
      <c r="L1161" s="16" t="n">
        <f aca="false">J1161*K1161</f>
        <v>0.0101930076242395</v>
      </c>
      <c r="M1161" s="44" t="n">
        <f aca="false">Country_Data!$DW$170+Sector_Params!$E$6</f>
        <v>0.105</v>
      </c>
      <c r="N1161" s="44" t="n">
        <f aca="false">Country_Data!$DX$170+Sector_Params!$E$6</f>
        <v>0.15</v>
      </c>
      <c r="O1161" s="11" t="n">
        <f aca="false">IF(p_use_ibrd=1,p_r_ibrd,p_r_wb)</f>
        <v>0.06</v>
      </c>
      <c r="P1161" s="45" t="n">
        <f aca="false">Sector_Params!$D$6</f>
        <v>40</v>
      </c>
      <c r="Q1161" s="46" t="n">
        <f aca="false">M1161/(1-(1+M1161)^-P1161)</f>
        <v>0.10697140835497</v>
      </c>
      <c r="R1161" s="46" t="n">
        <f aca="false">N1161/(1-(1+N1161)^-P1161)</f>
        <v>0.150562085013545</v>
      </c>
      <c r="S1161" s="46" t="n">
        <f aca="false">O1161/(1-(1+O1161)^-P1161)</f>
        <v>0.0664615359206755</v>
      </c>
      <c r="T1161" s="37" t="n">
        <f aca="false">p_grid_credit*IF(AND(p_eng=1,ISNUMBER(Country_Data!$CZ$170)),Country_Data!$CZ$170,Country_Data!$CM$170)*Sector_Params!$I$6</f>
        <v>0</v>
      </c>
      <c r="U1161" s="37" t="n">
        <f aca="false">p_grid_credit*IF(AND(p_eng=1,ISNUMBER(Country_Data!$DA$170)),Country_Data!$DA$170,Country_Data!$CN$170)*Sector_Params!$J$6</f>
        <v>-0</v>
      </c>
      <c r="V1161" s="37" t="n">
        <f aca="false">p_grid_credit*IF(AND(p_eng=1,ISNUMBER(Country_Data!$DB$170)),Country_Data!$DB$170,p_a)</f>
        <v>0</v>
      </c>
      <c r="W1161" s="16" t="n">
        <f aca="false">T1161*L1161</f>
        <v>0</v>
      </c>
      <c r="X1161" s="16" t="n">
        <f aca="false">U1161*L1161</f>
        <v>-0</v>
      </c>
      <c r="Y1161" s="16" t="n">
        <f aca="false">V1161*L1161</f>
        <v>0</v>
      </c>
      <c r="Z1161" s="16" t="n">
        <f aca="false">Q1161*L1161</f>
        <v>0.00109036038093785</v>
      </c>
      <c r="AA1161" s="16" t="n">
        <f aca="false">R1161*L1161</f>
        <v>0.00153468048046446</v>
      </c>
      <c r="AB1161" s="16" t="n">
        <f aca="false">S1161*L1161</f>
        <v>0.000677442942358113</v>
      </c>
      <c r="AC1161" s="16" t="n">
        <f aca="false">Z1161-W1161</f>
        <v>0.00109036038093785</v>
      </c>
      <c r="AD1161" s="16" t="n">
        <f aca="false">AA1161-W1161</f>
        <v>0.00153468048046446</v>
      </c>
      <c r="AE1161" s="16" t="n">
        <f aca="false">AB1161-W1161</f>
        <v>0.000677442942358113</v>
      </c>
      <c r="AF1161" s="16" t="n">
        <f aca="false">AE1161-X1161</f>
        <v>0.000677442942358113</v>
      </c>
      <c r="AG1161" s="16" t="n">
        <f aca="false">AF1161-p_spc_lo*Y1161/1000</f>
        <v>0.000677442942358113</v>
      </c>
      <c r="AH1161" s="16" t="n">
        <f aca="false">AF1161-p_spc_hi*Y1161/1000</f>
        <v>0.000677442942358113</v>
      </c>
      <c r="AI1161" s="16" t="n">
        <f aca="false">Q1161*J1161</f>
        <v>0.00454316825390771</v>
      </c>
      <c r="AJ1161" s="16" t="n">
        <f aca="false">S1161*J1161</f>
        <v>0.00282267892649214</v>
      </c>
      <c r="AK1161" s="16" t="n">
        <f aca="false">T1161*J1161</f>
        <v>0</v>
      </c>
      <c r="AL1161" s="16" t="n">
        <f aca="false">U1161*J1161</f>
        <v>-0</v>
      </c>
      <c r="AM1161" s="16" t="n">
        <f aca="false">AI1161-AJ1161</f>
        <v>0.00172048932741557</v>
      </c>
      <c r="AN1161" s="16" t="n">
        <f aca="false">J1161*Country_Data!$EB$170</f>
        <v>0.048595915033931</v>
      </c>
      <c r="AO1161" s="16" t="n">
        <f aca="false">L1161*Country_Data!$EB$170</f>
        <v>0.0116630196081434</v>
      </c>
    </row>
    <row r="1162" customFormat="false" ht="15" hidden="false" customHeight="false" outlineLevel="0" collapsed="false">
      <c r="A1162" s="14" t="str">
        <f aca="false">Country_Data!$A$170</f>
        <v>DJI</v>
      </c>
      <c r="B1162" s="14" t="str">
        <f aca="false">Country_Data!$E$170</f>
        <v>EMDC</v>
      </c>
      <c r="C1162" s="35" t="s">
        <v>473</v>
      </c>
      <c r="D1162" s="37" t="n">
        <f aca="false">IF(Country_Data!$CA$170="","",Country_Data!$CA$170)</f>
        <v>0.0025269276571901</v>
      </c>
      <c r="E1162" s="40" t="n">
        <f aca="false">Country_Data!$BW$170</f>
        <v>9.141</v>
      </c>
      <c r="F1162" s="41" t="n">
        <f aca="false">Country_Data!$BX$170</f>
        <v>0.454217262881523</v>
      </c>
      <c r="G1162" s="42" t="n">
        <f aca="false">IF(D1162="","",D1162/SUMIFS($D$5:$D$1369,$B$5:$B$1369,B1162,$C$5:$C$1369,C1162))</f>
        <v>5.83779083200851E-005</v>
      </c>
      <c r="H1162" s="42" t="n">
        <f aca="false">E1162/SUMIFS($E$5:$E$1369,$B$5:$B$1369,B1162,$C$5:$C$1369,C1162)</f>
        <v>0.000113226632003784</v>
      </c>
      <c r="I1162" s="43" t="n">
        <f aca="false">IF(G1162="",H1162,p_beta_alloc*G1162+(1-p_beta_alloc)*H1162)*F1162^p_phi</f>
        <v>5.78269912604887E-005</v>
      </c>
      <c r="J1162" s="16" t="n">
        <f aca="false">INDEX(Sector_Params!$C$18:$E$18,MATCH(B1162,Sector_Params!$C$15:$E$15,0))*I1162/SUMIFS($I$5:$I$1369,$B$5:$B$1369,B1162,$C$5:$C$1369,C1162)</f>
        <v>0.0236787846643362</v>
      </c>
      <c r="K1162" s="28" t="n">
        <f aca="false">INDEX(Sector_Params!$F$7:$H$7,MATCH(B1162,Sector_Params!$C$15:$E$15,0))</f>
        <v>0.24</v>
      </c>
      <c r="L1162" s="16" t="n">
        <f aca="false">J1162*K1162</f>
        <v>0.00568290831944068</v>
      </c>
      <c r="M1162" s="44" t="n">
        <f aca="false">Country_Data!$DW$170+Sector_Params!$E$7</f>
        <v>0.105</v>
      </c>
      <c r="N1162" s="44" t="n">
        <f aca="false">Country_Data!$DX$170+Sector_Params!$E$7</f>
        <v>0.15</v>
      </c>
      <c r="O1162" s="11" t="n">
        <f aca="false">IF(p_use_ibrd=1,p_r_ibrd,p_r_wb)</f>
        <v>0.06</v>
      </c>
      <c r="P1162" s="45" t="n">
        <f aca="false">Sector_Params!$D$7</f>
        <v>12</v>
      </c>
      <c r="Q1162" s="46" t="n">
        <f aca="false">M1162/(1-(1+M1162)^-P1162)</f>
        <v>0.150376745634766</v>
      </c>
      <c r="R1162" s="46" t="n">
        <f aca="false">N1162/(1-(1+N1162)^-P1162)</f>
        <v>0.18448077613084</v>
      </c>
      <c r="S1162" s="46" t="n">
        <f aca="false">O1162/(1-(1+O1162)^-P1162)</f>
        <v>0.119277029380664</v>
      </c>
      <c r="T1162" s="37" t="n">
        <f aca="false">IF(AND(p_eng=1,ISNUMBER(Country_Data!$DE$170)),Country_Data!$DE$170,Country_Data!$CM$170)*Sector_Params!$I$7</f>
        <v>0.06982938</v>
      </c>
      <c r="U1162" s="37" t="n">
        <f aca="false">IF(AND(p_eng=1,ISNUMBER(Country_Data!$DF$170)),Country_Data!$DF$170,Country_Data!$CN$170)*Sector_Params!$J$7</f>
        <v>0.000442575</v>
      </c>
      <c r="V1162" s="37" t="n">
        <f aca="false">IF(AND(p_eng=1,ISNUMBER(Country_Data!$DG$170)),Country_Data!$DG$170,p_a)</f>
        <v>0.2480058</v>
      </c>
      <c r="W1162" s="16" t="n">
        <f aca="false">T1162*L1162</f>
        <v>0.000396833964543385</v>
      </c>
      <c r="X1162" s="16" t="n">
        <f aca="false">U1162*L1162</f>
        <v>2.51511314947646E-006</v>
      </c>
      <c r="Y1162" s="16" t="n">
        <f aca="false">V1162*L1162</f>
        <v>0.00140939422408954</v>
      </c>
      <c r="Z1162" s="16" t="n">
        <f aca="false">Q1162*L1162</f>
        <v>0.000854577258818226</v>
      </c>
      <c r="AA1162" s="16" t="n">
        <f aca="false">R1162*L1162</f>
        <v>0.00104838733745082</v>
      </c>
      <c r="AB1162" s="16" t="n">
        <f aca="false">S1162*L1162</f>
        <v>0.000677840422585544</v>
      </c>
      <c r="AC1162" s="16" t="n">
        <f aca="false">Z1162-W1162</f>
        <v>0.000457743294274841</v>
      </c>
      <c r="AD1162" s="16" t="n">
        <f aca="false">AA1162-W1162</f>
        <v>0.000651553372907437</v>
      </c>
      <c r="AE1162" s="16" t="n">
        <f aca="false">AB1162-W1162</f>
        <v>0.000281006458042159</v>
      </c>
      <c r="AF1162" s="16" t="n">
        <f aca="false">AE1162-X1162</f>
        <v>0.000278491344892682</v>
      </c>
      <c r="AG1162" s="16" t="n">
        <f aca="false">AF1162-p_spc_lo*Y1162/1000</f>
        <v>0.000208021633688205</v>
      </c>
      <c r="AH1162" s="16" t="n">
        <f aca="false">AF1162-p_spc_hi*Y1162/1000</f>
        <v>0.000137551922483728</v>
      </c>
      <c r="AI1162" s="16" t="n">
        <f aca="false">Q1162*J1162</f>
        <v>0.00356073857840927</v>
      </c>
      <c r="AJ1162" s="16" t="n">
        <f aca="false">S1162*J1162</f>
        <v>0.00282433509410643</v>
      </c>
      <c r="AK1162" s="16" t="n">
        <f aca="false">T1162*J1162</f>
        <v>0.0016534748522641</v>
      </c>
      <c r="AL1162" s="16" t="n">
        <f aca="false">U1162*J1162</f>
        <v>1.04796381228186E-005</v>
      </c>
      <c r="AM1162" s="16" t="n">
        <f aca="false">AI1162-AJ1162</f>
        <v>0.000736403484302841</v>
      </c>
      <c r="AN1162" s="16" t="n">
        <f aca="false">J1162*Country_Data!$EB$170</f>
        <v>0.0270936842213697</v>
      </c>
      <c r="AO1162" s="16" t="n">
        <f aca="false">L1162*Country_Data!$EB$170</f>
        <v>0.00650248421312873</v>
      </c>
    </row>
    <row r="1163" customFormat="false" ht="15" hidden="false" customHeight="false" outlineLevel="0" collapsed="false">
      <c r="A1163" s="14" t="str">
        <f aca="false">Country_Data!$A$170</f>
        <v>DJI</v>
      </c>
      <c r="B1163" s="14" t="str">
        <f aca="false">Country_Data!$E$170</f>
        <v>EMDC</v>
      </c>
      <c r="C1163" s="35" t="s">
        <v>477</v>
      </c>
      <c r="D1163" s="37" t="n">
        <f aca="false">IF(Country_Data!$CB$170="","",Country_Data!$CB$170)</f>
        <v>0.0025489050170305</v>
      </c>
      <c r="E1163" s="40" t="n">
        <f aca="false">Country_Data!$BW$170</f>
        <v>9.141</v>
      </c>
      <c r="F1163" s="41" t="n">
        <f aca="false">Country_Data!$BX$170</f>
        <v>0.454217262881523</v>
      </c>
      <c r="G1163" s="42" t="n">
        <f aca="false">IF(D1163="","",D1163/SUMIFS($D$5:$D$1369,$B$5:$B$1369,B1163,$C$5:$C$1369,C1163))</f>
        <v>8.03747366035551E-005</v>
      </c>
      <c r="H1163" s="42" t="n">
        <f aca="false">E1163/SUMIFS($E$5:$E$1369,$B$5:$B$1369,B1163,$C$5:$C$1369,C1163)</f>
        <v>0.000113226632003784</v>
      </c>
      <c r="I1163" s="43" t="n">
        <f aca="false">IF(G1163="",H1163,p_beta_alloc*G1163+(1-p_beta_alloc)*H1163)*F1163^p_phi</f>
        <v>6.5239443136797E-005</v>
      </c>
      <c r="J1163" s="16" t="n">
        <f aca="false">INDEX(Sector_Params!$C$19:$E$19,MATCH(B1163,Sector_Params!$C$15:$E$15,0))*I1163/SUMIFS($I$5:$I$1369,$B$5:$B$1369,B1163,$C$5:$C$1369,C1163)</f>
        <v>0.0209981365638863</v>
      </c>
      <c r="K1163" s="28" t="n">
        <f aca="false">INDEX(Sector_Params!$F$8:$H$8,MATCH(B1163,Sector_Params!$C$15:$E$15,0))</f>
        <v>0.24</v>
      </c>
      <c r="L1163" s="16" t="n">
        <f aca="false">J1163*K1163</f>
        <v>0.0050395527753327</v>
      </c>
      <c r="M1163" s="44" t="n">
        <f aca="false">Country_Data!$DW$170+Sector_Params!$E$8</f>
        <v>0.105</v>
      </c>
      <c r="N1163" s="44" t="n">
        <f aca="false">Country_Data!$DX$170+Sector_Params!$E$8</f>
        <v>0.15</v>
      </c>
      <c r="O1163" s="11" t="n">
        <f aca="false">IF(p_use_ibrd=1,p_r_ibrd,p_r_wb)</f>
        <v>0.06</v>
      </c>
      <c r="P1163" s="45" t="n">
        <f aca="false">Sector_Params!$D$8</f>
        <v>25</v>
      </c>
      <c r="Q1163" s="46" t="n">
        <f aca="false">M1163/(1-(1+M1163)^-P1163)</f>
        <v>0.114429319813103</v>
      </c>
      <c r="R1163" s="46" t="n">
        <f aca="false">N1163/(1-(1+N1163)^-P1163)</f>
        <v>0.154699402320206</v>
      </c>
      <c r="S1163" s="46" t="n">
        <f aca="false">O1163/(1-(1+O1163)^-P1163)</f>
        <v>0.078226718212274</v>
      </c>
      <c r="T1163" s="37" t="n">
        <f aca="false">Country_Data!$CM$170*Sector_Params!$I$8</f>
        <v>0.108361261227924</v>
      </c>
      <c r="U1163" s="37" t="n">
        <f aca="false">Country_Data!$CN$170*Sector_Params!$J$8</f>
        <v>0.03225</v>
      </c>
      <c r="V1163" s="37" t="n">
        <f aca="false">p_a</f>
        <v>0.35</v>
      </c>
      <c r="W1163" s="16" t="n">
        <f aca="false">T1163*L1163</f>
        <v>0.000546092294759735</v>
      </c>
      <c r="X1163" s="16" t="n">
        <f aca="false">U1163*L1163</f>
        <v>0.00016252557700448</v>
      </c>
      <c r="Y1163" s="16" t="n">
        <f aca="false">V1163*L1163</f>
        <v>0.00176384347136645</v>
      </c>
      <c r="Z1163" s="16" t="n">
        <f aca="false">Q1163*L1163</f>
        <v>0.000576672596243558</v>
      </c>
      <c r="AA1163" s="16" t="n">
        <f aca="false">R1163*L1163</f>
        <v>0.000779615802305107</v>
      </c>
      <c r="AB1163" s="16" t="n">
        <f aca="false">S1163*L1163</f>
        <v>0.000394227674871834</v>
      </c>
      <c r="AC1163" s="16" t="n">
        <f aca="false">Z1163-W1163</f>
        <v>3.05803014838234E-005</v>
      </c>
      <c r="AD1163" s="16" t="n">
        <f aca="false">AA1163-W1163</f>
        <v>0.000233523507545372</v>
      </c>
      <c r="AE1163" s="16" t="n">
        <f aca="false">AB1163-W1163</f>
        <v>-0.0001518646198879</v>
      </c>
      <c r="AF1163" s="16" t="n">
        <f aca="false">AE1163-X1163</f>
        <v>-0.00031439019689238</v>
      </c>
      <c r="AG1163" s="16" t="n">
        <f aca="false">AF1163-p_spc_lo*Y1163/1000</f>
        <v>-0.000402582370460702</v>
      </c>
      <c r="AH1163" s="16" t="n">
        <f aca="false">AF1163-p_spc_hi*Y1163/1000</f>
        <v>-0.000490774544029025</v>
      </c>
      <c r="AI1163" s="16" t="n">
        <f aca="false">Q1163*J1163</f>
        <v>0.00240280248434816</v>
      </c>
      <c r="AJ1163" s="16" t="n">
        <f aca="false">S1163*J1163</f>
        <v>0.00164261531196598</v>
      </c>
      <c r="AK1163" s="16" t="n">
        <f aca="false">T1163*J1163</f>
        <v>0.0022753845614989</v>
      </c>
      <c r="AL1163" s="16" t="n">
        <f aca="false">U1163*J1163</f>
        <v>0.000677189904185332</v>
      </c>
      <c r="AM1163" s="16" t="n">
        <f aca="false">AI1163-AJ1163</f>
        <v>0.000760187172382183</v>
      </c>
      <c r="AN1163" s="16" t="n">
        <f aca="false">J1163*Country_Data!$EB$170</f>
        <v>0.0240264392520114</v>
      </c>
      <c r="AO1163" s="16" t="n">
        <f aca="false">L1163*Country_Data!$EB$170</f>
        <v>0.00576634542048273</v>
      </c>
    </row>
    <row r="1164" customFormat="false" ht="15" hidden="false" customHeight="false" outlineLevel="0" collapsed="false">
      <c r="A1164" s="14" t="str">
        <f aca="false">Country_Data!$A$170</f>
        <v>DJI</v>
      </c>
      <c r="B1164" s="14" t="str">
        <f aca="false">Country_Data!$E$170</f>
        <v>EMDC</v>
      </c>
      <c r="C1164" s="35" t="s">
        <v>481</v>
      </c>
      <c r="D1164" s="37" t="n">
        <f aca="false">IF(Country_Data!$CC$170="","",Country_Data!$CC$170)</f>
        <v>0.00285324715825202</v>
      </c>
      <c r="E1164" s="40" t="n">
        <f aca="false">Country_Data!$BW$170</f>
        <v>9.141</v>
      </c>
      <c r="F1164" s="41" t="n">
        <f aca="false">Country_Data!$BX$170</f>
        <v>0.454217262881523</v>
      </c>
      <c r="G1164" s="42" t="n">
        <f aca="false">IF(D1164="","",D1164/SUMIFS($D$5:$D$1369,$B$5:$B$1369,B1164,$C$5:$C$1369,C1164))</f>
        <v>4.0756448103427E-005</v>
      </c>
      <c r="H1164" s="42" t="n">
        <f aca="false">E1164/SUMIFS($E$5:$E$1369,$B$5:$B$1369,B1164,$C$5:$C$1369,C1164)</f>
        <v>0.000113226632003784</v>
      </c>
      <c r="I1164" s="43" t="n">
        <f aca="false">IF(G1164="",H1164,p_beta_alloc*G1164+(1-p_beta_alloc)*H1164)*F1164^p_phi</f>
        <v>5.18889430944986E-005</v>
      </c>
      <c r="J1164" s="16" t="n">
        <f aca="false">INDEX(Sector_Params!$C$20:$E$20,MATCH(B1164,Sector_Params!$C$15:$E$15,0))*I1164/SUMIFS($I$5:$I$1369,$B$5:$B$1369,B1164,$C$5:$C$1369,C1164)</f>
        <v>0.00947077703804078</v>
      </c>
      <c r="K1164" s="28" t="n">
        <f aca="false">INDEX(Sector_Params!$F$9:$H$9,MATCH(B1164,Sector_Params!$C$15:$E$15,0))</f>
        <v>0.24</v>
      </c>
      <c r="L1164" s="16" t="n">
        <f aca="false">J1164*K1164</f>
        <v>0.00227298648912979</v>
      </c>
      <c r="M1164" s="44" t="n">
        <f aca="false">Country_Data!$DW$170+Sector_Params!$E$9</f>
        <v>0.105</v>
      </c>
      <c r="N1164" s="44" t="n">
        <f aca="false">Country_Data!$DX$170+Sector_Params!$E$9</f>
        <v>0.15</v>
      </c>
      <c r="O1164" s="11" t="n">
        <f aca="false">IF(p_use_ibrd=1,p_r_ibrd,p_r_wb)</f>
        <v>0.06</v>
      </c>
      <c r="P1164" s="45" t="n">
        <f aca="false">Sector_Params!$D$9</f>
        <v>25</v>
      </c>
      <c r="Q1164" s="46" t="n">
        <f aca="false">M1164/(1-(1+M1164)^-P1164)</f>
        <v>0.114429319813103</v>
      </c>
      <c r="R1164" s="46" t="n">
        <f aca="false">N1164/(1-(1+N1164)^-P1164)</f>
        <v>0.154699402320206</v>
      </c>
      <c r="S1164" s="46" t="n">
        <f aca="false">O1164/(1-(1+O1164)^-P1164)</f>
        <v>0.078226718212274</v>
      </c>
      <c r="T1164" s="37" t="n">
        <f aca="false">Country_Data!$CM$170*Sector_Params!$I$9</f>
        <v>0.108361261227924</v>
      </c>
      <c r="U1164" s="37" t="n">
        <f aca="false">Country_Data!$CN$170*Sector_Params!$J$9</f>
        <v>0.03225</v>
      </c>
      <c r="V1164" s="37" t="n">
        <f aca="false">p_a</f>
        <v>0.35</v>
      </c>
      <c r="W1164" s="16" t="n">
        <f aca="false">T1164*L1164</f>
        <v>0.000246303682716134</v>
      </c>
      <c r="X1164" s="16" t="n">
        <f aca="false">U1164*L1164</f>
        <v>7.33038142744356E-005</v>
      </c>
      <c r="Y1164" s="16" t="n">
        <f aca="false">V1164*L1164</f>
        <v>0.000795545271195426</v>
      </c>
      <c r="Z1164" s="16" t="n">
        <f aca="false">Q1164*L1164</f>
        <v>0.000260096297895495</v>
      </c>
      <c r="AA1164" s="16" t="n">
        <f aca="false">R1164*L1164</f>
        <v>0.000351629651350283</v>
      </c>
      <c r="AB1164" s="16" t="n">
        <f aca="false">S1164*L1164</f>
        <v>0.000177808273585462</v>
      </c>
      <c r="AC1164" s="16" t="n">
        <f aca="false">Z1164-W1164</f>
        <v>1.37926151793613E-005</v>
      </c>
      <c r="AD1164" s="16" t="n">
        <f aca="false">AA1164-W1164</f>
        <v>0.000105325968634148</v>
      </c>
      <c r="AE1164" s="16" t="n">
        <f aca="false">AB1164-W1164</f>
        <v>-6.84954091306723E-005</v>
      </c>
      <c r="AF1164" s="16" t="n">
        <f aca="false">AE1164-X1164</f>
        <v>-0.000141799223405108</v>
      </c>
      <c r="AG1164" s="16" t="n">
        <f aca="false">AF1164-p_spc_lo*Y1164/1000</f>
        <v>-0.000181576486964879</v>
      </c>
      <c r="AH1164" s="16" t="n">
        <f aca="false">AF1164-p_spc_hi*Y1164/1000</f>
        <v>-0.000221353750524651</v>
      </c>
      <c r="AI1164" s="16" t="n">
        <f aca="false">Q1164*J1164</f>
        <v>0.00108373457456456</v>
      </c>
      <c r="AJ1164" s="16" t="n">
        <f aca="false">S1164*J1164</f>
        <v>0.000740867806606091</v>
      </c>
      <c r="AK1164" s="16" t="n">
        <f aca="false">T1164*J1164</f>
        <v>0.00102626534465056</v>
      </c>
      <c r="AL1164" s="16" t="n">
        <f aca="false">U1164*J1164</f>
        <v>0.000305432559476815</v>
      </c>
      <c r="AM1164" s="16" t="n">
        <f aca="false">AI1164-AJ1164</f>
        <v>0.000342866767958473</v>
      </c>
      <c r="AN1164" s="16" t="n">
        <f aca="false">J1164*Country_Data!$EB$170</f>
        <v>0.0108366305972684</v>
      </c>
      <c r="AO1164" s="16" t="n">
        <f aca="false">L1164*Country_Data!$EB$170</f>
        <v>0.00260079134334442</v>
      </c>
    </row>
    <row r="1165" customFormat="false" ht="15" hidden="false" customHeight="false" outlineLevel="0" collapsed="false">
      <c r="A1165" s="14" t="str">
        <f aca="false">Country_Data!$A$170</f>
        <v>DJI</v>
      </c>
      <c r="B1165" s="14" t="str">
        <f aca="false">Country_Data!$E$170</f>
        <v>EMDC</v>
      </c>
      <c r="C1165" s="35" t="s">
        <v>484</v>
      </c>
      <c r="D1165" s="37" t="n">
        <f aca="false">IF(Country_Data!$CD$170="","",Country_Data!$CD$170)</f>
        <v>0.00550720664770733</v>
      </c>
      <c r="E1165" s="40" t="n">
        <f aca="false">Country_Data!$BW$170</f>
        <v>9.141</v>
      </c>
      <c r="F1165" s="41" t="n">
        <f aca="false">Country_Data!$BX$170</f>
        <v>0.454217262881523</v>
      </c>
      <c r="G1165" s="42" t="n">
        <f aca="false">IF(D1165="","",D1165/SUMIFS($D$5:$D$1369,$B$5:$B$1369,B1165,$C$5:$C$1369,C1165))</f>
        <v>3.07542538098344E-005</v>
      </c>
      <c r="H1165" s="42" t="n">
        <f aca="false">E1165/SUMIFS($E$5:$E$1369,$B$5:$B$1369,B1165,$C$5:$C$1369,C1165)</f>
        <v>0.000113226632003784</v>
      </c>
      <c r="I1165" s="43" t="n">
        <f aca="false">IF(G1165="",H1165,p_beta_alloc*G1165+(1-p_beta_alloc)*H1165)*F1165^p_phi</f>
        <v>4.8518421540059E-005</v>
      </c>
      <c r="J1165" s="16" t="n">
        <f aca="false">INDEX(Sector_Params!$C$21:$E$21,MATCH(B1165,Sector_Params!$C$15:$E$15,0))*I1165/SUMIFS($I$5:$I$1369,$B$5:$B$1369,B1165,$C$5:$C$1369,C1165)</f>
        <v>0.0107608922836551</v>
      </c>
      <c r="K1165" s="28" t="n">
        <f aca="false">INDEX(Sector_Params!$F$10:$H$10,MATCH(B1165,Sector_Params!$C$15:$E$15,0))</f>
        <v>0.24</v>
      </c>
      <c r="L1165" s="16" t="n">
        <f aca="false">J1165*K1165</f>
        <v>0.00258261414807723</v>
      </c>
      <c r="M1165" s="44" t="n">
        <f aca="false">Country_Data!$DW$170+Sector_Params!$E$10</f>
        <v>0.105</v>
      </c>
      <c r="N1165" s="44" t="n">
        <f aca="false">Country_Data!$DX$170+Sector_Params!$E$10</f>
        <v>0.15</v>
      </c>
      <c r="O1165" s="11" t="n">
        <f aca="false">IF(p_use_ibrd=1,p_r_ibrd,p_r_wb)</f>
        <v>0.06</v>
      </c>
      <c r="P1165" s="45" t="n">
        <f aca="false">Sector_Params!$D$10</f>
        <v>20</v>
      </c>
      <c r="Q1165" s="46" t="n">
        <f aca="false">M1165/(1-(1+M1165)^-P1165)</f>
        <v>0.121493265267016</v>
      </c>
      <c r="R1165" s="46" t="n">
        <f aca="false">N1165/(1-(1+N1165)^-P1165)</f>
        <v>0.159761470405744</v>
      </c>
      <c r="S1165" s="46" t="n">
        <f aca="false">O1165/(1-(1+O1165)^-P1165)</f>
        <v>0.0871845569768514</v>
      </c>
      <c r="T1165" s="37" t="n">
        <f aca="false">0*Sector_Params!$I$10</f>
        <v>0</v>
      </c>
      <c r="U1165" s="37" t="n">
        <f aca="false">0*Sector_Params!$J$10</f>
        <v>0</v>
      </c>
      <c r="V1165" s="37" t="n">
        <f aca="false">1000*p_r_wb/(1-(1+p_r_wb)^-Sector_Params!$D$10)/p_cpt_fuel</f>
        <v>0.871845569768514</v>
      </c>
      <c r="W1165" s="16" t="n">
        <f aca="false">T1165*L1165</f>
        <v>0</v>
      </c>
      <c r="X1165" s="16" t="n">
        <f aca="false">U1165*L1165</f>
        <v>0</v>
      </c>
      <c r="Y1165" s="16" t="n">
        <f aca="false">V1165*L1165</f>
        <v>0.00225164070342262</v>
      </c>
      <c r="Z1165" s="16" t="n">
        <f aca="false">Q1165*L1165</f>
        <v>0.000313770225774696</v>
      </c>
      <c r="AA1165" s="16" t="n">
        <f aca="false">R1165*L1165</f>
        <v>0.000412602233787496</v>
      </c>
      <c r="AB1165" s="16" t="n">
        <f aca="false">S1165*L1165</f>
        <v>0.000225164070342262</v>
      </c>
      <c r="AC1165" s="16" t="n">
        <f aca="false">Z1165-W1165</f>
        <v>0.000313770225774696</v>
      </c>
      <c r="AD1165" s="16" t="n">
        <f aca="false">AA1165-W1165</f>
        <v>0.000412602233787496</v>
      </c>
      <c r="AE1165" s="16" t="n">
        <f aca="false">AB1165-W1165</f>
        <v>0.000225164070342262</v>
      </c>
      <c r="AF1165" s="16" t="n">
        <f aca="false">AE1165-X1165</f>
        <v>0.000225164070342262</v>
      </c>
      <c r="AG1165" s="16" t="n">
        <f aca="false">AF1165-p_spc_lo*Y1165/1000</f>
        <v>0.000112582035171131</v>
      </c>
      <c r="AH1165" s="16" t="n">
        <f aca="false">AF1165-p_spc_hi*Y1165/1000</f>
        <v>0</v>
      </c>
      <c r="AI1165" s="16" t="n">
        <f aca="false">Q1165*J1165</f>
        <v>0.0013073759407279</v>
      </c>
      <c r="AJ1165" s="16" t="n">
        <f aca="false">S1165*J1165</f>
        <v>0.000938183626426092</v>
      </c>
      <c r="AK1165" s="16" t="n">
        <f aca="false">T1165*J1165</f>
        <v>0</v>
      </c>
      <c r="AL1165" s="16" t="n">
        <f aca="false">U1165*J1165</f>
        <v>0</v>
      </c>
      <c r="AM1165" s="16" t="n">
        <f aca="false">AI1165-AJ1165</f>
        <v>0.000369192314301809</v>
      </c>
      <c r="AN1165" s="16" t="n">
        <f aca="false">J1165*Country_Data!$EB$170</f>
        <v>0.0123128032796653</v>
      </c>
      <c r="AO1165" s="16" t="n">
        <f aca="false">L1165*Country_Data!$EB$170</f>
        <v>0.00295507278711966</v>
      </c>
    </row>
    <row r="1166" customFormat="false" ht="15" hidden="false" customHeight="false" outlineLevel="0" collapsed="false">
      <c r="A1166" s="14" t="str">
        <f aca="false">Country_Data!$A$170</f>
        <v>DJI</v>
      </c>
      <c r="B1166" s="14" t="str">
        <f aca="false">Country_Data!$E$170</f>
        <v>EMDC</v>
      </c>
      <c r="C1166" s="35" t="s">
        <v>488</v>
      </c>
      <c r="D1166" s="37" t="n">
        <f aca="false">IF(Country_Data!$CE$170="","",Country_Data!$CE$170)</f>
        <v>1.49</v>
      </c>
      <c r="E1166" s="40" t="n">
        <f aca="false">Country_Data!$BW$170</f>
        <v>9.141</v>
      </c>
      <c r="F1166" s="41" t="n">
        <f aca="false">Country_Data!$BX$170</f>
        <v>0.454217262881523</v>
      </c>
      <c r="G1166" s="42" t="n">
        <f aca="false">IF(D1166="","",D1166/SUMIFS($D$5:$D$1369,$B$5:$B$1369,B1166,$C$5:$C$1369,C1166))</f>
        <v>0.000122090017215512</v>
      </c>
      <c r="H1166" s="42" t="n">
        <f aca="false">E1166/SUMIFS($E$5:$E$1369,$B$5:$B$1369,B1166,$C$5:$C$1369,C1166)</f>
        <v>0.000113226632003784</v>
      </c>
      <c r="I1166" s="43" t="n">
        <f aca="false">IF(G1166="",H1166,p_beta_alloc*G1166+(1-p_beta_alloc)*H1166)*F1166^p_phi</f>
        <v>7.92965838326305E-005</v>
      </c>
      <c r="J1166" s="16" t="n">
        <f aca="false">INDEX(Sector_Params!$C$22:$E$22,MATCH(B1166,Sector_Params!$C$15:$E$15,0))*I1166/SUMIFS($I$5:$I$1369,$B$5:$B$1369,B1166,$C$5:$C$1369,C1166)</f>
        <v>0.0478006458914127</v>
      </c>
      <c r="K1166" s="28" t="n">
        <f aca="false">INDEX(Sector_Params!$F$11:$H$11,MATCH(B1166,Sector_Params!$C$15:$E$15,0))</f>
        <v>0.24</v>
      </c>
      <c r="L1166" s="16" t="n">
        <f aca="false">J1166*K1166</f>
        <v>0.011472155013939</v>
      </c>
      <c r="M1166" s="44" t="n">
        <f aca="false">Country_Data!$DW$170+Sector_Params!$E$11</f>
        <v>0.105</v>
      </c>
      <c r="N1166" s="44" t="n">
        <f aca="false">Country_Data!$DX$170+Sector_Params!$E$11</f>
        <v>0.15</v>
      </c>
      <c r="O1166" s="11" t="n">
        <f aca="false">IF(p_use_ibrd=1,p_r_ibrd,p_r_wb)</f>
        <v>0.06</v>
      </c>
      <c r="P1166" s="45" t="n">
        <f aca="false">Sector_Params!$D$11</f>
        <v>30</v>
      </c>
      <c r="Q1166" s="46" t="n">
        <f aca="false">M1166/(1-(1+M1166)^-P1166)</f>
        <v>0.110528481529605</v>
      </c>
      <c r="R1166" s="46" t="n">
        <f aca="false">N1166/(1-(1+N1166)^-P1166)</f>
        <v>0.152300198192734</v>
      </c>
      <c r="S1166" s="46" t="n">
        <f aca="false">O1166/(1-(1+O1166)^-P1166)</f>
        <v>0.0726489114900472</v>
      </c>
      <c r="T1166" s="37" t="n">
        <f aca="false">0*Sector_Params!$I$11</f>
        <v>0</v>
      </c>
      <c r="U1166" s="37" t="n">
        <f aca="false">p_c*Sector_Params!$J$11</f>
        <v>0.129</v>
      </c>
      <c r="V1166" s="37" t="n">
        <f aca="false">1000*p_r_wb/(1-(1+p_r_wb)^-Sector_Params!$D$11)/p_cpt_afolu</f>
        <v>1.45297822980094</v>
      </c>
      <c r="W1166" s="16" t="n">
        <f aca="false">T1166*L1166</f>
        <v>0</v>
      </c>
      <c r="X1166" s="16" t="n">
        <f aca="false">U1166*L1166</f>
        <v>0.00147990799679814</v>
      </c>
      <c r="Y1166" s="16" t="n">
        <f aca="false">V1166*L1166</f>
        <v>0.0166687914841552</v>
      </c>
      <c r="Z1166" s="16" t="n">
        <f aca="false">Q1166*L1166</f>
        <v>0.00126799987356293</v>
      </c>
      <c r="AA1166" s="16" t="n">
        <f aca="false">R1166*L1166</f>
        <v>0.00174721148232069</v>
      </c>
      <c r="AB1166" s="16" t="n">
        <f aca="false">S1166*L1166</f>
        <v>0.000833439574207759</v>
      </c>
      <c r="AC1166" s="16" t="n">
        <f aca="false">Z1166-W1166</f>
        <v>0.00126799987356293</v>
      </c>
      <c r="AD1166" s="16" t="n">
        <f aca="false">AA1166-W1166</f>
        <v>0.00174721148232069</v>
      </c>
      <c r="AE1166" s="16" t="n">
        <f aca="false">AB1166-W1166</f>
        <v>0.000833439574207759</v>
      </c>
      <c r="AF1166" s="16" t="n">
        <f aca="false">AE1166-X1166</f>
        <v>-0.000646468422590378</v>
      </c>
      <c r="AG1166" s="16" t="n">
        <f aca="false">AF1166-p_spc_lo*Y1166/1000</f>
        <v>-0.00147990799679814</v>
      </c>
      <c r="AH1166" s="16" t="n">
        <f aca="false">AF1166-p_spc_hi*Y1166/1000</f>
        <v>-0.0023133475710059</v>
      </c>
      <c r="AI1166" s="16" t="n">
        <f aca="false">Q1166*J1166</f>
        <v>0.0052833328065122</v>
      </c>
      <c r="AJ1166" s="16" t="n">
        <f aca="false">S1166*J1166</f>
        <v>0.00347266489253233</v>
      </c>
      <c r="AK1166" s="16" t="n">
        <f aca="false">T1166*J1166</f>
        <v>0</v>
      </c>
      <c r="AL1166" s="16" t="n">
        <f aca="false">U1166*J1166</f>
        <v>0.00616628331999224</v>
      </c>
      <c r="AM1166" s="16" t="n">
        <f aca="false">AI1166-AJ1166</f>
        <v>0.00181066791397987</v>
      </c>
      <c r="AN1166" s="16" t="n">
        <f aca="false">J1166*Country_Data!$EB$170</f>
        <v>0.0546943444825552</v>
      </c>
      <c r="AO1166" s="16" t="n">
        <f aca="false">L1166*Country_Data!$EB$170</f>
        <v>0.0131266426758132</v>
      </c>
    </row>
    <row r="1167" customFormat="false" ht="15" hidden="false" customHeight="false" outlineLevel="0" collapsed="false">
      <c r="A1167" s="14" t="str">
        <f aca="false">Country_Data!$A$171</f>
        <v>AND</v>
      </c>
      <c r="B1167" s="14" t="str">
        <f aca="false">Country_Data!$E$171</f>
        <v>AE</v>
      </c>
      <c r="C1167" s="35" t="s">
        <v>466</v>
      </c>
      <c r="D1167" s="37" t="str">
        <f aca="false">IF(Country_Data!$BZ$171="","",Country_Data!$BZ$171)</f>
        <v/>
      </c>
      <c r="E1167" s="40" t="n">
        <f aca="false">Country_Data!$BW$171</f>
        <v>6.178</v>
      </c>
      <c r="F1167" s="41" t="n">
        <f aca="false">Country_Data!$BX$171</f>
        <v>0.654257041113629</v>
      </c>
      <c r="G1167" s="42" t="str">
        <f aca="false">IF(D1167="","",D1167/SUMIFS($D$5:$D$1369,$B$5:$B$1369,B1167,$C$5:$C$1369,C1167))</f>
        <v/>
      </c>
      <c r="H1167" s="42" t="n">
        <f aca="false">E1167/SUMIFS($E$5:$E$1369,$B$5:$B$1369,B1167,$C$5:$C$1369,C1167)</f>
        <v>7.83166846572354E-005</v>
      </c>
      <c r="I1167" s="43" t="n">
        <f aca="false">IF(G1167="",H1167,p_beta_alloc*G1167+(1-p_beta_alloc)*H1167)*F1167^p_phi</f>
        <v>6.33473565908991E-005</v>
      </c>
      <c r="J1167" s="16" t="n">
        <f aca="false">INDEX(Sector_Params!$C$16:$E$16,MATCH(B1167,Sector_Params!$C$15:$E$15,0))*I1167/SUMIFS($I$5:$I$1369,$B$5:$B$1369,B1167,$C$5:$C$1369,C1167)</f>
        <v>0.0568197485428282</v>
      </c>
      <c r="K1167" s="28" t="n">
        <f aca="false">INDEX(Sector_Params!$F$5:$H$5,MATCH(B1167,Sector_Params!$C$15:$E$15,0))</f>
        <v>0.38</v>
      </c>
      <c r="L1167" s="16" t="n">
        <f aca="false">J1167*K1167</f>
        <v>0.0215915044462747</v>
      </c>
      <c r="M1167" s="44" t="n">
        <f aca="false">Country_Data!$DW$171+Sector_Params!$E$5</f>
        <v>0.055</v>
      </c>
      <c r="N1167" s="44" t="n">
        <f aca="false">Country_Data!$DX$171+Sector_Params!$E$5</f>
        <v>0.07</v>
      </c>
      <c r="O1167" s="11" t="n">
        <f aca="false">IF(p_use_ibrd=1,p_r_ibrd,p_r_wb)</f>
        <v>0.06</v>
      </c>
      <c r="P1167" s="45" t="n">
        <f aca="false">Sector_Params!$D$5</f>
        <v>25</v>
      </c>
      <c r="Q1167" s="46" t="n">
        <f aca="false">M1167/(1-(1+M1167)^-P1167)</f>
        <v>0.0745493529464385</v>
      </c>
      <c r="R1167" s="46" t="n">
        <f aca="false">N1167/(1-(1+N1167)^-P1167)</f>
        <v>0.0858105172206656</v>
      </c>
      <c r="S1167" s="46" t="n">
        <f aca="false">O1167/(1-(1+O1167)^-P1167)</f>
        <v>0.078226718212274</v>
      </c>
      <c r="T1167" s="37" t="n">
        <f aca="false">IF(AND(p_eng=1,ISNUMBER(Country_Data!$CZ$171)),Country_Data!$CZ$171,Country_Data!$CM$171)*Sector_Params!$I$5</f>
        <v>0.133</v>
      </c>
      <c r="U1167" s="37" t="n">
        <f aca="false">IF(AND(p_eng=1,ISNUMBER(Country_Data!$DA$171)),Country_Data!$DA$171,Country_Data!$CN$171)*Sector_Params!$J$5</f>
        <v>0.129</v>
      </c>
      <c r="V1167" s="37" t="n">
        <f aca="false">IF(AND(p_eng=1,ISNUMBER(Country_Data!$DB$171)),Country_Data!$DB$171,p_a)</f>
        <v>0.35</v>
      </c>
      <c r="W1167" s="16" t="n">
        <f aca="false">T1167*L1167</f>
        <v>0.00287167009135454</v>
      </c>
      <c r="X1167" s="16" t="n">
        <f aca="false">U1167*L1167</f>
        <v>0.00278530407356944</v>
      </c>
      <c r="Y1167" s="16" t="n">
        <f aca="false">V1167*L1167</f>
        <v>0.00755702655619614</v>
      </c>
      <c r="Z1167" s="16" t="n">
        <f aca="false">Q1167*L1167</f>
        <v>0.00160963268560993</v>
      </c>
      <c r="AA1167" s="16" t="n">
        <f aca="false">R1167*L1167</f>
        <v>0.00185277816410713</v>
      </c>
      <c r="AB1167" s="16" t="n">
        <f aca="false">S1167*L1167</f>
        <v>0.00168903253409779</v>
      </c>
      <c r="AC1167" s="16" t="n">
        <f aca="false">Z1167-W1167</f>
        <v>-0.00126203740574461</v>
      </c>
      <c r="AD1167" s="16" t="n">
        <f aca="false">AA1167-W1167</f>
        <v>-0.0010188919272474</v>
      </c>
      <c r="AE1167" s="16" t="n">
        <f aca="false">AB1167-W1167</f>
        <v>-0.00118263755725674</v>
      </c>
      <c r="AF1167" s="16" t="n">
        <f aca="false">AE1167-X1167</f>
        <v>-0.00396794163082618</v>
      </c>
      <c r="AG1167" s="16" t="n">
        <f aca="false">AF1167-p_spc_lo*Y1167/1000</f>
        <v>-0.00434579295863599</v>
      </c>
      <c r="AH1167" s="16" t="n">
        <f aca="false">AF1167-p_spc_hi*Y1167/1000</f>
        <v>-0.0047236442864458</v>
      </c>
      <c r="AI1167" s="16" t="n">
        <f aca="false">Q1167*J1167</f>
        <v>0.00423587548844718</v>
      </c>
      <c r="AJ1167" s="16" t="n">
        <f aca="false">S1167*J1167</f>
        <v>0.00444482245815208</v>
      </c>
      <c r="AK1167" s="16" t="n">
        <f aca="false">T1167*J1167</f>
        <v>0.00755702655619614</v>
      </c>
      <c r="AL1167" s="16" t="n">
        <f aca="false">U1167*J1167</f>
        <v>0.00732974756202483</v>
      </c>
      <c r="AM1167" s="16" t="n">
        <f aca="false">AI1167-AJ1167</f>
        <v>-0.0002089469697049</v>
      </c>
      <c r="AN1167" s="16" t="n">
        <f aca="false">J1167*Country_Data!$EB$171</f>
        <v>0.059366840718886</v>
      </c>
      <c r="AO1167" s="16" t="n">
        <f aca="false">L1167*Country_Data!$EB$171</f>
        <v>0.0225593994731767</v>
      </c>
    </row>
    <row r="1168" customFormat="false" ht="15" hidden="false" customHeight="false" outlineLevel="0" collapsed="false">
      <c r="A1168" s="14" t="str">
        <f aca="false">Country_Data!$A$171</f>
        <v>AND</v>
      </c>
      <c r="B1168" s="14" t="str">
        <f aca="false">Country_Data!$E$171</f>
        <v>AE</v>
      </c>
      <c r="C1168" s="35" t="s">
        <v>470</v>
      </c>
      <c r="D1168" s="37" t="str">
        <f aca="false">IF(Country_Data!$BZ$171="","",Country_Data!$BZ$171)</f>
        <v/>
      </c>
      <c r="E1168" s="40" t="n">
        <f aca="false">Country_Data!$BW$171</f>
        <v>6.178</v>
      </c>
      <c r="F1168" s="41" t="n">
        <f aca="false">Country_Data!$BX$171</f>
        <v>0.654257041113629</v>
      </c>
      <c r="G1168" s="42" t="str">
        <f aca="false">IF(D1168="","",D1168/SUMIFS($D$5:$D$1369,$B$5:$B$1369,B1168,$C$5:$C$1369,C1168))</f>
        <v/>
      </c>
      <c r="H1168" s="42" t="n">
        <f aca="false">E1168/SUMIFS($E$5:$E$1369,$B$5:$B$1369,B1168,$C$5:$C$1369,C1168)</f>
        <v>7.83166846572354E-005</v>
      </c>
      <c r="I1168" s="43" t="n">
        <f aca="false">IF(G1168="",H1168,p_beta_alloc*G1168+(1-p_beta_alloc)*H1168)*F1168^p_phi</f>
        <v>6.33473565908991E-005</v>
      </c>
      <c r="J1168" s="16" t="n">
        <f aca="false">INDEX(Sector_Params!$C$17:$E$17,MATCH(B1168,Sector_Params!$C$15:$E$15,0))*I1168/SUMIFS($I$5:$I$1369,$B$5:$B$1369,B1168,$C$5:$C$1369,C1168)</f>
        <v>0.0389621132865107</v>
      </c>
      <c r="K1168" s="28" t="n">
        <f aca="false">INDEX(Sector_Params!$F$6:$H$6,MATCH(B1168,Sector_Params!$C$15:$E$15,0))</f>
        <v>0.38</v>
      </c>
      <c r="L1168" s="16" t="n">
        <f aca="false">J1168*K1168</f>
        <v>0.0148056030488741</v>
      </c>
      <c r="M1168" s="44" t="n">
        <f aca="false">Country_Data!$DW$171+Sector_Params!$E$6</f>
        <v>0.055</v>
      </c>
      <c r="N1168" s="44" t="n">
        <f aca="false">Country_Data!$DX$171+Sector_Params!$E$6</f>
        <v>0.07</v>
      </c>
      <c r="O1168" s="11" t="n">
        <f aca="false">IF(p_use_ibrd=1,p_r_ibrd,p_r_wb)</f>
        <v>0.06</v>
      </c>
      <c r="P1168" s="45" t="n">
        <f aca="false">Sector_Params!$D$6</f>
        <v>40</v>
      </c>
      <c r="Q1168" s="46" t="n">
        <f aca="false">M1168/(1-(1+M1168)^-P1168)</f>
        <v>0.062320343360638</v>
      </c>
      <c r="R1168" s="46" t="n">
        <f aca="false">N1168/(1-(1+N1168)^-P1168)</f>
        <v>0.0750091388736103</v>
      </c>
      <c r="S1168" s="46" t="n">
        <f aca="false">O1168/(1-(1+O1168)^-P1168)</f>
        <v>0.0664615359206755</v>
      </c>
      <c r="T1168" s="37" t="n">
        <f aca="false">p_grid_credit*IF(AND(p_eng=1,ISNUMBER(Country_Data!$CZ$171)),Country_Data!$CZ$171,Country_Data!$CM$171)*Sector_Params!$I$6</f>
        <v>0</v>
      </c>
      <c r="U1168" s="37" t="n">
        <f aca="false">p_grid_credit*IF(AND(p_eng=1,ISNUMBER(Country_Data!$DA$171)),Country_Data!$DA$171,Country_Data!$CN$171)*Sector_Params!$J$6</f>
        <v>0</v>
      </c>
      <c r="V1168" s="37" t="n">
        <f aca="false">p_grid_credit*IF(AND(p_eng=1,ISNUMBER(Country_Data!$DB$171)),Country_Data!$DB$171,p_a)</f>
        <v>0</v>
      </c>
      <c r="W1168" s="16" t="n">
        <f aca="false">T1168*L1168</f>
        <v>0</v>
      </c>
      <c r="X1168" s="16" t="n">
        <f aca="false">U1168*L1168</f>
        <v>0</v>
      </c>
      <c r="Y1168" s="16" t="n">
        <f aca="false">V1168*L1168</f>
        <v>0</v>
      </c>
      <c r="Z1168" s="16" t="n">
        <f aca="false">Q1168*L1168</f>
        <v>0.000922690265667141</v>
      </c>
      <c r="AA1168" s="16" t="n">
        <f aca="false">R1168*L1168</f>
        <v>0.00111055553520054</v>
      </c>
      <c r="AB1168" s="16" t="n">
        <f aca="false">S1168*L1168</f>
        <v>0.000984003118860007</v>
      </c>
      <c r="AC1168" s="16" t="n">
        <f aca="false">Z1168-W1168</f>
        <v>0.000922690265667141</v>
      </c>
      <c r="AD1168" s="16" t="n">
        <f aca="false">AA1168-W1168</f>
        <v>0.00111055553520054</v>
      </c>
      <c r="AE1168" s="16" t="n">
        <f aca="false">AB1168-W1168</f>
        <v>0.000984003118860007</v>
      </c>
      <c r="AF1168" s="16" t="n">
        <f aca="false">AE1168-X1168</f>
        <v>0.000984003118860007</v>
      </c>
      <c r="AG1168" s="16" t="n">
        <f aca="false">AF1168-p_spc_lo*Y1168/1000</f>
        <v>0.000984003118860007</v>
      </c>
      <c r="AH1168" s="16" t="n">
        <f aca="false">AF1168-p_spc_hi*Y1168/1000</f>
        <v>0.000984003118860007</v>
      </c>
      <c r="AI1168" s="16" t="n">
        <f aca="false">Q1168*J1168</f>
        <v>0.00242813227807142</v>
      </c>
      <c r="AJ1168" s="16" t="n">
        <f aca="false">S1168*J1168</f>
        <v>0.00258948189173686</v>
      </c>
      <c r="AK1168" s="16" t="n">
        <f aca="false">T1168*J1168</f>
        <v>0</v>
      </c>
      <c r="AL1168" s="16" t="n">
        <f aca="false">U1168*J1168</f>
        <v>0</v>
      </c>
      <c r="AM1168" s="16" t="n">
        <f aca="false">AI1168-AJ1168</f>
        <v>-0.000161349613665438</v>
      </c>
      <c r="AN1168" s="16" t="n">
        <f aca="false">J1168*Country_Data!$EB$171</f>
        <v>0.0407086907786647</v>
      </c>
      <c r="AO1168" s="16" t="n">
        <f aca="false">L1168*Country_Data!$EB$171</f>
        <v>0.0154693024958926</v>
      </c>
    </row>
    <row r="1169" customFormat="false" ht="15" hidden="false" customHeight="false" outlineLevel="0" collapsed="false">
      <c r="A1169" s="14" t="str">
        <f aca="false">Country_Data!$A$171</f>
        <v>AND</v>
      </c>
      <c r="B1169" s="14" t="str">
        <f aca="false">Country_Data!$E$171</f>
        <v>AE</v>
      </c>
      <c r="C1169" s="35" t="s">
        <v>473</v>
      </c>
      <c r="D1169" s="37" t="str">
        <f aca="false">IF(Country_Data!$CA$171="","",Country_Data!$CA$171)</f>
        <v/>
      </c>
      <c r="E1169" s="40" t="n">
        <f aca="false">Country_Data!$BW$171</f>
        <v>6.178</v>
      </c>
      <c r="F1169" s="41" t="n">
        <f aca="false">Country_Data!$BX$171</f>
        <v>0.654257041113629</v>
      </c>
      <c r="G1169" s="42" t="str">
        <f aca="false">IF(D1169="","",D1169/SUMIFS($D$5:$D$1369,$B$5:$B$1369,B1169,$C$5:$C$1369,C1169))</f>
        <v/>
      </c>
      <c r="H1169" s="42" t="n">
        <f aca="false">E1169/SUMIFS($E$5:$E$1369,$B$5:$B$1369,B1169,$C$5:$C$1369,C1169)</f>
        <v>7.83166846572354E-005</v>
      </c>
      <c r="I1169" s="43" t="n">
        <f aca="false">IF(G1169="",H1169,p_beta_alloc*G1169+(1-p_beta_alloc)*H1169)*F1169^p_phi</f>
        <v>6.33473565908991E-005</v>
      </c>
      <c r="J1169" s="16" t="n">
        <f aca="false">INDEX(Sector_Params!$C$18:$E$18,MATCH(B1169,Sector_Params!$C$15:$E$15,0))*I1169/SUMIFS($I$5:$I$1369,$B$5:$B$1369,B1169,$C$5:$C$1369,C1169)</f>
        <v>0.0238726515589538</v>
      </c>
      <c r="K1169" s="28" t="n">
        <f aca="false">INDEX(Sector_Params!$F$7:$H$7,MATCH(B1169,Sector_Params!$C$15:$E$15,0))</f>
        <v>0.38</v>
      </c>
      <c r="L1169" s="16" t="n">
        <f aca="false">J1169*K1169</f>
        <v>0.00907160759240245</v>
      </c>
      <c r="M1169" s="44" t="n">
        <f aca="false">Country_Data!$DW$171+Sector_Params!$E$7</f>
        <v>0.055</v>
      </c>
      <c r="N1169" s="44" t="n">
        <f aca="false">Country_Data!$DX$171+Sector_Params!$E$7</f>
        <v>0.07</v>
      </c>
      <c r="O1169" s="11" t="n">
        <f aca="false">IF(p_use_ibrd=1,p_r_ibrd,p_r_wb)</f>
        <v>0.06</v>
      </c>
      <c r="P1169" s="45" t="n">
        <f aca="false">Sector_Params!$D$7</f>
        <v>12</v>
      </c>
      <c r="Q1169" s="46" t="n">
        <f aca="false">M1169/(1-(1+M1169)^-P1169)</f>
        <v>0.116029231191614</v>
      </c>
      <c r="R1169" s="46" t="n">
        <f aca="false">N1169/(1-(1+N1169)^-P1169)</f>
        <v>0.12590198865502</v>
      </c>
      <c r="S1169" s="46" t="n">
        <f aca="false">O1169/(1-(1+O1169)^-P1169)</f>
        <v>0.119277029380664</v>
      </c>
      <c r="T1169" s="37" t="n">
        <f aca="false">IF(AND(p_eng=1,ISNUMBER(Country_Data!$DE$171)),Country_Data!$DE$171,Country_Data!$CM$171)*Sector_Params!$I$7</f>
        <v>0.133</v>
      </c>
      <c r="U1169" s="37" t="n">
        <f aca="false">IF(AND(p_eng=1,ISNUMBER(Country_Data!$DF$171)),Country_Data!$DF$171,Country_Data!$CN$171)*Sector_Params!$J$7</f>
        <v>0.129</v>
      </c>
      <c r="V1169" s="37" t="n">
        <f aca="false">IF(AND(p_eng=1,ISNUMBER(Country_Data!$DG$171)),Country_Data!$DG$171,p_a)</f>
        <v>0.35</v>
      </c>
      <c r="W1169" s="16" t="n">
        <f aca="false">T1169*L1169</f>
        <v>0.00120652380978953</v>
      </c>
      <c r="X1169" s="16" t="n">
        <f aca="false">U1169*L1169</f>
        <v>0.00117023737941992</v>
      </c>
      <c r="Y1169" s="16" t="n">
        <f aca="false">V1169*L1169</f>
        <v>0.00317506265734086</v>
      </c>
      <c r="Z1169" s="16" t="n">
        <f aca="false">Q1169*L1169</f>
        <v>0.00105257165461847</v>
      </c>
      <c r="AA1169" s="16" t="n">
        <f aca="false">R1169*L1169</f>
        <v>0.00114213343618145</v>
      </c>
      <c r="AB1169" s="16" t="n">
        <f aca="false">S1169*L1169</f>
        <v>0.00108203440532884</v>
      </c>
      <c r="AC1169" s="16" t="n">
        <f aca="false">Z1169-W1169</f>
        <v>-0.000153952155171057</v>
      </c>
      <c r="AD1169" s="16" t="n">
        <f aca="false">AA1169-W1169</f>
        <v>-6.43903736080756E-005</v>
      </c>
      <c r="AE1169" s="16" t="n">
        <f aca="false">AB1169-W1169</f>
        <v>-0.000124489404460688</v>
      </c>
      <c r="AF1169" s="16" t="n">
        <f aca="false">AE1169-X1169</f>
        <v>-0.0012947267838806</v>
      </c>
      <c r="AG1169" s="16" t="n">
        <f aca="false">AF1169-p_spc_lo*Y1169/1000</f>
        <v>-0.00145347991674765</v>
      </c>
      <c r="AH1169" s="16" t="n">
        <f aca="false">AF1169-p_spc_hi*Y1169/1000</f>
        <v>-0.00161223304961469</v>
      </c>
      <c r="AI1169" s="16" t="n">
        <f aca="false">Q1169*J1169</f>
        <v>0.00276992540689071</v>
      </c>
      <c r="AJ1169" s="16" t="n">
        <f aca="false">S1169*J1169</f>
        <v>0.00284745896139168</v>
      </c>
      <c r="AK1169" s="16" t="n">
        <f aca="false">T1169*J1169</f>
        <v>0.00317506265734086</v>
      </c>
      <c r="AL1169" s="16" t="n">
        <f aca="false">U1169*J1169</f>
        <v>0.00307957205110504</v>
      </c>
      <c r="AM1169" s="16" t="n">
        <f aca="false">AI1169-AJ1169</f>
        <v>-7.7533554500971E-005</v>
      </c>
      <c r="AN1169" s="16" t="n">
        <f aca="false">J1169*Country_Data!$EB$171</f>
        <v>0.0249428049047</v>
      </c>
      <c r="AO1169" s="16" t="n">
        <f aca="false">L1169*Country_Data!$EB$171</f>
        <v>0.009478265863786</v>
      </c>
    </row>
    <row r="1170" customFormat="false" ht="15" hidden="false" customHeight="false" outlineLevel="0" collapsed="false">
      <c r="A1170" s="14" t="str">
        <f aca="false">Country_Data!$A$171</f>
        <v>AND</v>
      </c>
      <c r="B1170" s="14" t="str">
        <f aca="false">Country_Data!$E$171</f>
        <v>AE</v>
      </c>
      <c r="C1170" s="35" t="s">
        <v>477</v>
      </c>
      <c r="D1170" s="37" t="str">
        <f aca="false">IF(Country_Data!$CB$171="","",Country_Data!$CB$171)</f>
        <v/>
      </c>
      <c r="E1170" s="40" t="n">
        <f aca="false">Country_Data!$BW$171</f>
        <v>6.178</v>
      </c>
      <c r="F1170" s="41" t="n">
        <f aca="false">Country_Data!$BX$171</f>
        <v>0.654257041113629</v>
      </c>
      <c r="G1170" s="42" t="str">
        <f aca="false">IF(D1170="","",D1170/SUMIFS($D$5:$D$1369,$B$5:$B$1369,B1170,$C$5:$C$1369,C1170))</f>
        <v/>
      </c>
      <c r="H1170" s="42" t="n">
        <f aca="false">E1170/SUMIFS($E$5:$E$1369,$B$5:$B$1369,B1170,$C$5:$C$1369,C1170)</f>
        <v>7.83166846572354E-005</v>
      </c>
      <c r="I1170" s="43" t="n">
        <f aca="false">IF(G1170="",H1170,p_beta_alloc*G1170+(1-p_beta_alloc)*H1170)*F1170^p_phi</f>
        <v>6.33473565908991E-005</v>
      </c>
      <c r="J1170" s="16" t="n">
        <f aca="false">INDEX(Sector_Params!$C$19:$E$19,MATCH(B1170,Sector_Params!$C$15:$E$15,0))*I1170/SUMIFS($I$5:$I$1369,$B$5:$B$1369,B1170,$C$5:$C$1369,C1170)</f>
        <v>0.018621393675147</v>
      </c>
      <c r="K1170" s="28" t="n">
        <f aca="false">INDEX(Sector_Params!$F$8:$H$8,MATCH(B1170,Sector_Params!$C$15:$E$15,0))</f>
        <v>0.38</v>
      </c>
      <c r="L1170" s="16" t="n">
        <f aca="false">J1170*K1170</f>
        <v>0.00707612959655585</v>
      </c>
      <c r="M1170" s="44" t="n">
        <f aca="false">Country_Data!$DW$171+Sector_Params!$E$8</f>
        <v>0.055</v>
      </c>
      <c r="N1170" s="44" t="n">
        <f aca="false">Country_Data!$DX$171+Sector_Params!$E$8</f>
        <v>0.07</v>
      </c>
      <c r="O1170" s="11" t="n">
        <f aca="false">IF(p_use_ibrd=1,p_r_ibrd,p_r_wb)</f>
        <v>0.06</v>
      </c>
      <c r="P1170" s="45" t="n">
        <f aca="false">Sector_Params!$D$8</f>
        <v>25</v>
      </c>
      <c r="Q1170" s="46" t="n">
        <f aca="false">M1170/(1-(1+M1170)^-P1170)</f>
        <v>0.0745493529464385</v>
      </c>
      <c r="R1170" s="46" t="n">
        <f aca="false">N1170/(1-(1+N1170)^-P1170)</f>
        <v>0.0858105172206656</v>
      </c>
      <c r="S1170" s="46" t="n">
        <f aca="false">O1170/(1-(1+O1170)^-P1170)</f>
        <v>0.078226718212274</v>
      </c>
      <c r="T1170" s="37" t="n">
        <f aca="false">Country_Data!$CM$171*Sector_Params!$I$8</f>
        <v>0.133</v>
      </c>
      <c r="U1170" s="37" t="n">
        <f aca="false">Country_Data!$CN$171*Sector_Params!$J$8</f>
        <v>0.129</v>
      </c>
      <c r="V1170" s="37" t="n">
        <f aca="false">p_a</f>
        <v>0.35</v>
      </c>
      <c r="W1170" s="16" t="n">
        <f aca="false">T1170*L1170</f>
        <v>0.000941125236341928</v>
      </c>
      <c r="X1170" s="16" t="n">
        <f aca="false">U1170*L1170</f>
        <v>0.000912820717955705</v>
      </c>
      <c r="Y1170" s="16" t="n">
        <f aca="false">V1170*L1170</f>
        <v>0.00247664535879455</v>
      </c>
      <c r="Z1170" s="16" t="n">
        <f aca="false">Q1170*L1170</f>
        <v>0.000527520882788382</v>
      </c>
      <c r="AA1170" s="16" t="n">
        <f aca="false">R1170*L1170</f>
        <v>0.000607206340600918</v>
      </c>
      <c r="AB1170" s="16" t="n">
        <f aca="false">S1170*L1170</f>
        <v>0.000553542395983306</v>
      </c>
      <c r="AC1170" s="16" t="n">
        <f aca="false">Z1170-W1170</f>
        <v>-0.000413604353553547</v>
      </c>
      <c r="AD1170" s="16" t="n">
        <f aca="false">AA1170-W1170</f>
        <v>-0.000333918895741011</v>
      </c>
      <c r="AE1170" s="16" t="n">
        <f aca="false">AB1170-W1170</f>
        <v>-0.000387582840358622</v>
      </c>
      <c r="AF1170" s="16" t="n">
        <f aca="false">AE1170-X1170</f>
        <v>-0.00130040355831433</v>
      </c>
      <c r="AG1170" s="16" t="n">
        <f aca="false">AF1170-p_spc_lo*Y1170/1000</f>
        <v>-0.00142423582625405</v>
      </c>
      <c r="AH1170" s="16" t="n">
        <f aca="false">AF1170-p_spc_hi*Y1170/1000</f>
        <v>-0.00154806809419378</v>
      </c>
      <c r="AI1170" s="16" t="n">
        <f aca="false">Q1170*J1170</f>
        <v>0.00138821284944311</v>
      </c>
      <c r="AJ1170" s="16" t="n">
        <f aca="false">S1170*J1170</f>
        <v>0.00145669051574554</v>
      </c>
      <c r="AK1170" s="16" t="n">
        <f aca="false">T1170*J1170</f>
        <v>0.00247664535879455</v>
      </c>
      <c r="AL1170" s="16" t="n">
        <f aca="false">U1170*J1170</f>
        <v>0.00240215978409396</v>
      </c>
      <c r="AM1170" s="16" t="n">
        <f aca="false">AI1170-AJ1170</f>
        <v>-6.84776663024329E-005</v>
      </c>
      <c r="AN1170" s="16" t="n">
        <f aca="false">J1170*Country_Data!$EB$171</f>
        <v>0.0194561458054122</v>
      </c>
      <c r="AO1170" s="16" t="n">
        <f aca="false">L1170*Country_Data!$EB$171</f>
        <v>0.00739333540605663</v>
      </c>
    </row>
    <row r="1171" customFormat="false" ht="15" hidden="false" customHeight="false" outlineLevel="0" collapsed="false">
      <c r="A1171" s="14" t="str">
        <f aca="false">Country_Data!$A$171</f>
        <v>AND</v>
      </c>
      <c r="B1171" s="14" t="str">
        <f aca="false">Country_Data!$E$171</f>
        <v>AE</v>
      </c>
      <c r="C1171" s="35" t="s">
        <v>481</v>
      </c>
      <c r="D1171" s="37" t="str">
        <f aca="false">IF(Country_Data!$CC$171="","",Country_Data!$CC$171)</f>
        <v/>
      </c>
      <c r="E1171" s="40" t="n">
        <f aca="false">Country_Data!$BW$171</f>
        <v>6.178</v>
      </c>
      <c r="F1171" s="41" t="n">
        <f aca="false">Country_Data!$BX$171</f>
        <v>0.654257041113629</v>
      </c>
      <c r="G1171" s="42" t="str">
        <f aca="false">IF(D1171="","",D1171/SUMIFS($D$5:$D$1369,$B$5:$B$1369,B1171,$C$5:$C$1369,C1171))</f>
        <v/>
      </c>
      <c r="H1171" s="42" t="n">
        <f aca="false">E1171/SUMIFS($E$5:$E$1369,$B$5:$B$1369,B1171,$C$5:$C$1369,C1171)</f>
        <v>7.83166846572354E-005</v>
      </c>
      <c r="I1171" s="43" t="n">
        <f aca="false">IF(G1171="",H1171,p_beta_alloc*G1171+(1-p_beta_alloc)*H1171)*F1171^p_phi</f>
        <v>6.33473565908991E-005</v>
      </c>
      <c r="J1171" s="16" t="n">
        <f aca="false">INDEX(Sector_Params!$C$20:$E$20,MATCH(B1171,Sector_Params!$C$15:$E$15,0))*I1171/SUMIFS($I$5:$I$1369,$B$5:$B$1369,B1171,$C$5:$C$1369,C1171)</f>
        <v>0.0107574803370861</v>
      </c>
      <c r="K1171" s="28" t="n">
        <f aca="false">INDEX(Sector_Params!$F$9:$H$9,MATCH(B1171,Sector_Params!$C$15:$E$15,0))</f>
        <v>0.38</v>
      </c>
      <c r="L1171" s="16" t="n">
        <f aca="false">J1171*K1171</f>
        <v>0.00408784252809271</v>
      </c>
      <c r="M1171" s="44" t="n">
        <f aca="false">Country_Data!$DW$171+Sector_Params!$E$9</f>
        <v>0.055</v>
      </c>
      <c r="N1171" s="44" t="n">
        <f aca="false">Country_Data!$DX$171+Sector_Params!$E$9</f>
        <v>0.07</v>
      </c>
      <c r="O1171" s="11" t="n">
        <f aca="false">IF(p_use_ibrd=1,p_r_ibrd,p_r_wb)</f>
        <v>0.06</v>
      </c>
      <c r="P1171" s="45" t="n">
        <f aca="false">Sector_Params!$D$9</f>
        <v>25</v>
      </c>
      <c r="Q1171" s="46" t="n">
        <f aca="false">M1171/(1-(1+M1171)^-P1171)</f>
        <v>0.0745493529464385</v>
      </c>
      <c r="R1171" s="46" t="n">
        <f aca="false">N1171/(1-(1+N1171)^-P1171)</f>
        <v>0.0858105172206656</v>
      </c>
      <c r="S1171" s="46" t="n">
        <f aca="false">O1171/(1-(1+O1171)^-P1171)</f>
        <v>0.078226718212274</v>
      </c>
      <c r="T1171" s="37" t="n">
        <f aca="false">Country_Data!$CM$171*Sector_Params!$I$9</f>
        <v>0.133</v>
      </c>
      <c r="U1171" s="37" t="n">
        <f aca="false">Country_Data!$CN$171*Sector_Params!$J$9</f>
        <v>0.129</v>
      </c>
      <c r="V1171" s="37" t="n">
        <f aca="false">p_a</f>
        <v>0.35</v>
      </c>
      <c r="W1171" s="16" t="n">
        <f aca="false">T1171*L1171</f>
        <v>0.000543683056236331</v>
      </c>
      <c r="X1171" s="16" t="n">
        <f aca="false">U1171*L1171</f>
        <v>0.00052733168612396</v>
      </c>
      <c r="Y1171" s="16" t="n">
        <f aca="false">V1171*L1171</f>
        <v>0.00143074488483245</v>
      </c>
      <c r="Z1171" s="16" t="n">
        <f aca="false">Q1171*L1171</f>
        <v>0.000304746015416245</v>
      </c>
      <c r="AA1171" s="16" t="n">
        <f aca="false">R1171*L1171</f>
        <v>0.000350779881652269</v>
      </c>
      <c r="AB1171" s="16" t="n">
        <f aca="false">S1171*L1171</f>
        <v>0.000319778505541258</v>
      </c>
      <c r="AC1171" s="16" t="n">
        <f aca="false">Z1171-W1171</f>
        <v>-0.000238937040820086</v>
      </c>
      <c r="AD1171" s="16" t="n">
        <f aca="false">AA1171-W1171</f>
        <v>-0.000192903174584062</v>
      </c>
      <c r="AE1171" s="16" t="n">
        <f aca="false">AB1171-W1171</f>
        <v>-0.000223904550695073</v>
      </c>
      <c r="AF1171" s="16" t="n">
        <f aca="false">AE1171-X1171</f>
        <v>-0.000751236236819032</v>
      </c>
      <c r="AG1171" s="16" t="n">
        <f aca="false">AF1171-p_spc_lo*Y1171/1000</f>
        <v>-0.000822773481060655</v>
      </c>
      <c r="AH1171" s="16" t="n">
        <f aca="false">AF1171-p_spc_hi*Y1171/1000</f>
        <v>-0.000894310725302277</v>
      </c>
      <c r="AI1171" s="16" t="n">
        <f aca="false">Q1171*J1171</f>
        <v>0.000801963198463803</v>
      </c>
      <c r="AJ1171" s="16" t="n">
        <f aca="false">S1171*J1171</f>
        <v>0.000841522383003311</v>
      </c>
      <c r="AK1171" s="16" t="n">
        <f aca="false">T1171*J1171</f>
        <v>0.00143074488483245</v>
      </c>
      <c r="AL1171" s="16" t="n">
        <f aca="false">U1171*J1171</f>
        <v>0.0013877149634841</v>
      </c>
      <c r="AM1171" s="16" t="n">
        <f aca="false">AI1171-AJ1171</f>
        <v>-3.95591845395079E-005</v>
      </c>
      <c r="AN1171" s="16" t="n">
        <f aca="false">J1171*Country_Data!$EB$171</f>
        <v>0.0112397122142658</v>
      </c>
      <c r="AO1171" s="16" t="n">
        <f aca="false">L1171*Country_Data!$EB$171</f>
        <v>0.00427109064142101</v>
      </c>
    </row>
    <row r="1172" customFormat="false" ht="15" hidden="false" customHeight="false" outlineLevel="0" collapsed="false">
      <c r="A1172" s="14" t="str">
        <f aca="false">Country_Data!$A$171</f>
        <v>AND</v>
      </c>
      <c r="B1172" s="14" t="str">
        <f aca="false">Country_Data!$E$171</f>
        <v>AE</v>
      </c>
      <c r="C1172" s="35" t="s">
        <v>484</v>
      </c>
      <c r="D1172" s="37" t="str">
        <f aca="false">IF(Country_Data!$CD$171="","",Country_Data!$CD$171)</f>
        <v/>
      </c>
      <c r="E1172" s="40" t="n">
        <f aca="false">Country_Data!$BW$171</f>
        <v>6.178</v>
      </c>
      <c r="F1172" s="41" t="n">
        <f aca="false">Country_Data!$BX$171</f>
        <v>0.654257041113629</v>
      </c>
      <c r="G1172" s="42" t="str">
        <f aca="false">IF(D1172="","",D1172/SUMIFS($D$5:$D$1369,$B$5:$B$1369,B1172,$C$5:$C$1369,C1172))</f>
        <v/>
      </c>
      <c r="H1172" s="42" t="n">
        <f aca="false">E1172/SUMIFS($E$5:$E$1369,$B$5:$B$1369,B1172,$C$5:$C$1369,C1172)</f>
        <v>7.83166846572354E-005</v>
      </c>
      <c r="I1172" s="43" t="n">
        <f aca="false">IF(G1172="",H1172,p_beta_alloc*G1172+(1-p_beta_alloc)*H1172)*F1172^p_phi</f>
        <v>6.33473565908991E-005</v>
      </c>
      <c r="J1172" s="16" t="n">
        <f aca="false">INDEX(Sector_Params!$C$21:$E$21,MATCH(B1172,Sector_Params!$C$15:$E$15,0))*I1172/SUMIFS($I$5:$I$1369,$B$5:$B$1369,B1172,$C$5:$C$1369,C1172)</f>
        <v>0.0129070071648826</v>
      </c>
      <c r="K1172" s="28" t="n">
        <f aca="false">INDEX(Sector_Params!$F$10:$H$10,MATCH(B1172,Sector_Params!$C$15:$E$15,0))</f>
        <v>0.38</v>
      </c>
      <c r="L1172" s="16" t="n">
        <f aca="false">J1172*K1172</f>
        <v>0.00490466272265538</v>
      </c>
      <c r="M1172" s="44" t="n">
        <f aca="false">Country_Data!$DW$171+Sector_Params!$E$10</f>
        <v>0.055</v>
      </c>
      <c r="N1172" s="44" t="n">
        <f aca="false">Country_Data!$DX$171+Sector_Params!$E$10</f>
        <v>0.07</v>
      </c>
      <c r="O1172" s="11" t="n">
        <f aca="false">IF(p_use_ibrd=1,p_r_ibrd,p_r_wb)</f>
        <v>0.06</v>
      </c>
      <c r="P1172" s="45" t="n">
        <f aca="false">Sector_Params!$D$10</f>
        <v>20</v>
      </c>
      <c r="Q1172" s="46" t="n">
        <f aca="false">M1172/(1-(1+M1172)^-P1172)</f>
        <v>0.0836793300349332</v>
      </c>
      <c r="R1172" s="46" t="n">
        <f aca="false">N1172/(1-(1+N1172)^-P1172)</f>
        <v>0.0943929257432557</v>
      </c>
      <c r="S1172" s="46" t="n">
        <f aca="false">O1172/(1-(1+O1172)^-P1172)</f>
        <v>0.0871845569768514</v>
      </c>
      <c r="T1172" s="37" t="n">
        <f aca="false">0*Sector_Params!$I$10</f>
        <v>0</v>
      </c>
      <c r="U1172" s="37" t="n">
        <f aca="false">0*Sector_Params!$J$10</f>
        <v>0</v>
      </c>
      <c r="V1172" s="37" t="n">
        <f aca="false">1000*p_r_wb/(1-(1+p_r_wb)^-Sector_Params!$D$10)/p_cpt_fuel</f>
        <v>0.871845569768514</v>
      </c>
      <c r="W1172" s="16" t="n">
        <f aca="false">T1172*L1172</f>
        <v>0</v>
      </c>
      <c r="X1172" s="16" t="n">
        <f aca="false">U1172*L1172</f>
        <v>0</v>
      </c>
      <c r="Y1172" s="16" t="n">
        <f aca="false">V1172*L1172</f>
        <v>0.00427610846595588</v>
      </c>
      <c r="Z1172" s="16" t="n">
        <f aca="false">Q1172*L1172</f>
        <v>0.000410418890679114</v>
      </c>
      <c r="AA1172" s="16" t="n">
        <f aca="false">R1172*L1172</f>
        <v>0.000462965464175324</v>
      </c>
      <c r="AB1172" s="16" t="n">
        <f aca="false">S1172*L1172</f>
        <v>0.000427610846595587</v>
      </c>
      <c r="AC1172" s="16" t="n">
        <f aca="false">Z1172-W1172</f>
        <v>0.000410418890679114</v>
      </c>
      <c r="AD1172" s="16" t="n">
        <f aca="false">AA1172-W1172</f>
        <v>0.000462965464175324</v>
      </c>
      <c r="AE1172" s="16" t="n">
        <f aca="false">AB1172-W1172</f>
        <v>0.000427610846595587</v>
      </c>
      <c r="AF1172" s="16" t="n">
        <f aca="false">AE1172-X1172</f>
        <v>0.000427610846595587</v>
      </c>
      <c r="AG1172" s="16" t="n">
        <f aca="false">AF1172-p_spc_lo*Y1172/1000</f>
        <v>0.000213805423297794</v>
      </c>
      <c r="AH1172" s="16" t="n">
        <f aca="false">AF1172-p_spc_hi*Y1172/1000</f>
        <v>0</v>
      </c>
      <c r="AI1172" s="16" t="n">
        <f aca="false">Q1172*J1172</f>
        <v>0.00108004971231346</v>
      </c>
      <c r="AJ1172" s="16" t="n">
        <f aca="false">S1172*J1172</f>
        <v>0.00112529170156734</v>
      </c>
      <c r="AK1172" s="16" t="n">
        <f aca="false">T1172*J1172</f>
        <v>0</v>
      </c>
      <c r="AL1172" s="16" t="n">
        <f aca="false">U1172*J1172</f>
        <v>0</v>
      </c>
      <c r="AM1172" s="16" t="n">
        <f aca="false">AI1172-AJ1172</f>
        <v>-4.52419892538775E-005</v>
      </c>
      <c r="AN1172" s="16" t="n">
        <f aca="false">J1172*Country_Data!$EB$171</f>
        <v>0.0134855971412394</v>
      </c>
      <c r="AO1172" s="16" t="n">
        <f aca="false">L1172*Country_Data!$EB$171</f>
        <v>0.00512452691367097</v>
      </c>
    </row>
    <row r="1173" customFormat="false" ht="15" hidden="false" customHeight="false" outlineLevel="0" collapsed="false">
      <c r="A1173" s="14" t="str">
        <f aca="false">Country_Data!$A$171</f>
        <v>AND</v>
      </c>
      <c r="B1173" s="14" t="str">
        <f aca="false">Country_Data!$E$171</f>
        <v>AE</v>
      </c>
      <c r="C1173" s="35" t="s">
        <v>488</v>
      </c>
      <c r="D1173" s="37" t="str">
        <f aca="false">IF(Country_Data!$CE$171="","",Country_Data!$CE$171)</f>
        <v/>
      </c>
      <c r="E1173" s="40" t="n">
        <f aca="false">Country_Data!$BW$171</f>
        <v>6.178</v>
      </c>
      <c r="F1173" s="41" t="n">
        <f aca="false">Country_Data!$BX$171</f>
        <v>0.654257041113629</v>
      </c>
      <c r="G1173" s="42" t="str">
        <f aca="false">IF(D1173="","",D1173/SUMIFS($D$5:$D$1369,$B$5:$B$1369,B1173,$C$5:$C$1369,C1173))</f>
        <v/>
      </c>
      <c r="H1173" s="42" t="n">
        <f aca="false">E1173/SUMIFS($E$5:$E$1369,$B$5:$B$1369,B1173,$C$5:$C$1369,C1173)</f>
        <v>7.83166846572354E-005</v>
      </c>
      <c r="I1173" s="43" t="n">
        <f aca="false">IF(G1173="",H1173,p_beta_alloc*G1173+(1-p_beta_alloc)*H1173)*F1173^p_phi</f>
        <v>6.33473565908991E-005</v>
      </c>
      <c r="J1173" s="16" t="n">
        <f aca="false">INDEX(Sector_Params!$C$22:$E$22,MATCH(B1173,Sector_Params!$C$15:$E$15,0))*I1173/SUMIFS($I$5:$I$1369,$B$5:$B$1369,B1173,$C$5:$C$1369,C1173)</f>
        <v>0.00245455947073201</v>
      </c>
      <c r="K1173" s="28" t="n">
        <f aca="false">INDEX(Sector_Params!$F$11:$H$11,MATCH(B1173,Sector_Params!$C$15:$E$15,0))</f>
        <v>0.38</v>
      </c>
      <c r="L1173" s="16" t="n">
        <f aca="false">J1173*K1173</f>
        <v>0.000932732598878164</v>
      </c>
      <c r="M1173" s="44" t="n">
        <f aca="false">Country_Data!$DW$171+Sector_Params!$E$11</f>
        <v>0.055</v>
      </c>
      <c r="N1173" s="44" t="n">
        <f aca="false">Country_Data!$DX$171+Sector_Params!$E$11</f>
        <v>0.07</v>
      </c>
      <c r="O1173" s="11" t="n">
        <f aca="false">IF(p_use_ibrd=1,p_r_ibrd,p_r_wb)</f>
        <v>0.06</v>
      </c>
      <c r="P1173" s="45" t="n">
        <f aca="false">Sector_Params!$D$11</f>
        <v>30</v>
      </c>
      <c r="Q1173" s="46" t="n">
        <f aca="false">M1173/(1-(1+M1173)^-P1173)</f>
        <v>0.0688053896793896</v>
      </c>
      <c r="R1173" s="46" t="n">
        <f aca="false">N1173/(1-(1+N1173)^-P1173)</f>
        <v>0.0805864035111112</v>
      </c>
      <c r="S1173" s="46" t="n">
        <f aca="false">O1173/(1-(1+O1173)^-P1173)</f>
        <v>0.0726489114900472</v>
      </c>
      <c r="T1173" s="37" t="n">
        <f aca="false">0*Sector_Params!$I$11</f>
        <v>0</v>
      </c>
      <c r="U1173" s="37" t="n">
        <f aca="false">p_c*Sector_Params!$J$11</f>
        <v>0.129</v>
      </c>
      <c r="V1173" s="37" t="n">
        <f aca="false">1000*p_r_wb/(1-(1+p_r_wb)^-Sector_Params!$D$11)/p_cpt_afolu</f>
        <v>1.45297822980094</v>
      </c>
      <c r="W1173" s="16" t="n">
        <f aca="false">T1173*L1173</f>
        <v>0</v>
      </c>
      <c r="X1173" s="16" t="n">
        <f aca="false">U1173*L1173</f>
        <v>0.000120322505255283</v>
      </c>
      <c r="Y1173" s="16" t="n">
        <f aca="false">V1173*L1173</f>
        <v>0.00135524016039563</v>
      </c>
      <c r="Z1173" s="16" t="n">
        <f aca="false">Q1173*L1173</f>
        <v>6.41770299324818E-005</v>
      </c>
      <c r="AA1173" s="16" t="n">
        <f aca="false">R1173*L1173</f>
        <v>7.51655655811631E-005</v>
      </c>
      <c r="AB1173" s="16" t="n">
        <f aca="false">S1173*L1173</f>
        <v>6.77620080197814E-005</v>
      </c>
      <c r="AC1173" s="16" t="n">
        <f aca="false">Z1173-W1173</f>
        <v>6.41770299324818E-005</v>
      </c>
      <c r="AD1173" s="16" t="n">
        <f aca="false">AA1173-W1173</f>
        <v>7.51655655811631E-005</v>
      </c>
      <c r="AE1173" s="16" t="n">
        <f aca="false">AB1173-W1173</f>
        <v>6.77620080197814E-005</v>
      </c>
      <c r="AF1173" s="16" t="n">
        <f aca="false">AE1173-X1173</f>
        <v>-5.25604972355017E-005</v>
      </c>
      <c r="AG1173" s="16" t="n">
        <f aca="false">AF1173-p_spc_lo*Y1173/1000</f>
        <v>-0.000120322505255283</v>
      </c>
      <c r="AH1173" s="16" t="n">
        <f aca="false">AF1173-p_spc_hi*Y1173/1000</f>
        <v>-0.000188084513275065</v>
      </c>
      <c r="AI1173" s="16" t="n">
        <f aca="false">Q1173*J1173</f>
        <v>0.000168886920874952</v>
      </c>
      <c r="AJ1173" s="16" t="n">
        <f aca="false">S1173*J1173</f>
        <v>0.000178321073736267</v>
      </c>
      <c r="AK1173" s="16" t="n">
        <f aca="false">T1173*J1173</f>
        <v>0</v>
      </c>
      <c r="AL1173" s="16" t="n">
        <f aca="false">U1173*J1173</f>
        <v>0.000316638171724429</v>
      </c>
      <c r="AM1173" s="16" t="n">
        <f aca="false">AI1173-AJ1173</f>
        <v>-9.43415286131468E-006</v>
      </c>
      <c r="AN1173" s="16" t="n">
        <f aca="false">J1173*Country_Data!$EB$171</f>
        <v>0.0025645914470062</v>
      </c>
      <c r="AO1173" s="16" t="n">
        <f aca="false">L1173*Country_Data!$EB$171</f>
        <v>0.000974544749862357</v>
      </c>
    </row>
    <row r="1174" customFormat="false" ht="15" hidden="false" customHeight="false" outlineLevel="0" collapsed="false">
      <c r="A1174" s="14" t="str">
        <f aca="false">Country_Data!$A$172</f>
        <v>BLZ</v>
      </c>
      <c r="B1174" s="14" t="str">
        <f aca="false">Country_Data!$E$172</f>
        <v>EMDC</v>
      </c>
      <c r="C1174" s="35" t="s">
        <v>466</v>
      </c>
      <c r="D1174" s="37" t="n">
        <f aca="false">IF(Country_Data!$BZ$172="","",Country_Data!$BZ$172)</f>
        <v>0.787886052154918</v>
      </c>
      <c r="E1174" s="40" t="n">
        <f aca="false">Country_Data!$BW$172</f>
        <v>5.992</v>
      </c>
      <c r="F1174" s="41" t="n">
        <f aca="false">Country_Data!$BX$172</f>
        <v>0.534712950600801</v>
      </c>
      <c r="G1174" s="42" t="n">
        <f aca="false">IF(D1174="","",D1174/SUMIFS($D$5:$D$1369,$B$5:$B$1369,B1174,$C$5:$C$1369,C1174))</f>
        <v>8.99467541888407E-005</v>
      </c>
      <c r="H1174" s="42" t="n">
        <f aca="false">E1174/SUMIFS($E$5:$E$1369,$B$5:$B$1369,B1174,$C$5:$C$1369,C1174)</f>
        <v>7.42209800860602E-005</v>
      </c>
      <c r="I1174" s="43" t="n">
        <f aca="false">IF(G1174="",H1174,p_beta_alloc*G1174+(1-p_beta_alloc)*H1174)*F1174^p_phi</f>
        <v>6.00230638617403E-005</v>
      </c>
      <c r="J1174" s="16" t="n">
        <f aca="false">INDEX(Sector_Params!$C$16:$E$16,MATCH(B1174,Sector_Params!$C$15:$E$15,0))*I1174/SUMIFS($I$5:$I$1369,$B$5:$B$1369,B1174,$C$5:$C$1369,C1174)</f>
        <v>0.0580558290829418</v>
      </c>
      <c r="K1174" s="28" t="n">
        <f aca="false">INDEX(Sector_Params!$F$5:$H$5,MATCH(B1174,Sector_Params!$C$15:$E$15,0))</f>
        <v>0.24</v>
      </c>
      <c r="L1174" s="16" t="n">
        <f aca="false">J1174*K1174</f>
        <v>0.013933398979906</v>
      </c>
      <c r="M1174" s="44" t="n">
        <f aca="false">Country_Data!$DW$172+Sector_Params!$E$5</f>
        <v>0.105</v>
      </c>
      <c r="N1174" s="44" t="n">
        <f aca="false">Country_Data!$DX$172+Sector_Params!$E$5</f>
        <v>0.15</v>
      </c>
      <c r="O1174" s="11" t="n">
        <f aca="false">IF(p_use_ibrd=1,p_r_ibrd,p_r_wb)</f>
        <v>0.06</v>
      </c>
      <c r="P1174" s="45" t="n">
        <f aca="false">Sector_Params!$D$5</f>
        <v>25</v>
      </c>
      <c r="Q1174" s="46" t="n">
        <f aca="false">M1174/(1-(1+M1174)^-P1174)</f>
        <v>0.114429319813103</v>
      </c>
      <c r="R1174" s="46" t="n">
        <f aca="false">N1174/(1-(1+N1174)^-P1174)</f>
        <v>0.154699402320206</v>
      </c>
      <c r="S1174" s="46" t="n">
        <f aca="false">O1174/(1-(1+O1174)^-P1174)</f>
        <v>0.078226718212274</v>
      </c>
      <c r="T1174" s="37" t="n">
        <f aca="false">IF(AND(p_eng=1,ISNUMBER(Country_Data!$CZ$172)),Country_Data!$CZ$172,Country_Data!$CM$172)*Sector_Params!$I$5</f>
        <v>0.0265127013920194</v>
      </c>
      <c r="U1174" s="37" t="n">
        <f aca="false">IF(AND(p_eng=1,ISNUMBER(Country_Data!$DA$172)),Country_Data!$DA$172,Country_Data!$CN$172)*Sector_Params!$J$5</f>
        <v>-0.00208451798704788</v>
      </c>
      <c r="V1174" s="37" t="n">
        <f aca="false">IF(AND(p_eng=1,ISNUMBER(Country_Data!$DB$172)),Country_Data!$DB$172,p_a)</f>
        <v>0.238756240568406</v>
      </c>
      <c r="W1174" s="16" t="n">
        <f aca="false">T1174*L1174</f>
        <v>0.000369412046530115</v>
      </c>
      <c r="X1174" s="16" t="n">
        <f aca="false">U1174*L1174</f>
        <v>-2.90444207943286E-005</v>
      </c>
      <c r="Y1174" s="16" t="n">
        <f aca="false">V1174*L1174</f>
        <v>0.00332668595878202</v>
      </c>
      <c r="Z1174" s="16" t="n">
        <f aca="false">Q1174*L1174</f>
        <v>0.00159438936795523</v>
      </c>
      <c r="AA1174" s="16" t="n">
        <f aca="false">R1174*L1174</f>
        <v>0.00215548849448044</v>
      </c>
      <c r="AB1174" s="16" t="n">
        <f aca="false">S1174*L1174</f>
        <v>0.00108996407574029</v>
      </c>
      <c r="AC1174" s="16" t="n">
        <f aca="false">Z1174-W1174</f>
        <v>0.00122497732142512</v>
      </c>
      <c r="AD1174" s="16" t="n">
        <f aca="false">AA1174-W1174</f>
        <v>0.00178607644795032</v>
      </c>
      <c r="AE1174" s="16" t="n">
        <f aca="false">AB1174-W1174</f>
        <v>0.000720552029210178</v>
      </c>
      <c r="AF1174" s="16" t="n">
        <f aca="false">AE1174-X1174</f>
        <v>0.000749596450004507</v>
      </c>
      <c r="AG1174" s="16" t="n">
        <f aca="false">AF1174-p_spc_lo*Y1174/1000</f>
        <v>0.000583262152065406</v>
      </c>
      <c r="AH1174" s="16" t="n">
        <f aca="false">AF1174-p_spc_hi*Y1174/1000</f>
        <v>0.000416927854126305</v>
      </c>
      <c r="AI1174" s="16" t="n">
        <f aca="false">Q1174*J1174</f>
        <v>0.00664328903314681</v>
      </c>
      <c r="AJ1174" s="16" t="n">
        <f aca="false">S1174*J1174</f>
        <v>0.00454151698225122</v>
      </c>
      <c r="AK1174" s="16" t="n">
        <f aca="false">T1174*J1174</f>
        <v>0.00153921686054215</v>
      </c>
      <c r="AL1174" s="16" t="n">
        <f aca="false">U1174*J1174</f>
        <v>-0.000121018419976369</v>
      </c>
      <c r="AM1174" s="16" t="n">
        <f aca="false">AI1174-AJ1174</f>
        <v>0.00210177205089558</v>
      </c>
      <c r="AN1174" s="16" t="n">
        <f aca="false">J1174*Country_Data!$EB$172</f>
        <v>0.0666449106458975</v>
      </c>
      <c r="AO1174" s="16" t="n">
        <f aca="false">L1174*Country_Data!$EB$172</f>
        <v>0.0159947785550154</v>
      </c>
    </row>
    <row r="1175" customFormat="false" ht="15" hidden="false" customHeight="false" outlineLevel="0" collapsed="false">
      <c r="A1175" s="14" t="str">
        <f aca="false">Country_Data!$A$172</f>
        <v>BLZ</v>
      </c>
      <c r="B1175" s="14" t="str">
        <f aca="false">Country_Data!$E$172</f>
        <v>EMDC</v>
      </c>
      <c r="C1175" s="35" t="s">
        <v>470</v>
      </c>
      <c r="D1175" s="37" t="n">
        <f aca="false">IF(Country_Data!$BZ$172="","",Country_Data!$BZ$172)</f>
        <v>0.787886052154918</v>
      </c>
      <c r="E1175" s="40" t="n">
        <f aca="false">Country_Data!$BW$172</f>
        <v>5.992</v>
      </c>
      <c r="F1175" s="41" t="n">
        <f aca="false">Country_Data!$BX$172</f>
        <v>0.534712950600801</v>
      </c>
      <c r="G1175" s="42" t="n">
        <f aca="false">IF(D1175="","",D1175/SUMIFS($D$5:$D$1369,$B$5:$B$1369,B1175,$C$5:$C$1369,C1175))</f>
        <v>8.99467541888407E-005</v>
      </c>
      <c r="H1175" s="42" t="n">
        <f aca="false">E1175/SUMIFS($E$5:$E$1369,$B$5:$B$1369,B1175,$C$5:$C$1369,C1175)</f>
        <v>7.42209800860602E-005</v>
      </c>
      <c r="I1175" s="43" t="n">
        <f aca="false">IF(G1175="",H1175,p_beta_alloc*G1175+(1-p_beta_alloc)*H1175)*F1175^p_phi</f>
        <v>6.00230638617403E-005</v>
      </c>
      <c r="J1175" s="16" t="n">
        <f aca="false">INDEX(Sector_Params!$C$17:$E$17,MATCH(B1175,Sector_Params!$C$15:$E$15,0))*I1175/SUMIFS($I$5:$I$1369,$B$5:$B$1369,B1175,$C$5:$C$1369,C1175)</f>
        <v>0.0398097113711601</v>
      </c>
      <c r="K1175" s="28" t="n">
        <f aca="false">INDEX(Sector_Params!$F$6:$H$6,MATCH(B1175,Sector_Params!$C$15:$E$15,0))</f>
        <v>0.24</v>
      </c>
      <c r="L1175" s="16" t="n">
        <f aca="false">J1175*K1175</f>
        <v>0.00955433072907841</v>
      </c>
      <c r="M1175" s="44" t="n">
        <f aca="false">Country_Data!$DW$172+Sector_Params!$E$6</f>
        <v>0.105</v>
      </c>
      <c r="N1175" s="44" t="n">
        <f aca="false">Country_Data!$DX$172+Sector_Params!$E$6</f>
        <v>0.15</v>
      </c>
      <c r="O1175" s="11" t="n">
        <f aca="false">IF(p_use_ibrd=1,p_r_ibrd,p_r_wb)</f>
        <v>0.06</v>
      </c>
      <c r="P1175" s="45" t="n">
        <f aca="false">Sector_Params!$D$6</f>
        <v>40</v>
      </c>
      <c r="Q1175" s="46" t="n">
        <f aca="false">M1175/(1-(1+M1175)^-P1175)</f>
        <v>0.10697140835497</v>
      </c>
      <c r="R1175" s="46" t="n">
        <f aca="false">N1175/(1-(1+N1175)^-P1175)</f>
        <v>0.150562085013545</v>
      </c>
      <c r="S1175" s="46" t="n">
        <f aca="false">O1175/(1-(1+O1175)^-P1175)</f>
        <v>0.0664615359206755</v>
      </c>
      <c r="T1175" s="37" t="n">
        <f aca="false">p_grid_credit*IF(AND(p_eng=1,ISNUMBER(Country_Data!$CZ$172)),Country_Data!$CZ$172,Country_Data!$CM$172)*Sector_Params!$I$6</f>
        <v>0</v>
      </c>
      <c r="U1175" s="37" t="n">
        <f aca="false">p_grid_credit*IF(AND(p_eng=1,ISNUMBER(Country_Data!$DA$172)),Country_Data!$DA$172,Country_Data!$CN$172)*Sector_Params!$J$6</f>
        <v>-0</v>
      </c>
      <c r="V1175" s="37" t="n">
        <f aca="false">p_grid_credit*IF(AND(p_eng=1,ISNUMBER(Country_Data!$DB$172)),Country_Data!$DB$172,p_a)</f>
        <v>0</v>
      </c>
      <c r="W1175" s="16" t="n">
        <f aca="false">T1175*L1175</f>
        <v>0</v>
      </c>
      <c r="X1175" s="16" t="n">
        <f aca="false">U1175*L1175</f>
        <v>-0</v>
      </c>
      <c r="Y1175" s="16" t="n">
        <f aca="false">V1175*L1175</f>
        <v>0</v>
      </c>
      <c r="Z1175" s="16" t="n">
        <f aca="false">Q1175*L1175</f>
        <v>0.00102204021397869</v>
      </c>
      <c r="AA1175" s="16" t="n">
        <f aca="false">R1175*L1175</f>
        <v>0.00143851995547903</v>
      </c>
      <c r="AB1175" s="16" t="n">
        <f aca="false">S1175*L1175</f>
        <v>0.000634995494948659</v>
      </c>
      <c r="AC1175" s="16" t="n">
        <f aca="false">Z1175-W1175</f>
        <v>0.00102204021397869</v>
      </c>
      <c r="AD1175" s="16" t="n">
        <f aca="false">AA1175-W1175</f>
        <v>0.00143851995547903</v>
      </c>
      <c r="AE1175" s="16" t="n">
        <f aca="false">AB1175-W1175</f>
        <v>0.000634995494948659</v>
      </c>
      <c r="AF1175" s="16" t="n">
        <f aca="false">AE1175-X1175</f>
        <v>0.000634995494948659</v>
      </c>
      <c r="AG1175" s="16" t="n">
        <f aca="false">AF1175-p_spc_lo*Y1175/1000</f>
        <v>0.000634995494948659</v>
      </c>
      <c r="AH1175" s="16" t="n">
        <f aca="false">AF1175-p_spc_hi*Y1175/1000</f>
        <v>0.000634995494948659</v>
      </c>
      <c r="AI1175" s="16" t="n">
        <f aca="false">Q1175*J1175</f>
        <v>0.00425850089157787</v>
      </c>
      <c r="AJ1175" s="16" t="n">
        <f aca="false">S1175*J1175</f>
        <v>0.00264581456228608</v>
      </c>
      <c r="AK1175" s="16" t="n">
        <f aca="false">T1175*J1175</f>
        <v>0</v>
      </c>
      <c r="AL1175" s="16" t="n">
        <f aca="false">U1175*J1175</f>
        <v>-0</v>
      </c>
      <c r="AM1175" s="16" t="n">
        <f aca="false">AI1175-AJ1175</f>
        <v>0.00161268632929179</v>
      </c>
      <c r="AN1175" s="16" t="n">
        <f aca="false">J1175*Country_Data!$EB$172</f>
        <v>0.045699367300044</v>
      </c>
      <c r="AO1175" s="16" t="n">
        <f aca="false">L1175*Country_Data!$EB$172</f>
        <v>0.0109678481520106</v>
      </c>
    </row>
    <row r="1176" customFormat="false" ht="15" hidden="false" customHeight="false" outlineLevel="0" collapsed="false">
      <c r="A1176" s="14" t="str">
        <f aca="false">Country_Data!$A$172</f>
        <v>BLZ</v>
      </c>
      <c r="B1176" s="14" t="str">
        <f aca="false">Country_Data!$E$172</f>
        <v>EMDC</v>
      </c>
      <c r="C1176" s="35" t="s">
        <v>473</v>
      </c>
      <c r="D1176" s="37" t="n">
        <f aca="false">IF(Country_Data!$CA$172="","",Country_Data!$CA$172)</f>
        <v>0.00749798330090393</v>
      </c>
      <c r="E1176" s="40" t="n">
        <f aca="false">Country_Data!$BW$172</f>
        <v>5.992</v>
      </c>
      <c r="F1176" s="41" t="n">
        <f aca="false">Country_Data!$BX$172</f>
        <v>0.534712950600801</v>
      </c>
      <c r="G1176" s="42" t="n">
        <f aca="false">IF(D1176="","",D1176/SUMIFS($D$5:$D$1369,$B$5:$B$1369,B1176,$C$5:$C$1369,C1176))</f>
        <v>0.000173220859916675</v>
      </c>
      <c r="H1176" s="42" t="n">
        <f aca="false">E1176/SUMIFS($E$5:$E$1369,$B$5:$B$1369,B1176,$C$5:$C$1369,C1176)</f>
        <v>7.42209800860602E-005</v>
      </c>
      <c r="I1176" s="43" t="n">
        <f aca="false">IF(G1176="",H1176,p_beta_alloc*G1176+(1-p_beta_alloc)*H1176)*F1176^p_phi</f>
        <v>9.04697712382417E-005</v>
      </c>
      <c r="J1176" s="16" t="n">
        <f aca="false">INDEX(Sector_Params!$C$18:$E$18,MATCH(B1176,Sector_Params!$C$15:$E$15,0))*I1176/SUMIFS($I$5:$I$1369,$B$5:$B$1369,B1176,$C$5:$C$1369,C1176)</f>
        <v>0.0370452306974128</v>
      </c>
      <c r="K1176" s="28" t="n">
        <f aca="false">INDEX(Sector_Params!$F$7:$H$7,MATCH(B1176,Sector_Params!$C$15:$E$15,0))</f>
        <v>0.24</v>
      </c>
      <c r="L1176" s="16" t="n">
        <f aca="false">J1176*K1176</f>
        <v>0.00889085536737907</v>
      </c>
      <c r="M1176" s="44" t="n">
        <f aca="false">Country_Data!$DW$172+Sector_Params!$E$7</f>
        <v>0.105</v>
      </c>
      <c r="N1176" s="44" t="n">
        <f aca="false">Country_Data!$DX$172+Sector_Params!$E$7</f>
        <v>0.15</v>
      </c>
      <c r="O1176" s="11" t="n">
        <f aca="false">IF(p_use_ibrd=1,p_r_ibrd,p_r_wb)</f>
        <v>0.06</v>
      </c>
      <c r="P1176" s="45" t="n">
        <f aca="false">Sector_Params!$D$7</f>
        <v>12</v>
      </c>
      <c r="Q1176" s="46" t="n">
        <f aca="false">M1176/(1-(1+M1176)^-P1176)</f>
        <v>0.150376745634766</v>
      </c>
      <c r="R1176" s="46" t="n">
        <f aca="false">N1176/(1-(1+N1176)^-P1176)</f>
        <v>0.18448077613084</v>
      </c>
      <c r="S1176" s="46" t="n">
        <f aca="false">O1176/(1-(1+O1176)^-P1176)</f>
        <v>0.119277029380664</v>
      </c>
      <c r="T1176" s="37" t="n">
        <f aca="false">IF(AND(p_eng=1,ISNUMBER(Country_Data!$DE$172)),Country_Data!$DE$172,Country_Data!$CM$172)*Sector_Params!$I$7</f>
        <v>0.02749662</v>
      </c>
      <c r="U1176" s="37" t="n">
        <f aca="false">IF(AND(p_eng=1,ISNUMBER(Country_Data!$DF$172)),Country_Data!$DF$172,Country_Data!$CN$172)*Sector_Params!$J$7</f>
        <v>0.0010845</v>
      </c>
      <c r="V1176" s="37" t="n">
        <f aca="false">IF(AND(p_eng=1,ISNUMBER(Country_Data!$DG$172)),Country_Data!$DG$172,p_a)</f>
        <v>0.477239074468085</v>
      </c>
      <c r="W1176" s="16" t="n">
        <f aca="false">T1176*L1176</f>
        <v>0.000244468471511783</v>
      </c>
      <c r="X1176" s="16" t="n">
        <f aca="false">U1176*L1176</f>
        <v>9.6421326459226E-006</v>
      </c>
      <c r="Y1176" s="16" t="n">
        <f aca="false">V1176*L1176</f>
        <v>0.0042430635867576</v>
      </c>
      <c r="Z1176" s="16" t="n">
        <f aca="false">Q1176*L1176</f>
        <v>0.00133697789605585</v>
      </c>
      <c r="AA1176" s="16" t="n">
        <f aca="false">R1176*L1176</f>
        <v>0.00164019189864113</v>
      </c>
      <c r="AB1176" s="16" t="n">
        <f aca="false">S1176*L1176</f>
        <v>0.0010604748168741</v>
      </c>
      <c r="AC1176" s="16" t="n">
        <f aca="false">Z1176-W1176</f>
        <v>0.00109250942454407</v>
      </c>
      <c r="AD1176" s="16" t="n">
        <f aca="false">AA1176-W1176</f>
        <v>0.00139572342712935</v>
      </c>
      <c r="AE1176" s="16" t="n">
        <f aca="false">AB1176-W1176</f>
        <v>0.000816006345362321</v>
      </c>
      <c r="AF1176" s="16" t="n">
        <f aca="false">AE1176-X1176</f>
        <v>0.000806364212716399</v>
      </c>
      <c r="AG1176" s="16" t="n">
        <f aca="false">AF1176-p_spc_lo*Y1176/1000</f>
        <v>0.000594211033378519</v>
      </c>
      <c r="AH1176" s="16" t="n">
        <f aca="false">AF1176-p_spc_hi*Y1176/1000</f>
        <v>0.000382057854040639</v>
      </c>
      <c r="AI1176" s="16" t="n">
        <f aca="false">Q1176*J1176</f>
        <v>0.00557074123356606</v>
      </c>
      <c r="AJ1176" s="16" t="n">
        <f aca="false">S1176*J1176</f>
        <v>0.00441864507030877</v>
      </c>
      <c r="AK1176" s="16" t="n">
        <f aca="false">T1176*J1176</f>
        <v>0.0010186186312991</v>
      </c>
      <c r="AL1176" s="16" t="n">
        <f aca="false">U1176*J1176</f>
        <v>4.01755526913442E-005</v>
      </c>
      <c r="AM1176" s="16" t="n">
        <f aca="false">AI1176-AJ1176</f>
        <v>0.00115209616325729</v>
      </c>
      <c r="AN1176" s="16" t="n">
        <f aca="false">J1176*Country_Data!$EB$172</f>
        <v>0.0425258949649753</v>
      </c>
      <c r="AO1176" s="16" t="n">
        <f aca="false">L1176*Country_Data!$EB$172</f>
        <v>0.0102062147915941</v>
      </c>
    </row>
    <row r="1177" customFormat="false" ht="15" hidden="false" customHeight="false" outlineLevel="0" collapsed="false">
      <c r="A1177" s="14" t="str">
        <f aca="false">Country_Data!$A$172</f>
        <v>BLZ</v>
      </c>
      <c r="B1177" s="14" t="str">
        <f aca="false">Country_Data!$E$172</f>
        <v>EMDC</v>
      </c>
      <c r="C1177" s="35" t="s">
        <v>477</v>
      </c>
      <c r="D1177" s="37" t="n">
        <f aca="false">IF(Country_Data!$CB$172="","",Country_Data!$CB$172)</f>
        <v>0.00351326264618118</v>
      </c>
      <c r="E1177" s="40" t="n">
        <f aca="false">Country_Data!$BW$172</f>
        <v>5.992</v>
      </c>
      <c r="F1177" s="41" t="n">
        <f aca="false">Country_Data!$BX$172</f>
        <v>0.534712950600801</v>
      </c>
      <c r="G1177" s="42" t="n">
        <f aca="false">IF(D1177="","",D1177/SUMIFS($D$5:$D$1369,$B$5:$B$1369,B1177,$C$5:$C$1369,C1177))</f>
        <v>0.000110783869119962</v>
      </c>
      <c r="H1177" s="42" t="n">
        <f aca="false">E1177/SUMIFS($E$5:$E$1369,$B$5:$B$1369,B1177,$C$5:$C$1369,C1177)</f>
        <v>7.42209800860602E-005</v>
      </c>
      <c r="I1177" s="43" t="n">
        <f aca="false">IF(G1177="",H1177,p_beta_alloc*G1177+(1-p_beta_alloc)*H1177)*F1177^p_phi</f>
        <v>6.76415370393672E-005</v>
      </c>
      <c r="J1177" s="16" t="n">
        <f aca="false">INDEX(Sector_Params!$C$19:$E$19,MATCH(B1177,Sector_Params!$C$15:$E$15,0))*I1177/SUMIFS($I$5:$I$1369,$B$5:$B$1369,B1177,$C$5:$C$1369,C1177)</f>
        <v>0.0217712807444655</v>
      </c>
      <c r="K1177" s="28" t="n">
        <f aca="false">INDEX(Sector_Params!$F$8:$H$8,MATCH(B1177,Sector_Params!$C$15:$E$15,0))</f>
        <v>0.24</v>
      </c>
      <c r="L1177" s="16" t="n">
        <f aca="false">J1177*K1177</f>
        <v>0.00522510737867173</v>
      </c>
      <c r="M1177" s="44" t="n">
        <f aca="false">Country_Data!$DW$172+Sector_Params!$E$8</f>
        <v>0.105</v>
      </c>
      <c r="N1177" s="44" t="n">
        <f aca="false">Country_Data!$DX$172+Sector_Params!$E$8</f>
        <v>0.15</v>
      </c>
      <c r="O1177" s="11" t="n">
        <f aca="false">IF(p_use_ibrd=1,p_r_ibrd,p_r_wb)</f>
        <v>0.06</v>
      </c>
      <c r="P1177" s="45" t="n">
        <f aca="false">Sector_Params!$D$8</f>
        <v>25</v>
      </c>
      <c r="Q1177" s="46" t="n">
        <f aca="false">M1177/(1-(1+M1177)^-P1177)</f>
        <v>0.114429319813103</v>
      </c>
      <c r="R1177" s="46" t="n">
        <f aca="false">N1177/(1-(1+N1177)^-P1177)</f>
        <v>0.154699402320206</v>
      </c>
      <c r="S1177" s="46" t="n">
        <f aca="false">O1177/(1-(1+O1177)^-P1177)</f>
        <v>0.078226718212274</v>
      </c>
      <c r="T1177" s="37" t="n">
        <f aca="false">Country_Data!$CM$172*Sector_Params!$I$8</f>
        <v>0.532</v>
      </c>
      <c r="U1177" s="37" t="n">
        <f aca="false">Country_Data!$CN$172*Sector_Params!$J$8</f>
        <v>0.03225</v>
      </c>
      <c r="V1177" s="37" t="n">
        <f aca="false">p_a</f>
        <v>0.35</v>
      </c>
      <c r="W1177" s="16" t="n">
        <f aca="false">T1177*L1177</f>
        <v>0.00277975712545336</v>
      </c>
      <c r="X1177" s="16" t="n">
        <f aca="false">U1177*L1177</f>
        <v>0.000168509712962163</v>
      </c>
      <c r="Y1177" s="16" t="n">
        <f aca="false">V1177*L1177</f>
        <v>0.00182878758253511</v>
      </c>
      <c r="Z1177" s="16" t="n">
        <f aca="false">Q1177*L1177</f>
        <v>0.000597905483291833</v>
      </c>
      <c r="AA1177" s="16" t="n">
        <f aca="false">R1177*L1177</f>
        <v>0.000808320988539417</v>
      </c>
      <c r="AB1177" s="16" t="n">
        <f aca="false">S1177*L1177</f>
        <v>0.000408743002540227</v>
      </c>
      <c r="AC1177" s="16" t="n">
        <f aca="false">Z1177-W1177</f>
        <v>-0.00218185164216153</v>
      </c>
      <c r="AD1177" s="16" t="n">
        <f aca="false">AA1177-W1177</f>
        <v>-0.00197143613691394</v>
      </c>
      <c r="AE1177" s="16" t="n">
        <f aca="false">AB1177-W1177</f>
        <v>-0.00237101412291313</v>
      </c>
      <c r="AF1177" s="16" t="n">
        <f aca="false">AE1177-X1177</f>
        <v>-0.0025395238358753</v>
      </c>
      <c r="AG1177" s="16" t="n">
        <f aca="false">AF1177-p_spc_lo*Y1177/1000</f>
        <v>-0.00263096321500205</v>
      </c>
      <c r="AH1177" s="16" t="n">
        <f aca="false">AF1177-p_spc_hi*Y1177/1000</f>
        <v>-0.00272240259412881</v>
      </c>
      <c r="AI1177" s="16" t="n">
        <f aca="false">Q1177*J1177</f>
        <v>0.00249127284704931</v>
      </c>
      <c r="AJ1177" s="16" t="n">
        <f aca="false">S1177*J1177</f>
        <v>0.00170309584391761</v>
      </c>
      <c r="AK1177" s="16" t="n">
        <f aca="false">T1177*J1177</f>
        <v>0.0115823213560557</v>
      </c>
      <c r="AL1177" s="16" t="n">
        <f aca="false">U1177*J1177</f>
        <v>0.000702123804009014</v>
      </c>
      <c r="AM1177" s="16" t="n">
        <f aca="false">AI1177-AJ1177</f>
        <v>0.000788177003131694</v>
      </c>
      <c r="AN1177" s="16" t="n">
        <f aca="false">J1177*Country_Data!$EB$172</f>
        <v>0.0249922373477563</v>
      </c>
      <c r="AO1177" s="16" t="n">
        <f aca="false">L1177*Country_Data!$EB$172</f>
        <v>0.00599813696346152</v>
      </c>
    </row>
    <row r="1178" customFormat="false" ht="15" hidden="false" customHeight="false" outlineLevel="0" collapsed="false">
      <c r="A1178" s="14" t="str">
        <f aca="false">Country_Data!$A$172</f>
        <v>BLZ</v>
      </c>
      <c r="B1178" s="14" t="str">
        <f aca="false">Country_Data!$E$172</f>
        <v>EMDC</v>
      </c>
      <c r="C1178" s="35" t="s">
        <v>481</v>
      </c>
      <c r="D1178" s="37" t="n">
        <f aca="false">IF(Country_Data!$CC$172="","",Country_Data!$CC$172)</f>
        <v>0.00382829441866935</v>
      </c>
      <c r="E1178" s="40" t="n">
        <f aca="false">Country_Data!$BW$172</f>
        <v>5.992</v>
      </c>
      <c r="F1178" s="41" t="n">
        <f aca="false">Country_Data!$BX$172</f>
        <v>0.534712950600801</v>
      </c>
      <c r="G1178" s="42" t="n">
        <f aca="false">IF(D1178="","",D1178/SUMIFS($D$5:$D$1369,$B$5:$B$1369,B1178,$C$5:$C$1369,C1178))</f>
        <v>5.46842506608239E-005</v>
      </c>
      <c r="H1178" s="42" t="n">
        <f aca="false">E1178/SUMIFS($E$5:$E$1369,$B$5:$B$1369,B1178,$C$5:$C$1369,C1178)</f>
        <v>7.42209800860602E-005</v>
      </c>
      <c r="I1178" s="43" t="n">
        <f aca="false">IF(G1178="",H1178,p_beta_alloc*G1178+(1-p_beta_alloc)*H1178)*F1178^p_phi</f>
        <v>4.71303751093769E-005</v>
      </c>
      <c r="J1178" s="16" t="n">
        <f aca="false">INDEX(Sector_Params!$C$20:$E$20,MATCH(B1178,Sector_Params!$C$15:$E$15,0))*I1178/SUMIFS($I$5:$I$1369,$B$5:$B$1369,B1178,$C$5:$C$1369,C1178)</f>
        <v>0.00860224255420343</v>
      </c>
      <c r="K1178" s="28" t="n">
        <f aca="false">INDEX(Sector_Params!$F$9:$H$9,MATCH(B1178,Sector_Params!$C$15:$E$15,0))</f>
        <v>0.24</v>
      </c>
      <c r="L1178" s="16" t="n">
        <f aca="false">J1178*K1178</f>
        <v>0.00206453821300882</v>
      </c>
      <c r="M1178" s="44" t="n">
        <f aca="false">Country_Data!$DW$172+Sector_Params!$E$9</f>
        <v>0.105</v>
      </c>
      <c r="N1178" s="44" t="n">
        <f aca="false">Country_Data!$DX$172+Sector_Params!$E$9</f>
        <v>0.15</v>
      </c>
      <c r="O1178" s="11" t="n">
        <f aca="false">IF(p_use_ibrd=1,p_r_ibrd,p_r_wb)</f>
        <v>0.06</v>
      </c>
      <c r="P1178" s="45" t="n">
        <f aca="false">Sector_Params!$D$9</f>
        <v>25</v>
      </c>
      <c r="Q1178" s="46" t="n">
        <f aca="false">M1178/(1-(1+M1178)^-P1178)</f>
        <v>0.114429319813103</v>
      </c>
      <c r="R1178" s="46" t="n">
        <f aca="false">N1178/(1-(1+N1178)^-P1178)</f>
        <v>0.154699402320206</v>
      </c>
      <c r="S1178" s="46" t="n">
        <f aca="false">O1178/(1-(1+O1178)^-P1178)</f>
        <v>0.078226718212274</v>
      </c>
      <c r="T1178" s="37" t="n">
        <f aca="false">Country_Data!$CM$172*Sector_Params!$I$9</f>
        <v>0.532</v>
      </c>
      <c r="U1178" s="37" t="n">
        <f aca="false">Country_Data!$CN$172*Sector_Params!$J$9</f>
        <v>0.03225</v>
      </c>
      <c r="V1178" s="37" t="n">
        <f aca="false">p_a</f>
        <v>0.35</v>
      </c>
      <c r="W1178" s="16" t="n">
        <f aca="false">T1178*L1178</f>
        <v>0.00109833432932069</v>
      </c>
      <c r="X1178" s="16" t="n">
        <f aca="false">U1178*L1178</f>
        <v>6.65813573695346E-005</v>
      </c>
      <c r="Y1178" s="16" t="n">
        <f aca="false">V1178*L1178</f>
        <v>0.000722588374553088</v>
      </c>
      <c r="Z1178" s="16" t="n">
        <f aca="false">Q1178*L1178</f>
        <v>0.00023624370344276</v>
      </c>
      <c r="AA1178" s="16" t="n">
        <f aca="false">R1178*L1178</f>
        <v>0.000319382827619692</v>
      </c>
      <c r="AB1178" s="16" t="n">
        <f aca="false">S1178*L1178</f>
        <v>0.000161502049027513</v>
      </c>
      <c r="AC1178" s="16" t="n">
        <f aca="false">Z1178-W1178</f>
        <v>-0.000862090625877935</v>
      </c>
      <c r="AD1178" s="16" t="n">
        <f aca="false">AA1178-W1178</f>
        <v>-0.000778951501701002</v>
      </c>
      <c r="AE1178" s="16" t="n">
        <f aca="false">AB1178-W1178</f>
        <v>-0.000936832280293181</v>
      </c>
      <c r="AF1178" s="16" t="n">
        <f aca="false">AE1178-X1178</f>
        <v>-0.00100341363766272</v>
      </c>
      <c r="AG1178" s="16" t="n">
        <f aca="false">AF1178-p_spc_lo*Y1178/1000</f>
        <v>-0.00103954305639037</v>
      </c>
      <c r="AH1178" s="16" t="n">
        <f aca="false">AF1178-p_spc_hi*Y1178/1000</f>
        <v>-0.00107567247511802</v>
      </c>
      <c r="AI1178" s="16" t="n">
        <f aca="false">Q1178*J1178</f>
        <v>0.000984348764344831</v>
      </c>
      <c r="AJ1178" s="16" t="n">
        <f aca="false">S1178*J1178</f>
        <v>0.000672925204281304</v>
      </c>
      <c r="AK1178" s="16" t="n">
        <f aca="false">T1178*J1178</f>
        <v>0.00457639303883623</v>
      </c>
      <c r="AL1178" s="16" t="n">
        <f aca="false">U1178*J1178</f>
        <v>0.000277422322373061</v>
      </c>
      <c r="AM1178" s="16" t="n">
        <f aca="false">AI1178-AJ1178</f>
        <v>0.000311423560063528</v>
      </c>
      <c r="AN1178" s="16" t="n">
        <f aca="false">J1178*Country_Data!$EB$172</f>
        <v>0.00987490309646914</v>
      </c>
      <c r="AO1178" s="16" t="n">
        <f aca="false">L1178*Country_Data!$EB$172</f>
        <v>0.0023699767431526</v>
      </c>
    </row>
    <row r="1179" customFormat="false" ht="15" hidden="false" customHeight="false" outlineLevel="0" collapsed="false">
      <c r="A1179" s="14" t="str">
        <f aca="false">Country_Data!$A$172</f>
        <v>BLZ</v>
      </c>
      <c r="B1179" s="14" t="str">
        <f aca="false">Country_Data!$E$172</f>
        <v>EMDC</v>
      </c>
      <c r="C1179" s="35" t="s">
        <v>484</v>
      </c>
      <c r="D1179" s="37" t="n">
        <f aca="false">IF(Country_Data!$CD$172="","",Country_Data!$CD$172)</f>
        <v>0.0120031505779968</v>
      </c>
      <c r="E1179" s="40" t="n">
        <f aca="false">Country_Data!$BW$172</f>
        <v>5.992</v>
      </c>
      <c r="F1179" s="41" t="n">
        <f aca="false">Country_Data!$BX$172</f>
        <v>0.534712950600801</v>
      </c>
      <c r="G1179" s="42" t="n">
        <f aca="false">IF(D1179="","",D1179/SUMIFS($D$5:$D$1369,$B$5:$B$1369,B1179,$C$5:$C$1369,C1179))</f>
        <v>6.70299778104478E-005</v>
      </c>
      <c r="H1179" s="42" t="n">
        <f aca="false">E1179/SUMIFS($E$5:$E$1369,$B$5:$B$1369,B1179,$C$5:$C$1369,C1179)</f>
        <v>7.42209800860602E-005</v>
      </c>
      <c r="I1179" s="43" t="n">
        <f aca="false">IF(G1179="",H1179,p_beta_alloc*G1179+(1-p_beta_alloc)*H1179)*F1179^p_phi</f>
        <v>5.16442241455135E-005</v>
      </c>
      <c r="J1179" s="16" t="n">
        <f aca="false">INDEX(Sector_Params!$C$21:$E$21,MATCH(B1179,Sector_Params!$C$15:$E$15,0))*I1179/SUMIFS($I$5:$I$1369,$B$5:$B$1369,B1179,$C$5:$C$1369,C1179)</f>
        <v>0.011454163500434</v>
      </c>
      <c r="K1179" s="28" t="n">
        <f aca="false">INDEX(Sector_Params!$F$10:$H$10,MATCH(B1179,Sector_Params!$C$15:$E$15,0))</f>
        <v>0.24</v>
      </c>
      <c r="L1179" s="16" t="n">
        <f aca="false">J1179*K1179</f>
        <v>0.00274899924010415</v>
      </c>
      <c r="M1179" s="44" t="n">
        <f aca="false">Country_Data!$DW$172+Sector_Params!$E$10</f>
        <v>0.105</v>
      </c>
      <c r="N1179" s="44" t="n">
        <f aca="false">Country_Data!$DX$172+Sector_Params!$E$10</f>
        <v>0.15</v>
      </c>
      <c r="O1179" s="11" t="n">
        <f aca="false">IF(p_use_ibrd=1,p_r_ibrd,p_r_wb)</f>
        <v>0.06</v>
      </c>
      <c r="P1179" s="45" t="n">
        <f aca="false">Sector_Params!$D$10</f>
        <v>20</v>
      </c>
      <c r="Q1179" s="46" t="n">
        <f aca="false">M1179/(1-(1+M1179)^-P1179)</f>
        <v>0.121493265267016</v>
      </c>
      <c r="R1179" s="46" t="n">
        <f aca="false">N1179/(1-(1+N1179)^-P1179)</f>
        <v>0.159761470405744</v>
      </c>
      <c r="S1179" s="46" t="n">
        <f aca="false">O1179/(1-(1+O1179)^-P1179)</f>
        <v>0.0871845569768514</v>
      </c>
      <c r="T1179" s="37" t="n">
        <f aca="false">0*Sector_Params!$I$10</f>
        <v>0</v>
      </c>
      <c r="U1179" s="37" t="n">
        <f aca="false">0*Sector_Params!$J$10</f>
        <v>0</v>
      </c>
      <c r="V1179" s="37" t="n">
        <f aca="false">1000*p_r_wb/(1-(1+p_r_wb)^-Sector_Params!$D$10)/p_cpt_fuel</f>
        <v>0.871845569768514</v>
      </c>
      <c r="W1179" s="16" t="n">
        <f aca="false">T1179*L1179</f>
        <v>0</v>
      </c>
      <c r="X1179" s="16" t="n">
        <f aca="false">U1179*L1179</f>
        <v>0</v>
      </c>
      <c r="Y1179" s="16" t="n">
        <f aca="false">V1179*L1179</f>
        <v>0.00239670280878181</v>
      </c>
      <c r="Z1179" s="16" t="n">
        <f aca="false">Q1179*L1179</f>
        <v>0.000333984893896799</v>
      </c>
      <c r="AA1179" s="16" t="n">
        <f aca="false">R1179*L1179</f>
        <v>0.000439184160743311</v>
      </c>
      <c r="AB1179" s="16" t="n">
        <f aca="false">S1179*L1179</f>
        <v>0.000239670280878181</v>
      </c>
      <c r="AC1179" s="16" t="n">
        <f aca="false">Z1179-W1179</f>
        <v>0.000333984893896799</v>
      </c>
      <c r="AD1179" s="16" t="n">
        <f aca="false">AA1179-W1179</f>
        <v>0.000439184160743311</v>
      </c>
      <c r="AE1179" s="16" t="n">
        <f aca="false">AB1179-W1179</f>
        <v>0.000239670280878181</v>
      </c>
      <c r="AF1179" s="16" t="n">
        <f aca="false">AE1179-X1179</f>
        <v>0.000239670280878181</v>
      </c>
      <c r="AG1179" s="16" t="n">
        <f aca="false">AF1179-p_spc_lo*Y1179/1000</f>
        <v>0.000119835140439091</v>
      </c>
      <c r="AH1179" s="16" t="n">
        <f aca="false">AF1179-p_spc_hi*Y1179/1000</f>
        <v>0</v>
      </c>
      <c r="AI1179" s="16" t="n">
        <f aca="false">Q1179*J1179</f>
        <v>0.00139160372457</v>
      </c>
      <c r="AJ1179" s="16" t="n">
        <f aca="false">S1179*J1179</f>
        <v>0.000998626170325756</v>
      </c>
      <c r="AK1179" s="16" t="n">
        <f aca="false">T1179*J1179</f>
        <v>0</v>
      </c>
      <c r="AL1179" s="16" t="n">
        <f aca="false">U1179*J1179</f>
        <v>0</v>
      </c>
      <c r="AM1179" s="16" t="n">
        <f aca="false">AI1179-AJ1179</f>
        <v>0.000392977554244241</v>
      </c>
      <c r="AN1179" s="16" t="n">
        <f aca="false">J1179*Country_Data!$EB$172</f>
        <v>0.0131487520731009</v>
      </c>
      <c r="AO1179" s="16" t="n">
        <f aca="false">L1179*Country_Data!$EB$172</f>
        <v>0.00315570049754422</v>
      </c>
    </row>
    <row r="1180" customFormat="false" ht="15" hidden="false" customHeight="false" outlineLevel="0" collapsed="false">
      <c r="A1180" s="14" t="str">
        <f aca="false">Country_Data!$A$172</f>
        <v>BLZ</v>
      </c>
      <c r="B1180" s="14" t="str">
        <f aca="false">Country_Data!$E$172</f>
        <v>EMDC</v>
      </c>
      <c r="C1180" s="35" t="s">
        <v>488</v>
      </c>
      <c r="D1180" s="37" t="n">
        <f aca="false">IF(Country_Data!$CE$172="","",Country_Data!$CE$172)</f>
        <v>6.068</v>
      </c>
      <c r="E1180" s="40" t="n">
        <f aca="false">Country_Data!$BW$172</f>
        <v>5.992</v>
      </c>
      <c r="F1180" s="41" t="n">
        <f aca="false">Country_Data!$BX$172</f>
        <v>0.534712950600801</v>
      </c>
      <c r="G1180" s="42" t="n">
        <f aca="false">IF(D1180="","",D1180/SUMIFS($D$5:$D$1369,$B$5:$B$1369,B1180,$C$5:$C$1369,C1180))</f>
        <v>0.00049720954661995</v>
      </c>
      <c r="H1180" s="42" t="n">
        <f aca="false">E1180/SUMIFS($E$5:$E$1369,$B$5:$B$1369,B1180,$C$5:$C$1369,C1180)</f>
        <v>7.42209800860602E-005</v>
      </c>
      <c r="I1180" s="43" t="n">
        <f aca="false">IF(G1180="",H1180,p_beta_alloc*G1180+(1-p_beta_alloc)*H1180)*F1180^p_phi</f>
        <v>0.000208926627077576</v>
      </c>
      <c r="J1180" s="16" t="n">
        <f aca="false">INDEX(Sector_Params!$C$22:$E$22,MATCH(B1180,Sector_Params!$C$15:$E$15,0))*I1180/SUMIFS($I$5:$I$1369,$B$5:$B$1369,B1180,$C$5:$C$1369,C1180)</f>
        <v>0.125942723324644</v>
      </c>
      <c r="K1180" s="28" t="n">
        <f aca="false">INDEX(Sector_Params!$F$11:$H$11,MATCH(B1180,Sector_Params!$C$15:$E$15,0))</f>
        <v>0.24</v>
      </c>
      <c r="L1180" s="16" t="n">
        <f aca="false">J1180*K1180</f>
        <v>0.0302262535979146</v>
      </c>
      <c r="M1180" s="44" t="n">
        <f aca="false">Country_Data!$DW$172+Sector_Params!$E$11</f>
        <v>0.105</v>
      </c>
      <c r="N1180" s="44" t="n">
        <f aca="false">Country_Data!$DX$172+Sector_Params!$E$11</f>
        <v>0.15</v>
      </c>
      <c r="O1180" s="11" t="n">
        <f aca="false">IF(p_use_ibrd=1,p_r_ibrd,p_r_wb)</f>
        <v>0.06</v>
      </c>
      <c r="P1180" s="45" t="n">
        <f aca="false">Sector_Params!$D$11</f>
        <v>30</v>
      </c>
      <c r="Q1180" s="46" t="n">
        <f aca="false">M1180/(1-(1+M1180)^-P1180)</f>
        <v>0.110528481529605</v>
      </c>
      <c r="R1180" s="46" t="n">
        <f aca="false">N1180/(1-(1+N1180)^-P1180)</f>
        <v>0.152300198192734</v>
      </c>
      <c r="S1180" s="46" t="n">
        <f aca="false">O1180/(1-(1+O1180)^-P1180)</f>
        <v>0.0726489114900472</v>
      </c>
      <c r="T1180" s="37" t="n">
        <f aca="false">0*Sector_Params!$I$11</f>
        <v>0</v>
      </c>
      <c r="U1180" s="37" t="n">
        <f aca="false">p_c*Sector_Params!$J$11</f>
        <v>0.129</v>
      </c>
      <c r="V1180" s="37" t="n">
        <f aca="false">1000*p_r_wb/(1-(1+p_r_wb)^-Sector_Params!$D$11)/p_cpt_afolu</f>
        <v>1.45297822980094</v>
      </c>
      <c r="W1180" s="16" t="n">
        <f aca="false">T1180*L1180</f>
        <v>0</v>
      </c>
      <c r="X1180" s="16" t="n">
        <f aca="false">U1180*L1180</f>
        <v>0.00389918671413098</v>
      </c>
      <c r="Y1180" s="16" t="n">
        <f aca="false">V1180*L1180</f>
        <v>0.0439180884462124</v>
      </c>
      <c r="Z1180" s="16" t="n">
        <f aca="false">Q1180*L1180</f>
        <v>0.00334086191250626</v>
      </c>
      <c r="AA1180" s="16" t="n">
        <f aca="false">R1180*L1180</f>
        <v>0.00460346441358624</v>
      </c>
      <c r="AB1180" s="16" t="n">
        <f aca="false">S1180*L1180</f>
        <v>0.00219590442231062</v>
      </c>
      <c r="AC1180" s="16" t="n">
        <f aca="false">Z1180-W1180</f>
        <v>0.00334086191250626</v>
      </c>
      <c r="AD1180" s="16" t="n">
        <f aca="false">AA1180-W1180</f>
        <v>0.00460346441358624</v>
      </c>
      <c r="AE1180" s="16" t="n">
        <f aca="false">AB1180-W1180</f>
        <v>0.00219590442231062</v>
      </c>
      <c r="AF1180" s="16" t="n">
        <f aca="false">AE1180-X1180</f>
        <v>-0.00170328229182036</v>
      </c>
      <c r="AG1180" s="16" t="n">
        <f aca="false">AF1180-p_spc_lo*Y1180/1000</f>
        <v>-0.00389918671413098</v>
      </c>
      <c r="AH1180" s="16" t="n">
        <f aca="false">AF1180-p_spc_hi*Y1180/1000</f>
        <v>-0.0060950911364416</v>
      </c>
      <c r="AI1180" s="16" t="n">
        <f aca="false">Q1180*J1180</f>
        <v>0.0139202579687761</v>
      </c>
      <c r="AJ1180" s="16" t="n">
        <f aca="false">S1180*J1180</f>
        <v>0.00914960175962758</v>
      </c>
      <c r="AK1180" s="16" t="n">
        <f aca="false">T1180*J1180</f>
        <v>0</v>
      </c>
      <c r="AL1180" s="16" t="n">
        <f aca="false">U1180*J1180</f>
        <v>0.0162466113088791</v>
      </c>
      <c r="AM1180" s="16" t="n">
        <f aca="false">AI1180-AJ1180</f>
        <v>0.00477065620914853</v>
      </c>
      <c r="AN1180" s="16" t="n">
        <f aca="false">J1180*Country_Data!$EB$172</f>
        <v>0.14457534540555</v>
      </c>
      <c r="AO1180" s="16" t="n">
        <f aca="false">L1180*Country_Data!$EB$172</f>
        <v>0.0346980828973321</v>
      </c>
    </row>
    <row r="1181" customFormat="false" ht="15" hidden="false" customHeight="false" outlineLevel="0" collapsed="false">
      <c r="A1181" s="14" t="str">
        <f aca="false">Country_Data!$A$173</f>
        <v>BTN</v>
      </c>
      <c r="B1181" s="14" t="str">
        <f aca="false">Country_Data!$E$173</f>
        <v>EMDC</v>
      </c>
      <c r="C1181" s="35" t="s">
        <v>466</v>
      </c>
      <c r="D1181" s="37" t="n">
        <f aca="false">IF(Country_Data!$BZ$173="","",Country_Data!$BZ$173)</f>
        <v>3.20765271682111</v>
      </c>
      <c r="E1181" s="40" t="n">
        <f aca="false">Country_Data!$BW$173</f>
        <v>13.099</v>
      </c>
      <c r="F1181" s="41" t="n">
        <f aca="false">Country_Data!$BX$173</f>
        <v>0.240247347125735</v>
      </c>
      <c r="G1181" s="42" t="n">
        <f aca="false">IF(D1181="","",D1181/SUMIFS($D$5:$D$1369,$B$5:$B$1369,B1181,$C$5:$C$1369,C1181))</f>
        <v>0.000366192483867382</v>
      </c>
      <c r="H1181" s="42" t="n">
        <f aca="false">E1181/SUMIFS($E$5:$E$1369,$B$5:$B$1369,B1181,$C$5:$C$1369,C1181)</f>
        <v>0.00016225310716744</v>
      </c>
      <c r="I1181" s="43" t="n">
        <f aca="false">IF(G1181="",H1181,p_beta_alloc*G1181+(1-p_beta_alloc)*H1181)*F1181^p_phi</f>
        <v>0.000129508890720044</v>
      </c>
      <c r="J1181" s="16" t="n">
        <f aca="false">INDEX(Sector_Params!$C$16:$E$16,MATCH(B1181,Sector_Params!$C$15:$E$15,0))*I1181/SUMIFS($I$5:$I$1369,$B$5:$B$1369,B1181,$C$5:$C$1369,C1181)</f>
        <v>0.125264282437885</v>
      </c>
      <c r="K1181" s="28" t="n">
        <f aca="false">INDEX(Sector_Params!$F$5:$H$5,MATCH(B1181,Sector_Params!$C$15:$E$15,0))</f>
        <v>0.24</v>
      </c>
      <c r="L1181" s="16" t="n">
        <f aca="false">J1181*K1181</f>
        <v>0.0300634277850924</v>
      </c>
      <c r="M1181" s="44" t="n">
        <f aca="false">Country_Data!$DW$173+Sector_Params!$E$5</f>
        <v>0.105</v>
      </c>
      <c r="N1181" s="44" t="n">
        <f aca="false">Country_Data!$DX$173+Sector_Params!$E$5</f>
        <v>0.15</v>
      </c>
      <c r="O1181" s="11" t="n">
        <f aca="false">IF(p_use_ibrd=1,p_r_ibrd,p_r_wb)</f>
        <v>0.06</v>
      </c>
      <c r="P1181" s="45" t="n">
        <f aca="false">Sector_Params!$D$5</f>
        <v>25</v>
      </c>
      <c r="Q1181" s="46" t="n">
        <f aca="false">M1181/(1-(1+M1181)^-P1181)</f>
        <v>0.114429319813103</v>
      </c>
      <c r="R1181" s="46" t="n">
        <f aca="false">N1181/(1-(1+N1181)^-P1181)</f>
        <v>0.154699402320206</v>
      </c>
      <c r="S1181" s="46" t="n">
        <f aca="false">O1181/(1-(1+O1181)^-P1181)</f>
        <v>0.078226718212274</v>
      </c>
      <c r="T1181" s="37" t="n">
        <f aca="false">IF(AND(p_eng=1,ISNUMBER(Country_Data!$CZ$173)),Country_Data!$CZ$173,Country_Data!$CM$173)*Sector_Params!$I$5</f>
        <v>0.0866713466532802</v>
      </c>
      <c r="U1181" s="37" t="n">
        <f aca="false">IF(AND(p_eng=1,ISNUMBER(Country_Data!$DA$173)),Country_Data!$DA$173,Country_Data!$CN$173)*Sector_Params!$J$5</f>
        <v>0.0329222481906753</v>
      </c>
      <c r="V1181" s="37" t="n">
        <f aca="false">IF(AND(p_eng=1,ISNUMBER(Country_Data!$DB$173)),Country_Data!$DB$173,p_a)</f>
        <v>0.35</v>
      </c>
      <c r="W1181" s="16" t="n">
        <f aca="false">T1181*L1181</f>
        <v>0.0026056377711476</v>
      </c>
      <c r="X1181" s="16" t="n">
        <f aca="false">U1181*L1181</f>
        <v>0.000989755631003256</v>
      </c>
      <c r="Y1181" s="16" t="n">
        <f aca="false">V1181*L1181</f>
        <v>0.0105221997247823</v>
      </c>
      <c r="Z1181" s="16" t="n">
        <f aca="false">Q1181*L1181</f>
        <v>0.00344013759269847</v>
      </c>
      <c r="AA1181" s="16" t="n">
        <f aca="false">R1181*L1181</f>
        <v>0.00465079431005048</v>
      </c>
      <c r="AB1181" s="16" t="n">
        <f aca="false">S1181*L1181</f>
        <v>0.00235176329383947</v>
      </c>
      <c r="AC1181" s="16" t="n">
        <f aca="false">Z1181-W1181</f>
        <v>0.000834499821550877</v>
      </c>
      <c r="AD1181" s="16" t="n">
        <f aca="false">AA1181-W1181</f>
        <v>0.00204515653890288</v>
      </c>
      <c r="AE1181" s="16" t="n">
        <f aca="false">AB1181-W1181</f>
        <v>-0.000253874477308127</v>
      </c>
      <c r="AF1181" s="16" t="n">
        <f aca="false">AE1181-X1181</f>
        <v>-0.00124363010831138</v>
      </c>
      <c r="AG1181" s="16" t="n">
        <f aca="false">AF1181-p_spc_lo*Y1181/1000</f>
        <v>-0.0017697400945505</v>
      </c>
      <c r="AH1181" s="16" t="n">
        <f aca="false">AF1181-p_spc_hi*Y1181/1000</f>
        <v>-0.00229585008078962</v>
      </c>
      <c r="AI1181" s="16" t="n">
        <f aca="false">Q1181*J1181</f>
        <v>0.0143339066362436</v>
      </c>
      <c r="AJ1181" s="16" t="n">
        <f aca="false">S1181*J1181</f>
        <v>0.00979901372433112</v>
      </c>
      <c r="AK1181" s="16" t="n">
        <f aca="false">T1181*J1181</f>
        <v>0.0108568240464483</v>
      </c>
      <c r="AL1181" s="16" t="n">
        <f aca="false">U1181*J1181</f>
        <v>0.0041239817958469</v>
      </c>
      <c r="AM1181" s="16" t="n">
        <f aca="false">AI1181-AJ1181</f>
        <v>0.00453489291191252</v>
      </c>
      <c r="AN1181" s="16" t="n">
        <f aca="false">J1181*Country_Data!$EB$173</f>
        <v>0.152841845393202</v>
      </c>
      <c r="AO1181" s="16" t="n">
        <f aca="false">L1181*Country_Data!$EB$173</f>
        <v>0.0366820428943685</v>
      </c>
    </row>
    <row r="1182" customFormat="false" ht="15" hidden="false" customHeight="false" outlineLevel="0" collapsed="false">
      <c r="A1182" s="14" t="str">
        <f aca="false">Country_Data!$A$173</f>
        <v>BTN</v>
      </c>
      <c r="B1182" s="14" t="str">
        <f aca="false">Country_Data!$E$173</f>
        <v>EMDC</v>
      </c>
      <c r="C1182" s="35" t="s">
        <v>470</v>
      </c>
      <c r="D1182" s="37" t="n">
        <f aca="false">IF(Country_Data!$BZ$173="","",Country_Data!$BZ$173)</f>
        <v>3.20765271682111</v>
      </c>
      <c r="E1182" s="40" t="n">
        <f aca="false">Country_Data!$BW$173</f>
        <v>13.099</v>
      </c>
      <c r="F1182" s="41" t="n">
        <f aca="false">Country_Data!$BX$173</f>
        <v>0.240247347125735</v>
      </c>
      <c r="G1182" s="42" t="n">
        <f aca="false">IF(D1182="","",D1182/SUMIFS($D$5:$D$1369,$B$5:$B$1369,B1182,$C$5:$C$1369,C1182))</f>
        <v>0.000366192483867382</v>
      </c>
      <c r="H1182" s="42" t="n">
        <f aca="false">E1182/SUMIFS($E$5:$E$1369,$B$5:$B$1369,B1182,$C$5:$C$1369,C1182)</f>
        <v>0.00016225310716744</v>
      </c>
      <c r="I1182" s="43" t="n">
        <f aca="false">IF(G1182="",H1182,p_beta_alloc*G1182+(1-p_beta_alloc)*H1182)*F1182^p_phi</f>
        <v>0.000129508890720044</v>
      </c>
      <c r="J1182" s="16" t="n">
        <f aca="false">INDEX(Sector_Params!$C$17:$E$17,MATCH(B1182,Sector_Params!$C$15:$E$15,0))*I1182/SUMIFS($I$5:$I$1369,$B$5:$B$1369,B1182,$C$5:$C$1369,C1182)</f>
        <v>0.0858955079574068</v>
      </c>
      <c r="K1182" s="28" t="n">
        <f aca="false">INDEX(Sector_Params!$F$6:$H$6,MATCH(B1182,Sector_Params!$C$15:$E$15,0))</f>
        <v>0.24</v>
      </c>
      <c r="L1182" s="16" t="n">
        <f aca="false">J1182*K1182</f>
        <v>0.0206149219097776</v>
      </c>
      <c r="M1182" s="44" t="n">
        <f aca="false">Country_Data!$DW$173+Sector_Params!$E$6</f>
        <v>0.105</v>
      </c>
      <c r="N1182" s="44" t="n">
        <f aca="false">Country_Data!$DX$173+Sector_Params!$E$6</f>
        <v>0.15</v>
      </c>
      <c r="O1182" s="11" t="n">
        <f aca="false">IF(p_use_ibrd=1,p_r_ibrd,p_r_wb)</f>
        <v>0.06</v>
      </c>
      <c r="P1182" s="45" t="n">
        <f aca="false">Sector_Params!$D$6</f>
        <v>40</v>
      </c>
      <c r="Q1182" s="46" t="n">
        <f aca="false">M1182/(1-(1+M1182)^-P1182)</f>
        <v>0.10697140835497</v>
      </c>
      <c r="R1182" s="46" t="n">
        <f aca="false">N1182/(1-(1+N1182)^-P1182)</f>
        <v>0.150562085013545</v>
      </c>
      <c r="S1182" s="46" t="n">
        <f aca="false">O1182/(1-(1+O1182)^-P1182)</f>
        <v>0.0664615359206755</v>
      </c>
      <c r="T1182" s="37" t="n">
        <f aca="false">p_grid_credit*IF(AND(p_eng=1,ISNUMBER(Country_Data!$CZ$173)),Country_Data!$CZ$173,Country_Data!$CM$173)*Sector_Params!$I$6</f>
        <v>0</v>
      </c>
      <c r="U1182" s="37" t="n">
        <f aca="false">p_grid_credit*IF(AND(p_eng=1,ISNUMBER(Country_Data!$DA$173)),Country_Data!$DA$173,Country_Data!$CN$173)*Sector_Params!$J$6</f>
        <v>0</v>
      </c>
      <c r="V1182" s="37" t="n">
        <f aca="false">p_grid_credit*IF(AND(p_eng=1,ISNUMBER(Country_Data!$DB$173)),Country_Data!$DB$173,p_a)</f>
        <v>0</v>
      </c>
      <c r="W1182" s="16" t="n">
        <f aca="false">T1182*L1182</f>
        <v>0</v>
      </c>
      <c r="X1182" s="16" t="n">
        <f aca="false">U1182*L1182</f>
        <v>0</v>
      </c>
      <c r="Y1182" s="16" t="n">
        <f aca="false">V1182*L1182</f>
        <v>0</v>
      </c>
      <c r="Z1182" s="16" t="n">
        <f aca="false">Q1182*L1182</f>
        <v>0.00220520722981665</v>
      </c>
      <c r="AA1182" s="16" t="n">
        <f aca="false">R1182*L1182</f>
        <v>0.00310382562512753</v>
      </c>
      <c r="AB1182" s="16" t="n">
        <f aca="false">S1182*L1182</f>
        <v>0.00137009937300861</v>
      </c>
      <c r="AC1182" s="16" t="n">
        <f aca="false">Z1182-W1182</f>
        <v>0.00220520722981665</v>
      </c>
      <c r="AD1182" s="16" t="n">
        <f aca="false">AA1182-W1182</f>
        <v>0.00310382562512753</v>
      </c>
      <c r="AE1182" s="16" t="n">
        <f aca="false">AB1182-W1182</f>
        <v>0.00137009937300861</v>
      </c>
      <c r="AF1182" s="16" t="n">
        <f aca="false">AE1182-X1182</f>
        <v>0.00137009937300861</v>
      </c>
      <c r="AG1182" s="16" t="n">
        <f aca="false">AF1182-p_spc_lo*Y1182/1000</f>
        <v>0.00137009937300861</v>
      </c>
      <c r="AH1182" s="16" t="n">
        <f aca="false">AF1182-p_spc_hi*Y1182/1000</f>
        <v>0.00137009937300861</v>
      </c>
      <c r="AI1182" s="16" t="n">
        <f aca="false">Q1182*J1182</f>
        <v>0.00918836345756937</v>
      </c>
      <c r="AJ1182" s="16" t="n">
        <f aca="false">S1182*J1182</f>
        <v>0.00570874738753586</v>
      </c>
      <c r="AK1182" s="16" t="n">
        <f aca="false">T1182*J1182</f>
        <v>0</v>
      </c>
      <c r="AL1182" s="16" t="n">
        <f aca="false">U1182*J1182</f>
        <v>0</v>
      </c>
      <c r="AM1182" s="16" t="n">
        <f aca="false">AI1182-AJ1182</f>
        <v>0.00347961607003351</v>
      </c>
      <c r="AN1182" s="16" t="n">
        <f aca="false">J1182*Country_Data!$EB$173</f>
        <v>0.104805836841053</v>
      </c>
      <c r="AO1182" s="16" t="n">
        <f aca="false">L1182*Country_Data!$EB$173</f>
        <v>0.0251534008418527</v>
      </c>
    </row>
    <row r="1183" customFormat="false" ht="15" hidden="false" customHeight="false" outlineLevel="0" collapsed="false">
      <c r="A1183" s="14" t="str">
        <f aca="false">Country_Data!$A$173</f>
        <v>BTN</v>
      </c>
      <c r="B1183" s="14" t="str">
        <f aca="false">Country_Data!$E$173</f>
        <v>EMDC</v>
      </c>
      <c r="C1183" s="35" t="s">
        <v>473</v>
      </c>
      <c r="D1183" s="37" t="n">
        <f aca="false">IF(Country_Data!$CA$173="","",Country_Data!$CA$173)</f>
        <v>0.0059133778224271</v>
      </c>
      <c r="E1183" s="40" t="n">
        <f aca="false">Country_Data!$BW$173</f>
        <v>13.099</v>
      </c>
      <c r="F1183" s="41" t="n">
        <f aca="false">Country_Data!$BX$173</f>
        <v>0.240247347125735</v>
      </c>
      <c r="G1183" s="42" t="n">
        <f aca="false">IF(D1183="","",D1183/SUMIFS($D$5:$D$1369,$B$5:$B$1369,B1183,$C$5:$C$1369,C1183))</f>
        <v>0.000136612786439459</v>
      </c>
      <c r="H1183" s="42" t="n">
        <f aca="false">E1183/SUMIFS($E$5:$E$1369,$B$5:$B$1369,B1183,$C$5:$C$1369,C1183)</f>
        <v>0.00016225310716744</v>
      </c>
      <c r="I1183" s="43" t="n">
        <f aca="false">IF(G1183="",H1183,p_beta_alloc*G1183+(1-p_beta_alloc)*H1183)*F1183^p_phi</f>
        <v>7.32446083603215E-005</v>
      </c>
      <c r="J1183" s="16" t="n">
        <f aca="false">INDEX(Sector_Params!$C$18:$E$18,MATCH(B1183,Sector_Params!$C$15:$E$15,0))*I1183/SUMIFS($I$5:$I$1369,$B$5:$B$1369,B1183,$C$5:$C$1369,C1183)</f>
        <v>0.0299919340671751</v>
      </c>
      <c r="K1183" s="28" t="n">
        <f aca="false">INDEX(Sector_Params!$F$7:$H$7,MATCH(B1183,Sector_Params!$C$15:$E$15,0))</f>
        <v>0.24</v>
      </c>
      <c r="L1183" s="16" t="n">
        <f aca="false">J1183*K1183</f>
        <v>0.00719806417612203</v>
      </c>
      <c r="M1183" s="44" t="n">
        <f aca="false">Country_Data!$DW$173+Sector_Params!$E$7</f>
        <v>0.105</v>
      </c>
      <c r="N1183" s="44" t="n">
        <f aca="false">Country_Data!$DX$173+Sector_Params!$E$7</f>
        <v>0.15</v>
      </c>
      <c r="O1183" s="11" t="n">
        <f aca="false">IF(p_use_ibrd=1,p_r_ibrd,p_r_wb)</f>
        <v>0.06</v>
      </c>
      <c r="P1183" s="45" t="n">
        <f aca="false">Sector_Params!$D$7</f>
        <v>12</v>
      </c>
      <c r="Q1183" s="46" t="n">
        <f aca="false">M1183/(1-(1+M1183)^-P1183)</f>
        <v>0.150376745634766</v>
      </c>
      <c r="R1183" s="46" t="n">
        <f aca="false">N1183/(1-(1+N1183)^-P1183)</f>
        <v>0.18448077613084</v>
      </c>
      <c r="S1183" s="46" t="n">
        <f aca="false">O1183/(1-(1+O1183)^-P1183)</f>
        <v>0.119277029380664</v>
      </c>
      <c r="T1183" s="37" t="n">
        <f aca="false">IF(AND(p_eng=1,ISNUMBER(Country_Data!$DE$173)),Country_Data!$DE$173,Country_Data!$CM$173)*Sector_Params!$I$7</f>
        <v>0.0866713466532802</v>
      </c>
      <c r="U1183" s="37" t="n">
        <f aca="false">IF(AND(p_eng=1,ISNUMBER(Country_Data!$DF$173)),Country_Data!$DF$173,Country_Data!$CN$173)*Sector_Params!$J$7</f>
        <v>0.0329222481906753</v>
      </c>
      <c r="V1183" s="37" t="n">
        <f aca="false">IF(AND(p_eng=1,ISNUMBER(Country_Data!$DG$173)),Country_Data!$DG$173,p_a)</f>
        <v>0.35</v>
      </c>
      <c r="W1183" s="16" t="n">
        <f aca="false">T1183*L1183</f>
        <v>0.00062386591544123</v>
      </c>
      <c r="X1183" s="16" t="n">
        <f aca="false">U1183*L1183</f>
        <v>0.000236976455298698</v>
      </c>
      <c r="Y1183" s="16" t="n">
        <f aca="false">V1183*L1183</f>
        <v>0.00251932246164271</v>
      </c>
      <c r="Z1183" s="16" t="n">
        <f aca="false">Q1183*L1183</f>
        <v>0.00108242146567542</v>
      </c>
      <c r="AA1183" s="16" t="n">
        <f aca="false">R1183*L1183</f>
        <v>0.00132790446585058</v>
      </c>
      <c r="AB1183" s="16" t="n">
        <f aca="false">S1183*L1183</f>
        <v>0.00085856371221921</v>
      </c>
      <c r="AC1183" s="16" t="n">
        <f aca="false">Z1183-W1183</f>
        <v>0.000458555550234192</v>
      </c>
      <c r="AD1183" s="16" t="n">
        <f aca="false">AA1183-W1183</f>
        <v>0.000704038550409355</v>
      </c>
      <c r="AE1183" s="16" t="n">
        <f aca="false">AB1183-W1183</f>
        <v>0.000234697796777979</v>
      </c>
      <c r="AF1183" s="16" t="n">
        <f aca="false">AE1183-X1183</f>
        <v>-2.27865852071911E-006</v>
      </c>
      <c r="AG1183" s="16" t="n">
        <f aca="false">AF1183-p_spc_lo*Y1183/1000</f>
        <v>-0.000128244781602855</v>
      </c>
      <c r="AH1183" s="16" t="n">
        <f aca="false">AF1183-p_spc_hi*Y1183/1000</f>
        <v>-0.00025421090468499</v>
      </c>
      <c r="AI1183" s="16" t="n">
        <f aca="false">Q1183*J1183</f>
        <v>0.00451008944031426</v>
      </c>
      <c r="AJ1183" s="16" t="n">
        <f aca="false">S1183*J1183</f>
        <v>0.00357734880091337</v>
      </c>
      <c r="AK1183" s="16" t="n">
        <f aca="false">T1183*J1183</f>
        <v>0.00259944131433846</v>
      </c>
      <c r="AL1183" s="16" t="n">
        <f aca="false">U1183*J1183</f>
        <v>0.00098740189707791</v>
      </c>
      <c r="AM1183" s="16" t="n">
        <f aca="false">AI1183-AJ1183</f>
        <v>0.000932740639400887</v>
      </c>
      <c r="AN1183" s="16" t="n">
        <f aca="false">J1183*Country_Data!$EB$173</f>
        <v>0.0365948094742121</v>
      </c>
      <c r="AO1183" s="16" t="n">
        <f aca="false">L1183*Country_Data!$EB$173</f>
        <v>0.00878275427381091</v>
      </c>
    </row>
    <row r="1184" customFormat="false" ht="15" hidden="false" customHeight="false" outlineLevel="0" collapsed="false">
      <c r="A1184" s="14" t="str">
        <f aca="false">Country_Data!$A$173</f>
        <v>BTN</v>
      </c>
      <c r="B1184" s="14" t="str">
        <f aca="false">Country_Data!$E$173</f>
        <v>EMDC</v>
      </c>
      <c r="C1184" s="35" t="s">
        <v>477</v>
      </c>
      <c r="D1184" s="37" t="n">
        <f aca="false">IF(Country_Data!$CB$173="","",Country_Data!$CB$173)</f>
        <v>0.00318849725106823</v>
      </c>
      <c r="E1184" s="40" t="n">
        <f aca="false">Country_Data!$BW$173</f>
        <v>13.099</v>
      </c>
      <c r="F1184" s="41" t="n">
        <f aca="false">Country_Data!$BX$173</f>
        <v>0.240247347125735</v>
      </c>
      <c r="G1184" s="42" t="n">
        <f aca="false">IF(D1184="","",D1184/SUMIFS($D$5:$D$1369,$B$5:$B$1369,B1184,$C$5:$C$1369,C1184))</f>
        <v>0.00010054302730132</v>
      </c>
      <c r="H1184" s="42" t="n">
        <f aca="false">E1184/SUMIFS($E$5:$E$1369,$B$5:$B$1369,B1184,$C$5:$C$1369,C1184)</f>
        <v>0.00016225310716744</v>
      </c>
      <c r="I1184" s="43" t="n">
        <f aca="false">IF(G1184="",H1184,p_beta_alloc*G1184+(1-p_beta_alloc)*H1184)*F1184^p_phi</f>
        <v>6.44048061673049E-005</v>
      </c>
      <c r="J1184" s="16" t="n">
        <f aca="false">INDEX(Sector_Params!$C$19:$E$19,MATCH(B1184,Sector_Params!$C$15:$E$15,0))*I1184/SUMIFS($I$5:$I$1369,$B$5:$B$1369,B1184,$C$5:$C$1369,C1184)</f>
        <v>0.0207294981417294</v>
      </c>
      <c r="K1184" s="28" t="n">
        <f aca="false">INDEX(Sector_Params!$F$8:$H$8,MATCH(B1184,Sector_Params!$C$15:$E$15,0))</f>
        <v>0.24</v>
      </c>
      <c r="L1184" s="16" t="n">
        <f aca="false">J1184*K1184</f>
        <v>0.00497507955401505</v>
      </c>
      <c r="M1184" s="44" t="n">
        <f aca="false">Country_Data!$DW$173+Sector_Params!$E$8</f>
        <v>0.105</v>
      </c>
      <c r="N1184" s="44" t="n">
        <f aca="false">Country_Data!$DX$173+Sector_Params!$E$8</f>
        <v>0.15</v>
      </c>
      <c r="O1184" s="11" t="n">
        <f aca="false">IF(p_use_ibrd=1,p_r_ibrd,p_r_wb)</f>
        <v>0.06</v>
      </c>
      <c r="P1184" s="45" t="n">
        <f aca="false">Sector_Params!$D$8</f>
        <v>25</v>
      </c>
      <c r="Q1184" s="46" t="n">
        <f aca="false">M1184/(1-(1+M1184)^-P1184)</f>
        <v>0.114429319813103</v>
      </c>
      <c r="R1184" s="46" t="n">
        <f aca="false">N1184/(1-(1+N1184)^-P1184)</f>
        <v>0.154699402320206</v>
      </c>
      <c r="S1184" s="46" t="n">
        <f aca="false">O1184/(1-(1+O1184)^-P1184)</f>
        <v>0.078226718212274</v>
      </c>
      <c r="T1184" s="37" t="n">
        <f aca="false">Country_Data!$CM$173*Sector_Params!$I$8</f>
        <v>0.0866713466532802</v>
      </c>
      <c r="U1184" s="37" t="n">
        <f aca="false">Country_Data!$CN$173*Sector_Params!$J$8</f>
        <v>0.0329222481906753</v>
      </c>
      <c r="V1184" s="37" t="n">
        <f aca="false">p_a</f>
        <v>0.35</v>
      </c>
      <c r="W1184" s="16" t="n">
        <f aca="false">T1184*L1184</f>
        <v>0.000431196844653685</v>
      </c>
      <c r="X1184" s="16" t="n">
        <f aca="false">U1184*L1184</f>
        <v>0.000163790803845638</v>
      </c>
      <c r="Y1184" s="16" t="n">
        <f aca="false">V1184*L1184</f>
        <v>0.00174127784390527</v>
      </c>
      <c r="Z1184" s="16" t="n">
        <f aca="false">Q1184*L1184</f>
        <v>0.000569294969382019</v>
      </c>
      <c r="AA1184" s="16" t="n">
        <f aca="false">R1184*L1184</f>
        <v>0.000769641833501607</v>
      </c>
      <c r="AB1184" s="16" t="n">
        <f aca="false">S1184*L1184</f>
        <v>0.000389184146355581</v>
      </c>
      <c r="AC1184" s="16" t="n">
        <f aca="false">Z1184-W1184</f>
        <v>0.000138098124728335</v>
      </c>
      <c r="AD1184" s="16" t="n">
        <f aca="false">AA1184-W1184</f>
        <v>0.000338444988847923</v>
      </c>
      <c r="AE1184" s="16" t="n">
        <f aca="false">AB1184-W1184</f>
        <v>-4.2012698298104E-005</v>
      </c>
      <c r="AF1184" s="16" t="n">
        <f aca="false">AE1184-X1184</f>
        <v>-0.000205803502143742</v>
      </c>
      <c r="AG1184" s="16" t="n">
        <f aca="false">AF1184-p_spc_lo*Y1184/1000</f>
        <v>-0.000292867394339005</v>
      </c>
      <c r="AH1184" s="16" t="n">
        <f aca="false">AF1184-p_spc_hi*Y1184/1000</f>
        <v>-0.000379931286534268</v>
      </c>
      <c r="AI1184" s="16" t="n">
        <f aca="false">Q1184*J1184</f>
        <v>0.00237206237242508</v>
      </c>
      <c r="AJ1184" s="16" t="n">
        <f aca="false">S1184*J1184</f>
        <v>0.00162160060981492</v>
      </c>
      <c r="AK1184" s="16" t="n">
        <f aca="false">T1184*J1184</f>
        <v>0.00179665351939035</v>
      </c>
      <c r="AL1184" s="16" t="n">
        <f aca="false">U1184*J1184</f>
        <v>0.000682461682690157</v>
      </c>
      <c r="AM1184" s="16" t="n">
        <f aca="false">AI1184-AJ1184</f>
        <v>0.000750461762610161</v>
      </c>
      <c r="AN1184" s="16" t="n">
        <f aca="false">J1184*Country_Data!$EB$173</f>
        <v>0.0252932016085907</v>
      </c>
      <c r="AO1184" s="16" t="n">
        <f aca="false">L1184*Country_Data!$EB$173</f>
        <v>0.00607036838606177</v>
      </c>
    </row>
    <row r="1185" customFormat="false" ht="15" hidden="false" customHeight="false" outlineLevel="0" collapsed="false">
      <c r="A1185" s="14" t="str">
        <f aca="false">Country_Data!$A$173</f>
        <v>BTN</v>
      </c>
      <c r="B1185" s="14" t="str">
        <f aca="false">Country_Data!$E$173</f>
        <v>EMDC</v>
      </c>
      <c r="C1185" s="35" t="s">
        <v>481</v>
      </c>
      <c r="D1185" s="37" t="n">
        <f aca="false">IF(Country_Data!$CC$173="","",Country_Data!$CC$173)</f>
        <v>0.0186614261495443</v>
      </c>
      <c r="E1185" s="40" t="n">
        <f aca="false">Country_Data!$BW$173</f>
        <v>13.099</v>
      </c>
      <c r="F1185" s="41" t="n">
        <f aca="false">Country_Data!$BX$173</f>
        <v>0.240247347125735</v>
      </c>
      <c r="G1185" s="42" t="n">
        <f aca="false">IF(D1185="","",D1185/SUMIFS($D$5:$D$1369,$B$5:$B$1369,B1185,$C$5:$C$1369,C1185))</f>
        <v>0.000266564165042677</v>
      </c>
      <c r="H1185" s="42" t="n">
        <f aca="false">E1185/SUMIFS($E$5:$E$1369,$B$5:$B$1369,B1185,$C$5:$C$1369,C1185)</f>
        <v>0.00016225310716744</v>
      </c>
      <c r="I1185" s="43" t="n">
        <f aca="false">IF(G1185="",H1185,p_beta_alloc*G1185+(1-p_beta_alloc)*H1185)*F1185^p_phi</f>
        <v>0.000105092463988157</v>
      </c>
      <c r="J1185" s="16" t="n">
        <f aca="false">INDEX(Sector_Params!$C$20:$E$20,MATCH(B1185,Sector_Params!$C$15:$E$15,0))*I1185/SUMIFS($I$5:$I$1369,$B$5:$B$1369,B1185,$C$5:$C$1369,C1185)</f>
        <v>0.0191814909969845</v>
      </c>
      <c r="K1185" s="28" t="n">
        <f aca="false">INDEX(Sector_Params!$F$9:$H$9,MATCH(B1185,Sector_Params!$C$15:$E$15,0))</f>
        <v>0.24</v>
      </c>
      <c r="L1185" s="16" t="n">
        <f aca="false">J1185*K1185</f>
        <v>0.00460355783927627</v>
      </c>
      <c r="M1185" s="44" t="n">
        <f aca="false">Country_Data!$DW$173+Sector_Params!$E$9</f>
        <v>0.105</v>
      </c>
      <c r="N1185" s="44" t="n">
        <f aca="false">Country_Data!$DX$173+Sector_Params!$E$9</f>
        <v>0.15</v>
      </c>
      <c r="O1185" s="11" t="n">
        <f aca="false">IF(p_use_ibrd=1,p_r_ibrd,p_r_wb)</f>
        <v>0.06</v>
      </c>
      <c r="P1185" s="45" t="n">
        <f aca="false">Sector_Params!$D$9</f>
        <v>25</v>
      </c>
      <c r="Q1185" s="46" t="n">
        <f aca="false">M1185/(1-(1+M1185)^-P1185)</f>
        <v>0.114429319813103</v>
      </c>
      <c r="R1185" s="46" t="n">
        <f aca="false">N1185/(1-(1+N1185)^-P1185)</f>
        <v>0.154699402320206</v>
      </c>
      <c r="S1185" s="46" t="n">
        <f aca="false">O1185/(1-(1+O1185)^-P1185)</f>
        <v>0.078226718212274</v>
      </c>
      <c r="T1185" s="37" t="n">
        <f aca="false">Country_Data!$CM$173*Sector_Params!$I$9</f>
        <v>0.0866713466532802</v>
      </c>
      <c r="U1185" s="37" t="n">
        <f aca="false">Country_Data!$CN$173*Sector_Params!$J$9</f>
        <v>0.0329222481906753</v>
      </c>
      <c r="V1185" s="37" t="n">
        <f aca="false">p_a</f>
        <v>0.35</v>
      </c>
      <c r="W1185" s="16" t="n">
        <f aca="false">T1185*L1185</f>
        <v>0.000398996557326339</v>
      </c>
      <c r="X1185" s="16" t="n">
        <f aca="false">U1185*L1185</f>
        <v>0.000151559473744782</v>
      </c>
      <c r="Y1185" s="16" t="n">
        <f aca="false">V1185*L1185</f>
        <v>0.00161124524374669</v>
      </c>
      <c r="Z1185" s="16" t="n">
        <f aca="false">Q1185*L1185</f>
        <v>0.000526781992268663</v>
      </c>
      <c r="AA1185" s="16" t="n">
        <f aca="false">R1185*L1185</f>
        <v>0.00071216764628254</v>
      </c>
      <c r="AB1185" s="16" t="n">
        <f aca="false">S1185*L1185</f>
        <v>0.00036012122186697</v>
      </c>
      <c r="AC1185" s="16" t="n">
        <f aca="false">Z1185-W1185</f>
        <v>0.000127785434942324</v>
      </c>
      <c r="AD1185" s="16" t="n">
        <f aca="false">AA1185-W1185</f>
        <v>0.000313171088956201</v>
      </c>
      <c r="AE1185" s="16" t="n">
        <f aca="false">AB1185-W1185</f>
        <v>-3.88753354593695E-005</v>
      </c>
      <c r="AF1185" s="16" t="n">
        <f aca="false">AE1185-X1185</f>
        <v>-0.000190434809204152</v>
      </c>
      <c r="AG1185" s="16" t="n">
        <f aca="false">AF1185-p_spc_lo*Y1185/1000</f>
        <v>-0.000270997071391487</v>
      </c>
      <c r="AH1185" s="16" t="n">
        <f aca="false">AF1185-p_spc_hi*Y1185/1000</f>
        <v>-0.000351559333578821</v>
      </c>
      <c r="AI1185" s="16" t="n">
        <f aca="false">Q1185*J1185</f>
        <v>0.0021949249677861</v>
      </c>
      <c r="AJ1185" s="16" t="n">
        <f aca="false">S1185*J1185</f>
        <v>0.00150050509111237</v>
      </c>
      <c r="AK1185" s="16" t="n">
        <f aca="false">T1185*J1185</f>
        <v>0.00166248565552641</v>
      </c>
      <c r="AL1185" s="16" t="n">
        <f aca="false">U1185*J1185</f>
        <v>0.000631497807269926</v>
      </c>
      <c r="AM1185" s="16" t="n">
        <f aca="false">AI1185-AJ1185</f>
        <v>0.000694419876673724</v>
      </c>
      <c r="AN1185" s="16" t="n">
        <f aca="false">J1185*Country_Data!$EB$173</f>
        <v>0.0234043928908942</v>
      </c>
      <c r="AO1185" s="16" t="n">
        <f aca="false">L1185*Country_Data!$EB$173</f>
        <v>0.00561705429381461</v>
      </c>
    </row>
    <row r="1186" customFormat="false" ht="15" hidden="false" customHeight="false" outlineLevel="0" collapsed="false">
      <c r="A1186" s="14" t="str">
        <f aca="false">Country_Data!$A$173</f>
        <v>BTN</v>
      </c>
      <c r="B1186" s="14" t="str">
        <f aca="false">Country_Data!$E$173</f>
        <v>EMDC</v>
      </c>
      <c r="C1186" s="35" t="s">
        <v>484</v>
      </c>
      <c r="D1186" s="37" t="n">
        <f aca="false">IF(Country_Data!$CD$173="","",Country_Data!$CD$173)</f>
        <v>0.0162157514424837</v>
      </c>
      <c r="E1186" s="40" t="n">
        <f aca="false">Country_Data!$BW$173</f>
        <v>13.099</v>
      </c>
      <c r="F1186" s="41" t="n">
        <f aca="false">Country_Data!$BX$173</f>
        <v>0.240247347125735</v>
      </c>
      <c r="G1186" s="42" t="n">
        <f aca="false">IF(D1186="","",D1186/SUMIFS($D$5:$D$1369,$B$5:$B$1369,B1186,$C$5:$C$1369,C1186))</f>
        <v>9.05546799822634E-005</v>
      </c>
      <c r="H1186" s="42" t="n">
        <f aca="false">E1186/SUMIFS($E$5:$E$1369,$B$5:$B$1369,B1186,$C$5:$C$1369,C1186)</f>
        <v>0.00016225310716744</v>
      </c>
      <c r="I1186" s="43" t="n">
        <f aca="false">IF(G1186="",H1186,p_beta_alloc*G1186+(1-p_beta_alloc)*H1186)*F1186^p_phi</f>
        <v>6.19569102942702E-005</v>
      </c>
      <c r="J1186" s="16" t="n">
        <f aca="false">INDEX(Sector_Params!$C$21:$E$21,MATCH(B1186,Sector_Params!$C$15:$E$15,0))*I1186/SUMIFS($I$5:$I$1369,$B$5:$B$1369,B1186,$C$5:$C$1369,C1186)</f>
        <v>0.0137414123696142</v>
      </c>
      <c r="K1186" s="28" t="n">
        <f aca="false">INDEX(Sector_Params!$F$10:$H$10,MATCH(B1186,Sector_Params!$C$15:$E$15,0))</f>
        <v>0.24</v>
      </c>
      <c r="L1186" s="16" t="n">
        <f aca="false">J1186*K1186</f>
        <v>0.00329793896870742</v>
      </c>
      <c r="M1186" s="44" t="n">
        <f aca="false">Country_Data!$DW$173+Sector_Params!$E$10</f>
        <v>0.105</v>
      </c>
      <c r="N1186" s="44" t="n">
        <f aca="false">Country_Data!$DX$173+Sector_Params!$E$10</f>
        <v>0.15</v>
      </c>
      <c r="O1186" s="11" t="n">
        <f aca="false">IF(p_use_ibrd=1,p_r_ibrd,p_r_wb)</f>
        <v>0.06</v>
      </c>
      <c r="P1186" s="45" t="n">
        <f aca="false">Sector_Params!$D$10</f>
        <v>20</v>
      </c>
      <c r="Q1186" s="46" t="n">
        <f aca="false">M1186/(1-(1+M1186)^-P1186)</f>
        <v>0.121493265267016</v>
      </c>
      <c r="R1186" s="46" t="n">
        <f aca="false">N1186/(1-(1+N1186)^-P1186)</f>
        <v>0.159761470405744</v>
      </c>
      <c r="S1186" s="46" t="n">
        <f aca="false">O1186/(1-(1+O1186)^-P1186)</f>
        <v>0.0871845569768514</v>
      </c>
      <c r="T1186" s="37" t="n">
        <f aca="false">0*Sector_Params!$I$10</f>
        <v>0</v>
      </c>
      <c r="U1186" s="37" t="n">
        <f aca="false">0*Sector_Params!$J$10</f>
        <v>0</v>
      </c>
      <c r="V1186" s="37" t="n">
        <f aca="false">1000*p_r_wb/(1-(1+p_r_wb)^-Sector_Params!$D$10)/p_cpt_fuel</f>
        <v>0.871845569768514</v>
      </c>
      <c r="W1186" s="16" t="n">
        <f aca="false">T1186*L1186</f>
        <v>0</v>
      </c>
      <c r="X1186" s="16" t="n">
        <f aca="false">U1186*L1186</f>
        <v>0</v>
      </c>
      <c r="Y1186" s="16" t="n">
        <f aca="false">V1186*L1186</f>
        <v>0.00287529347923451</v>
      </c>
      <c r="Z1186" s="16" t="n">
        <f aca="false">Q1186*L1186</f>
        <v>0.0004006773739596</v>
      </c>
      <c r="AA1186" s="16" t="n">
        <f aca="false">R1186*L1186</f>
        <v>0.0005268835789491</v>
      </c>
      <c r="AB1186" s="16" t="n">
        <f aca="false">S1186*L1186</f>
        <v>0.000287529347923451</v>
      </c>
      <c r="AC1186" s="16" t="n">
        <f aca="false">Z1186-W1186</f>
        <v>0.0004006773739596</v>
      </c>
      <c r="AD1186" s="16" t="n">
        <f aca="false">AA1186-W1186</f>
        <v>0.0005268835789491</v>
      </c>
      <c r="AE1186" s="16" t="n">
        <f aca="false">AB1186-W1186</f>
        <v>0.000287529347923451</v>
      </c>
      <c r="AF1186" s="16" t="n">
        <f aca="false">AE1186-X1186</f>
        <v>0.000287529347923451</v>
      </c>
      <c r="AG1186" s="16" t="n">
        <f aca="false">AF1186-p_spc_lo*Y1186/1000</f>
        <v>0.000143764673961725</v>
      </c>
      <c r="AH1186" s="16" t="n">
        <f aca="false">AF1186-p_spc_hi*Y1186/1000</f>
        <v>0</v>
      </c>
      <c r="AI1186" s="16" t="n">
        <f aca="false">Q1186*J1186</f>
        <v>0.001669489058165</v>
      </c>
      <c r="AJ1186" s="16" t="n">
        <f aca="false">S1186*J1186</f>
        <v>0.00119803894968104</v>
      </c>
      <c r="AK1186" s="16" t="n">
        <f aca="false">T1186*J1186</f>
        <v>0</v>
      </c>
      <c r="AL1186" s="16" t="n">
        <f aca="false">U1186*J1186</f>
        <v>0</v>
      </c>
      <c r="AM1186" s="16" t="n">
        <f aca="false">AI1186-AJ1186</f>
        <v>0.000471450108483957</v>
      </c>
      <c r="AN1186" s="16" t="n">
        <f aca="false">J1186*Country_Data!$EB$173</f>
        <v>0.0167666535424596</v>
      </c>
      <c r="AO1186" s="16" t="n">
        <f aca="false">L1186*Country_Data!$EB$173</f>
        <v>0.00402399685019029</v>
      </c>
    </row>
    <row r="1187" customFormat="false" ht="15" hidden="false" customHeight="false" outlineLevel="0" collapsed="false">
      <c r="A1187" s="14" t="str">
        <f aca="false">Country_Data!$A$173</f>
        <v>BTN</v>
      </c>
      <c r="B1187" s="14" t="str">
        <f aca="false">Country_Data!$E$173</f>
        <v>EMDC</v>
      </c>
      <c r="C1187" s="35" t="s">
        <v>488</v>
      </c>
      <c r="D1187" s="37" t="n">
        <f aca="false">IF(Country_Data!$CE$173="","",Country_Data!$CE$173)</f>
        <v>1.588</v>
      </c>
      <c r="E1187" s="40" t="n">
        <f aca="false">Country_Data!$BW$173</f>
        <v>13.099</v>
      </c>
      <c r="F1187" s="41" t="n">
        <f aca="false">Country_Data!$BX$173</f>
        <v>0.240247347125735</v>
      </c>
      <c r="G1187" s="42" t="n">
        <f aca="false">IF(D1187="","",D1187/SUMIFS($D$5:$D$1369,$B$5:$B$1369,B1187,$C$5:$C$1369,C1187))</f>
        <v>0.00013012009888472</v>
      </c>
      <c r="H1187" s="42" t="n">
        <f aca="false">E1187/SUMIFS($E$5:$E$1369,$B$5:$B$1369,B1187,$C$5:$C$1369,C1187)</f>
        <v>0.00016225310716744</v>
      </c>
      <c r="I1187" s="43" t="n">
        <f aca="false">IF(G1187="",H1187,p_beta_alloc*G1187+(1-p_beta_alloc)*H1187)*F1187^p_phi</f>
        <v>7.16534118828194E-005</v>
      </c>
      <c r="J1187" s="16" t="n">
        <f aca="false">INDEX(Sector_Params!$C$22:$E$22,MATCH(B1187,Sector_Params!$C$15:$E$15,0))*I1187/SUMIFS($I$5:$I$1369,$B$5:$B$1369,B1187,$C$5:$C$1369,C1187)</f>
        <v>0.0431932777274672</v>
      </c>
      <c r="K1187" s="28" t="n">
        <f aca="false">INDEX(Sector_Params!$F$11:$H$11,MATCH(B1187,Sector_Params!$C$15:$E$15,0))</f>
        <v>0.24</v>
      </c>
      <c r="L1187" s="16" t="n">
        <f aca="false">J1187*K1187</f>
        <v>0.0103663866545921</v>
      </c>
      <c r="M1187" s="44" t="n">
        <f aca="false">Country_Data!$DW$173+Sector_Params!$E$11</f>
        <v>0.105</v>
      </c>
      <c r="N1187" s="44" t="n">
        <f aca="false">Country_Data!$DX$173+Sector_Params!$E$11</f>
        <v>0.15</v>
      </c>
      <c r="O1187" s="11" t="n">
        <f aca="false">IF(p_use_ibrd=1,p_r_ibrd,p_r_wb)</f>
        <v>0.06</v>
      </c>
      <c r="P1187" s="45" t="n">
        <f aca="false">Sector_Params!$D$11</f>
        <v>30</v>
      </c>
      <c r="Q1187" s="46" t="n">
        <f aca="false">M1187/(1-(1+M1187)^-P1187)</f>
        <v>0.110528481529605</v>
      </c>
      <c r="R1187" s="46" t="n">
        <f aca="false">N1187/(1-(1+N1187)^-P1187)</f>
        <v>0.152300198192734</v>
      </c>
      <c r="S1187" s="46" t="n">
        <f aca="false">O1187/(1-(1+O1187)^-P1187)</f>
        <v>0.0726489114900472</v>
      </c>
      <c r="T1187" s="37" t="n">
        <f aca="false">0*Sector_Params!$I$11</f>
        <v>0</v>
      </c>
      <c r="U1187" s="37" t="n">
        <f aca="false">p_c*Sector_Params!$J$11</f>
        <v>0.129</v>
      </c>
      <c r="V1187" s="37" t="n">
        <f aca="false">1000*p_r_wb/(1-(1+p_r_wb)^-Sector_Params!$D$11)/p_cpt_afolu</f>
        <v>1.45297822980094</v>
      </c>
      <c r="W1187" s="16" t="n">
        <f aca="false">T1187*L1187</f>
        <v>0</v>
      </c>
      <c r="X1187" s="16" t="n">
        <f aca="false">U1187*L1187</f>
        <v>0.00133726387844238</v>
      </c>
      <c r="Y1187" s="16" t="n">
        <f aca="false">V1187*L1187</f>
        <v>0.0150621341308214</v>
      </c>
      <c r="Z1187" s="16" t="n">
        <f aca="false">Q1187*L1187</f>
        <v>0.00114578097588083</v>
      </c>
      <c r="AA1187" s="16" t="n">
        <f aca="false">R1187*L1187</f>
        <v>0.0015788027420369</v>
      </c>
      <c r="AB1187" s="16" t="n">
        <f aca="false">S1187*L1187</f>
        <v>0.00075310670654107</v>
      </c>
      <c r="AC1187" s="16" t="n">
        <f aca="false">Z1187-W1187</f>
        <v>0.00114578097588083</v>
      </c>
      <c r="AD1187" s="16" t="n">
        <f aca="false">AA1187-W1187</f>
        <v>0.0015788027420369</v>
      </c>
      <c r="AE1187" s="16" t="n">
        <f aca="false">AB1187-W1187</f>
        <v>0.00075310670654107</v>
      </c>
      <c r="AF1187" s="16" t="n">
        <f aca="false">AE1187-X1187</f>
        <v>-0.000584157171901314</v>
      </c>
      <c r="AG1187" s="16" t="n">
        <f aca="false">AF1187-p_spc_lo*Y1187/1000</f>
        <v>-0.00133726387844238</v>
      </c>
      <c r="AH1187" s="16" t="n">
        <f aca="false">AF1187-p_spc_hi*Y1187/1000</f>
        <v>-0.00209037058498345</v>
      </c>
      <c r="AI1187" s="16" t="n">
        <f aca="false">Q1187*J1187</f>
        <v>0.00477408739950346</v>
      </c>
      <c r="AJ1187" s="16" t="n">
        <f aca="false">S1187*J1187</f>
        <v>0.00313794461058779</v>
      </c>
      <c r="AK1187" s="16" t="n">
        <f aca="false">T1187*J1187</f>
        <v>0</v>
      </c>
      <c r="AL1187" s="16" t="n">
        <f aca="false">U1187*J1187</f>
        <v>0.00557193282684327</v>
      </c>
      <c r="AM1187" s="16" t="n">
        <f aca="false">AI1187-AJ1187</f>
        <v>0.00163614278891567</v>
      </c>
      <c r="AN1187" s="16" t="n">
        <f aca="false">J1187*Country_Data!$EB$173</f>
        <v>0.0527024954597158</v>
      </c>
      <c r="AO1187" s="16" t="n">
        <f aca="false">L1187*Country_Data!$EB$173</f>
        <v>0.0126485989103318</v>
      </c>
    </row>
    <row r="1188" customFormat="false" ht="15" hidden="false" customHeight="false" outlineLevel="0" collapsed="false">
      <c r="A1188" s="14" t="str">
        <f aca="false">Country_Data!$A$174</f>
        <v>CAF</v>
      </c>
      <c r="B1188" s="14" t="str">
        <f aca="false">Country_Data!$E$174</f>
        <v>EMDC</v>
      </c>
      <c r="C1188" s="35" t="s">
        <v>466</v>
      </c>
      <c r="D1188" s="37" t="n">
        <f aca="false">IF(Country_Data!$BZ$174="","",Country_Data!$BZ$174)</f>
        <v>0.0870387972095361</v>
      </c>
      <c r="E1188" s="40" t="n">
        <f aca="false">Country_Data!$BW$174</f>
        <v>7.355</v>
      </c>
      <c r="F1188" s="41" t="n">
        <f aca="false">Country_Data!$BX$174</f>
        <v>0.389938817131203</v>
      </c>
      <c r="G1188" s="42" t="n">
        <f aca="false">IF(D1188="","",D1188/SUMIFS($D$5:$D$1369,$B$5:$B$1369,B1188,$C$5:$C$1369,C1188))</f>
        <v>9.93653495462456E-006</v>
      </c>
      <c r="H1188" s="42" t="n">
        <f aca="false">E1188/SUMIFS($E$5:$E$1369,$B$5:$B$1369,B1188,$C$5:$C$1369,C1188)</f>
        <v>9.11040234534333E-005</v>
      </c>
      <c r="I1188" s="43" t="n">
        <f aca="false">IF(G1188="",H1188,p_beta_alloc*G1188+(1-p_beta_alloc)*H1188)*F1188^p_phi</f>
        <v>3.1547429392609E-005</v>
      </c>
      <c r="J1188" s="16" t="n">
        <f aca="false">INDEX(Sector_Params!$C$16:$E$16,MATCH(B1188,Sector_Params!$C$15:$E$15,0))*I1188/SUMIFS($I$5:$I$1369,$B$5:$B$1369,B1188,$C$5:$C$1369,C1188)</f>
        <v>0.0305134735048225</v>
      </c>
      <c r="K1188" s="28" t="n">
        <f aca="false">INDEX(Sector_Params!$F$5:$H$5,MATCH(B1188,Sector_Params!$C$15:$E$15,0))</f>
        <v>0.24</v>
      </c>
      <c r="L1188" s="16" t="n">
        <f aca="false">J1188*K1188</f>
        <v>0.00732323364115739</v>
      </c>
      <c r="M1188" s="44" t="n">
        <f aca="false">Country_Data!$DW$174+Sector_Params!$E$5</f>
        <v>0.105</v>
      </c>
      <c r="N1188" s="44" t="n">
        <f aca="false">Country_Data!$DX$174+Sector_Params!$E$5</f>
        <v>0.15</v>
      </c>
      <c r="O1188" s="11" t="n">
        <f aca="false">IF(p_use_ibrd=1,p_r_ibrd,p_r_wb)</f>
        <v>0.06</v>
      </c>
      <c r="P1188" s="45" t="n">
        <f aca="false">Sector_Params!$D$5</f>
        <v>25</v>
      </c>
      <c r="Q1188" s="46" t="n">
        <f aca="false">M1188/(1-(1+M1188)^-P1188)</f>
        <v>0.114429319813103</v>
      </c>
      <c r="R1188" s="46" t="n">
        <f aca="false">N1188/(1-(1+N1188)^-P1188)</f>
        <v>0.154699402320206</v>
      </c>
      <c r="S1188" s="46" t="n">
        <f aca="false">O1188/(1-(1+O1188)^-P1188)</f>
        <v>0.078226718212274</v>
      </c>
      <c r="T1188" s="37" t="n">
        <f aca="false">IF(AND(p_eng=1,ISNUMBER(Country_Data!$CZ$174)),Country_Data!$CZ$174,Country_Data!$CM$174)*Sector_Params!$I$5</f>
        <v>0.318441169373364</v>
      </c>
      <c r="U1188" s="37" t="n">
        <f aca="false">IF(AND(p_eng=1,ISNUMBER(Country_Data!$DA$174)),Country_Data!$DA$174,Country_Data!$CN$174)*Sector_Params!$J$5</f>
        <v>0.03225</v>
      </c>
      <c r="V1188" s="37" t="n">
        <f aca="false">IF(AND(p_eng=1,ISNUMBER(Country_Data!$DB$174)),Country_Data!$DB$174,p_a)</f>
        <v>0.35</v>
      </c>
      <c r="W1188" s="16" t="n">
        <f aca="false">T1188*L1188</f>
        <v>0.00233201908428451</v>
      </c>
      <c r="X1188" s="16" t="n">
        <f aca="false">U1188*L1188</f>
        <v>0.000236174284927326</v>
      </c>
      <c r="Y1188" s="16" t="n">
        <f aca="false">V1188*L1188</f>
        <v>0.00256313177440509</v>
      </c>
      <c r="Z1188" s="16" t="n">
        <f aca="false">Q1188*L1188</f>
        <v>0.000837992644390076</v>
      </c>
      <c r="AA1188" s="16" t="n">
        <f aca="false">R1188*L1188</f>
        <v>0.00113289986733828</v>
      </c>
      <c r="AB1188" s="16" t="n">
        <f aca="false">S1188*L1188</f>
        <v>0.000572872534449464</v>
      </c>
      <c r="AC1188" s="16" t="n">
        <f aca="false">Z1188-W1188</f>
        <v>-0.00149402643989444</v>
      </c>
      <c r="AD1188" s="16" t="n">
        <f aca="false">AA1188-W1188</f>
        <v>-0.00119911921694624</v>
      </c>
      <c r="AE1188" s="16" t="n">
        <f aca="false">AB1188-W1188</f>
        <v>-0.00175914654983505</v>
      </c>
      <c r="AF1188" s="16" t="n">
        <f aca="false">AE1188-X1188</f>
        <v>-0.00199532083476238</v>
      </c>
      <c r="AG1188" s="16" t="n">
        <f aca="false">AF1188-p_spc_lo*Y1188/1000</f>
        <v>-0.00212347742348263</v>
      </c>
      <c r="AH1188" s="16" t="n">
        <f aca="false">AF1188-p_spc_hi*Y1188/1000</f>
        <v>-0.00225163401220288</v>
      </c>
      <c r="AI1188" s="16" t="n">
        <f aca="false">Q1188*J1188</f>
        <v>0.00349163601829198</v>
      </c>
      <c r="AJ1188" s="16" t="n">
        <f aca="false">S1188*J1188</f>
        <v>0.00238696889353943</v>
      </c>
      <c r="AK1188" s="16" t="n">
        <f aca="false">T1188*J1188</f>
        <v>0.00971674618451881</v>
      </c>
      <c r="AL1188" s="16" t="n">
        <f aca="false">U1188*J1188</f>
        <v>0.000984059520530524</v>
      </c>
      <c r="AM1188" s="16" t="n">
        <f aca="false">AI1188-AJ1188</f>
        <v>0.00110466712475255</v>
      </c>
      <c r="AN1188" s="16" t="n">
        <f aca="false">J1188*Country_Data!$EB$174</f>
        <v>0.0386503997727751</v>
      </c>
      <c r="AO1188" s="16" t="n">
        <f aca="false">L1188*Country_Data!$EB$174</f>
        <v>0.00927609594546603</v>
      </c>
    </row>
    <row r="1189" customFormat="false" ht="15" hidden="false" customHeight="false" outlineLevel="0" collapsed="false">
      <c r="A1189" s="14" t="str">
        <f aca="false">Country_Data!$A$174</f>
        <v>CAF</v>
      </c>
      <c r="B1189" s="14" t="str">
        <f aca="false">Country_Data!$E$174</f>
        <v>EMDC</v>
      </c>
      <c r="C1189" s="35" t="s">
        <v>470</v>
      </c>
      <c r="D1189" s="37" t="n">
        <f aca="false">IF(Country_Data!$BZ$174="","",Country_Data!$BZ$174)</f>
        <v>0.0870387972095361</v>
      </c>
      <c r="E1189" s="40" t="n">
        <f aca="false">Country_Data!$BW$174</f>
        <v>7.355</v>
      </c>
      <c r="F1189" s="41" t="n">
        <f aca="false">Country_Data!$BX$174</f>
        <v>0.389938817131203</v>
      </c>
      <c r="G1189" s="42" t="n">
        <f aca="false">IF(D1189="","",D1189/SUMIFS($D$5:$D$1369,$B$5:$B$1369,B1189,$C$5:$C$1369,C1189))</f>
        <v>9.93653495462456E-006</v>
      </c>
      <c r="H1189" s="42" t="n">
        <f aca="false">E1189/SUMIFS($E$5:$E$1369,$B$5:$B$1369,B1189,$C$5:$C$1369,C1189)</f>
        <v>9.11040234534333E-005</v>
      </c>
      <c r="I1189" s="43" t="n">
        <f aca="false">IF(G1189="",H1189,p_beta_alloc*G1189+(1-p_beta_alloc)*H1189)*F1189^p_phi</f>
        <v>3.1547429392609E-005</v>
      </c>
      <c r="J1189" s="16" t="n">
        <f aca="false">INDEX(Sector_Params!$C$17:$E$17,MATCH(B1189,Sector_Params!$C$15:$E$15,0))*I1189/SUMIFS($I$5:$I$1369,$B$5:$B$1369,B1189,$C$5:$C$1369,C1189)</f>
        <v>0.0209235246890211</v>
      </c>
      <c r="K1189" s="28" t="n">
        <f aca="false">INDEX(Sector_Params!$F$6:$H$6,MATCH(B1189,Sector_Params!$C$15:$E$15,0))</f>
        <v>0.24</v>
      </c>
      <c r="L1189" s="16" t="n">
        <f aca="false">J1189*K1189</f>
        <v>0.00502164592536507</v>
      </c>
      <c r="M1189" s="44" t="n">
        <f aca="false">Country_Data!$DW$174+Sector_Params!$E$6</f>
        <v>0.105</v>
      </c>
      <c r="N1189" s="44" t="n">
        <f aca="false">Country_Data!$DX$174+Sector_Params!$E$6</f>
        <v>0.15</v>
      </c>
      <c r="O1189" s="11" t="n">
        <f aca="false">IF(p_use_ibrd=1,p_r_ibrd,p_r_wb)</f>
        <v>0.06</v>
      </c>
      <c r="P1189" s="45" t="n">
        <f aca="false">Sector_Params!$D$6</f>
        <v>40</v>
      </c>
      <c r="Q1189" s="46" t="n">
        <f aca="false">M1189/(1-(1+M1189)^-P1189)</f>
        <v>0.10697140835497</v>
      </c>
      <c r="R1189" s="46" t="n">
        <f aca="false">N1189/(1-(1+N1189)^-P1189)</f>
        <v>0.150562085013545</v>
      </c>
      <c r="S1189" s="46" t="n">
        <f aca="false">O1189/(1-(1+O1189)^-P1189)</f>
        <v>0.0664615359206755</v>
      </c>
      <c r="T1189" s="37" t="n">
        <f aca="false">p_grid_credit*IF(AND(p_eng=1,ISNUMBER(Country_Data!$CZ$174)),Country_Data!$CZ$174,Country_Data!$CM$174)*Sector_Params!$I$6</f>
        <v>0</v>
      </c>
      <c r="U1189" s="37" t="n">
        <f aca="false">p_grid_credit*IF(AND(p_eng=1,ISNUMBER(Country_Data!$DA$174)),Country_Data!$DA$174,Country_Data!$CN$174)*Sector_Params!$J$6</f>
        <v>0</v>
      </c>
      <c r="V1189" s="37" t="n">
        <f aca="false">p_grid_credit*IF(AND(p_eng=1,ISNUMBER(Country_Data!$DB$174)),Country_Data!$DB$174,p_a)</f>
        <v>0</v>
      </c>
      <c r="W1189" s="16" t="n">
        <f aca="false">T1189*L1189</f>
        <v>0</v>
      </c>
      <c r="X1189" s="16" t="n">
        <f aca="false">U1189*L1189</f>
        <v>0</v>
      </c>
      <c r="Y1189" s="16" t="n">
        <f aca="false">V1189*L1189</f>
        <v>0</v>
      </c>
      <c r="Z1189" s="16" t="n">
        <f aca="false">Q1189*L1189</f>
        <v>0.0005371725368963</v>
      </c>
      <c r="AA1189" s="16" t="n">
        <f aca="false">R1189*L1189</f>
        <v>0.000756069480722737</v>
      </c>
      <c r="AB1189" s="16" t="n">
        <f aca="false">S1189*L1189</f>
        <v>0.000333746301049564</v>
      </c>
      <c r="AC1189" s="16" t="n">
        <f aca="false">Z1189-W1189</f>
        <v>0.0005371725368963</v>
      </c>
      <c r="AD1189" s="16" t="n">
        <f aca="false">AA1189-W1189</f>
        <v>0.000756069480722737</v>
      </c>
      <c r="AE1189" s="16" t="n">
        <f aca="false">AB1189-W1189</f>
        <v>0.000333746301049564</v>
      </c>
      <c r="AF1189" s="16" t="n">
        <f aca="false">AE1189-X1189</f>
        <v>0.000333746301049564</v>
      </c>
      <c r="AG1189" s="16" t="n">
        <f aca="false">AF1189-p_spc_lo*Y1189/1000</f>
        <v>0.000333746301049564</v>
      </c>
      <c r="AH1189" s="16" t="n">
        <f aca="false">AF1189-p_spc_hi*Y1189/1000</f>
        <v>0.000333746301049564</v>
      </c>
      <c r="AI1189" s="16" t="n">
        <f aca="false">Q1189*J1189</f>
        <v>0.00223821890373458</v>
      </c>
      <c r="AJ1189" s="16" t="n">
        <f aca="false">S1189*J1189</f>
        <v>0.00139060958770652</v>
      </c>
      <c r="AK1189" s="16" t="n">
        <f aca="false">T1189*J1189</f>
        <v>0</v>
      </c>
      <c r="AL1189" s="16" t="n">
        <f aca="false">U1189*J1189</f>
        <v>0</v>
      </c>
      <c r="AM1189" s="16" t="n">
        <f aca="false">AI1189-AJ1189</f>
        <v>0.000847609316028064</v>
      </c>
      <c r="AN1189" s="16" t="n">
        <f aca="false">J1189*Country_Data!$EB$174</f>
        <v>0.0265031312727601</v>
      </c>
      <c r="AO1189" s="16" t="n">
        <f aca="false">L1189*Country_Data!$EB$174</f>
        <v>0.00636075150546242</v>
      </c>
    </row>
    <row r="1190" customFormat="false" ht="15" hidden="false" customHeight="false" outlineLevel="0" collapsed="false">
      <c r="A1190" s="14" t="str">
        <f aca="false">Country_Data!$A$174</f>
        <v>CAF</v>
      </c>
      <c r="B1190" s="14" t="str">
        <f aca="false">Country_Data!$E$174</f>
        <v>EMDC</v>
      </c>
      <c r="C1190" s="35" t="s">
        <v>473</v>
      </c>
      <c r="D1190" s="37" t="n">
        <f aca="false">IF(Country_Data!$CA$174="","",Country_Data!$CA$174)</f>
        <v>0.00431998390352016</v>
      </c>
      <c r="E1190" s="40" t="n">
        <f aca="false">Country_Data!$BW$174</f>
        <v>7.355</v>
      </c>
      <c r="F1190" s="41" t="n">
        <f aca="false">Country_Data!$BX$174</f>
        <v>0.389938817131203</v>
      </c>
      <c r="G1190" s="42" t="n">
        <f aca="false">IF(D1190="","",D1190/SUMIFS($D$5:$D$1369,$B$5:$B$1369,B1190,$C$5:$C$1369,C1190))</f>
        <v>9.98016795401165E-005</v>
      </c>
      <c r="H1190" s="42" t="n">
        <f aca="false">E1190/SUMIFS($E$5:$E$1369,$B$5:$B$1369,B1190,$C$5:$C$1369,C1190)</f>
        <v>9.11040234534333E-005</v>
      </c>
      <c r="I1190" s="43" t="n">
        <f aca="false">IF(G1190="",H1190,p_beta_alloc*G1190+(1-p_beta_alloc)*H1190)*F1190^p_phi</f>
        <v>5.9605610664906E-005</v>
      </c>
      <c r="J1190" s="16" t="n">
        <f aca="false">INDEX(Sector_Params!$C$18:$E$18,MATCH(B1190,Sector_Params!$C$15:$E$15,0))*I1190/SUMIFS($I$5:$I$1369,$B$5:$B$1369,B1190,$C$5:$C$1369,C1190)</f>
        <v>0.0244070872261501</v>
      </c>
      <c r="K1190" s="28" t="n">
        <f aca="false">INDEX(Sector_Params!$F$7:$H$7,MATCH(B1190,Sector_Params!$C$15:$E$15,0))</f>
        <v>0.24</v>
      </c>
      <c r="L1190" s="16" t="n">
        <f aca="false">J1190*K1190</f>
        <v>0.00585770093427603</v>
      </c>
      <c r="M1190" s="44" t="n">
        <f aca="false">Country_Data!$DW$174+Sector_Params!$E$7</f>
        <v>0.105</v>
      </c>
      <c r="N1190" s="44" t="n">
        <f aca="false">Country_Data!$DX$174+Sector_Params!$E$7</f>
        <v>0.15</v>
      </c>
      <c r="O1190" s="11" t="n">
        <f aca="false">IF(p_use_ibrd=1,p_r_ibrd,p_r_wb)</f>
        <v>0.06</v>
      </c>
      <c r="P1190" s="45" t="n">
        <f aca="false">Sector_Params!$D$7</f>
        <v>12</v>
      </c>
      <c r="Q1190" s="46" t="n">
        <f aca="false">M1190/(1-(1+M1190)^-P1190)</f>
        <v>0.150376745634766</v>
      </c>
      <c r="R1190" s="46" t="n">
        <f aca="false">N1190/(1-(1+N1190)^-P1190)</f>
        <v>0.18448077613084</v>
      </c>
      <c r="S1190" s="46" t="n">
        <f aca="false">O1190/(1-(1+O1190)^-P1190)</f>
        <v>0.119277029380664</v>
      </c>
      <c r="T1190" s="37" t="n">
        <f aca="false">IF(AND(p_eng=1,ISNUMBER(Country_Data!$DE$174)),Country_Data!$DE$174,Country_Data!$CM$174)*Sector_Params!$I$7</f>
        <v>0.318441169373364</v>
      </c>
      <c r="U1190" s="37" t="n">
        <f aca="false">IF(AND(p_eng=1,ISNUMBER(Country_Data!$DF$174)),Country_Data!$DF$174,Country_Data!$CN$174)*Sector_Params!$J$7</f>
        <v>0.03225</v>
      </c>
      <c r="V1190" s="37" t="n">
        <f aca="false">IF(AND(p_eng=1,ISNUMBER(Country_Data!$DG$174)),Country_Data!$DG$174,p_a)</f>
        <v>0.35</v>
      </c>
      <c r="W1190" s="16" t="n">
        <f aca="false">T1190*L1190</f>
        <v>0.0018653331353503</v>
      </c>
      <c r="X1190" s="16" t="n">
        <f aca="false">U1190*L1190</f>
        <v>0.000188910855130402</v>
      </c>
      <c r="Y1190" s="16" t="n">
        <f aca="false">V1190*L1190</f>
        <v>0.00205019532699661</v>
      </c>
      <c r="Z1190" s="16" t="n">
        <f aca="false">Q1190*L1190</f>
        <v>0.000880862003398155</v>
      </c>
      <c r="AA1190" s="16" t="n">
        <f aca="false">R1190*L1190</f>
        <v>0.00108063321469759</v>
      </c>
      <c r="AB1190" s="16" t="n">
        <f aca="false">S1190*L1190</f>
        <v>0.000698689166440782</v>
      </c>
      <c r="AC1190" s="16" t="n">
        <f aca="false">Z1190-W1190</f>
        <v>-0.000984471131952146</v>
      </c>
      <c r="AD1190" s="16" t="n">
        <f aca="false">AA1190-W1190</f>
        <v>-0.000784699920652716</v>
      </c>
      <c r="AE1190" s="16" t="n">
        <f aca="false">AB1190-W1190</f>
        <v>-0.00116664396890952</v>
      </c>
      <c r="AF1190" s="16" t="n">
        <f aca="false">AE1190-X1190</f>
        <v>-0.00135555482403992</v>
      </c>
      <c r="AG1190" s="16" t="n">
        <f aca="false">AF1190-p_spc_lo*Y1190/1000</f>
        <v>-0.00145806459038975</v>
      </c>
      <c r="AH1190" s="16" t="n">
        <f aca="false">AF1190-p_spc_hi*Y1190/1000</f>
        <v>-0.00156057435673958</v>
      </c>
      <c r="AI1190" s="16" t="n">
        <f aca="false">Q1190*J1190</f>
        <v>0.00367025834749231</v>
      </c>
      <c r="AJ1190" s="16" t="n">
        <f aca="false">S1190*J1190</f>
        <v>0.00291120486016992</v>
      </c>
      <c r="AK1190" s="16" t="n">
        <f aca="false">T1190*J1190</f>
        <v>0.00777222139729292</v>
      </c>
      <c r="AL1190" s="16" t="n">
        <f aca="false">U1190*J1190</f>
        <v>0.000787128563043341</v>
      </c>
      <c r="AM1190" s="16" t="n">
        <f aca="false">AI1190-AJ1190</f>
        <v>0.00075905348732239</v>
      </c>
      <c r="AN1190" s="16" t="n">
        <f aca="false">J1190*Country_Data!$EB$174</f>
        <v>0.0309156438197901</v>
      </c>
      <c r="AO1190" s="16" t="n">
        <f aca="false">L1190*Country_Data!$EB$174</f>
        <v>0.00741975451674963</v>
      </c>
    </row>
    <row r="1191" customFormat="false" ht="15" hidden="false" customHeight="false" outlineLevel="0" collapsed="false">
      <c r="A1191" s="14" t="str">
        <f aca="false">Country_Data!$A$174</f>
        <v>CAF</v>
      </c>
      <c r="B1191" s="14" t="str">
        <f aca="false">Country_Data!$E$174</f>
        <v>EMDC</v>
      </c>
      <c r="C1191" s="35" t="s">
        <v>477</v>
      </c>
      <c r="D1191" s="37" t="n">
        <f aca="false">IF(Country_Data!$CB$174="","",Country_Data!$CB$174)</f>
        <v>0.000716537963558326</v>
      </c>
      <c r="E1191" s="40" t="n">
        <f aca="false">Country_Data!$BW$174</f>
        <v>7.355</v>
      </c>
      <c r="F1191" s="41" t="n">
        <f aca="false">Country_Data!$BX$174</f>
        <v>0.389938817131203</v>
      </c>
      <c r="G1191" s="42" t="n">
        <f aca="false">IF(D1191="","",D1191/SUMIFS($D$5:$D$1369,$B$5:$B$1369,B1191,$C$5:$C$1369,C1191))</f>
        <v>2.25946238493198E-005</v>
      </c>
      <c r="H1191" s="42" t="n">
        <f aca="false">E1191/SUMIFS($E$5:$E$1369,$B$5:$B$1369,B1191,$C$5:$C$1369,C1191)</f>
        <v>9.11040234534333E-005</v>
      </c>
      <c r="I1191" s="43" t="n">
        <f aca="false">IF(G1191="",H1191,p_beta_alloc*G1191+(1-p_beta_alloc)*H1191)*F1191^p_phi</f>
        <v>3.54996063395935E-005</v>
      </c>
      <c r="J1191" s="16" t="n">
        <f aca="false">INDEX(Sector_Params!$C$19:$E$19,MATCH(B1191,Sector_Params!$C$15:$E$15,0))*I1191/SUMIFS($I$5:$I$1369,$B$5:$B$1369,B1191,$C$5:$C$1369,C1191)</f>
        <v>0.0114259954720941</v>
      </c>
      <c r="K1191" s="28" t="n">
        <f aca="false">INDEX(Sector_Params!$F$8:$H$8,MATCH(B1191,Sector_Params!$C$15:$E$15,0))</f>
        <v>0.24</v>
      </c>
      <c r="L1191" s="16" t="n">
        <f aca="false">J1191*K1191</f>
        <v>0.00274223891330259</v>
      </c>
      <c r="M1191" s="44" t="n">
        <f aca="false">Country_Data!$DW$174+Sector_Params!$E$8</f>
        <v>0.105</v>
      </c>
      <c r="N1191" s="44" t="n">
        <f aca="false">Country_Data!$DX$174+Sector_Params!$E$8</f>
        <v>0.15</v>
      </c>
      <c r="O1191" s="11" t="n">
        <f aca="false">IF(p_use_ibrd=1,p_r_ibrd,p_r_wb)</f>
        <v>0.06</v>
      </c>
      <c r="P1191" s="45" t="n">
        <f aca="false">Sector_Params!$D$8</f>
        <v>25</v>
      </c>
      <c r="Q1191" s="46" t="n">
        <f aca="false">M1191/(1-(1+M1191)^-P1191)</f>
        <v>0.114429319813103</v>
      </c>
      <c r="R1191" s="46" t="n">
        <f aca="false">N1191/(1-(1+N1191)^-P1191)</f>
        <v>0.154699402320206</v>
      </c>
      <c r="S1191" s="46" t="n">
        <f aca="false">O1191/(1-(1+O1191)^-P1191)</f>
        <v>0.078226718212274</v>
      </c>
      <c r="T1191" s="37" t="n">
        <f aca="false">Country_Data!$CM$174*Sector_Params!$I$8</f>
        <v>0.318441169373364</v>
      </c>
      <c r="U1191" s="37" t="n">
        <f aca="false">Country_Data!$CN$174*Sector_Params!$J$8</f>
        <v>0.03225</v>
      </c>
      <c r="V1191" s="37" t="n">
        <f aca="false">p_a</f>
        <v>0.35</v>
      </c>
      <c r="W1191" s="16" t="n">
        <f aca="false">T1191*L1191</f>
        <v>0.00087324176625322</v>
      </c>
      <c r="X1191" s="16" t="n">
        <f aca="false">U1191*L1191</f>
        <v>8.84372049540087E-005</v>
      </c>
      <c r="Y1191" s="16" t="n">
        <f aca="false">V1191*L1191</f>
        <v>0.000959783619655908</v>
      </c>
      <c r="Z1191" s="16" t="n">
        <f aca="false">Q1191*L1191</f>
        <v>0.000313792533614239</v>
      </c>
      <c r="AA1191" s="16" t="n">
        <f aca="false">R1191*L1191</f>
        <v>0.000424222720907124</v>
      </c>
      <c r="AB1191" s="16" t="n">
        <f aca="false">S1191*L1191</f>
        <v>0.000214516350741654</v>
      </c>
      <c r="AC1191" s="16" t="n">
        <f aca="false">Z1191-W1191</f>
        <v>-0.00055944923263898</v>
      </c>
      <c r="AD1191" s="16" t="n">
        <f aca="false">AA1191-W1191</f>
        <v>-0.000449019045346096</v>
      </c>
      <c r="AE1191" s="16" t="n">
        <f aca="false">AB1191-W1191</f>
        <v>-0.000658725415511565</v>
      </c>
      <c r="AF1191" s="16" t="n">
        <f aca="false">AE1191-X1191</f>
        <v>-0.000747162620465574</v>
      </c>
      <c r="AG1191" s="16" t="n">
        <f aca="false">AF1191-p_spc_lo*Y1191/1000</f>
        <v>-0.000795151801448369</v>
      </c>
      <c r="AH1191" s="16" t="n">
        <f aca="false">AF1191-p_spc_hi*Y1191/1000</f>
        <v>-0.000843140982431165</v>
      </c>
      <c r="AI1191" s="16" t="n">
        <f aca="false">Q1191*J1191</f>
        <v>0.00130746889005933</v>
      </c>
      <c r="AJ1191" s="16" t="n">
        <f aca="false">S1191*J1191</f>
        <v>0.000893818128090226</v>
      </c>
      <c r="AK1191" s="16" t="n">
        <f aca="false">T1191*J1191</f>
        <v>0.00363850735938841</v>
      </c>
      <c r="AL1191" s="16" t="n">
        <f aca="false">U1191*J1191</f>
        <v>0.000368488353975036</v>
      </c>
      <c r="AM1191" s="16" t="n">
        <f aca="false">AI1191-AJ1191</f>
        <v>0.000413650761969104</v>
      </c>
      <c r="AN1191" s="16" t="n">
        <f aca="false">J1191*Country_Data!$EB$174</f>
        <v>0.0144729275979859</v>
      </c>
      <c r="AO1191" s="16" t="n">
        <f aca="false">L1191*Country_Data!$EB$174</f>
        <v>0.00347350262351662</v>
      </c>
    </row>
    <row r="1192" customFormat="false" ht="15" hidden="false" customHeight="false" outlineLevel="0" collapsed="false">
      <c r="A1192" s="14" t="str">
        <f aca="false">Country_Data!$A$174</f>
        <v>CAF</v>
      </c>
      <c r="B1192" s="14" t="str">
        <f aca="false">Country_Data!$E$174</f>
        <v>EMDC</v>
      </c>
      <c r="C1192" s="35" t="s">
        <v>481</v>
      </c>
      <c r="D1192" s="37" t="n">
        <f aca="false">IF(Country_Data!$CC$174="","",Country_Data!$CC$174)</f>
        <v>0.000318596213250393</v>
      </c>
      <c r="E1192" s="40" t="n">
        <f aca="false">Country_Data!$BW$174</f>
        <v>7.355</v>
      </c>
      <c r="F1192" s="41" t="n">
        <f aca="false">Country_Data!$BX$174</f>
        <v>0.389938817131203</v>
      </c>
      <c r="G1192" s="42" t="n">
        <f aca="false">IF(D1192="","",D1192/SUMIFS($D$5:$D$1369,$B$5:$B$1369,B1192,$C$5:$C$1369,C1192))</f>
        <v>4.55090264218222E-006</v>
      </c>
      <c r="H1192" s="42" t="n">
        <f aca="false">E1192/SUMIFS($E$5:$E$1369,$B$5:$B$1369,B1192,$C$5:$C$1369,C1192)</f>
        <v>9.11040234534333E-005</v>
      </c>
      <c r="I1192" s="43" t="n">
        <f aca="false">IF(G1192="",H1192,p_beta_alloc*G1192+(1-p_beta_alloc)*H1192)*F1192^p_phi</f>
        <v>2.98658981561607E-005</v>
      </c>
      <c r="J1192" s="16" t="n">
        <f aca="false">INDEX(Sector_Params!$C$20:$E$20,MATCH(B1192,Sector_Params!$C$15:$E$15,0))*I1192/SUMIFS($I$5:$I$1369,$B$5:$B$1369,B1192,$C$5:$C$1369,C1192)</f>
        <v>0.00545112784360836</v>
      </c>
      <c r="K1192" s="28" t="n">
        <f aca="false">INDEX(Sector_Params!$F$9:$H$9,MATCH(B1192,Sector_Params!$C$15:$E$15,0))</f>
        <v>0.24</v>
      </c>
      <c r="L1192" s="16" t="n">
        <f aca="false">J1192*K1192</f>
        <v>0.00130827068246601</v>
      </c>
      <c r="M1192" s="44" t="n">
        <f aca="false">Country_Data!$DW$174+Sector_Params!$E$9</f>
        <v>0.105</v>
      </c>
      <c r="N1192" s="44" t="n">
        <f aca="false">Country_Data!$DX$174+Sector_Params!$E$9</f>
        <v>0.15</v>
      </c>
      <c r="O1192" s="11" t="n">
        <f aca="false">IF(p_use_ibrd=1,p_r_ibrd,p_r_wb)</f>
        <v>0.06</v>
      </c>
      <c r="P1192" s="45" t="n">
        <f aca="false">Sector_Params!$D$9</f>
        <v>25</v>
      </c>
      <c r="Q1192" s="46" t="n">
        <f aca="false">M1192/(1-(1+M1192)^-P1192)</f>
        <v>0.114429319813103</v>
      </c>
      <c r="R1192" s="46" t="n">
        <f aca="false">N1192/(1-(1+N1192)^-P1192)</f>
        <v>0.154699402320206</v>
      </c>
      <c r="S1192" s="46" t="n">
        <f aca="false">O1192/(1-(1+O1192)^-P1192)</f>
        <v>0.078226718212274</v>
      </c>
      <c r="T1192" s="37" t="n">
        <f aca="false">Country_Data!$CM$174*Sector_Params!$I$9</f>
        <v>0.318441169373364</v>
      </c>
      <c r="U1192" s="37" t="n">
        <f aca="false">Country_Data!$CN$174*Sector_Params!$J$9</f>
        <v>0.03225</v>
      </c>
      <c r="V1192" s="37" t="n">
        <f aca="false">p_a</f>
        <v>0.35</v>
      </c>
      <c r="W1192" s="16" t="n">
        <f aca="false">T1192*L1192</f>
        <v>0.000416607245981363</v>
      </c>
      <c r="X1192" s="16" t="n">
        <f aca="false">U1192*L1192</f>
        <v>4.21917295095287E-005</v>
      </c>
      <c r="Y1192" s="16" t="n">
        <f aca="false">V1192*L1192</f>
        <v>0.000457894738863102</v>
      </c>
      <c r="Z1192" s="16" t="n">
        <f aca="false">Q1192*L1192</f>
        <v>0.00014970452432601</v>
      </c>
      <c r="AA1192" s="16" t="n">
        <f aca="false">R1192*L1192</f>
        <v>0.00020238869265054</v>
      </c>
      <c r="AB1192" s="16" t="n">
        <f aca="false">S1192*L1192</f>
        <v>0.000102341722022648</v>
      </c>
      <c r="AC1192" s="16" t="n">
        <f aca="false">Z1192-W1192</f>
        <v>-0.000266902721655354</v>
      </c>
      <c r="AD1192" s="16" t="n">
        <f aca="false">AA1192-W1192</f>
        <v>-0.000214218553330824</v>
      </c>
      <c r="AE1192" s="16" t="n">
        <f aca="false">AB1192-W1192</f>
        <v>-0.000314265523958716</v>
      </c>
      <c r="AF1192" s="16" t="n">
        <f aca="false">AE1192-X1192</f>
        <v>-0.000356457253468245</v>
      </c>
      <c r="AG1192" s="16" t="n">
        <f aca="false">AF1192-p_spc_lo*Y1192/1000</f>
        <v>-0.0003793519904114</v>
      </c>
      <c r="AH1192" s="16" t="n">
        <f aca="false">AF1192-p_spc_hi*Y1192/1000</f>
        <v>-0.000402246727354555</v>
      </c>
      <c r="AI1192" s="16" t="n">
        <f aca="false">Q1192*J1192</f>
        <v>0.000623768851358373</v>
      </c>
      <c r="AJ1192" s="16" t="n">
        <f aca="false">S1192*J1192</f>
        <v>0.000426423841761032</v>
      </c>
      <c r="AK1192" s="16" t="n">
        <f aca="false">T1192*J1192</f>
        <v>0.00173586352492235</v>
      </c>
      <c r="AL1192" s="16" t="n">
        <f aca="false">U1192*J1192</f>
        <v>0.00017579887295637</v>
      </c>
      <c r="AM1192" s="16" t="n">
        <f aca="false">AI1192-AJ1192</f>
        <v>0.000197345009597342</v>
      </c>
      <c r="AN1192" s="16" t="n">
        <f aca="false">J1192*Country_Data!$EB$174</f>
        <v>0.00690476193523726</v>
      </c>
      <c r="AO1192" s="16" t="n">
        <f aca="false">L1192*Country_Data!$EB$174</f>
        <v>0.00165714286445694</v>
      </c>
    </row>
    <row r="1193" customFormat="false" ht="15" hidden="false" customHeight="false" outlineLevel="0" collapsed="false">
      <c r="A1193" s="14" t="str">
        <f aca="false">Country_Data!$A$174</f>
        <v>CAF</v>
      </c>
      <c r="B1193" s="14" t="str">
        <f aca="false">Country_Data!$E$174</f>
        <v>EMDC</v>
      </c>
      <c r="C1193" s="35" t="s">
        <v>484</v>
      </c>
      <c r="D1193" s="37" t="n">
        <f aca="false">IF(Country_Data!$CD$174="","",Country_Data!$CD$174)</f>
        <v>0.00504177841037455</v>
      </c>
      <c r="E1193" s="40" t="n">
        <f aca="false">Country_Data!$BW$174</f>
        <v>7.355</v>
      </c>
      <c r="F1193" s="41" t="n">
        <f aca="false">Country_Data!$BX$174</f>
        <v>0.389938817131203</v>
      </c>
      <c r="G1193" s="42" t="n">
        <f aca="false">IF(D1193="","",D1193/SUMIFS($D$5:$D$1369,$B$5:$B$1369,B1193,$C$5:$C$1369,C1193))</f>
        <v>2.81551325026369E-005</v>
      </c>
      <c r="H1193" s="42" t="n">
        <f aca="false">E1193/SUMIFS($E$5:$E$1369,$B$5:$B$1369,B1193,$C$5:$C$1369,C1193)</f>
        <v>9.11040234534333E-005</v>
      </c>
      <c r="I1193" s="43" t="n">
        <f aca="false">IF(G1193="",H1193,p_beta_alloc*G1193+(1-p_beta_alloc)*H1193)*F1193^p_phi</f>
        <v>3.72357384126078E-005</v>
      </c>
      <c r="J1193" s="16" t="n">
        <f aca="false">INDEX(Sector_Params!$C$21:$E$21,MATCH(B1193,Sector_Params!$C$15:$E$15,0))*I1193/SUMIFS($I$5:$I$1369,$B$5:$B$1369,B1193,$C$5:$C$1369,C1193)</f>
        <v>0.00825850795309993</v>
      </c>
      <c r="K1193" s="28" t="n">
        <f aca="false">INDEX(Sector_Params!$F$10:$H$10,MATCH(B1193,Sector_Params!$C$15:$E$15,0))</f>
        <v>0.24</v>
      </c>
      <c r="L1193" s="16" t="n">
        <f aca="false">J1193*K1193</f>
        <v>0.00198204190874398</v>
      </c>
      <c r="M1193" s="44" t="n">
        <f aca="false">Country_Data!$DW$174+Sector_Params!$E$10</f>
        <v>0.105</v>
      </c>
      <c r="N1193" s="44" t="n">
        <f aca="false">Country_Data!$DX$174+Sector_Params!$E$10</f>
        <v>0.15</v>
      </c>
      <c r="O1193" s="11" t="n">
        <f aca="false">IF(p_use_ibrd=1,p_r_ibrd,p_r_wb)</f>
        <v>0.06</v>
      </c>
      <c r="P1193" s="45" t="n">
        <f aca="false">Sector_Params!$D$10</f>
        <v>20</v>
      </c>
      <c r="Q1193" s="46" t="n">
        <f aca="false">M1193/(1-(1+M1193)^-P1193)</f>
        <v>0.121493265267016</v>
      </c>
      <c r="R1193" s="46" t="n">
        <f aca="false">N1193/(1-(1+N1193)^-P1193)</f>
        <v>0.159761470405744</v>
      </c>
      <c r="S1193" s="46" t="n">
        <f aca="false">O1193/(1-(1+O1193)^-P1193)</f>
        <v>0.0871845569768514</v>
      </c>
      <c r="T1193" s="37" t="n">
        <f aca="false">0*Sector_Params!$I$10</f>
        <v>0</v>
      </c>
      <c r="U1193" s="37" t="n">
        <f aca="false">0*Sector_Params!$J$10</f>
        <v>0</v>
      </c>
      <c r="V1193" s="37" t="n">
        <f aca="false">1000*p_r_wb/(1-(1+p_r_wb)^-Sector_Params!$D$10)/p_cpt_fuel</f>
        <v>0.871845569768514</v>
      </c>
      <c r="W1193" s="16" t="n">
        <f aca="false">T1193*L1193</f>
        <v>0</v>
      </c>
      <c r="X1193" s="16" t="n">
        <f aca="false">U1193*L1193</f>
        <v>0</v>
      </c>
      <c r="Y1193" s="16" t="n">
        <f aca="false">V1193*L1193</f>
        <v>0.00172803445723397</v>
      </c>
      <c r="Z1193" s="16" t="n">
        <f aca="false">Q1193*L1193</f>
        <v>0.000240804743389376</v>
      </c>
      <c r="AA1193" s="16" t="n">
        <f aca="false">R1193*L1193</f>
        <v>0.000316653929746746</v>
      </c>
      <c r="AB1193" s="16" t="n">
        <f aca="false">S1193*L1193</f>
        <v>0.000172803445723397</v>
      </c>
      <c r="AC1193" s="16" t="n">
        <f aca="false">Z1193-W1193</f>
        <v>0.000240804743389376</v>
      </c>
      <c r="AD1193" s="16" t="n">
        <f aca="false">AA1193-W1193</f>
        <v>0.000316653929746746</v>
      </c>
      <c r="AE1193" s="16" t="n">
        <f aca="false">AB1193-W1193</f>
        <v>0.000172803445723397</v>
      </c>
      <c r="AF1193" s="16" t="n">
        <f aca="false">AE1193-X1193</f>
        <v>0.000172803445723397</v>
      </c>
      <c r="AG1193" s="16" t="n">
        <f aca="false">AF1193-p_spc_lo*Y1193/1000</f>
        <v>8.64017228616986E-005</v>
      </c>
      <c r="AH1193" s="16" t="n">
        <f aca="false">AF1193-p_spc_hi*Y1193/1000</f>
        <v>0</v>
      </c>
      <c r="AI1193" s="16" t="n">
        <f aca="false">Q1193*J1193</f>
        <v>0.00100335309745573</v>
      </c>
      <c r="AJ1193" s="16" t="n">
        <f aca="false">S1193*J1193</f>
        <v>0.000720014357180821</v>
      </c>
      <c r="AK1193" s="16" t="n">
        <f aca="false">T1193*J1193</f>
        <v>0</v>
      </c>
      <c r="AL1193" s="16" t="n">
        <f aca="false">U1193*J1193</f>
        <v>0</v>
      </c>
      <c r="AM1193" s="16" t="n">
        <f aca="false">AI1193-AJ1193</f>
        <v>0.000283338740274911</v>
      </c>
      <c r="AN1193" s="16" t="n">
        <f aca="false">J1193*Country_Data!$EB$174</f>
        <v>0.0104607767405932</v>
      </c>
      <c r="AO1193" s="16" t="n">
        <f aca="false">L1193*Country_Data!$EB$174</f>
        <v>0.00251058641774238</v>
      </c>
    </row>
    <row r="1194" customFormat="false" ht="15" hidden="false" customHeight="false" outlineLevel="0" collapsed="false">
      <c r="A1194" s="14" t="str">
        <f aca="false">Country_Data!$A$174</f>
        <v>CAF</v>
      </c>
      <c r="B1194" s="14" t="str">
        <f aca="false">Country_Data!$E$174</f>
        <v>EMDC</v>
      </c>
      <c r="C1194" s="35" t="s">
        <v>488</v>
      </c>
      <c r="D1194" s="37" t="n">
        <f aca="false">IF(Country_Data!$CE$174="","",Country_Data!$CE$174)</f>
        <v>43.662</v>
      </c>
      <c r="E1194" s="40" t="n">
        <f aca="false">Country_Data!$BW$174</f>
        <v>7.355</v>
      </c>
      <c r="F1194" s="41" t="n">
        <f aca="false">Country_Data!$BX$174</f>
        <v>0.389938817131203</v>
      </c>
      <c r="G1194" s="42" t="n">
        <f aca="false">IF(D1194="","",D1194/SUMIFS($D$5:$D$1369,$B$5:$B$1369,B1194,$C$5:$C$1369,C1194))</f>
        <v>0.00357764720245884</v>
      </c>
      <c r="H1194" s="42" t="n">
        <f aca="false">E1194/SUMIFS($E$5:$E$1369,$B$5:$B$1369,B1194,$C$5:$C$1369,C1194)</f>
        <v>9.11040234534333E-005</v>
      </c>
      <c r="I1194" s="43" t="n">
        <f aca="false">IF(G1194="",H1194,p_beta_alloc*G1194+(1-p_beta_alloc)*H1194)*F1194^p_phi</f>
        <v>0.00114547734179273</v>
      </c>
      <c r="J1194" s="16" t="n">
        <f aca="false">INDEX(Sector_Params!$C$22:$E$22,MATCH(B1194,Sector_Params!$C$15:$E$15,0))*I1194/SUMIFS($I$5:$I$1369,$B$5:$B$1369,B1194,$C$5:$C$1369,C1194)</f>
        <v>0.690503350147342</v>
      </c>
      <c r="K1194" s="28" t="n">
        <f aca="false">INDEX(Sector_Params!$F$11:$H$11,MATCH(B1194,Sector_Params!$C$15:$E$15,0))</f>
        <v>0.24</v>
      </c>
      <c r="L1194" s="16" t="n">
        <f aca="false">J1194*K1194</f>
        <v>0.165720804035362</v>
      </c>
      <c r="M1194" s="44" t="n">
        <f aca="false">Country_Data!$DW$174+Sector_Params!$E$11</f>
        <v>0.105</v>
      </c>
      <c r="N1194" s="44" t="n">
        <f aca="false">Country_Data!$DX$174+Sector_Params!$E$11</f>
        <v>0.15</v>
      </c>
      <c r="O1194" s="11" t="n">
        <f aca="false">IF(p_use_ibrd=1,p_r_ibrd,p_r_wb)</f>
        <v>0.06</v>
      </c>
      <c r="P1194" s="45" t="n">
        <f aca="false">Sector_Params!$D$11</f>
        <v>30</v>
      </c>
      <c r="Q1194" s="46" t="n">
        <f aca="false">M1194/(1-(1+M1194)^-P1194)</f>
        <v>0.110528481529605</v>
      </c>
      <c r="R1194" s="46" t="n">
        <f aca="false">N1194/(1-(1+N1194)^-P1194)</f>
        <v>0.152300198192734</v>
      </c>
      <c r="S1194" s="46" t="n">
        <f aca="false">O1194/(1-(1+O1194)^-P1194)</f>
        <v>0.0726489114900472</v>
      </c>
      <c r="T1194" s="37" t="n">
        <f aca="false">0*Sector_Params!$I$11</f>
        <v>0</v>
      </c>
      <c r="U1194" s="37" t="n">
        <f aca="false">p_c*Sector_Params!$J$11</f>
        <v>0.129</v>
      </c>
      <c r="V1194" s="37" t="n">
        <f aca="false">1000*p_r_wb/(1-(1+p_r_wb)^-Sector_Params!$D$11)/p_cpt_afolu</f>
        <v>1.45297822980094</v>
      </c>
      <c r="W1194" s="16" t="n">
        <f aca="false">T1194*L1194</f>
        <v>0</v>
      </c>
      <c r="X1194" s="16" t="n">
        <f aca="false">U1194*L1194</f>
        <v>0.0213779837205617</v>
      </c>
      <c r="Y1194" s="16" t="n">
        <f aca="false">V1194*L1194</f>
        <v>0.24078872048849</v>
      </c>
      <c r="Z1194" s="16" t="n">
        <f aca="false">Q1194*L1194</f>
        <v>0.0183168688278938</v>
      </c>
      <c r="AA1194" s="16" t="n">
        <f aca="false">R1194*L1194</f>
        <v>0.0252393112992449</v>
      </c>
      <c r="AB1194" s="16" t="n">
        <f aca="false">S1194*L1194</f>
        <v>0.0120394360244245</v>
      </c>
      <c r="AC1194" s="16" t="n">
        <f aca="false">Z1194-W1194</f>
        <v>0.0183168688278938</v>
      </c>
      <c r="AD1194" s="16" t="n">
        <f aca="false">AA1194-W1194</f>
        <v>0.0252393112992449</v>
      </c>
      <c r="AE1194" s="16" t="n">
        <f aca="false">AB1194-W1194</f>
        <v>0.0120394360244245</v>
      </c>
      <c r="AF1194" s="16" t="n">
        <f aca="false">AE1194-X1194</f>
        <v>-0.00933854769613723</v>
      </c>
      <c r="AG1194" s="16" t="n">
        <f aca="false">AF1194-p_spc_lo*Y1194/1000</f>
        <v>-0.0213779837205617</v>
      </c>
      <c r="AH1194" s="16" t="n">
        <f aca="false">AF1194-p_spc_hi*Y1194/1000</f>
        <v>-0.0334174197449862</v>
      </c>
      <c r="AI1194" s="16" t="n">
        <f aca="false">Q1194*J1194</f>
        <v>0.076320286782891</v>
      </c>
      <c r="AJ1194" s="16" t="n">
        <f aca="false">S1194*J1194</f>
        <v>0.0501643167684354</v>
      </c>
      <c r="AK1194" s="16" t="n">
        <f aca="false">T1194*J1194</f>
        <v>0</v>
      </c>
      <c r="AL1194" s="16" t="n">
        <f aca="false">U1194*J1194</f>
        <v>0.0890749321690072</v>
      </c>
      <c r="AM1194" s="16" t="n">
        <f aca="false">AI1194-AJ1194</f>
        <v>0.0261559700144557</v>
      </c>
      <c r="AN1194" s="16" t="n">
        <f aca="false">J1194*Country_Data!$EB$174</f>
        <v>0.8746375768533</v>
      </c>
      <c r="AO1194" s="16" t="n">
        <f aca="false">L1194*Country_Data!$EB$174</f>
        <v>0.209913018444792</v>
      </c>
    </row>
    <row r="1195" customFormat="false" ht="15" hidden="false" customHeight="false" outlineLevel="0" collapsed="false">
      <c r="A1195" s="14" t="str">
        <f aca="false">Country_Data!$A$175</f>
        <v>CPV</v>
      </c>
      <c r="B1195" s="14" t="str">
        <f aca="false">Country_Data!$E$175</f>
        <v>EMDC</v>
      </c>
      <c r="C1195" s="35" t="s">
        <v>466</v>
      </c>
      <c r="D1195" s="37" t="n">
        <f aca="false">IF(Country_Data!$BZ$175="","",Country_Data!$BZ$175)</f>
        <v>0.442326914394172</v>
      </c>
      <c r="E1195" s="40" t="n">
        <f aca="false">Country_Data!$BW$175</f>
        <v>5.885</v>
      </c>
      <c r="F1195" s="41" t="n">
        <f aca="false">Country_Data!$BX$175</f>
        <v>0.46321155480034</v>
      </c>
      <c r="G1195" s="42" t="n">
        <f aca="false">IF(D1195="","",D1195/SUMIFS($D$5:$D$1369,$B$5:$B$1369,B1195,$C$5:$C$1369,C1195))</f>
        <v>5.04969851050214E-005</v>
      </c>
      <c r="H1195" s="42" t="n">
        <f aca="false">E1195/SUMIFS($E$5:$E$1369,$B$5:$B$1369,B1195,$C$5:$C$1369,C1195)</f>
        <v>7.28956054416662E-005</v>
      </c>
      <c r="I1195" s="43" t="n">
        <f aca="false">IF(G1195="",H1195,p_beta_alloc*G1195+(1-p_beta_alloc)*H1195)*F1195^p_phi</f>
        <v>4.19902807671328E-005</v>
      </c>
      <c r="J1195" s="16" t="n">
        <f aca="false">INDEX(Sector_Params!$C$16:$E$16,MATCH(B1195,Sector_Params!$C$15:$E$15,0))*I1195/SUMIFS($I$5:$I$1369,$B$5:$B$1369,B1195,$C$5:$C$1369,C1195)</f>
        <v>0.0406140641033701</v>
      </c>
      <c r="K1195" s="28" t="n">
        <f aca="false">INDEX(Sector_Params!$F$5:$H$5,MATCH(B1195,Sector_Params!$C$15:$E$15,0))</f>
        <v>0.24</v>
      </c>
      <c r="L1195" s="16" t="n">
        <f aca="false">J1195*K1195</f>
        <v>0.00974737538480882</v>
      </c>
      <c r="M1195" s="44" t="n">
        <f aca="false">Country_Data!$DW$175+Sector_Params!$E$5</f>
        <v>0.105</v>
      </c>
      <c r="N1195" s="44" t="n">
        <f aca="false">Country_Data!$DX$175+Sector_Params!$E$5</f>
        <v>0.15</v>
      </c>
      <c r="O1195" s="11" t="n">
        <f aca="false">IF(p_use_ibrd=1,p_r_ibrd,p_r_wb)</f>
        <v>0.06</v>
      </c>
      <c r="P1195" s="45" t="n">
        <f aca="false">Sector_Params!$D$5</f>
        <v>25</v>
      </c>
      <c r="Q1195" s="46" t="n">
        <f aca="false">M1195/(1-(1+M1195)^-P1195)</f>
        <v>0.114429319813103</v>
      </c>
      <c r="R1195" s="46" t="n">
        <f aca="false">N1195/(1-(1+N1195)^-P1195)</f>
        <v>0.154699402320206</v>
      </c>
      <c r="S1195" s="46" t="n">
        <f aca="false">O1195/(1-(1+O1195)^-P1195)</f>
        <v>0.078226718212274</v>
      </c>
      <c r="T1195" s="37" t="n">
        <f aca="false">IF(AND(p_eng=1,ISNUMBER(Country_Data!$CZ$175)),Country_Data!$CZ$175,Country_Data!$CM$175)*Sector_Params!$I$5</f>
        <v>0.210126572933643</v>
      </c>
      <c r="U1195" s="37" t="n">
        <f aca="false">IF(AND(p_eng=1,ISNUMBER(Country_Data!$DA$175)),Country_Data!$DA$175,Country_Data!$CN$175)*Sector_Params!$J$5</f>
        <v>0.00228473962554633</v>
      </c>
      <c r="V1195" s="37" t="n">
        <f aca="false">IF(AND(p_eng=1,ISNUMBER(Country_Data!$DB$175)),Country_Data!$DB$175,p_a)</f>
        <v>1.29479345846712</v>
      </c>
      <c r="W1195" s="16" t="n">
        <f aca="false">T1195*L1195</f>
        <v>0.00204818258470763</v>
      </c>
      <c r="X1195" s="16" t="n">
        <f aca="false">U1195*L1195</f>
        <v>2.22702147867476E-005</v>
      </c>
      <c r="Y1195" s="16" t="n">
        <f aca="false">V1195*L1195</f>
        <v>0.0126208378854739</v>
      </c>
      <c r="Z1195" s="16" t="n">
        <f aca="false">Q1195*L1195</f>
        <v>0.00111538553524666</v>
      </c>
      <c r="AA1195" s="16" t="n">
        <f aca="false">R1195*L1195</f>
        <v>0.00150791314622062</v>
      </c>
      <c r="AB1195" s="16" t="n">
        <f aca="false">S1195*L1195</f>
        <v>0.000762505187536695</v>
      </c>
      <c r="AC1195" s="16" t="n">
        <f aca="false">Z1195-W1195</f>
        <v>-0.000932797049460972</v>
      </c>
      <c r="AD1195" s="16" t="n">
        <f aca="false">AA1195-W1195</f>
        <v>-0.000540269438487014</v>
      </c>
      <c r="AE1195" s="16" t="n">
        <f aca="false">AB1195-W1195</f>
        <v>-0.00128567739717094</v>
      </c>
      <c r="AF1195" s="16" t="n">
        <f aca="false">AE1195-X1195</f>
        <v>-0.00130794761195768</v>
      </c>
      <c r="AG1195" s="16" t="n">
        <f aca="false">AF1195-p_spc_lo*Y1195/1000</f>
        <v>-0.00193898950623138</v>
      </c>
      <c r="AH1195" s="16" t="n">
        <f aca="false">AF1195-p_spc_hi*Y1195/1000</f>
        <v>-0.00257003140050508</v>
      </c>
      <c r="AI1195" s="16" t="n">
        <f aca="false">Q1195*J1195</f>
        <v>0.00464743973019441</v>
      </c>
      <c r="AJ1195" s="16" t="n">
        <f aca="false">S1195*J1195</f>
        <v>0.00317710494806956</v>
      </c>
      <c r="AK1195" s="16" t="n">
        <f aca="false">T1195*J1195</f>
        <v>0.00853409410294846</v>
      </c>
      <c r="AL1195" s="16" t="n">
        <f aca="false">U1195*J1195</f>
        <v>9.27925616114484E-005</v>
      </c>
      <c r="AM1195" s="16" t="n">
        <f aca="false">AI1195-AJ1195</f>
        <v>0.00147033478212485</v>
      </c>
      <c r="AN1195" s="16" t="n">
        <f aca="false">J1195*Country_Data!$EB$175</f>
        <v>0.0466227201624988</v>
      </c>
      <c r="AO1195" s="16" t="n">
        <f aca="false">L1195*Country_Data!$EB$175</f>
        <v>0.0111894528389997</v>
      </c>
    </row>
    <row r="1196" customFormat="false" ht="15" hidden="false" customHeight="false" outlineLevel="0" collapsed="false">
      <c r="A1196" s="14" t="str">
        <f aca="false">Country_Data!$A$175</f>
        <v>CPV</v>
      </c>
      <c r="B1196" s="14" t="str">
        <f aca="false">Country_Data!$E$175</f>
        <v>EMDC</v>
      </c>
      <c r="C1196" s="35" t="s">
        <v>470</v>
      </c>
      <c r="D1196" s="37" t="n">
        <f aca="false">IF(Country_Data!$BZ$175="","",Country_Data!$BZ$175)</f>
        <v>0.442326914394172</v>
      </c>
      <c r="E1196" s="40" t="n">
        <f aca="false">Country_Data!$BW$175</f>
        <v>5.885</v>
      </c>
      <c r="F1196" s="41" t="n">
        <f aca="false">Country_Data!$BX$175</f>
        <v>0.46321155480034</v>
      </c>
      <c r="G1196" s="42" t="n">
        <f aca="false">IF(D1196="","",D1196/SUMIFS($D$5:$D$1369,$B$5:$B$1369,B1196,$C$5:$C$1369,C1196))</f>
        <v>5.04969851050214E-005</v>
      </c>
      <c r="H1196" s="42" t="n">
        <f aca="false">E1196/SUMIFS($E$5:$E$1369,$B$5:$B$1369,B1196,$C$5:$C$1369,C1196)</f>
        <v>7.28956054416662E-005</v>
      </c>
      <c r="I1196" s="43" t="n">
        <f aca="false">IF(G1196="",H1196,p_beta_alloc*G1196+(1-p_beta_alloc)*H1196)*F1196^p_phi</f>
        <v>4.19902807671328E-005</v>
      </c>
      <c r="J1196" s="16" t="n">
        <f aca="false">INDEX(Sector_Params!$C$17:$E$17,MATCH(B1196,Sector_Params!$C$15:$E$15,0))*I1196/SUMIFS($I$5:$I$1369,$B$5:$B$1369,B1196,$C$5:$C$1369,C1196)</f>
        <v>0.0278496439565966</v>
      </c>
      <c r="K1196" s="28" t="n">
        <f aca="false">INDEX(Sector_Params!$F$6:$H$6,MATCH(B1196,Sector_Params!$C$15:$E$15,0))</f>
        <v>0.24</v>
      </c>
      <c r="L1196" s="16" t="n">
        <f aca="false">J1196*K1196</f>
        <v>0.00668391454958319</v>
      </c>
      <c r="M1196" s="44" t="n">
        <f aca="false">Country_Data!$DW$175+Sector_Params!$E$6</f>
        <v>0.105</v>
      </c>
      <c r="N1196" s="44" t="n">
        <f aca="false">Country_Data!$DX$175+Sector_Params!$E$6</f>
        <v>0.15</v>
      </c>
      <c r="O1196" s="11" t="n">
        <f aca="false">IF(p_use_ibrd=1,p_r_ibrd,p_r_wb)</f>
        <v>0.06</v>
      </c>
      <c r="P1196" s="45" t="n">
        <f aca="false">Sector_Params!$D$6</f>
        <v>40</v>
      </c>
      <c r="Q1196" s="46" t="n">
        <f aca="false">M1196/(1-(1+M1196)^-P1196)</f>
        <v>0.10697140835497</v>
      </c>
      <c r="R1196" s="46" t="n">
        <f aca="false">N1196/(1-(1+N1196)^-P1196)</f>
        <v>0.150562085013545</v>
      </c>
      <c r="S1196" s="46" t="n">
        <f aca="false">O1196/(1-(1+O1196)^-P1196)</f>
        <v>0.0664615359206755</v>
      </c>
      <c r="T1196" s="37" t="n">
        <f aca="false">p_grid_credit*IF(AND(p_eng=1,ISNUMBER(Country_Data!$CZ$175)),Country_Data!$CZ$175,Country_Data!$CM$175)*Sector_Params!$I$6</f>
        <v>0</v>
      </c>
      <c r="U1196" s="37" t="n">
        <f aca="false">p_grid_credit*IF(AND(p_eng=1,ISNUMBER(Country_Data!$DA$175)),Country_Data!$DA$175,Country_Data!$CN$175)*Sector_Params!$J$6</f>
        <v>0</v>
      </c>
      <c r="V1196" s="37" t="n">
        <f aca="false">p_grid_credit*IF(AND(p_eng=1,ISNUMBER(Country_Data!$DB$175)),Country_Data!$DB$175,p_a)</f>
        <v>0</v>
      </c>
      <c r="W1196" s="16" t="n">
        <f aca="false">T1196*L1196</f>
        <v>0</v>
      </c>
      <c r="X1196" s="16" t="n">
        <f aca="false">U1196*L1196</f>
        <v>0</v>
      </c>
      <c r="Y1196" s="16" t="n">
        <f aca="false">V1196*L1196</f>
        <v>0</v>
      </c>
      <c r="Z1196" s="16" t="n">
        <f aca="false">Q1196*L1196</f>
        <v>0.000714987752693191</v>
      </c>
      <c r="AA1196" s="16" t="n">
        <f aca="false">R1196*L1196</f>
        <v>0.00100634411063761</v>
      </c>
      <c r="AB1196" s="16" t="n">
        <f aca="false">S1196*L1196</f>
        <v>0.000444223226927849</v>
      </c>
      <c r="AC1196" s="16" t="n">
        <f aca="false">Z1196-W1196</f>
        <v>0.000714987752693191</v>
      </c>
      <c r="AD1196" s="16" t="n">
        <f aca="false">AA1196-W1196</f>
        <v>0.00100634411063761</v>
      </c>
      <c r="AE1196" s="16" t="n">
        <f aca="false">AB1196-W1196</f>
        <v>0.000444223226927849</v>
      </c>
      <c r="AF1196" s="16" t="n">
        <f aca="false">AE1196-X1196</f>
        <v>0.000444223226927849</v>
      </c>
      <c r="AG1196" s="16" t="n">
        <f aca="false">AF1196-p_spc_lo*Y1196/1000</f>
        <v>0.000444223226927849</v>
      </c>
      <c r="AH1196" s="16" t="n">
        <f aca="false">AF1196-p_spc_hi*Y1196/1000</f>
        <v>0.000444223226927849</v>
      </c>
      <c r="AI1196" s="16" t="n">
        <f aca="false">Q1196*J1196</f>
        <v>0.00297911563622163</v>
      </c>
      <c r="AJ1196" s="16" t="n">
        <f aca="false">S1196*J1196</f>
        <v>0.00185093011219937</v>
      </c>
      <c r="AK1196" s="16" t="n">
        <f aca="false">T1196*J1196</f>
        <v>0</v>
      </c>
      <c r="AL1196" s="16" t="n">
        <f aca="false">U1196*J1196</f>
        <v>0</v>
      </c>
      <c r="AM1196" s="16" t="n">
        <f aca="false">AI1196-AJ1196</f>
        <v>0.00112818552402226</v>
      </c>
      <c r="AN1196" s="16" t="n">
        <f aca="false">J1196*Country_Data!$EB$175</f>
        <v>0.0319698652542849</v>
      </c>
      <c r="AO1196" s="16" t="n">
        <f aca="false">L1196*Country_Data!$EB$175</f>
        <v>0.00767276766102837</v>
      </c>
    </row>
    <row r="1197" customFormat="false" ht="15" hidden="false" customHeight="false" outlineLevel="0" collapsed="false">
      <c r="A1197" s="14" t="str">
        <f aca="false">Country_Data!$A$175</f>
        <v>CPV</v>
      </c>
      <c r="B1197" s="14" t="str">
        <f aca="false">Country_Data!$E$175</f>
        <v>EMDC</v>
      </c>
      <c r="C1197" s="35" t="s">
        <v>473</v>
      </c>
      <c r="D1197" s="37" t="n">
        <f aca="false">IF(Country_Data!$CA$175="","",Country_Data!$CA$175)</f>
        <v>0.00421484068731332</v>
      </c>
      <c r="E1197" s="40" t="n">
        <f aca="false">Country_Data!$BW$175</f>
        <v>5.885</v>
      </c>
      <c r="F1197" s="41" t="n">
        <f aca="false">Country_Data!$BX$175</f>
        <v>0.46321155480034</v>
      </c>
      <c r="G1197" s="42" t="n">
        <f aca="false">IF(D1197="","",D1197/SUMIFS($D$5:$D$1369,$B$5:$B$1369,B1197,$C$5:$C$1369,C1197))</f>
        <v>9.73726266075023E-005</v>
      </c>
      <c r="H1197" s="42" t="n">
        <f aca="false">E1197/SUMIFS($E$5:$E$1369,$B$5:$B$1369,B1197,$C$5:$C$1369,C1197)</f>
        <v>7.28956054416662E-005</v>
      </c>
      <c r="I1197" s="43" t="n">
        <f aca="false">IF(G1197="",H1197,p_beta_alloc*G1197+(1-p_beta_alloc)*H1197)*F1197^p_phi</f>
        <v>5.79419788318872E-005</v>
      </c>
      <c r="J1197" s="16" t="n">
        <f aca="false">INDEX(Sector_Params!$C$18:$E$18,MATCH(B1197,Sector_Params!$C$15:$E$15,0))*I1197/SUMIFS($I$5:$I$1369,$B$5:$B$1369,B1197,$C$5:$C$1369,C1197)</f>
        <v>0.0237258693540783</v>
      </c>
      <c r="K1197" s="28" t="n">
        <f aca="false">INDEX(Sector_Params!$F$7:$H$7,MATCH(B1197,Sector_Params!$C$15:$E$15,0))</f>
        <v>0.24</v>
      </c>
      <c r="L1197" s="16" t="n">
        <f aca="false">J1197*K1197</f>
        <v>0.00569420864497879</v>
      </c>
      <c r="M1197" s="44" t="n">
        <f aca="false">Country_Data!$DW$175+Sector_Params!$E$7</f>
        <v>0.105</v>
      </c>
      <c r="N1197" s="44" t="n">
        <f aca="false">Country_Data!$DX$175+Sector_Params!$E$7</f>
        <v>0.15</v>
      </c>
      <c r="O1197" s="11" t="n">
        <f aca="false">IF(p_use_ibrd=1,p_r_ibrd,p_r_wb)</f>
        <v>0.06</v>
      </c>
      <c r="P1197" s="45" t="n">
        <f aca="false">Sector_Params!$D$7</f>
        <v>12</v>
      </c>
      <c r="Q1197" s="46" t="n">
        <f aca="false">M1197/(1-(1+M1197)^-P1197)</f>
        <v>0.150376745634766</v>
      </c>
      <c r="R1197" s="46" t="n">
        <f aca="false">N1197/(1-(1+N1197)^-P1197)</f>
        <v>0.18448077613084</v>
      </c>
      <c r="S1197" s="46" t="n">
        <f aca="false">O1197/(1-(1+O1197)^-P1197)</f>
        <v>0.119277029380664</v>
      </c>
      <c r="T1197" s="37" t="n">
        <f aca="false">IF(AND(p_eng=1,ISNUMBER(Country_Data!$DE$175)),Country_Data!$DE$175,Country_Data!$CM$175)*Sector_Params!$I$7</f>
        <v>0.05426532</v>
      </c>
      <c r="U1197" s="37" t="n">
        <f aca="false">IF(AND(p_eng=1,ISNUMBER(Country_Data!$DF$175)),Country_Data!$DF$175,Country_Data!$CN$175)*Sector_Params!$J$7</f>
        <v>0.000925425</v>
      </c>
      <c r="V1197" s="37" t="n">
        <f aca="false">IF(AND(p_eng=1,ISNUMBER(Country_Data!$DG$175)),Country_Data!$DG$175,p_a)</f>
        <v>0.229438730769231</v>
      </c>
      <c r="W1197" s="16" t="n">
        <f aca="false">T1197*L1197</f>
        <v>0.00030899805426654</v>
      </c>
      <c r="X1197" s="16" t="n">
        <f aca="false">U1197*L1197</f>
        <v>5.2695630352795E-006</v>
      </c>
      <c r="Y1197" s="16" t="n">
        <f aca="false">V1197*L1197</f>
        <v>0.00130647200423911</v>
      </c>
      <c r="Z1197" s="16" t="n">
        <f aca="false">Q1197*L1197</f>
        <v>0.000856276564997259</v>
      </c>
      <c r="AA1197" s="16" t="n">
        <f aca="false">R1197*L1197</f>
        <v>0.00105047203027662</v>
      </c>
      <c r="AB1197" s="16" t="n">
        <f aca="false">S1197*L1197</f>
        <v>0.000679188291846763</v>
      </c>
      <c r="AC1197" s="16" t="n">
        <f aca="false">Z1197-W1197</f>
        <v>0.000547278510730719</v>
      </c>
      <c r="AD1197" s="16" t="n">
        <f aca="false">AA1197-W1197</f>
        <v>0.000741473976010083</v>
      </c>
      <c r="AE1197" s="16" t="n">
        <f aca="false">AB1197-W1197</f>
        <v>0.000370190237580223</v>
      </c>
      <c r="AF1197" s="16" t="n">
        <f aca="false">AE1197-X1197</f>
        <v>0.000364920674544944</v>
      </c>
      <c r="AG1197" s="16" t="n">
        <f aca="false">AF1197-p_spc_lo*Y1197/1000</f>
        <v>0.000299597074332988</v>
      </c>
      <c r="AH1197" s="16" t="n">
        <f aca="false">AF1197-p_spc_hi*Y1197/1000</f>
        <v>0.000234273474121032</v>
      </c>
      <c r="AI1197" s="16" t="n">
        <f aca="false">Q1197*J1197</f>
        <v>0.00356781902082191</v>
      </c>
      <c r="AJ1197" s="16" t="n">
        <f aca="false">S1197*J1197</f>
        <v>0.00282995121602818</v>
      </c>
      <c r="AK1197" s="16" t="n">
        <f aca="false">T1197*J1197</f>
        <v>0.00128749189277725</v>
      </c>
      <c r="AL1197" s="16" t="n">
        <f aca="false">U1197*J1197</f>
        <v>2.19565126469979E-005</v>
      </c>
      <c r="AM1197" s="16" t="n">
        <f aca="false">AI1197-AJ1197</f>
        <v>0.000737867804793733</v>
      </c>
      <c r="AN1197" s="16" t="n">
        <f aca="false">J1197*Country_Data!$EB$175</f>
        <v>0.027235997970846</v>
      </c>
      <c r="AO1197" s="16" t="n">
        <f aca="false">L1197*Country_Data!$EB$175</f>
        <v>0.00653663951300305</v>
      </c>
    </row>
    <row r="1198" customFormat="false" ht="15" hidden="false" customHeight="false" outlineLevel="0" collapsed="false">
      <c r="A1198" s="14" t="str">
        <f aca="false">Country_Data!$A$175</f>
        <v>CPV</v>
      </c>
      <c r="B1198" s="14" t="str">
        <f aca="false">Country_Data!$E$175</f>
        <v>EMDC</v>
      </c>
      <c r="C1198" s="35" t="s">
        <v>477</v>
      </c>
      <c r="D1198" s="37" t="n">
        <f aca="false">IF(Country_Data!$CB$175="","",Country_Data!$CB$175)</f>
        <v>0.00140354454144479</v>
      </c>
      <c r="E1198" s="40" t="n">
        <f aca="false">Country_Data!$BW$175</f>
        <v>5.885</v>
      </c>
      <c r="F1198" s="41" t="n">
        <f aca="false">Country_Data!$BX$175</f>
        <v>0.46321155480034</v>
      </c>
      <c r="G1198" s="42" t="n">
        <f aca="false">IF(D1198="","",D1198/SUMIFS($D$5:$D$1369,$B$5:$B$1369,B1198,$C$5:$C$1369,C1198))</f>
        <v>4.42580331853271E-005</v>
      </c>
      <c r="H1198" s="42" t="n">
        <f aca="false">E1198/SUMIFS($E$5:$E$1369,$B$5:$B$1369,B1198,$C$5:$C$1369,C1198)</f>
        <v>7.28956054416662E-005</v>
      </c>
      <c r="I1198" s="43" t="n">
        <f aca="false">IF(G1198="",H1198,p_beta_alloc*G1198+(1-p_beta_alloc)*H1198)*F1198^p_phi</f>
        <v>3.98671764410146E-005</v>
      </c>
      <c r="J1198" s="16" t="n">
        <f aca="false">INDEX(Sector_Params!$C$19:$E$19,MATCH(B1198,Sector_Params!$C$15:$E$15,0))*I1198/SUMIFS($I$5:$I$1369,$B$5:$B$1369,B1198,$C$5:$C$1369,C1198)</f>
        <v>0.0128317529254446</v>
      </c>
      <c r="K1198" s="28" t="n">
        <f aca="false">INDEX(Sector_Params!$F$8:$H$8,MATCH(B1198,Sector_Params!$C$15:$E$15,0))</f>
        <v>0.24</v>
      </c>
      <c r="L1198" s="16" t="n">
        <f aca="false">J1198*K1198</f>
        <v>0.00307962070210671</v>
      </c>
      <c r="M1198" s="44" t="n">
        <f aca="false">Country_Data!$DW$175+Sector_Params!$E$8</f>
        <v>0.105</v>
      </c>
      <c r="N1198" s="44" t="n">
        <f aca="false">Country_Data!$DX$175+Sector_Params!$E$8</f>
        <v>0.15</v>
      </c>
      <c r="O1198" s="11" t="n">
        <f aca="false">IF(p_use_ibrd=1,p_r_ibrd,p_r_wb)</f>
        <v>0.06</v>
      </c>
      <c r="P1198" s="45" t="n">
        <f aca="false">Sector_Params!$D$8</f>
        <v>25</v>
      </c>
      <c r="Q1198" s="46" t="n">
        <f aca="false">M1198/(1-(1+M1198)^-P1198)</f>
        <v>0.114429319813103</v>
      </c>
      <c r="R1198" s="46" t="n">
        <f aca="false">N1198/(1-(1+N1198)^-P1198)</f>
        <v>0.154699402320206</v>
      </c>
      <c r="S1198" s="46" t="n">
        <f aca="false">O1198/(1-(1+O1198)^-P1198)</f>
        <v>0.078226718212274</v>
      </c>
      <c r="T1198" s="37" t="n">
        <f aca="false">Country_Data!$CM$175*Sector_Params!$I$8</f>
        <v>0.127260984478237</v>
      </c>
      <c r="U1198" s="37" t="n">
        <f aca="false">Country_Data!$CN$175*Sector_Params!$J$8</f>
        <v>0.03225</v>
      </c>
      <c r="V1198" s="37" t="n">
        <f aca="false">p_a</f>
        <v>0.35</v>
      </c>
      <c r="W1198" s="16" t="n">
        <f aca="false">T1198*L1198</f>
        <v>0.000391915562369659</v>
      </c>
      <c r="X1198" s="16" t="n">
        <f aca="false">U1198*L1198</f>
        <v>9.93177676429413E-005</v>
      </c>
      <c r="Y1198" s="16" t="n">
        <f aca="false">V1198*L1198</f>
        <v>0.00107786724573735</v>
      </c>
      <c r="Z1198" s="16" t="n">
        <f aca="false">Q1198*L1198</f>
        <v>0.000352398902224422</v>
      </c>
      <c r="AA1198" s="16" t="n">
        <f aca="false">R1198*L1198</f>
        <v>0.000476415481988842</v>
      </c>
      <c r="AB1198" s="16" t="n">
        <f aca="false">S1198*L1198</f>
        <v>0.000240908620864387</v>
      </c>
      <c r="AC1198" s="16" t="n">
        <f aca="false">Z1198-W1198</f>
        <v>-3.95166601452363E-005</v>
      </c>
      <c r="AD1198" s="16" t="n">
        <f aca="false">AA1198-W1198</f>
        <v>8.44999196191837E-005</v>
      </c>
      <c r="AE1198" s="16" t="n">
        <f aca="false">AB1198-W1198</f>
        <v>-0.000151006941505272</v>
      </c>
      <c r="AF1198" s="16" t="n">
        <f aca="false">AE1198-X1198</f>
        <v>-0.000250324709148213</v>
      </c>
      <c r="AG1198" s="16" t="n">
        <f aca="false">AF1198-p_spc_lo*Y1198/1000</f>
        <v>-0.000304218071435081</v>
      </c>
      <c r="AH1198" s="16" t="n">
        <f aca="false">AF1198-p_spc_hi*Y1198/1000</f>
        <v>-0.000358111433721948</v>
      </c>
      <c r="AI1198" s="16" t="n">
        <f aca="false">Q1198*J1198</f>
        <v>0.00146832875926843</v>
      </c>
      <c r="AJ1198" s="16" t="n">
        <f aca="false">S1198*J1198</f>
        <v>0.00100378592026828</v>
      </c>
      <c r="AK1198" s="16" t="n">
        <f aca="false">T1198*J1198</f>
        <v>0.00163298150987358</v>
      </c>
      <c r="AL1198" s="16" t="n">
        <f aca="false">U1198*J1198</f>
        <v>0.000413824031845589</v>
      </c>
      <c r="AM1198" s="16" t="n">
        <f aca="false">AI1198-AJ1198</f>
        <v>0.000464542839000148</v>
      </c>
      <c r="AN1198" s="16" t="n">
        <f aca="false">J1198*Country_Data!$EB$175</f>
        <v>0.0147301492486611</v>
      </c>
      <c r="AO1198" s="16" t="n">
        <f aca="false">L1198*Country_Data!$EB$175</f>
        <v>0.00353523581967866</v>
      </c>
    </row>
    <row r="1199" customFormat="false" ht="15" hidden="false" customHeight="false" outlineLevel="0" collapsed="false">
      <c r="A1199" s="14" t="str">
        <f aca="false">Country_Data!$A$175</f>
        <v>CPV</v>
      </c>
      <c r="B1199" s="14" t="str">
        <f aca="false">Country_Data!$E$175</f>
        <v>EMDC</v>
      </c>
      <c r="C1199" s="35" t="s">
        <v>481</v>
      </c>
      <c r="D1199" s="37" t="n">
        <f aca="false">IF(Country_Data!$CC$175="","",Country_Data!$CC$175)</f>
        <v>0.00486982902746824</v>
      </c>
      <c r="E1199" s="40" t="n">
        <f aca="false">Country_Data!$BW$175</f>
        <v>5.885</v>
      </c>
      <c r="F1199" s="41" t="n">
        <f aca="false">Country_Data!$BX$175</f>
        <v>0.46321155480034</v>
      </c>
      <c r="G1199" s="42" t="n">
        <f aca="false">IF(D1199="","",D1199/SUMIFS($D$5:$D$1369,$B$5:$B$1369,B1199,$C$5:$C$1369,C1199))</f>
        <v>6.9561774014756E-005</v>
      </c>
      <c r="H1199" s="42" t="n">
        <f aca="false">E1199/SUMIFS($E$5:$E$1369,$B$5:$B$1369,B1199,$C$5:$C$1369,C1199)</f>
        <v>7.28956054416662E-005</v>
      </c>
      <c r="I1199" s="43" t="n">
        <f aca="false">IF(G1199="",H1199,p_beta_alloc*G1199+(1-p_beta_alloc)*H1199)*F1199^p_phi</f>
        <v>4.84779947825297E-005</v>
      </c>
      <c r="J1199" s="16" t="n">
        <f aca="false">INDEX(Sector_Params!$C$20:$E$20,MATCH(B1199,Sector_Params!$C$15:$E$15,0))*I1199/SUMIFS($I$5:$I$1369,$B$5:$B$1369,B1199,$C$5:$C$1369,C1199)</f>
        <v>0.00884821028249698</v>
      </c>
      <c r="K1199" s="28" t="n">
        <f aca="false">INDEX(Sector_Params!$F$9:$H$9,MATCH(B1199,Sector_Params!$C$15:$E$15,0))</f>
        <v>0.24</v>
      </c>
      <c r="L1199" s="16" t="n">
        <f aca="false">J1199*K1199</f>
        <v>0.00212357046779928</v>
      </c>
      <c r="M1199" s="44" t="n">
        <f aca="false">Country_Data!$DW$175+Sector_Params!$E$9</f>
        <v>0.105</v>
      </c>
      <c r="N1199" s="44" t="n">
        <f aca="false">Country_Data!$DX$175+Sector_Params!$E$9</f>
        <v>0.15</v>
      </c>
      <c r="O1199" s="11" t="n">
        <f aca="false">IF(p_use_ibrd=1,p_r_ibrd,p_r_wb)</f>
        <v>0.06</v>
      </c>
      <c r="P1199" s="45" t="n">
        <f aca="false">Sector_Params!$D$9</f>
        <v>25</v>
      </c>
      <c r="Q1199" s="46" t="n">
        <f aca="false">M1199/(1-(1+M1199)^-P1199)</f>
        <v>0.114429319813103</v>
      </c>
      <c r="R1199" s="46" t="n">
        <f aca="false">N1199/(1-(1+N1199)^-P1199)</f>
        <v>0.154699402320206</v>
      </c>
      <c r="S1199" s="46" t="n">
        <f aca="false">O1199/(1-(1+O1199)^-P1199)</f>
        <v>0.078226718212274</v>
      </c>
      <c r="T1199" s="37" t="n">
        <f aca="false">Country_Data!$CM$175*Sector_Params!$I$9</f>
        <v>0.127260984478237</v>
      </c>
      <c r="U1199" s="37" t="n">
        <f aca="false">Country_Data!$CN$175*Sector_Params!$J$9</f>
        <v>0.03225</v>
      </c>
      <c r="V1199" s="37" t="n">
        <f aca="false">p_a</f>
        <v>0.35</v>
      </c>
      <c r="W1199" s="16" t="n">
        <f aca="false">T1199*L1199</f>
        <v>0.000270247668341046</v>
      </c>
      <c r="X1199" s="16" t="n">
        <f aca="false">U1199*L1199</f>
        <v>6.84851475865266E-005</v>
      </c>
      <c r="Y1199" s="16" t="n">
        <f aca="false">V1199*L1199</f>
        <v>0.000743249663729746</v>
      </c>
      <c r="Z1199" s="16" t="n">
        <f aca="false">Q1199*L1199</f>
        <v>0.000242998724205465</v>
      </c>
      <c r="AA1199" s="16" t="n">
        <f aca="false">R1199*L1199</f>
        <v>0.000328515082153389</v>
      </c>
      <c r="AB1199" s="16" t="n">
        <f aca="false">S1199*L1199</f>
        <v>0.000166119948588441</v>
      </c>
      <c r="AC1199" s="16" t="n">
        <f aca="false">Z1199-W1199</f>
        <v>-2.7248944135581E-005</v>
      </c>
      <c r="AD1199" s="16" t="n">
        <f aca="false">AA1199-W1199</f>
        <v>5.82674138123434E-005</v>
      </c>
      <c r="AE1199" s="16" t="n">
        <f aca="false">AB1199-W1199</f>
        <v>-0.000104127719752605</v>
      </c>
      <c r="AF1199" s="16" t="n">
        <f aca="false">AE1199-X1199</f>
        <v>-0.000172612867339132</v>
      </c>
      <c r="AG1199" s="16" t="n">
        <f aca="false">AF1199-p_spc_lo*Y1199/1000</f>
        <v>-0.000209775350525619</v>
      </c>
      <c r="AH1199" s="16" t="n">
        <f aca="false">AF1199-p_spc_hi*Y1199/1000</f>
        <v>-0.000246937833712106</v>
      </c>
      <c r="AI1199" s="16" t="n">
        <f aca="false">Q1199*J1199</f>
        <v>0.00101249468418944</v>
      </c>
      <c r="AJ1199" s="16" t="n">
        <f aca="false">S1199*J1199</f>
        <v>0.000692166452451836</v>
      </c>
      <c r="AK1199" s="16" t="n">
        <f aca="false">T1199*J1199</f>
        <v>0.00112603195142102</v>
      </c>
      <c r="AL1199" s="16" t="n">
        <f aca="false">U1199*J1199</f>
        <v>0.000285354781610528</v>
      </c>
      <c r="AM1199" s="16" t="n">
        <f aca="false">AI1199-AJ1199</f>
        <v>0.0003203282317376</v>
      </c>
      <c r="AN1199" s="16" t="n">
        <f aca="false">J1199*Country_Data!$EB$175</f>
        <v>0.0101572605708664</v>
      </c>
      <c r="AO1199" s="16" t="n">
        <f aca="false">L1199*Country_Data!$EB$175</f>
        <v>0.00243774253700793</v>
      </c>
    </row>
    <row r="1200" customFormat="false" ht="15" hidden="false" customHeight="false" outlineLevel="0" collapsed="false">
      <c r="A1200" s="14" t="str">
        <f aca="false">Country_Data!$A$175</f>
        <v>CPV</v>
      </c>
      <c r="B1200" s="14" t="str">
        <f aca="false">Country_Data!$E$175</f>
        <v>EMDC</v>
      </c>
      <c r="C1200" s="35" t="s">
        <v>484</v>
      </c>
      <c r="D1200" s="37" t="n">
        <f aca="false">IF(Country_Data!$CD$175="","",Country_Data!$CD$175)</f>
        <v>0.00889583736440733</v>
      </c>
      <c r="E1200" s="40" t="n">
        <f aca="false">Country_Data!$BW$175</f>
        <v>5.885</v>
      </c>
      <c r="F1200" s="41" t="n">
        <f aca="false">Country_Data!$BX$175</f>
        <v>0.46321155480034</v>
      </c>
      <c r="G1200" s="42" t="n">
        <f aca="false">IF(D1200="","",D1200/SUMIFS($D$5:$D$1369,$B$5:$B$1369,B1200,$C$5:$C$1369,C1200))</f>
        <v>4.96776056641865E-005</v>
      </c>
      <c r="H1200" s="42" t="n">
        <f aca="false">E1200/SUMIFS($E$5:$E$1369,$B$5:$B$1369,B1200,$C$5:$C$1369,C1200)</f>
        <v>7.28956054416662E-005</v>
      </c>
      <c r="I1200" s="43" t="n">
        <f aca="false">IF(G1200="",H1200,p_beta_alloc*G1200+(1-p_beta_alloc)*H1200)*F1200^p_phi</f>
        <v>4.17114473896744E-005</v>
      </c>
      <c r="J1200" s="16" t="n">
        <f aca="false">INDEX(Sector_Params!$C$21:$E$21,MATCH(B1200,Sector_Params!$C$15:$E$15,0))*I1200/SUMIFS($I$5:$I$1369,$B$5:$B$1369,B1200,$C$5:$C$1369,C1200)</f>
        <v>0.00925117466950241</v>
      </c>
      <c r="K1200" s="28" t="n">
        <f aca="false">INDEX(Sector_Params!$F$10:$H$10,MATCH(B1200,Sector_Params!$C$15:$E$15,0))</f>
        <v>0.24</v>
      </c>
      <c r="L1200" s="16" t="n">
        <f aca="false">J1200*K1200</f>
        <v>0.00222028192068058</v>
      </c>
      <c r="M1200" s="44" t="n">
        <f aca="false">Country_Data!$DW$175+Sector_Params!$E$10</f>
        <v>0.105</v>
      </c>
      <c r="N1200" s="44" t="n">
        <f aca="false">Country_Data!$DX$175+Sector_Params!$E$10</f>
        <v>0.15</v>
      </c>
      <c r="O1200" s="11" t="n">
        <f aca="false">IF(p_use_ibrd=1,p_r_ibrd,p_r_wb)</f>
        <v>0.06</v>
      </c>
      <c r="P1200" s="45" t="n">
        <f aca="false">Sector_Params!$D$10</f>
        <v>20</v>
      </c>
      <c r="Q1200" s="46" t="n">
        <f aca="false">M1200/(1-(1+M1200)^-P1200)</f>
        <v>0.121493265267016</v>
      </c>
      <c r="R1200" s="46" t="n">
        <f aca="false">N1200/(1-(1+N1200)^-P1200)</f>
        <v>0.159761470405744</v>
      </c>
      <c r="S1200" s="46" t="n">
        <f aca="false">O1200/(1-(1+O1200)^-P1200)</f>
        <v>0.0871845569768514</v>
      </c>
      <c r="T1200" s="37" t="n">
        <f aca="false">0*Sector_Params!$I$10</f>
        <v>0</v>
      </c>
      <c r="U1200" s="37" t="n">
        <f aca="false">0*Sector_Params!$J$10</f>
        <v>0</v>
      </c>
      <c r="V1200" s="37" t="n">
        <f aca="false">1000*p_r_wb/(1-(1+p_r_wb)^-Sector_Params!$D$10)/p_cpt_fuel</f>
        <v>0.871845569768514</v>
      </c>
      <c r="W1200" s="16" t="n">
        <f aca="false">T1200*L1200</f>
        <v>0</v>
      </c>
      <c r="X1200" s="16" t="n">
        <f aca="false">U1200*L1200</f>
        <v>0</v>
      </c>
      <c r="Y1200" s="16" t="n">
        <f aca="false">V1200*L1200</f>
        <v>0.00193574295618249</v>
      </c>
      <c r="Z1200" s="16" t="n">
        <f aca="false">Q1200*L1200</f>
        <v>0.000269749300356806</v>
      </c>
      <c r="AA1200" s="16" t="n">
        <f aca="false">R1200*L1200</f>
        <v>0.000354715504363218</v>
      </c>
      <c r="AB1200" s="16" t="n">
        <f aca="false">S1200*L1200</f>
        <v>0.000193574295618249</v>
      </c>
      <c r="AC1200" s="16" t="n">
        <f aca="false">Z1200-W1200</f>
        <v>0.000269749300356806</v>
      </c>
      <c r="AD1200" s="16" t="n">
        <f aca="false">AA1200-W1200</f>
        <v>0.000354715504363218</v>
      </c>
      <c r="AE1200" s="16" t="n">
        <f aca="false">AB1200-W1200</f>
        <v>0.000193574295618249</v>
      </c>
      <c r="AF1200" s="16" t="n">
        <f aca="false">AE1200-X1200</f>
        <v>0.000193574295618249</v>
      </c>
      <c r="AG1200" s="16" t="n">
        <f aca="false">AF1200-p_spc_lo*Y1200/1000</f>
        <v>9.67871478091244E-005</v>
      </c>
      <c r="AH1200" s="16" t="n">
        <f aca="false">AF1200-p_spc_hi*Y1200/1000</f>
        <v>0</v>
      </c>
      <c r="AI1200" s="16" t="n">
        <f aca="false">Q1200*J1200</f>
        <v>0.00112395541815336</v>
      </c>
      <c r="AJ1200" s="16" t="n">
        <f aca="false">S1200*J1200</f>
        <v>0.000806559565076037</v>
      </c>
      <c r="AK1200" s="16" t="n">
        <f aca="false">T1200*J1200</f>
        <v>0</v>
      </c>
      <c r="AL1200" s="16" t="n">
        <f aca="false">U1200*J1200</f>
        <v>0</v>
      </c>
      <c r="AM1200" s="16" t="n">
        <f aca="false">AI1200-AJ1200</f>
        <v>0.00031739585307732</v>
      </c>
      <c r="AN1200" s="16" t="n">
        <f aca="false">J1200*Country_Data!$EB$175</f>
        <v>0.0106198416069082</v>
      </c>
      <c r="AO1200" s="16" t="n">
        <f aca="false">L1200*Country_Data!$EB$175</f>
        <v>0.00254876198565798</v>
      </c>
    </row>
    <row r="1201" customFormat="false" ht="15" hidden="false" customHeight="false" outlineLevel="0" collapsed="false">
      <c r="A1201" s="14" t="str">
        <f aca="false">Country_Data!$A$175</f>
        <v>CPV</v>
      </c>
      <c r="B1201" s="14" t="str">
        <f aca="false">Country_Data!$E$175</f>
        <v>EMDC</v>
      </c>
      <c r="C1201" s="35" t="s">
        <v>488</v>
      </c>
      <c r="D1201" s="37" t="n">
        <f aca="false">IF(Country_Data!$CE$175="","",Country_Data!$CE$175)</f>
        <v>0.291</v>
      </c>
      <c r="E1201" s="40" t="n">
        <f aca="false">Country_Data!$BW$175</f>
        <v>5.885</v>
      </c>
      <c r="F1201" s="41" t="n">
        <f aca="false">Country_Data!$BX$175</f>
        <v>0.46321155480034</v>
      </c>
      <c r="G1201" s="42" t="n">
        <f aca="false">IF(D1201="","",D1201/SUMIFS($D$5:$D$1369,$B$5:$B$1369,B1201,$C$5:$C$1369,C1201))</f>
        <v>2.38444261810161E-005</v>
      </c>
      <c r="H1201" s="42" t="n">
        <f aca="false">E1201/SUMIFS($E$5:$E$1369,$B$5:$B$1369,B1201,$C$5:$C$1369,C1201)</f>
        <v>7.28956054416662E-005</v>
      </c>
      <c r="I1201" s="43" t="n">
        <f aca="false">IF(G1201="",H1201,p_beta_alloc*G1201+(1-p_beta_alloc)*H1201)*F1201^p_phi</f>
        <v>3.29204620087845E-005</v>
      </c>
      <c r="J1201" s="16" t="n">
        <f aca="false">INDEX(Sector_Params!$C$22:$E$22,MATCH(B1201,Sector_Params!$C$15:$E$15,0))*I1201/SUMIFS($I$5:$I$1369,$B$5:$B$1369,B1201,$C$5:$C$1369,C1201)</f>
        <v>0.0198447306429368</v>
      </c>
      <c r="K1201" s="28" t="n">
        <f aca="false">INDEX(Sector_Params!$F$11:$H$11,MATCH(B1201,Sector_Params!$C$15:$E$15,0))</f>
        <v>0.24</v>
      </c>
      <c r="L1201" s="16" t="n">
        <f aca="false">J1201*K1201</f>
        <v>0.00476273535430484</v>
      </c>
      <c r="M1201" s="44" t="n">
        <f aca="false">Country_Data!$DW$175+Sector_Params!$E$11</f>
        <v>0.105</v>
      </c>
      <c r="N1201" s="44" t="n">
        <f aca="false">Country_Data!$DX$175+Sector_Params!$E$11</f>
        <v>0.15</v>
      </c>
      <c r="O1201" s="11" t="n">
        <f aca="false">IF(p_use_ibrd=1,p_r_ibrd,p_r_wb)</f>
        <v>0.06</v>
      </c>
      <c r="P1201" s="45" t="n">
        <f aca="false">Sector_Params!$D$11</f>
        <v>30</v>
      </c>
      <c r="Q1201" s="46" t="n">
        <f aca="false">M1201/(1-(1+M1201)^-P1201)</f>
        <v>0.110528481529605</v>
      </c>
      <c r="R1201" s="46" t="n">
        <f aca="false">N1201/(1-(1+N1201)^-P1201)</f>
        <v>0.152300198192734</v>
      </c>
      <c r="S1201" s="46" t="n">
        <f aca="false">O1201/(1-(1+O1201)^-P1201)</f>
        <v>0.0726489114900472</v>
      </c>
      <c r="T1201" s="37" t="n">
        <f aca="false">0*Sector_Params!$I$11</f>
        <v>0</v>
      </c>
      <c r="U1201" s="37" t="n">
        <f aca="false">p_c*Sector_Params!$J$11</f>
        <v>0.129</v>
      </c>
      <c r="V1201" s="37" t="n">
        <f aca="false">1000*p_r_wb/(1-(1+p_r_wb)^-Sector_Params!$D$11)/p_cpt_afolu</f>
        <v>1.45297822980094</v>
      </c>
      <c r="W1201" s="16" t="n">
        <f aca="false">T1201*L1201</f>
        <v>0</v>
      </c>
      <c r="X1201" s="16" t="n">
        <f aca="false">U1201*L1201</f>
        <v>0.000614392860705325</v>
      </c>
      <c r="Y1201" s="16" t="n">
        <f aca="false">V1201*L1201</f>
        <v>0.00692015078410822</v>
      </c>
      <c r="Z1201" s="16" t="n">
        <f aca="false">Q1201*L1201</f>
        <v>0.00052641790663868</v>
      </c>
      <c r="AA1201" s="16" t="n">
        <f aca="false">R1201*L1201</f>
        <v>0.00072536553840017</v>
      </c>
      <c r="AB1201" s="16" t="n">
        <f aca="false">S1201*L1201</f>
        <v>0.000346007539205411</v>
      </c>
      <c r="AC1201" s="16" t="n">
        <f aca="false">Z1201-W1201</f>
        <v>0.00052641790663868</v>
      </c>
      <c r="AD1201" s="16" t="n">
        <f aca="false">AA1201-W1201</f>
        <v>0.00072536553840017</v>
      </c>
      <c r="AE1201" s="16" t="n">
        <f aca="false">AB1201-W1201</f>
        <v>0.000346007539205411</v>
      </c>
      <c r="AF1201" s="16" t="n">
        <f aca="false">AE1201-X1201</f>
        <v>-0.000268385321499914</v>
      </c>
      <c r="AG1201" s="16" t="n">
        <f aca="false">AF1201-p_spc_lo*Y1201/1000</f>
        <v>-0.000614392860705325</v>
      </c>
      <c r="AH1201" s="16" t="n">
        <f aca="false">AF1201-p_spc_hi*Y1201/1000</f>
        <v>-0.000960400399910736</v>
      </c>
      <c r="AI1201" s="16" t="n">
        <f aca="false">Q1201*J1201</f>
        <v>0.00219340794432783</v>
      </c>
      <c r="AJ1201" s="16" t="n">
        <f aca="false">S1201*J1201</f>
        <v>0.00144169808002255</v>
      </c>
      <c r="AK1201" s="16" t="n">
        <f aca="false">T1201*J1201</f>
        <v>0</v>
      </c>
      <c r="AL1201" s="16" t="n">
        <f aca="false">U1201*J1201</f>
        <v>0.00255997025293885</v>
      </c>
      <c r="AM1201" s="16" t="n">
        <f aca="false">AI1201-AJ1201</f>
        <v>0.000751709864305288</v>
      </c>
      <c r="AN1201" s="16" t="n">
        <f aca="false">J1201*Country_Data!$EB$175</f>
        <v>0.0227806633955905</v>
      </c>
      <c r="AO1201" s="16" t="n">
        <f aca="false">L1201*Country_Data!$EB$175</f>
        <v>0.00546735921494172</v>
      </c>
    </row>
    <row r="1202" customFormat="false" ht="15" hidden="false" customHeight="false" outlineLevel="0" collapsed="false">
      <c r="A1202" s="14" t="str">
        <f aca="false">Country_Data!$A$176</f>
        <v>LCA</v>
      </c>
      <c r="B1202" s="14" t="str">
        <f aca="false">Country_Data!$E$176</f>
        <v>EMDC</v>
      </c>
      <c r="C1202" s="35" t="s">
        <v>466</v>
      </c>
      <c r="D1202" s="37" t="n">
        <f aca="false">IF(Country_Data!$BZ$176="","",Country_Data!$BZ$176)</f>
        <v>0.395071500995214</v>
      </c>
      <c r="E1202" s="40" t="n">
        <f aca="false">Country_Data!$BW$176</f>
        <v>5.065</v>
      </c>
      <c r="F1202" s="41" t="n">
        <f aca="false">Country_Data!$BX$176</f>
        <v>0.508193484698914</v>
      </c>
      <c r="G1202" s="42" t="n">
        <f aca="false">IF(D1202="","",D1202/SUMIFS($D$5:$D$1369,$B$5:$B$1369,B1202,$C$5:$C$1369,C1202))</f>
        <v>4.51022062008095E-005</v>
      </c>
      <c r="H1202" s="42" t="n">
        <f aca="false">E1202/SUMIFS($E$5:$E$1369,$B$5:$B$1369,B1202,$C$5:$C$1369,C1202)</f>
        <v>6.27385287276193E-005</v>
      </c>
      <c r="I1202" s="43" t="n">
        <f aca="false">IF(G1202="",H1202,p_beta_alloc*G1202+(1-p_beta_alloc)*H1202)*F1202^p_phi</f>
        <v>3.84385847884337E-005</v>
      </c>
      <c r="J1202" s="16" t="n">
        <f aca="false">INDEX(Sector_Params!$C$16:$E$16,MATCH(B1202,Sector_Params!$C$15:$E$15,0))*I1202/SUMIFS($I$5:$I$1369,$B$5:$B$1369,B1202,$C$5:$C$1369,C1202)</f>
        <v>0.0371787737095161</v>
      </c>
      <c r="K1202" s="28" t="n">
        <f aca="false">INDEX(Sector_Params!$F$5:$H$5,MATCH(B1202,Sector_Params!$C$15:$E$15,0))</f>
        <v>0.24</v>
      </c>
      <c r="L1202" s="16" t="n">
        <f aca="false">J1202*K1202</f>
        <v>0.00892290569028385</v>
      </c>
      <c r="M1202" s="44" t="n">
        <f aca="false">Country_Data!$DW$176+Sector_Params!$E$5</f>
        <v>0.105</v>
      </c>
      <c r="N1202" s="44" t="n">
        <f aca="false">Country_Data!$DX$176+Sector_Params!$E$5</f>
        <v>0.15</v>
      </c>
      <c r="O1202" s="11" t="n">
        <f aca="false">IF(p_use_ibrd=1,p_r_ibrd,p_r_wb)</f>
        <v>0.06</v>
      </c>
      <c r="P1202" s="45" t="n">
        <f aca="false">Sector_Params!$D$5</f>
        <v>25</v>
      </c>
      <c r="Q1202" s="46" t="n">
        <f aca="false">M1202/(1-(1+M1202)^-P1202)</f>
        <v>0.114429319813103</v>
      </c>
      <c r="R1202" s="46" t="n">
        <f aca="false">N1202/(1-(1+N1202)^-P1202)</f>
        <v>0.154699402320206</v>
      </c>
      <c r="S1202" s="46" t="n">
        <f aca="false">O1202/(1-(1+O1202)^-P1202)</f>
        <v>0.078226718212274</v>
      </c>
      <c r="T1202" s="37" t="n">
        <f aca="false">IF(AND(p_eng=1,ISNUMBER(Country_Data!$CZ$176)),Country_Data!$CZ$176,Country_Data!$CM$176)*Sector_Params!$I$5</f>
        <v>0.302053262906009</v>
      </c>
      <c r="U1202" s="37" t="n">
        <f aca="false">IF(AND(p_eng=1,ISNUMBER(Country_Data!$DA$176)),Country_Data!$DA$176,Country_Data!$CN$176)*Sector_Params!$J$5</f>
        <v>0.00805019821552232</v>
      </c>
      <c r="V1202" s="37" t="n">
        <f aca="false">IF(AND(p_eng=1,ISNUMBER(Country_Data!$DB$176)),Country_Data!$DB$176,p_a)</f>
        <v>1.8235007873412</v>
      </c>
      <c r="W1202" s="16" t="n">
        <f aca="false">T1202*L1202</f>
        <v>0.00269519277835283</v>
      </c>
      <c r="X1202" s="16" t="n">
        <f aca="false">U1202*L1202</f>
        <v>7.1831159465197E-005</v>
      </c>
      <c r="Y1202" s="16" t="n">
        <f aca="false">V1202*L1202</f>
        <v>0.0162709255516038</v>
      </c>
      <c r="Z1202" s="16" t="n">
        <f aca="false">Q1202*L1202</f>
        <v>0.00102104202889565</v>
      </c>
      <c r="AA1202" s="16" t="n">
        <f aca="false">R1202*L1202</f>
        <v>0.00138036817724648</v>
      </c>
      <c r="AB1202" s="16" t="n">
        <f aca="false">S1202*L1202</f>
        <v>0.000698009629068531</v>
      </c>
      <c r="AC1202" s="16" t="n">
        <f aca="false">Z1202-W1202</f>
        <v>-0.00167415074945718</v>
      </c>
      <c r="AD1202" s="16" t="n">
        <f aca="false">AA1202-W1202</f>
        <v>-0.00131482460110635</v>
      </c>
      <c r="AE1202" s="16" t="n">
        <f aca="false">AB1202-W1202</f>
        <v>-0.0019971831492843</v>
      </c>
      <c r="AF1202" s="16" t="n">
        <f aca="false">AE1202-X1202</f>
        <v>-0.0020690143087495</v>
      </c>
      <c r="AG1202" s="16" t="n">
        <f aca="false">AF1202-p_spc_lo*Y1202/1000</f>
        <v>-0.00288256058632969</v>
      </c>
      <c r="AH1202" s="16" t="n">
        <f aca="false">AF1202-p_spc_hi*Y1202/1000</f>
        <v>-0.00369610686390988</v>
      </c>
      <c r="AI1202" s="16" t="n">
        <f aca="false">Q1202*J1202</f>
        <v>0.00425434178706521</v>
      </c>
      <c r="AJ1202" s="16" t="n">
        <f aca="false">S1202*J1202</f>
        <v>0.00290837345445221</v>
      </c>
      <c r="AK1202" s="16" t="n">
        <f aca="false">T1202*J1202</f>
        <v>0.0112299699098035</v>
      </c>
      <c r="AL1202" s="16" t="n">
        <f aca="false">U1202*J1202</f>
        <v>0.000299296497771654</v>
      </c>
      <c r="AM1202" s="16" t="n">
        <f aca="false">AI1202-AJ1202</f>
        <v>0.001345968332613</v>
      </c>
      <c r="AN1202" s="16" t="n">
        <f aca="false">J1202*Country_Data!$EB$176</f>
        <v>0.0426791950254445</v>
      </c>
      <c r="AO1202" s="16" t="n">
        <f aca="false">L1202*Country_Data!$EB$176</f>
        <v>0.0102430068061067</v>
      </c>
    </row>
    <row r="1203" customFormat="false" ht="15" hidden="false" customHeight="false" outlineLevel="0" collapsed="false">
      <c r="A1203" s="14" t="str">
        <f aca="false">Country_Data!$A$176</f>
        <v>LCA</v>
      </c>
      <c r="B1203" s="14" t="str">
        <f aca="false">Country_Data!$E$176</f>
        <v>EMDC</v>
      </c>
      <c r="C1203" s="35" t="s">
        <v>470</v>
      </c>
      <c r="D1203" s="37" t="n">
        <f aca="false">IF(Country_Data!$BZ$176="","",Country_Data!$BZ$176)</f>
        <v>0.395071500995214</v>
      </c>
      <c r="E1203" s="40" t="n">
        <f aca="false">Country_Data!$BW$176</f>
        <v>5.065</v>
      </c>
      <c r="F1203" s="41" t="n">
        <f aca="false">Country_Data!$BX$176</f>
        <v>0.508193484698914</v>
      </c>
      <c r="G1203" s="42" t="n">
        <f aca="false">IF(D1203="","",D1203/SUMIFS($D$5:$D$1369,$B$5:$B$1369,B1203,$C$5:$C$1369,C1203))</f>
        <v>4.51022062008095E-005</v>
      </c>
      <c r="H1203" s="42" t="n">
        <f aca="false">E1203/SUMIFS($E$5:$E$1369,$B$5:$B$1369,B1203,$C$5:$C$1369,C1203)</f>
        <v>6.27385287276193E-005</v>
      </c>
      <c r="I1203" s="43" t="n">
        <f aca="false">IF(G1203="",H1203,p_beta_alloc*G1203+(1-p_beta_alloc)*H1203)*F1203^p_phi</f>
        <v>3.84385847884337E-005</v>
      </c>
      <c r="J1203" s="16" t="n">
        <f aca="false">INDEX(Sector_Params!$C$17:$E$17,MATCH(B1203,Sector_Params!$C$15:$E$15,0))*I1203/SUMIFS($I$5:$I$1369,$B$5:$B$1369,B1203,$C$5:$C$1369,C1203)</f>
        <v>0.0254940162579539</v>
      </c>
      <c r="K1203" s="28" t="n">
        <f aca="false">INDEX(Sector_Params!$F$6:$H$6,MATCH(B1203,Sector_Params!$C$15:$E$15,0))</f>
        <v>0.24</v>
      </c>
      <c r="L1203" s="16" t="n">
        <f aca="false">J1203*K1203</f>
        <v>0.00611856390190893</v>
      </c>
      <c r="M1203" s="44" t="n">
        <f aca="false">Country_Data!$DW$176+Sector_Params!$E$6</f>
        <v>0.105</v>
      </c>
      <c r="N1203" s="44" t="n">
        <f aca="false">Country_Data!$DX$176+Sector_Params!$E$6</f>
        <v>0.15</v>
      </c>
      <c r="O1203" s="11" t="n">
        <f aca="false">IF(p_use_ibrd=1,p_r_ibrd,p_r_wb)</f>
        <v>0.06</v>
      </c>
      <c r="P1203" s="45" t="n">
        <f aca="false">Sector_Params!$D$6</f>
        <v>40</v>
      </c>
      <c r="Q1203" s="46" t="n">
        <f aca="false">M1203/(1-(1+M1203)^-P1203)</f>
        <v>0.10697140835497</v>
      </c>
      <c r="R1203" s="46" t="n">
        <f aca="false">N1203/(1-(1+N1203)^-P1203)</f>
        <v>0.150562085013545</v>
      </c>
      <c r="S1203" s="46" t="n">
        <f aca="false">O1203/(1-(1+O1203)^-P1203)</f>
        <v>0.0664615359206755</v>
      </c>
      <c r="T1203" s="37" t="n">
        <f aca="false">p_grid_credit*IF(AND(p_eng=1,ISNUMBER(Country_Data!$CZ$176)),Country_Data!$CZ$176,Country_Data!$CM$176)*Sector_Params!$I$6</f>
        <v>0</v>
      </c>
      <c r="U1203" s="37" t="n">
        <f aca="false">p_grid_credit*IF(AND(p_eng=1,ISNUMBER(Country_Data!$DA$176)),Country_Data!$DA$176,Country_Data!$CN$176)*Sector_Params!$J$6</f>
        <v>0</v>
      </c>
      <c r="V1203" s="37" t="n">
        <f aca="false">p_grid_credit*IF(AND(p_eng=1,ISNUMBER(Country_Data!$DB$176)),Country_Data!$DB$176,p_a)</f>
        <v>0</v>
      </c>
      <c r="W1203" s="16" t="n">
        <f aca="false">T1203*L1203</f>
        <v>0</v>
      </c>
      <c r="X1203" s="16" t="n">
        <f aca="false">U1203*L1203</f>
        <v>0</v>
      </c>
      <c r="Y1203" s="16" t="n">
        <f aca="false">V1203*L1203</f>
        <v>0</v>
      </c>
      <c r="Z1203" s="16" t="n">
        <f aca="false">Q1203*L1203</f>
        <v>0.000654511397697081</v>
      </c>
      <c r="AA1203" s="16" t="n">
        <f aca="false">R1203*L1203</f>
        <v>0.000921223738360019</v>
      </c>
      <c r="AB1203" s="16" t="n">
        <f aca="false">S1203*L1203</f>
        <v>0.000406649154549669</v>
      </c>
      <c r="AC1203" s="16" t="n">
        <f aca="false">Z1203-W1203</f>
        <v>0.000654511397697081</v>
      </c>
      <c r="AD1203" s="16" t="n">
        <f aca="false">AA1203-W1203</f>
        <v>0.000921223738360019</v>
      </c>
      <c r="AE1203" s="16" t="n">
        <f aca="false">AB1203-W1203</f>
        <v>0.000406649154549669</v>
      </c>
      <c r="AF1203" s="16" t="n">
        <f aca="false">AE1203-X1203</f>
        <v>0.000406649154549669</v>
      </c>
      <c r="AG1203" s="16" t="n">
        <f aca="false">AF1203-p_spc_lo*Y1203/1000</f>
        <v>0.000406649154549669</v>
      </c>
      <c r="AH1203" s="16" t="n">
        <f aca="false">AF1203-p_spc_hi*Y1203/1000</f>
        <v>0.000406649154549669</v>
      </c>
      <c r="AI1203" s="16" t="n">
        <f aca="false">Q1203*J1203</f>
        <v>0.00272713082373784</v>
      </c>
      <c r="AJ1203" s="16" t="n">
        <f aca="false">S1203*J1203</f>
        <v>0.00169437147729029</v>
      </c>
      <c r="AK1203" s="16" t="n">
        <f aca="false">T1203*J1203</f>
        <v>0</v>
      </c>
      <c r="AL1203" s="16" t="n">
        <f aca="false">U1203*J1203</f>
        <v>0</v>
      </c>
      <c r="AM1203" s="16" t="n">
        <f aca="false">AI1203-AJ1203</f>
        <v>0.00103275934644755</v>
      </c>
      <c r="AN1203" s="16" t="n">
        <f aca="false">J1203*Country_Data!$EB$176</f>
        <v>0.0292657337317333</v>
      </c>
      <c r="AO1203" s="16" t="n">
        <f aca="false">L1203*Country_Data!$EB$176</f>
        <v>0.007023776095616</v>
      </c>
    </row>
    <row r="1204" customFormat="false" ht="15" hidden="false" customHeight="false" outlineLevel="0" collapsed="false">
      <c r="A1204" s="14" t="str">
        <f aca="false">Country_Data!$A$176</f>
        <v>LCA</v>
      </c>
      <c r="B1204" s="14" t="str">
        <f aca="false">Country_Data!$E$176</f>
        <v>EMDC</v>
      </c>
      <c r="C1204" s="35" t="s">
        <v>473</v>
      </c>
      <c r="D1204" s="37" t="n">
        <f aca="false">IF(Country_Data!$CA$176="","",Country_Data!$CA$176)</f>
        <v>0.00335219183354655</v>
      </c>
      <c r="E1204" s="40" t="n">
        <f aca="false">Country_Data!$BW$176</f>
        <v>5.065</v>
      </c>
      <c r="F1204" s="41" t="n">
        <f aca="false">Country_Data!$BX$176</f>
        <v>0.508193484698914</v>
      </c>
      <c r="G1204" s="42" t="n">
        <f aca="false">IF(D1204="","",D1204/SUMIFS($D$5:$D$1369,$B$5:$B$1369,B1204,$C$5:$C$1369,C1204))</f>
        <v>7.74434309479708E-005</v>
      </c>
      <c r="H1204" s="42" t="n">
        <f aca="false">E1204/SUMIFS($E$5:$E$1369,$B$5:$B$1369,B1204,$C$5:$C$1369,C1204)</f>
        <v>6.27385287276193E-005</v>
      </c>
      <c r="I1204" s="43" t="n">
        <f aca="false">IF(G1204="",H1204,p_beta_alloc*G1204+(1-p_beta_alloc)*H1204)*F1204^p_phi</f>
        <v>4.99662409234795E-005</v>
      </c>
      <c r="J1204" s="16" t="n">
        <f aca="false">INDEX(Sector_Params!$C$18:$E$18,MATCH(B1204,Sector_Params!$C$15:$E$15,0))*I1204/SUMIFS($I$5:$I$1369,$B$5:$B$1369,B1204,$C$5:$C$1369,C1204)</f>
        <v>0.0204599933962294</v>
      </c>
      <c r="K1204" s="28" t="n">
        <f aca="false">INDEX(Sector_Params!$F$7:$H$7,MATCH(B1204,Sector_Params!$C$15:$E$15,0))</f>
        <v>0.24</v>
      </c>
      <c r="L1204" s="16" t="n">
        <f aca="false">J1204*K1204</f>
        <v>0.00491039841509505</v>
      </c>
      <c r="M1204" s="44" t="n">
        <f aca="false">Country_Data!$DW$176+Sector_Params!$E$7</f>
        <v>0.105</v>
      </c>
      <c r="N1204" s="44" t="n">
        <f aca="false">Country_Data!$DX$176+Sector_Params!$E$7</f>
        <v>0.15</v>
      </c>
      <c r="O1204" s="11" t="n">
        <f aca="false">IF(p_use_ibrd=1,p_r_ibrd,p_r_wb)</f>
        <v>0.06</v>
      </c>
      <c r="P1204" s="45" t="n">
        <f aca="false">Sector_Params!$D$7</f>
        <v>12</v>
      </c>
      <c r="Q1204" s="46" t="n">
        <f aca="false">M1204/(1-(1+M1204)^-P1204)</f>
        <v>0.150376745634766</v>
      </c>
      <c r="R1204" s="46" t="n">
        <f aca="false">N1204/(1-(1+N1204)^-P1204)</f>
        <v>0.18448077613084</v>
      </c>
      <c r="S1204" s="46" t="n">
        <f aca="false">O1204/(1-(1+O1204)^-P1204)</f>
        <v>0.119277029380664</v>
      </c>
      <c r="T1204" s="37" t="n">
        <f aca="false">IF(AND(p_eng=1,ISNUMBER(Country_Data!$DE$176)),Country_Data!$DE$176,Country_Data!$CM$176)*Sector_Params!$I$7</f>
        <v>0.042075</v>
      </c>
      <c r="U1204" s="37" t="n">
        <f aca="false">IF(AND(p_eng=1,ISNUMBER(Country_Data!$DF$176)),Country_Data!$DF$176,Country_Data!$CN$176)*Sector_Params!$J$7</f>
        <v>0.00189135</v>
      </c>
      <c r="V1204" s="37" t="n">
        <f aca="false">IF(AND(p_eng=1,ISNUMBER(Country_Data!$DG$176)),Country_Data!$DG$176,p_a)</f>
        <v>0.10537695</v>
      </c>
      <c r="W1204" s="16" t="n">
        <f aca="false">T1204*L1204</f>
        <v>0.000206605013315124</v>
      </c>
      <c r="X1204" s="16" t="n">
        <f aca="false">U1204*L1204</f>
        <v>9.28728204239003E-006</v>
      </c>
      <c r="Y1204" s="16" t="n">
        <f aca="false">V1204*L1204</f>
        <v>0.000517442808267551</v>
      </c>
      <c r="Z1204" s="16" t="n">
        <f aca="false">Q1204*L1204</f>
        <v>0.000738409733432106</v>
      </c>
      <c r="AA1204" s="16" t="n">
        <f aca="false">R1204*L1204</f>
        <v>0.00090587411072838</v>
      </c>
      <c r="AB1204" s="16" t="n">
        <f aca="false">S1204*L1204</f>
        <v>0.000585697736028057</v>
      </c>
      <c r="AC1204" s="16" t="n">
        <f aca="false">Z1204-W1204</f>
        <v>0.000531804720116981</v>
      </c>
      <c r="AD1204" s="16" t="n">
        <f aca="false">AA1204-W1204</f>
        <v>0.000699269097413256</v>
      </c>
      <c r="AE1204" s="16" t="n">
        <f aca="false">AB1204-W1204</f>
        <v>0.000379092722712932</v>
      </c>
      <c r="AF1204" s="16" t="n">
        <f aca="false">AE1204-X1204</f>
        <v>0.000369805440670542</v>
      </c>
      <c r="AG1204" s="16" t="n">
        <f aca="false">AF1204-p_spc_lo*Y1204/1000</f>
        <v>0.000343933300257165</v>
      </c>
      <c r="AH1204" s="16" t="n">
        <f aca="false">AF1204-p_spc_hi*Y1204/1000</f>
        <v>0.000318061159843787</v>
      </c>
      <c r="AI1204" s="16" t="n">
        <f aca="false">Q1204*J1204</f>
        <v>0.00307670722263377</v>
      </c>
      <c r="AJ1204" s="16" t="n">
        <f aca="false">S1204*J1204</f>
        <v>0.00244040723345024</v>
      </c>
      <c r="AK1204" s="16" t="n">
        <f aca="false">T1204*J1204</f>
        <v>0.000860854222146352</v>
      </c>
      <c r="AL1204" s="16" t="n">
        <f aca="false">U1204*J1204</f>
        <v>3.86970085099585E-005</v>
      </c>
      <c r="AM1204" s="16" t="n">
        <f aca="false">AI1204-AJ1204</f>
        <v>0.000636299989183538</v>
      </c>
      <c r="AN1204" s="16" t="n">
        <f aca="false">J1204*Country_Data!$EB$176</f>
        <v>0.0234869513233428</v>
      </c>
      <c r="AO1204" s="16" t="n">
        <f aca="false">L1204*Country_Data!$EB$176</f>
        <v>0.00563686831760227</v>
      </c>
    </row>
    <row r="1205" customFormat="false" ht="15" hidden="false" customHeight="false" outlineLevel="0" collapsed="false">
      <c r="A1205" s="14" t="str">
        <f aca="false">Country_Data!$A$176</f>
        <v>LCA</v>
      </c>
      <c r="B1205" s="14" t="str">
        <f aca="false">Country_Data!$E$176</f>
        <v>EMDC</v>
      </c>
      <c r="C1205" s="35" t="s">
        <v>477</v>
      </c>
      <c r="D1205" s="37" t="n">
        <f aca="false">IF(Country_Data!$CB$176="","",Country_Data!$CB$176)</f>
        <v>0.00103547550833517</v>
      </c>
      <c r="E1205" s="40" t="n">
        <f aca="false">Country_Data!$BW$176</f>
        <v>5.065</v>
      </c>
      <c r="F1205" s="41" t="n">
        <f aca="false">Country_Data!$BX$176</f>
        <v>0.508193484698914</v>
      </c>
      <c r="G1205" s="42" t="n">
        <f aca="false">IF(D1205="","",D1205/SUMIFS($D$5:$D$1369,$B$5:$B$1369,B1205,$C$5:$C$1369,C1205))</f>
        <v>3.26516958010584E-005</v>
      </c>
      <c r="H1205" s="42" t="n">
        <f aca="false">E1205/SUMIFS($E$5:$E$1369,$B$5:$B$1369,B1205,$C$5:$C$1369,C1205)</f>
        <v>6.27385287276193E-005</v>
      </c>
      <c r="I1205" s="43" t="n">
        <f aca="false">IF(G1205="",H1205,p_beta_alloc*G1205+(1-p_beta_alloc)*H1205)*F1205^p_phi</f>
        <v>3.40007441155402E-005</v>
      </c>
      <c r="J1205" s="16" t="n">
        <f aca="false">INDEX(Sector_Params!$C$19:$E$19,MATCH(B1205,Sector_Params!$C$15:$E$15,0))*I1205/SUMIFS($I$5:$I$1369,$B$5:$B$1369,B1205,$C$5:$C$1369,C1205)</f>
        <v>0.0109435677848264</v>
      </c>
      <c r="K1205" s="28" t="n">
        <f aca="false">INDEX(Sector_Params!$F$8:$H$8,MATCH(B1205,Sector_Params!$C$15:$E$15,0))</f>
        <v>0.24</v>
      </c>
      <c r="L1205" s="16" t="n">
        <f aca="false">J1205*K1205</f>
        <v>0.00262645626835834</v>
      </c>
      <c r="M1205" s="44" t="n">
        <f aca="false">Country_Data!$DW$176+Sector_Params!$E$8</f>
        <v>0.105</v>
      </c>
      <c r="N1205" s="44" t="n">
        <f aca="false">Country_Data!$DX$176+Sector_Params!$E$8</f>
        <v>0.15</v>
      </c>
      <c r="O1205" s="11" t="n">
        <f aca="false">IF(p_use_ibrd=1,p_r_ibrd,p_r_wb)</f>
        <v>0.06</v>
      </c>
      <c r="P1205" s="45" t="n">
        <f aca="false">Sector_Params!$D$8</f>
        <v>25</v>
      </c>
      <c r="Q1205" s="46" t="n">
        <f aca="false">M1205/(1-(1+M1205)^-P1205)</f>
        <v>0.114429319813103</v>
      </c>
      <c r="R1205" s="46" t="n">
        <f aca="false">N1205/(1-(1+N1205)^-P1205)</f>
        <v>0.154699402320206</v>
      </c>
      <c r="S1205" s="46" t="n">
        <f aca="false">O1205/(1-(1+O1205)^-P1205)</f>
        <v>0.078226718212274</v>
      </c>
      <c r="T1205" s="37" t="n">
        <f aca="false">Country_Data!$CM$176*Sector_Params!$I$8</f>
        <v>0.41417152612222</v>
      </c>
      <c r="U1205" s="37" t="n">
        <f aca="false">Country_Data!$CN$176*Sector_Params!$J$8</f>
        <v>0.03225</v>
      </c>
      <c r="V1205" s="37" t="n">
        <f aca="false">p_a</f>
        <v>0.35</v>
      </c>
      <c r="W1205" s="16" t="n">
        <f aca="false">T1205*L1205</f>
        <v>0.00108780340095924</v>
      </c>
      <c r="X1205" s="16" t="n">
        <f aca="false">U1205*L1205</f>
        <v>8.47032146545563E-005</v>
      </c>
      <c r="Y1205" s="16" t="n">
        <f aca="false">V1205*L1205</f>
        <v>0.000919259693925418</v>
      </c>
      <c r="Z1205" s="16" t="n">
        <f aca="false">Q1205*L1205</f>
        <v>0.000300543604307106</v>
      </c>
      <c r="AA1205" s="16" t="n">
        <f aca="false">R1205*L1205</f>
        <v>0.000406311214935194</v>
      </c>
      <c r="AB1205" s="16" t="n">
        <f aca="false">S1205*L1205</f>
        <v>0.000205459054401728</v>
      </c>
      <c r="AC1205" s="16" t="n">
        <f aca="false">Z1205-W1205</f>
        <v>-0.000787259796652137</v>
      </c>
      <c r="AD1205" s="16" t="n">
        <f aca="false">AA1205-W1205</f>
        <v>-0.000681492186024049</v>
      </c>
      <c r="AE1205" s="16" t="n">
        <f aca="false">AB1205-W1205</f>
        <v>-0.000882344346557515</v>
      </c>
      <c r="AF1205" s="16" t="n">
        <f aca="false">AE1205-X1205</f>
        <v>-0.000967047561212071</v>
      </c>
      <c r="AG1205" s="16" t="n">
        <f aca="false">AF1205-p_spc_lo*Y1205/1000</f>
        <v>-0.00101301054590834</v>
      </c>
      <c r="AH1205" s="16" t="n">
        <f aca="false">AF1205-p_spc_hi*Y1205/1000</f>
        <v>-0.00105897353060461</v>
      </c>
      <c r="AI1205" s="16" t="n">
        <f aca="false">Q1205*J1205</f>
        <v>0.00125226501794628</v>
      </c>
      <c r="AJ1205" s="16" t="n">
        <f aca="false">S1205*J1205</f>
        <v>0.000856079393340534</v>
      </c>
      <c r="AK1205" s="16" t="n">
        <f aca="false">T1205*J1205</f>
        <v>0.00453251417066351</v>
      </c>
      <c r="AL1205" s="16" t="n">
        <f aca="false">U1205*J1205</f>
        <v>0.000352930061060651</v>
      </c>
      <c r="AM1205" s="16" t="n">
        <f aca="false">AI1205-AJ1205</f>
        <v>0.000396185624605741</v>
      </c>
      <c r="AN1205" s="16" t="n">
        <f aca="false">J1205*Country_Data!$EB$176</f>
        <v>0.0125626161694309</v>
      </c>
      <c r="AO1205" s="16" t="n">
        <f aca="false">L1205*Country_Data!$EB$176</f>
        <v>0.00301502788066341</v>
      </c>
    </row>
    <row r="1206" customFormat="false" ht="15" hidden="false" customHeight="false" outlineLevel="0" collapsed="false">
      <c r="A1206" s="14" t="str">
        <f aca="false">Country_Data!$A$176</f>
        <v>LCA</v>
      </c>
      <c r="B1206" s="14" t="str">
        <f aca="false">Country_Data!$E$176</f>
        <v>EMDC</v>
      </c>
      <c r="C1206" s="35" t="s">
        <v>481</v>
      </c>
      <c r="D1206" s="37" t="n">
        <f aca="false">IF(Country_Data!$CC$176="","",Country_Data!$CC$176)</f>
        <v>0.00389327123466993</v>
      </c>
      <c r="E1206" s="40" t="n">
        <f aca="false">Country_Data!$BW$176</f>
        <v>5.065</v>
      </c>
      <c r="F1206" s="41" t="n">
        <f aca="false">Country_Data!$BX$176</f>
        <v>0.508193484698914</v>
      </c>
      <c r="G1206" s="42" t="n">
        <f aca="false">IF(D1206="","",D1206/SUMIFS($D$5:$D$1369,$B$5:$B$1369,B1206,$C$5:$C$1369,C1206))</f>
        <v>5.56123946604051E-005</v>
      </c>
      <c r="H1206" s="42" t="n">
        <f aca="false">E1206/SUMIFS($E$5:$E$1369,$B$5:$B$1369,B1206,$C$5:$C$1369,C1206)</f>
        <v>6.27385287276193E-005</v>
      </c>
      <c r="I1206" s="43" t="n">
        <f aca="false">IF(G1206="",H1206,p_beta_alloc*G1206+(1-p_beta_alloc)*H1206)*F1206^p_phi</f>
        <v>4.21848201095738E-005</v>
      </c>
      <c r="J1206" s="16" t="n">
        <f aca="false">INDEX(Sector_Params!$C$20:$E$20,MATCH(B1206,Sector_Params!$C$15:$E$15,0))*I1206/SUMIFS($I$5:$I$1369,$B$5:$B$1369,B1206,$C$5:$C$1369,C1206)</f>
        <v>0.00769957917470073</v>
      </c>
      <c r="K1206" s="28" t="n">
        <f aca="false">INDEX(Sector_Params!$F$9:$H$9,MATCH(B1206,Sector_Params!$C$15:$E$15,0))</f>
        <v>0.24</v>
      </c>
      <c r="L1206" s="16" t="n">
        <f aca="false">J1206*K1206</f>
        <v>0.00184789900192818</v>
      </c>
      <c r="M1206" s="44" t="n">
        <f aca="false">Country_Data!$DW$176+Sector_Params!$E$9</f>
        <v>0.105</v>
      </c>
      <c r="N1206" s="44" t="n">
        <f aca="false">Country_Data!$DX$176+Sector_Params!$E$9</f>
        <v>0.15</v>
      </c>
      <c r="O1206" s="11" t="n">
        <f aca="false">IF(p_use_ibrd=1,p_r_ibrd,p_r_wb)</f>
        <v>0.06</v>
      </c>
      <c r="P1206" s="45" t="n">
        <f aca="false">Sector_Params!$D$9</f>
        <v>25</v>
      </c>
      <c r="Q1206" s="46" t="n">
        <f aca="false">M1206/(1-(1+M1206)^-P1206)</f>
        <v>0.114429319813103</v>
      </c>
      <c r="R1206" s="46" t="n">
        <f aca="false">N1206/(1-(1+N1206)^-P1206)</f>
        <v>0.154699402320206</v>
      </c>
      <c r="S1206" s="46" t="n">
        <f aca="false">O1206/(1-(1+O1206)^-P1206)</f>
        <v>0.078226718212274</v>
      </c>
      <c r="T1206" s="37" t="n">
        <f aca="false">Country_Data!$CM$176*Sector_Params!$I$9</f>
        <v>0.41417152612222</v>
      </c>
      <c r="U1206" s="37" t="n">
        <f aca="false">Country_Data!$CN$176*Sector_Params!$J$9</f>
        <v>0.03225</v>
      </c>
      <c r="V1206" s="37" t="n">
        <f aca="false">p_a</f>
        <v>0.35</v>
      </c>
      <c r="W1206" s="16" t="n">
        <f aca="false">T1206*L1206</f>
        <v>0.000765347149748319</v>
      </c>
      <c r="X1206" s="16" t="n">
        <f aca="false">U1206*L1206</f>
        <v>5.95947428121837E-005</v>
      </c>
      <c r="Y1206" s="16" t="n">
        <f aca="false">V1206*L1206</f>
        <v>0.000646764650674861</v>
      </c>
      <c r="Z1206" s="16" t="n">
        <f aca="false">Q1206*L1206</f>
        <v>0.000211453825873954</v>
      </c>
      <c r="AA1206" s="16" t="n">
        <f aca="false">R1206*L1206</f>
        <v>0.000285868871146395</v>
      </c>
      <c r="AB1206" s="16" t="n">
        <f aca="false">S1206*L1206</f>
        <v>0.000144555074508578</v>
      </c>
      <c r="AC1206" s="16" t="n">
        <f aca="false">Z1206-W1206</f>
        <v>-0.000553893323874366</v>
      </c>
      <c r="AD1206" s="16" t="n">
        <f aca="false">AA1206-W1206</f>
        <v>-0.000479478278601925</v>
      </c>
      <c r="AE1206" s="16" t="n">
        <f aca="false">AB1206-W1206</f>
        <v>-0.000620792075239742</v>
      </c>
      <c r="AF1206" s="16" t="n">
        <f aca="false">AE1206-X1206</f>
        <v>-0.000680386818051925</v>
      </c>
      <c r="AG1206" s="16" t="n">
        <f aca="false">AF1206-p_spc_lo*Y1206/1000</f>
        <v>-0.000712725050585669</v>
      </c>
      <c r="AH1206" s="16" t="n">
        <f aca="false">AF1206-p_spc_hi*Y1206/1000</f>
        <v>-0.000745063283119412</v>
      </c>
      <c r="AI1206" s="16" t="n">
        <f aca="false">Q1206*J1206</f>
        <v>0.00088105760780814</v>
      </c>
      <c r="AJ1206" s="16" t="n">
        <f aca="false">S1206*J1206</f>
        <v>0.000602312810452407</v>
      </c>
      <c r="AK1206" s="16" t="n">
        <f aca="false">T1206*J1206</f>
        <v>0.00318894645728466</v>
      </c>
      <c r="AL1206" s="16" t="n">
        <f aca="false">U1206*J1206</f>
        <v>0.000248311428384099</v>
      </c>
      <c r="AM1206" s="16" t="n">
        <f aca="false">AI1206-AJ1206</f>
        <v>0.000278744797355733</v>
      </c>
      <c r="AN1206" s="16" t="n">
        <f aca="false">J1206*Country_Data!$EB$176</f>
        <v>0.00883869499780714</v>
      </c>
      <c r="AO1206" s="16" t="n">
        <f aca="false">L1206*Country_Data!$EB$176</f>
        <v>0.00212128679947371</v>
      </c>
    </row>
    <row r="1207" customFormat="false" ht="15" hidden="false" customHeight="false" outlineLevel="0" collapsed="false">
      <c r="A1207" s="14" t="str">
        <f aca="false">Country_Data!$A$176</f>
        <v>LCA</v>
      </c>
      <c r="B1207" s="14" t="str">
        <f aca="false">Country_Data!$E$176</f>
        <v>EMDC</v>
      </c>
      <c r="C1207" s="35" t="s">
        <v>484</v>
      </c>
      <c r="D1207" s="37" t="n">
        <f aca="false">IF(Country_Data!$CD$176="","",Country_Data!$CD$176)</f>
        <v>0.00685868117296888</v>
      </c>
      <c r="E1207" s="40" t="n">
        <f aca="false">Country_Data!$BW$176</f>
        <v>5.065</v>
      </c>
      <c r="F1207" s="41" t="n">
        <f aca="false">Country_Data!$BX$176</f>
        <v>0.508193484698914</v>
      </c>
      <c r="G1207" s="42" t="n">
        <f aca="false">IF(D1207="","",D1207/SUMIFS($D$5:$D$1369,$B$5:$B$1369,B1207,$C$5:$C$1369,C1207))</f>
        <v>3.83013812786615E-005</v>
      </c>
      <c r="H1207" s="42" t="n">
        <f aca="false">E1207/SUMIFS($E$5:$E$1369,$B$5:$B$1369,B1207,$C$5:$C$1369,C1207)</f>
        <v>6.27385287276193E-005</v>
      </c>
      <c r="I1207" s="43" t="n">
        <f aca="false">IF(G1207="",H1207,p_beta_alloc*G1207+(1-p_beta_alloc)*H1207)*F1207^p_phi</f>
        <v>3.60145092702655E-005</v>
      </c>
      <c r="J1207" s="16" t="n">
        <f aca="false">INDEX(Sector_Params!$C$21:$E$21,MATCH(B1207,Sector_Params!$C$15:$E$15,0))*I1207/SUMIFS($I$5:$I$1369,$B$5:$B$1369,B1207,$C$5:$C$1369,C1207)</f>
        <v>0.00798765175379929</v>
      </c>
      <c r="K1207" s="28" t="n">
        <f aca="false">INDEX(Sector_Params!$F$10:$H$10,MATCH(B1207,Sector_Params!$C$15:$E$15,0))</f>
        <v>0.24</v>
      </c>
      <c r="L1207" s="16" t="n">
        <f aca="false">J1207*K1207</f>
        <v>0.00191703642091183</v>
      </c>
      <c r="M1207" s="44" t="n">
        <f aca="false">Country_Data!$DW$176+Sector_Params!$E$10</f>
        <v>0.105</v>
      </c>
      <c r="N1207" s="44" t="n">
        <f aca="false">Country_Data!$DX$176+Sector_Params!$E$10</f>
        <v>0.15</v>
      </c>
      <c r="O1207" s="11" t="n">
        <f aca="false">IF(p_use_ibrd=1,p_r_ibrd,p_r_wb)</f>
        <v>0.06</v>
      </c>
      <c r="P1207" s="45" t="n">
        <f aca="false">Sector_Params!$D$10</f>
        <v>20</v>
      </c>
      <c r="Q1207" s="46" t="n">
        <f aca="false">M1207/(1-(1+M1207)^-P1207)</f>
        <v>0.121493265267016</v>
      </c>
      <c r="R1207" s="46" t="n">
        <f aca="false">N1207/(1-(1+N1207)^-P1207)</f>
        <v>0.159761470405744</v>
      </c>
      <c r="S1207" s="46" t="n">
        <f aca="false">O1207/(1-(1+O1207)^-P1207)</f>
        <v>0.0871845569768514</v>
      </c>
      <c r="T1207" s="37" t="n">
        <f aca="false">0*Sector_Params!$I$10</f>
        <v>0</v>
      </c>
      <c r="U1207" s="37" t="n">
        <f aca="false">0*Sector_Params!$J$10</f>
        <v>0</v>
      </c>
      <c r="V1207" s="37" t="n">
        <f aca="false">1000*p_r_wb/(1-(1+p_r_wb)^-Sector_Params!$D$10)/p_cpt_fuel</f>
        <v>0.871845569768514</v>
      </c>
      <c r="W1207" s="16" t="n">
        <f aca="false">T1207*L1207</f>
        <v>0</v>
      </c>
      <c r="X1207" s="16" t="n">
        <f aca="false">U1207*L1207</f>
        <v>0</v>
      </c>
      <c r="Y1207" s="16" t="n">
        <f aca="false">V1207*L1207</f>
        <v>0.00167135971065687</v>
      </c>
      <c r="Z1207" s="16" t="n">
        <f aca="false">Q1207*L1207</f>
        <v>0.000232907014412372</v>
      </c>
      <c r="AA1207" s="16" t="n">
        <f aca="false">R1207*L1207</f>
        <v>0.000306268557426239</v>
      </c>
      <c r="AB1207" s="16" t="n">
        <f aca="false">S1207*L1207</f>
        <v>0.000167135971065687</v>
      </c>
      <c r="AC1207" s="16" t="n">
        <f aca="false">Z1207-W1207</f>
        <v>0.000232907014412372</v>
      </c>
      <c r="AD1207" s="16" t="n">
        <f aca="false">AA1207-W1207</f>
        <v>0.000306268557426239</v>
      </c>
      <c r="AE1207" s="16" t="n">
        <f aca="false">AB1207-W1207</f>
        <v>0.000167135971065687</v>
      </c>
      <c r="AF1207" s="16" t="n">
        <f aca="false">AE1207-X1207</f>
        <v>0.000167135971065687</v>
      </c>
      <c r="AG1207" s="16" t="n">
        <f aca="false">AF1207-p_spc_lo*Y1207/1000</f>
        <v>8.35679855328434E-005</v>
      </c>
      <c r="AH1207" s="16" t="n">
        <f aca="false">AF1207-p_spc_hi*Y1207/1000</f>
        <v>0</v>
      </c>
      <c r="AI1207" s="16" t="n">
        <f aca="false">Q1207*J1207</f>
        <v>0.000970445893384885</v>
      </c>
      <c r="AJ1207" s="16" t="n">
        <f aca="false">S1207*J1207</f>
        <v>0.000696399879440362</v>
      </c>
      <c r="AK1207" s="16" t="n">
        <f aca="false">T1207*J1207</f>
        <v>0</v>
      </c>
      <c r="AL1207" s="16" t="n">
        <f aca="false">U1207*J1207</f>
        <v>0</v>
      </c>
      <c r="AM1207" s="16" t="n">
        <f aca="false">AI1207-AJ1207</f>
        <v>0.000274046013944523</v>
      </c>
      <c r="AN1207" s="16" t="n">
        <f aca="false">J1207*Country_Data!$EB$176</f>
        <v>0.00916938653381344</v>
      </c>
      <c r="AO1207" s="16" t="n">
        <f aca="false">L1207*Country_Data!$EB$176</f>
        <v>0.00220065276811522</v>
      </c>
    </row>
    <row r="1208" customFormat="false" ht="15" hidden="false" customHeight="false" outlineLevel="0" collapsed="false">
      <c r="A1208" s="14" t="str">
        <f aca="false">Country_Data!$A$176</f>
        <v>LCA</v>
      </c>
      <c r="B1208" s="14" t="str">
        <f aca="false">Country_Data!$E$176</f>
        <v>EMDC</v>
      </c>
      <c r="C1208" s="35" t="s">
        <v>488</v>
      </c>
      <c r="D1208" s="37" t="n">
        <f aca="false">IF(Country_Data!$CE$176="","",Country_Data!$CE$176)</f>
        <v>0.18</v>
      </c>
      <c r="E1208" s="40" t="n">
        <f aca="false">Country_Data!$BW$176</f>
        <v>5.065</v>
      </c>
      <c r="F1208" s="41" t="n">
        <f aca="false">Country_Data!$BX$176</f>
        <v>0.508193484698914</v>
      </c>
      <c r="G1208" s="42" t="n">
        <f aca="false">IF(D1208="","",D1208/SUMIFS($D$5:$D$1369,$B$5:$B$1369,B1208,$C$5:$C$1369,C1208))</f>
        <v>1.47491295965048E-005</v>
      </c>
      <c r="H1208" s="42" t="n">
        <f aca="false">E1208/SUMIFS($E$5:$E$1369,$B$5:$B$1369,B1208,$C$5:$C$1369,C1208)</f>
        <v>6.27385287276193E-005</v>
      </c>
      <c r="I1208" s="43" t="n">
        <f aca="false">IF(G1208="",H1208,p_beta_alloc*G1208+(1-p_beta_alloc)*H1208)*F1208^p_phi</f>
        <v>2.76195811028717E-005</v>
      </c>
      <c r="J1208" s="16" t="n">
        <f aca="false">INDEX(Sector_Params!$C$22:$E$22,MATCH(B1208,Sector_Params!$C$15:$E$15,0))*I1208/SUMIFS($I$5:$I$1369,$B$5:$B$1369,B1208,$C$5:$C$1369,C1208)</f>
        <v>0.0166493151679032</v>
      </c>
      <c r="K1208" s="28" t="n">
        <f aca="false">INDEX(Sector_Params!$F$11:$H$11,MATCH(B1208,Sector_Params!$C$15:$E$15,0))</f>
        <v>0.24</v>
      </c>
      <c r="L1208" s="16" t="n">
        <f aca="false">J1208*K1208</f>
        <v>0.00399583564029677</v>
      </c>
      <c r="M1208" s="44" t="n">
        <f aca="false">Country_Data!$DW$176+Sector_Params!$E$11</f>
        <v>0.105</v>
      </c>
      <c r="N1208" s="44" t="n">
        <f aca="false">Country_Data!$DX$176+Sector_Params!$E$11</f>
        <v>0.15</v>
      </c>
      <c r="O1208" s="11" t="n">
        <f aca="false">IF(p_use_ibrd=1,p_r_ibrd,p_r_wb)</f>
        <v>0.06</v>
      </c>
      <c r="P1208" s="45" t="n">
        <f aca="false">Sector_Params!$D$11</f>
        <v>30</v>
      </c>
      <c r="Q1208" s="46" t="n">
        <f aca="false">M1208/(1-(1+M1208)^-P1208)</f>
        <v>0.110528481529605</v>
      </c>
      <c r="R1208" s="46" t="n">
        <f aca="false">N1208/(1-(1+N1208)^-P1208)</f>
        <v>0.152300198192734</v>
      </c>
      <c r="S1208" s="46" t="n">
        <f aca="false">O1208/(1-(1+O1208)^-P1208)</f>
        <v>0.0726489114900472</v>
      </c>
      <c r="T1208" s="37" t="n">
        <f aca="false">0*Sector_Params!$I$11</f>
        <v>0</v>
      </c>
      <c r="U1208" s="37" t="n">
        <f aca="false">p_c*Sector_Params!$J$11</f>
        <v>0.129</v>
      </c>
      <c r="V1208" s="37" t="n">
        <f aca="false">1000*p_r_wb/(1-(1+p_r_wb)^-Sector_Params!$D$11)/p_cpt_afolu</f>
        <v>1.45297822980094</v>
      </c>
      <c r="W1208" s="16" t="n">
        <f aca="false">T1208*L1208</f>
        <v>0</v>
      </c>
      <c r="X1208" s="16" t="n">
        <f aca="false">U1208*L1208</f>
        <v>0.000515462797598283</v>
      </c>
      <c r="Y1208" s="16" t="n">
        <f aca="false">V1208*L1208</f>
        <v>0.00580586219521392</v>
      </c>
      <c r="Z1208" s="16" t="n">
        <f aca="false">Q1208*L1208</f>
        <v>0.00044165364576388</v>
      </c>
      <c r="AA1208" s="16" t="n">
        <f aca="false">R1208*L1208</f>
        <v>0.000608566559962789</v>
      </c>
      <c r="AB1208" s="16" t="n">
        <f aca="false">S1208*L1208</f>
        <v>0.000290293109760696</v>
      </c>
      <c r="AC1208" s="16" t="n">
        <f aca="false">Z1208-W1208</f>
        <v>0.00044165364576388</v>
      </c>
      <c r="AD1208" s="16" t="n">
        <f aca="false">AA1208-W1208</f>
        <v>0.000608566559962789</v>
      </c>
      <c r="AE1208" s="16" t="n">
        <f aca="false">AB1208-W1208</f>
        <v>0.000290293109760696</v>
      </c>
      <c r="AF1208" s="16" t="n">
        <f aca="false">AE1208-X1208</f>
        <v>-0.000225169687837587</v>
      </c>
      <c r="AG1208" s="16" t="n">
        <f aca="false">AF1208-p_spc_lo*Y1208/1000</f>
        <v>-0.000515462797598283</v>
      </c>
      <c r="AH1208" s="16" t="n">
        <f aca="false">AF1208-p_spc_hi*Y1208/1000</f>
        <v>-0.000805755907358979</v>
      </c>
      <c r="AI1208" s="16" t="n">
        <f aca="false">Q1208*J1208</f>
        <v>0.00184022352401616</v>
      </c>
      <c r="AJ1208" s="16" t="n">
        <f aca="false">S1208*J1208</f>
        <v>0.0012095546240029</v>
      </c>
      <c r="AK1208" s="16" t="n">
        <f aca="false">T1208*J1208</f>
        <v>0</v>
      </c>
      <c r="AL1208" s="16" t="n">
        <f aca="false">U1208*J1208</f>
        <v>0.00214776165665951</v>
      </c>
      <c r="AM1208" s="16" t="n">
        <f aca="false">AI1208-AJ1208</f>
        <v>0.000630668900013264</v>
      </c>
      <c r="AN1208" s="16" t="n">
        <f aca="false">J1208*Country_Data!$EB$176</f>
        <v>0.0191125015215108</v>
      </c>
      <c r="AO1208" s="16" t="n">
        <f aca="false">L1208*Country_Data!$EB$176</f>
        <v>0.00458700036516259</v>
      </c>
    </row>
    <row r="1209" customFormat="false" ht="15" hidden="false" customHeight="false" outlineLevel="0" collapsed="false">
      <c r="A1209" s="14" t="str">
        <f aca="false">Country_Data!$A$177</f>
        <v>LSO</v>
      </c>
      <c r="B1209" s="14" t="str">
        <f aca="false">Country_Data!$E$177</f>
        <v>EMDC</v>
      </c>
      <c r="C1209" s="35" t="s">
        <v>466</v>
      </c>
      <c r="D1209" s="37" t="n">
        <f aca="false">IF(Country_Data!$BZ$177="","",Country_Data!$BZ$177)</f>
        <v>0.795862832991708</v>
      </c>
      <c r="E1209" s="40" t="n">
        <f aca="false">Country_Data!$BW$177</f>
        <v>7.288</v>
      </c>
      <c r="F1209" s="41" t="n">
        <f aca="false">Country_Data!$BX$177</f>
        <v>0.344950603732162</v>
      </c>
      <c r="G1209" s="42" t="n">
        <f aca="false">IF(D1209="","",D1209/SUMIFS($D$5:$D$1369,$B$5:$B$1369,B1209,$C$5:$C$1369,C1209))</f>
        <v>9.08574005230188E-005</v>
      </c>
      <c r="H1209" s="42" t="n">
        <f aca="false">E1209/SUMIFS($E$5:$E$1369,$B$5:$B$1369,B1209,$C$5:$C$1369,C1209)</f>
        <v>9.02741159658222E-005</v>
      </c>
      <c r="I1209" s="43" t="n">
        <f aca="false">IF(G1209="",H1209,p_beta_alloc*G1209+(1-p_beta_alloc)*H1209)*F1209^p_phi</f>
        <v>5.31915299599556E-005</v>
      </c>
      <c r="J1209" s="16" t="n">
        <f aca="false">INDEX(Sector_Params!$C$16:$E$16,MATCH(B1209,Sector_Params!$C$15:$E$15,0))*I1209/SUMIFS($I$5:$I$1369,$B$5:$B$1369,B1209,$C$5:$C$1369,C1209)</f>
        <v>0.0514481962988189</v>
      </c>
      <c r="K1209" s="28" t="n">
        <f aca="false">INDEX(Sector_Params!$F$5:$H$5,MATCH(B1209,Sector_Params!$C$15:$E$15,0))</f>
        <v>0.24</v>
      </c>
      <c r="L1209" s="16" t="n">
        <f aca="false">J1209*K1209</f>
        <v>0.0123475671117165</v>
      </c>
      <c r="M1209" s="44" t="n">
        <f aca="false">Country_Data!$DW$177+Sector_Params!$E$5</f>
        <v>0.105</v>
      </c>
      <c r="N1209" s="44" t="n">
        <f aca="false">Country_Data!$DX$177+Sector_Params!$E$5</f>
        <v>0.15</v>
      </c>
      <c r="O1209" s="11" t="n">
        <f aca="false">IF(p_use_ibrd=1,p_r_ibrd,p_r_wb)</f>
        <v>0.06</v>
      </c>
      <c r="P1209" s="45" t="n">
        <f aca="false">Sector_Params!$D$5</f>
        <v>25</v>
      </c>
      <c r="Q1209" s="46" t="n">
        <f aca="false">M1209/(1-(1+M1209)^-P1209)</f>
        <v>0.114429319813103</v>
      </c>
      <c r="R1209" s="46" t="n">
        <f aca="false">N1209/(1-(1+N1209)^-P1209)</f>
        <v>0.154699402320206</v>
      </c>
      <c r="S1209" s="46" t="n">
        <f aca="false">O1209/(1-(1+O1209)^-P1209)</f>
        <v>0.078226718212274</v>
      </c>
      <c r="T1209" s="37" t="n">
        <f aca="false">IF(AND(p_eng=1,ISNUMBER(Country_Data!$CZ$177)),Country_Data!$CZ$177,Country_Data!$CM$177)*Sector_Params!$I$5</f>
        <v>0.479435883170531</v>
      </c>
      <c r="U1209" s="37" t="n">
        <f aca="false">IF(AND(p_eng=1,ISNUMBER(Country_Data!$DA$177)),Country_Data!$DA$177,Country_Data!$CN$177)*Sector_Params!$J$5</f>
        <v>0.03225</v>
      </c>
      <c r="V1209" s="37" t="n">
        <f aca="false">IF(AND(p_eng=1,ISNUMBER(Country_Data!$DB$177)),Country_Data!$DB$177,p_a)</f>
        <v>0.35</v>
      </c>
      <c r="W1209" s="16" t="n">
        <f aca="false">T1209*L1209</f>
        <v>0.00591986674321322</v>
      </c>
      <c r="X1209" s="16" t="n">
        <f aca="false">U1209*L1209</f>
        <v>0.000398209039352858</v>
      </c>
      <c r="Y1209" s="16" t="n">
        <f aca="false">V1209*L1209</f>
        <v>0.00432164848910079</v>
      </c>
      <c r="Z1209" s="16" t="n">
        <f aca="false">Q1209*L1209</f>
        <v>0.00141292370594037</v>
      </c>
      <c r="AA1209" s="16" t="n">
        <f aca="false">R1209*L1209</f>
        <v>0.00191016125229119</v>
      </c>
      <c r="AB1209" s="16" t="n">
        <f aca="false">S1209*L1209</f>
        <v>0.000965909653055391</v>
      </c>
      <c r="AC1209" s="16" t="n">
        <f aca="false">Z1209-W1209</f>
        <v>-0.00450694303727285</v>
      </c>
      <c r="AD1209" s="16" t="n">
        <f aca="false">AA1209-W1209</f>
        <v>-0.00400970549092204</v>
      </c>
      <c r="AE1209" s="16" t="n">
        <f aca="false">AB1209-W1209</f>
        <v>-0.00495395709015783</v>
      </c>
      <c r="AF1209" s="16" t="n">
        <f aca="false">AE1209-X1209</f>
        <v>-0.00535216612951069</v>
      </c>
      <c r="AG1209" s="16" t="n">
        <f aca="false">AF1209-p_spc_lo*Y1209/1000</f>
        <v>-0.00556824855396573</v>
      </c>
      <c r="AH1209" s="16" t="n">
        <f aca="false">AF1209-p_spc_hi*Y1209/1000</f>
        <v>-0.00578433097842077</v>
      </c>
      <c r="AI1209" s="16" t="n">
        <f aca="false">Q1209*J1209</f>
        <v>0.00588718210808487</v>
      </c>
      <c r="AJ1209" s="16" t="n">
        <f aca="false">S1209*J1209</f>
        <v>0.00402462355439746</v>
      </c>
      <c r="AK1209" s="16" t="n">
        <f aca="false">T1209*J1209</f>
        <v>0.0246661114300551</v>
      </c>
      <c r="AL1209" s="16" t="n">
        <f aca="false">U1209*J1209</f>
        <v>0.00165920433063691</v>
      </c>
      <c r="AM1209" s="16" t="n">
        <f aca="false">AI1209-AJ1209</f>
        <v>0.00186255855368741</v>
      </c>
      <c r="AN1209" s="16" t="n">
        <f aca="false">J1209*Country_Data!$EB$177</f>
        <v>0.06069395911194</v>
      </c>
      <c r="AO1209" s="16" t="n">
        <f aca="false">L1209*Country_Data!$EB$177</f>
        <v>0.0145665501868656</v>
      </c>
    </row>
    <row r="1210" customFormat="false" ht="15" hidden="false" customHeight="false" outlineLevel="0" collapsed="false">
      <c r="A1210" s="14" t="str">
        <f aca="false">Country_Data!$A$177</f>
        <v>LSO</v>
      </c>
      <c r="B1210" s="14" t="str">
        <f aca="false">Country_Data!$E$177</f>
        <v>EMDC</v>
      </c>
      <c r="C1210" s="35" t="s">
        <v>470</v>
      </c>
      <c r="D1210" s="37" t="n">
        <f aca="false">IF(Country_Data!$BZ$177="","",Country_Data!$BZ$177)</f>
        <v>0.795862832991708</v>
      </c>
      <c r="E1210" s="40" t="n">
        <f aca="false">Country_Data!$BW$177</f>
        <v>7.288</v>
      </c>
      <c r="F1210" s="41" t="n">
        <f aca="false">Country_Data!$BX$177</f>
        <v>0.344950603732162</v>
      </c>
      <c r="G1210" s="42" t="n">
        <f aca="false">IF(D1210="","",D1210/SUMIFS($D$5:$D$1369,$B$5:$B$1369,B1210,$C$5:$C$1369,C1210))</f>
        <v>9.08574005230188E-005</v>
      </c>
      <c r="H1210" s="42" t="n">
        <f aca="false">E1210/SUMIFS($E$5:$E$1369,$B$5:$B$1369,B1210,$C$5:$C$1369,C1210)</f>
        <v>9.02741159658222E-005</v>
      </c>
      <c r="I1210" s="43" t="n">
        <f aca="false">IF(G1210="",H1210,p_beta_alloc*G1210+(1-p_beta_alloc)*H1210)*F1210^p_phi</f>
        <v>5.31915299599556E-005</v>
      </c>
      <c r="J1210" s="16" t="n">
        <f aca="false">INDEX(Sector_Params!$C$17:$E$17,MATCH(B1210,Sector_Params!$C$15:$E$15,0))*I1210/SUMIFS($I$5:$I$1369,$B$5:$B$1369,B1210,$C$5:$C$1369,C1210)</f>
        <v>0.035278763176333</v>
      </c>
      <c r="K1210" s="28" t="n">
        <f aca="false">INDEX(Sector_Params!$F$6:$H$6,MATCH(B1210,Sector_Params!$C$15:$E$15,0))</f>
        <v>0.24</v>
      </c>
      <c r="L1210" s="16" t="n">
        <f aca="false">J1210*K1210</f>
        <v>0.00846690316231991</v>
      </c>
      <c r="M1210" s="44" t="n">
        <f aca="false">Country_Data!$DW$177+Sector_Params!$E$6</f>
        <v>0.105</v>
      </c>
      <c r="N1210" s="44" t="n">
        <f aca="false">Country_Data!$DX$177+Sector_Params!$E$6</f>
        <v>0.15</v>
      </c>
      <c r="O1210" s="11" t="n">
        <f aca="false">IF(p_use_ibrd=1,p_r_ibrd,p_r_wb)</f>
        <v>0.06</v>
      </c>
      <c r="P1210" s="45" t="n">
        <f aca="false">Sector_Params!$D$6</f>
        <v>40</v>
      </c>
      <c r="Q1210" s="46" t="n">
        <f aca="false">M1210/(1-(1+M1210)^-P1210)</f>
        <v>0.10697140835497</v>
      </c>
      <c r="R1210" s="46" t="n">
        <f aca="false">N1210/(1-(1+N1210)^-P1210)</f>
        <v>0.150562085013545</v>
      </c>
      <c r="S1210" s="46" t="n">
        <f aca="false">O1210/(1-(1+O1210)^-P1210)</f>
        <v>0.0664615359206755</v>
      </c>
      <c r="T1210" s="37" t="n">
        <f aca="false">p_grid_credit*IF(AND(p_eng=1,ISNUMBER(Country_Data!$CZ$177)),Country_Data!$CZ$177,Country_Data!$CM$177)*Sector_Params!$I$6</f>
        <v>0</v>
      </c>
      <c r="U1210" s="37" t="n">
        <f aca="false">p_grid_credit*IF(AND(p_eng=1,ISNUMBER(Country_Data!$DA$177)),Country_Data!$DA$177,Country_Data!$CN$177)*Sector_Params!$J$6</f>
        <v>0</v>
      </c>
      <c r="V1210" s="37" t="n">
        <f aca="false">p_grid_credit*IF(AND(p_eng=1,ISNUMBER(Country_Data!$DB$177)),Country_Data!$DB$177,p_a)</f>
        <v>0</v>
      </c>
      <c r="W1210" s="16" t="n">
        <f aca="false">T1210*L1210</f>
        <v>0</v>
      </c>
      <c r="X1210" s="16" t="n">
        <f aca="false">U1210*L1210</f>
        <v>0</v>
      </c>
      <c r="Y1210" s="16" t="n">
        <f aca="false">V1210*L1210</f>
        <v>0</v>
      </c>
      <c r="Z1210" s="16" t="n">
        <f aca="false">Q1210*L1210</f>
        <v>0.000905716555678513</v>
      </c>
      <c r="AA1210" s="16" t="n">
        <f aca="false">R1210*L1210</f>
        <v>0.00127479459372666</v>
      </c>
      <c r="AB1210" s="16" t="n">
        <f aca="false">S1210*L1210</f>
        <v>0.000562723388659406</v>
      </c>
      <c r="AC1210" s="16" t="n">
        <f aca="false">Z1210-W1210</f>
        <v>0.000905716555678513</v>
      </c>
      <c r="AD1210" s="16" t="n">
        <f aca="false">AA1210-W1210</f>
        <v>0.00127479459372666</v>
      </c>
      <c r="AE1210" s="16" t="n">
        <f aca="false">AB1210-W1210</f>
        <v>0.000562723388659406</v>
      </c>
      <c r="AF1210" s="16" t="n">
        <f aca="false">AE1210-X1210</f>
        <v>0.000562723388659406</v>
      </c>
      <c r="AG1210" s="16" t="n">
        <f aca="false">AF1210-p_spc_lo*Y1210/1000</f>
        <v>0.000562723388659406</v>
      </c>
      <c r="AH1210" s="16" t="n">
        <f aca="false">AF1210-p_spc_hi*Y1210/1000</f>
        <v>0.000562723388659406</v>
      </c>
      <c r="AI1210" s="16" t="n">
        <f aca="false">Q1210*J1210</f>
        <v>0.0037738189819938</v>
      </c>
      <c r="AJ1210" s="16" t="n">
        <f aca="false">S1210*J1210</f>
        <v>0.00234468078608086</v>
      </c>
      <c r="AK1210" s="16" t="n">
        <f aca="false">T1210*J1210</f>
        <v>0</v>
      </c>
      <c r="AL1210" s="16" t="n">
        <f aca="false">U1210*J1210</f>
        <v>0</v>
      </c>
      <c r="AM1210" s="16" t="n">
        <f aca="false">AI1210-AJ1210</f>
        <v>0.00142913819591295</v>
      </c>
      <c r="AN1210" s="16" t="n">
        <f aca="false">J1210*Country_Data!$EB$177</f>
        <v>0.041618714819616</v>
      </c>
      <c r="AO1210" s="16" t="n">
        <f aca="false">L1210*Country_Data!$EB$177</f>
        <v>0.00998849155670784</v>
      </c>
    </row>
    <row r="1211" customFormat="false" ht="15" hidden="false" customHeight="false" outlineLevel="0" collapsed="false">
      <c r="A1211" s="14" t="str">
        <f aca="false">Country_Data!$A$177</f>
        <v>LSO</v>
      </c>
      <c r="B1211" s="14" t="str">
        <f aca="false">Country_Data!$E$177</f>
        <v>EMDC</v>
      </c>
      <c r="C1211" s="35" t="s">
        <v>473</v>
      </c>
      <c r="D1211" s="37" t="n">
        <f aca="false">IF(Country_Data!$CA$177="","",Country_Data!$CA$177)</f>
        <v>0.00885627284991905</v>
      </c>
      <c r="E1211" s="40" t="n">
        <f aca="false">Country_Data!$BW$177</f>
        <v>7.288</v>
      </c>
      <c r="F1211" s="41" t="n">
        <f aca="false">Country_Data!$BX$177</f>
        <v>0.344950603732162</v>
      </c>
      <c r="G1211" s="42" t="n">
        <f aca="false">IF(D1211="","",D1211/SUMIFS($D$5:$D$1369,$B$5:$B$1369,B1211,$C$5:$C$1369,C1211))</f>
        <v>0.000204600508850792</v>
      </c>
      <c r="H1211" s="42" t="n">
        <f aca="false">E1211/SUMIFS($E$5:$E$1369,$B$5:$B$1369,B1211,$C$5:$C$1369,C1211)</f>
        <v>9.02741159658222E-005</v>
      </c>
      <c r="I1211" s="43" t="n">
        <f aca="false">IF(G1211="",H1211,p_beta_alloc*G1211+(1-p_beta_alloc)*H1211)*F1211^p_phi</f>
        <v>8.65936129968298E-005</v>
      </c>
      <c r="J1211" s="16" t="n">
        <f aca="false">INDEX(Sector_Params!$C$18:$E$18,MATCH(B1211,Sector_Params!$C$15:$E$15,0))*I1211/SUMIFS($I$5:$I$1369,$B$5:$B$1369,B1211,$C$5:$C$1369,C1211)</f>
        <v>0.0354580356121655</v>
      </c>
      <c r="K1211" s="28" t="n">
        <f aca="false">INDEX(Sector_Params!$F$7:$H$7,MATCH(B1211,Sector_Params!$C$15:$E$15,0))</f>
        <v>0.24</v>
      </c>
      <c r="L1211" s="16" t="n">
        <f aca="false">J1211*K1211</f>
        <v>0.00850992854691973</v>
      </c>
      <c r="M1211" s="44" t="n">
        <f aca="false">Country_Data!$DW$177+Sector_Params!$E$7</f>
        <v>0.105</v>
      </c>
      <c r="N1211" s="44" t="n">
        <f aca="false">Country_Data!$DX$177+Sector_Params!$E$7</f>
        <v>0.15</v>
      </c>
      <c r="O1211" s="11" t="n">
        <f aca="false">IF(p_use_ibrd=1,p_r_ibrd,p_r_wb)</f>
        <v>0.06</v>
      </c>
      <c r="P1211" s="45" t="n">
        <f aca="false">Sector_Params!$D$7</f>
        <v>12</v>
      </c>
      <c r="Q1211" s="46" t="n">
        <f aca="false">M1211/(1-(1+M1211)^-P1211)</f>
        <v>0.150376745634766</v>
      </c>
      <c r="R1211" s="46" t="n">
        <f aca="false">N1211/(1-(1+N1211)^-P1211)</f>
        <v>0.18448077613084</v>
      </c>
      <c r="S1211" s="46" t="n">
        <f aca="false">O1211/(1-(1+O1211)^-P1211)</f>
        <v>0.119277029380664</v>
      </c>
      <c r="T1211" s="37" t="n">
        <f aca="false">IF(AND(p_eng=1,ISNUMBER(Country_Data!$DE$177)),Country_Data!$DE$177,Country_Data!$CM$177)*Sector_Params!$I$7</f>
        <v>0.479435883170531</v>
      </c>
      <c r="U1211" s="37" t="n">
        <f aca="false">IF(AND(p_eng=1,ISNUMBER(Country_Data!$DF$177)),Country_Data!$DF$177,Country_Data!$CN$177)*Sector_Params!$J$7</f>
        <v>0.03225</v>
      </c>
      <c r="V1211" s="37" t="n">
        <f aca="false">IF(AND(p_eng=1,ISNUMBER(Country_Data!$DG$177)),Country_Data!$DG$177,p_a)</f>
        <v>0.35</v>
      </c>
      <c r="W1211" s="16" t="n">
        <f aca="false">T1211*L1211</f>
        <v>0.00407996510861058</v>
      </c>
      <c r="X1211" s="16" t="n">
        <f aca="false">U1211*L1211</f>
        <v>0.000274445195638161</v>
      </c>
      <c r="Y1211" s="16" t="n">
        <f aca="false">V1211*L1211</f>
        <v>0.00297847499142191</v>
      </c>
      <c r="Z1211" s="16" t="n">
        <f aca="false">Q1211*L1211</f>
        <v>0.00127969536047018</v>
      </c>
      <c r="AA1211" s="16" t="n">
        <f aca="false">R1211*L1211</f>
        <v>0.00156991822315374</v>
      </c>
      <c r="AB1211" s="16" t="n">
        <f aca="false">S1211*L1211</f>
        <v>0.00101503899731829</v>
      </c>
      <c r="AC1211" s="16" t="n">
        <f aca="false">Z1211-W1211</f>
        <v>-0.0028002697481404</v>
      </c>
      <c r="AD1211" s="16" t="n">
        <f aca="false">AA1211-W1211</f>
        <v>-0.00251004688545684</v>
      </c>
      <c r="AE1211" s="16" t="n">
        <f aca="false">AB1211-W1211</f>
        <v>-0.00306492611129228</v>
      </c>
      <c r="AF1211" s="16" t="n">
        <f aca="false">AE1211-X1211</f>
        <v>-0.00333937130693045</v>
      </c>
      <c r="AG1211" s="16" t="n">
        <f aca="false">AF1211-p_spc_lo*Y1211/1000</f>
        <v>-0.00348829505650154</v>
      </c>
      <c r="AH1211" s="16" t="n">
        <f aca="false">AF1211-p_spc_hi*Y1211/1000</f>
        <v>-0.00363721880607264</v>
      </c>
      <c r="AI1211" s="16" t="n">
        <f aca="false">Q1211*J1211</f>
        <v>0.00533206400195908</v>
      </c>
      <c r="AJ1211" s="16" t="n">
        <f aca="false">S1211*J1211</f>
        <v>0.00422932915549289</v>
      </c>
      <c r="AK1211" s="16" t="n">
        <f aca="false">T1211*J1211</f>
        <v>0.0169998546192107</v>
      </c>
      <c r="AL1211" s="16" t="n">
        <f aca="false">U1211*J1211</f>
        <v>0.00114352164849234</v>
      </c>
      <c r="AM1211" s="16" t="n">
        <f aca="false">AI1211-AJ1211</f>
        <v>0.0011027348464662</v>
      </c>
      <c r="AN1211" s="16" t="n">
        <f aca="false">J1211*Country_Data!$EB$177</f>
        <v>0.0418302043308736</v>
      </c>
      <c r="AO1211" s="16" t="n">
        <f aca="false">L1211*Country_Data!$EB$177</f>
        <v>0.0100392490394097</v>
      </c>
    </row>
    <row r="1212" customFormat="false" ht="15" hidden="false" customHeight="false" outlineLevel="0" collapsed="false">
      <c r="A1212" s="14" t="str">
        <f aca="false">Country_Data!$A$177</f>
        <v>LSO</v>
      </c>
      <c r="B1212" s="14" t="str">
        <f aca="false">Country_Data!$E$177</f>
        <v>EMDC</v>
      </c>
      <c r="C1212" s="35" t="s">
        <v>477</v>
      </c>
      <c r="D1212" s="37" t="n">
        <f aca="false">IF(Country_Data!$CB$177="","",Country_Data!$CB$177)</f>
        <v>0.0036570379197294</v>
      </c>
      <c r="E1212" s="40" t="n">
        <f aca="false">Country_Data!$BW$177</f>
        <v>7.288</v>
      </c>
      <c r="F1212" s="41" t="n">
        <f aca="false">Country_Data!$BX$177</f>
        <v>0.344950603732162</v>
      </c>
      <c r="G1212" s="42" t="n">
        <f aca="false">IF(D1212="","",D1212/SUMIFS($D$5:$D$1369,$B$5:$B$1369,B1212,$C$5:$C$1369,C1212))</f>
        <v>0.000115317541290691</v>
      </c>
      <c r="H1212" s="42" t="n">
        <f aca="false">E1212/SUMIFS($E$5:$E$1369,$B$5:$B$1369,B1212,$C$5:$C$1369,C1212)</f>
        <v>9.02741159658222E-005</v>
      </c>
      <c r="I1212" s="43" t="n">
        <f aca="false">IF(G1212="",H1212,p_beta_alloc*G1212+(1-p_beta_alloc)*H1212)*F1212^p_phi</f>
        <v>6.03745555078509E-005</v>
      </c>
      <c r="J1212" s="16" t="n">
        <f aca="false">INDEX(Sector_Params!$C$19:$E$19,MATCH(B1212,Sector_Params!$C$15:$E$15,0))*I1212/SUMIFS($I$5:$I$1369,$B$5:$B$1369,B1212,$C$5:$C$1369,C1212)</f>
        <v>0.0194323111998289</v>
      </c>
      <c r="K1212" s="28" t="n">
        <f aca="false">INDEX(Sector_Params!$F$8:$H$8,MATCH(B1212,Sector_Params!$C$15:$E$15,0))</f>
        <v>0.24</v>
      </c>
      <c r="L1212" s="16" t="n">
        <f aca="false">J1212*K1212</f>
        <v>0.00466375468795895</v>
      </c>
      <c r="M1212" s="44" t="n">
        <f aca="false">Country_Data!$DW$177+Sector_Params!$E$8</f>
        <v>0.105</v>
      </c>
      <c r="N1212" s="44" t="n">
        <f aca="false">Country_Data!$DX$177+Sector_Params!$E$8</f>
        <v>0.15</v>
      </c>
      <c r="O1212" s="11" t="n">
        <f aca="false">IF(p_use_ibrd=1,p_r_ibrd,p_r_wb)</f>
        <v>0.06</v>
      </c>
      <c r="P1212" s="45" t="n">
        <f aca="false">Sector_Params!$D$8</f>
        <v>25</v>
      </c>
      <c r="Q1212" s="46" t="n">
        <f aca="false">M1212/(1-(1+M1212)^-P1212)</f>
        <v>0.114429319813103</v>
      </c>
      <c r="R1212" s="46" t="n">
        <f aca="false">N1212/(1-(1+N1212)^-P1212)</f>
        <v>0.154699402320206</v>
      </c>
      <c r="S1212" s="46" t="n">
        <f aca="false">O1212/(1-(1+O1212)^-P1212)</f>
        <v>0.078226718212274</v>
      </c>
      <c r="T1212" s="37" t="n">
        <f aca="false">Country_Data!$CM$177*Sector_Params!$I$8</f>
        <v>0.479435883170531</v>
      </c>
      <c r="U1212" s="37" t="n">
        <f aca="false">Country_Data!$CN$177*Sector_Params!$J$8</f>
        <v>0.03225</v>
      </c>
      <c r="V1212" s="37" t="n">
        <f aca="false">p_a</f>
        <v>0.35</v>
      </c>
      <c r="W1212" s="16" t="n">
        <f aca="false">T1212*L1212</f>
        <v>0.0022359713477123</v>
      </c>
      <c r="X1212" s="16" t="n">
        <f aca="false">U1212*L1212</f>
        <v>0.000150406088686676</v>
      </c>
      <c r="Y1212" s="16" t="n">
        <f aca="false">V1212*L1212</f>
        <v>0.00163231414078563</v>
      </c>
      <c r="Z1212" s="16" t="n">
        <f aca="false">Q1212*L1212</f>
        <v>0.000533670276718314</v>
      </c>
      <c r="AA1212" s="16" t="n">
        <f aca="false">R1212*L1212</f>
        <v>0.00072148006279531</v>
      </c>
      <c r="AB1212" s="16" t="n">
        <f aca="false">S1212*L1212</f>
        <v>0.000364830223786136</v>
      </c>
      <c r="AC1212" s="16" t="n">
        <f aca="false">Z1212-W1212</f>
        <v>-0.00170230107099399</v>
      </c>
      <c r="AD1212" s="16" t="n">
        <f aca="false">AA1212-W1212</f>
        <v>-0.00151449128491699</v>
      </c>
      <c r="AE1212" s="16" t="n">
        <f aca="false">AB1212-W1212</f>
        <v>-0.00187114112392617</v>
      </c>
      <c r="AF1212" s="16" t="n">
        <f aca="false">AE1212-X1212</f>
        <v>-0.00202154721261284</v>
      </c>
      <c r="AG1212" s="16" t="n">
        <f aca="false">AF1212-p_spc_lo*Y1212/1000</f>
        <v>-0.00210316291965212</v>
      </c>
      <c r="AH1212" s="16" t="n">
        <f aca="false">AF1212-p_spc_hi*Y1212/1000</f>
        <v>-0.00218477862669141</v>
      </c>
      <c r="AI1212" s="16" t="n">
        <f aca="false">Q1212*J1212</f>
        <v>0.00222362615299298</v>
      </c>
      <c r="AJ1212" s="16" t="n">
        <f aca="false">S1212*J1212</f>
        <v>0.00152012593244223</v>
      </c>
      <c r="AK1212" s="16" t="n">
        <f aca="false">T1212*J1212</f>
        <v>0.0093165472821346</v>
      </c>
      <c r="AL1212" s="16" t="n">
        <f aca="false">U1212*J1212</f>
        <v>0.000626692036194484</v>
      </c>
      <c r="AM1212" s="16" t="n">
        <f aca="false">AI1212-AJ1212</f>
        <v>0.000703500220550742</v>
      </c>
      <c r="AN1212" s="16" t="n">
        <f aca="false">J1212*Country_Data!$EB$177</f>
        <v>0.0229244946618272</v>
      </c>
      <c r="AO1212" s="16" t="n">
        <f aca="false">L1212*Country_Data!$EB$177</f>
        <v>0.00550187871883853</v>
      </c>
    </row>
    <row r="1213" customFormat="false" ht="15" hidden="false" customHeight="false" outlineLevel="0" collapsed="false">
      <c r="A1213" s="14" t="str">
        <f aca="false">Country_Data!$A$177</f>
        <v>LSO</v>
      </c>
      <c r="B1213" s="14" t="str">
        <f aca="false">Country_Data!$E$177</f>
        <v>EMDC</v>
      </c>
      <c r="C1213" s="35" t="s">
        <v>481</v>
      </c>
      <c r="D1213" s="37" t="n">
        <f aca="false">IF(Country_Data!$CC$177="","",Country_Data!$CC$177)</f>
        <v>0.0343302739443665</v>
      </c>
      <c r="E1213" s="40" t="n">
        <f aca="false">Country_Data!$BW$177</f>
        <v>7.288</v>
      </c>
      <c r="F1213" s="41" t="n">
        <f aca="false">Country_Data!$BX$177</f>
        <v>0.344950603732162</v>
      </c>
      <c r="G1213" s="42" t="n">
        <f aca="false">IF(D1213="","",D1213/SUMIFS($D$5:$D$1369,$B$5:$B$1369,B1213,$C$5:$C$1369,C1213))</f>
        <v>0.000490381642663997</v>
      </c>
      <c r="H1213" s="42" t="n">
        <f aca="false">E1213/SUMIFS($E$5:$E$1369,$B$5:$B$1369,B1213,$C$5:$C$1369,C1213)</f>
        <v>9.02741159658222E-005</v>
      </c>
      <c r="I1213" s="43" t="n">
        <f aca="false">IF(G1213="",H1213,p_beta_alloc*G1213+(1-p_beta_alloc)*H1213)*F1213^p_phi</f>
        <v>0.000170516808892734</v>
      </c>
      <c r="J1213" s="16" t="n">
        <f aca="false">INDEX(Sector_Params!$C$20:$E$20,MATCH(B1213,Sector_Params!$C$15:$E$15,0))*I1213/SUMIFS($I$5:$I$1369,$B$5:$B$1369,B1213,$C$5:$C$1369,C1213)</f>
        <v>0.0311227514370496</v>
      </c>
      <c r="K1213" s="28" t="n">
        <f aca="false">INDEX(Sector_Params!$F$9:$H$9,MATCH(B1213,Sector_Params!$C$15:$E$15,0))</f>
        <v>0.24</v>
      </c>
      <c r="L1213" s="16" t="n">
        <f aca="false">J1213*K1213</f>
        <v>0.00746946034489191</v>
      </c>
      <c r="M1213" s="44" t="n">
        <f aca="false">Country_Data!$DW$177+Sector_Params!$E$9</f>
        <v>0.105</v>
      </c>
      <c r="N1213" s="44" t="n">
        <f aca="false">Country_Data!$DX$177+Sector_Params!$E$9</f>
        <v>0.15</v>
      </c>
      <c r="O1213" s="11" t="n">
        <f aca="false">IF(p_use_ibrd=1,p_r_ibrd,p_r_wb)</f>
        <v>0.06</v>
      </c>
      <c r="P1213" s="45" t="n">
        <f aca="false">Sector_Params!$D$9</f>
        <v>25</v>
      </c>
      <c r="Q1213" s="46" t="n">
        <f aca="false">M1213/(1-(1+M1213)^-P1213)</f>
        <v>0.114429319813103</v>
      </c>
      <c r="R1213" s="46" t="n">
        <f aca="false">N1213/(1-(1+N1213)^-P1213)</f>
        <v>0.154699402320206</v>
      </c>
      <c r="S1213" s="46" t="n">
        <f aca="false">O1213/(1-(1+O1213)^-P1213)</f>
        <v>0.078226718212274</v>
      </c>
      <c r="T1213" s="37" t="n">
        <f aca="false">Country_Data!$CM$177*Sector_Params!$I$9</f>
        <v>0.479435883170531</v>
      </c>
      <c r="U1213" s="37" t="n">
        <f aca="false">Country_Data!$CN$177*Sector_Params!$J$9</f>
        <v>0.03225</v>
      </c>
      <c r="V1213" s="37" t="n">
        <f aca="false">p_a</f>
        <v>0.35</v>
      </c>
      <c r="W1213" s="16" t="n">
        <f aca="false">T1213*L1213</f>
        <v>0.00358112731726052</v>
      </c>
      <c r="X1213" s="16" t="n">
        <f aca="false">U1213*L1213</f>
        <v>0.000240890096122764</v>
      </c>
      <c r="Y1213" s="16" t="n">
        <f aca="false">V1213*L1213</f>
        <v>0.00261431112071217</v>
      </c>
      <c r="Z1213" s="16" t="n">
        <f aca="false">Q1213*L1213</f>
        <v>0.00085472526663693</v>
      </c>
      <c r="AA1213" s="16" t="n">
        <f aca="false">R1213*L1213</f>
        <v>0.00115552105100926</v>
      </c>
      <c r="AB1213" s="16" t="n">
        <f aca="false">S1213*L1213</f>
        <v>0.000584311369597614</v>
      </c>
      <c r="AC1213" s="16" t="n">
        <f aca="false">Z1213-W1213</f>
        <v>-0.00272640205062359</v>
      </c>
      <c r="AD1213" s="16" t="n">
        <f aca="false">AA1213-W1213</f>
        <v>-0.00242560626625125</v>
      </c>
      <c r="AE1213" s="16" t="n">
        <f aca="false">AB1213-W1213</f>
        <v>-0.0029968159476629</v>
      </c>
      <c r="AF1213" s="16" t="n">
        <f aca="false">AE1213-X1213</f>
        <v>-0.00323770604378567</v>
      </c>
      <c r="AG1213" s="16" t="n">
        <f aca="false">AF1213-p_spc_lo*Y1213/1000</f>
        <v>-0.00336842159982127</v>
      </c>
      <c r="AH1213" s="16" t="n">
        <f aca="false">AF1213-p_spc_hi*Y1213/1000</f>
        <v>-0.00349913715585688</v>
      </c>
      <c r="AI1213" s="16" t="n">
        <f aca="false">Q1213*J1213</f>
        <v>0.00356135527765387</v>
      </c>
      <c r="AJ1213" s="16" t="n">
        <f aca="false">S1213*J1213</f>
        <v>0.00243463070665673</v>
      </c>
      <c r="AK1213" s="16" t="n">
        <f aca="false">T1213*J1213</f>
        <v>0.0149213638219188</v>
      </c>
      <c r="AL1213" s="16" t="n">
        <f aca="false">U1213*J1213</f>
        <v>0.00100370873384485</v>
      </c>
      <c r="AM1213" s="16" t="n">
        <f aca="false">AI1213-AJ1213</f>
        <v>0.00112672457099715</v>
      </c>
      <c r="AN1213" s="16" t="n">
        <f aca="false">J1213*Country_Data!$EB$177</f>
        <v>0.0367158256083455</v>
      </c>
      <c r="AO1213" s="16" t="n">
        <f aca="false">L1213*Country_Data!$EB$177</f>
        <v>0.00881179814600292</v>
      </c>
    </row>
    <row r="1214" customFormat="false" ht="15" hidden="false" customHeight="false" outlineLevel="0" collapsed="false">
      <c r="A1214" s="14" t="str">
        <f aca="false">Country_Data!$A$177</f>
        <v>LSO</v>
      </c>
      <c r="B1214" s="14" t="str">
        <f aca="false">Country_Data!$E$177</f>
        <v>EMDC</v>
      </c>
      <c r="C1214" s="35" t="s">
        <v>484</v>
      </c>
      <c r="D1214" s="37" t="n">
        <f aca="false">IF(Country_Data!$CD$177="","",Country_Data!$CD$177)</f>
        <v>0.0439784785152448</v>
      </c>
      <c r="E1214" s="40" t="n">
        <f aca="false">Country_Data!$BW$177</f>
        <v>7.288</v>
      </c>
      <c r="F1214" s="41" t="n">
        <f aca="false">Country_Data!$BX$177</f>
        <v>0.344950603732162</v>
      </c>
      <c r="G1214" s="42" t="n">
        <f aca="false">IF(D1214="","",D1214/SUMIFS($D$5:$D$1369,$B$5:$B$1369,B1214,$C$5:$C$1369,C1214))</f>
        <v>0.000245591890217384</v>
      </c>
      <c r="H1214" s="42" t="n">
        <f aca="false">E1214/SUMIFS($E$5:$E$1369,$B$5:$B$1369,B1214,$C$5:$C$1369,C1214)</f>
        <v>9.02741159658222E-005</v>
      </c>
      <c r="I1214" s="43" t="n">
        <f aca="false">IF(G1214="",H1214,p_beta_alloc*G1214+(1-p_beta_alloc)*H1214)*F1214^p_phi</f>
        <v>9.86312436219529E-005</v>
      </c>
      <c r="J1214" s="16" t="n">
        <f aca="false">INDEX(Sector_Params!$C$21:$E$21,MATCH(B1214,Sector_Params!$C$15:$E$15,0))*I1214/SUMIFS($I$5:$I$1369,$B$5:$B$1369,B1214,$C$5:$C$1369,C1214)</f>
        <v>0.0218754063864686</v>
      </c>
      <c r="K1214" s="28" t="n">
        <f aca="false">INDEX(Sector_Params!$F$10:$H$10,MATCH(B1214,Sector_Params!$C$15:$E$15,0))</f>
        <v>0.24</v>
      </c>
      <c r="L1214" s="16" t="n">
        <f aca="false">J1214*K1214</f>
        <v>0.00525009753275246</v>
      </c>
      <c r="M1214" s="44" t="n">
        <f aca="false">Country_Data!$DW$177+Sector_Params!$E$10</f>
        <v>0.105</v>
      </c>
      <c r="N1214" s="44" t="n">
        <f aca="false">Country_Data!$DX$177+Sector_Params!$E$10</f>
        <v>0.15</v>
      </c>
      <c r="O1214" s="11" t="n">
        <f aca="false">IF(p_use_ibrd=1,p_r_ibrd,p_r_wb)</f>
        <v>0.06</v>
      </c>
      <c r="P1214" s="45" t="n">
        <f aca="false">Sector_Params!$D$10</f>
        <v>20</v>
      </c>
      <c r="Q1214" s="46" t="n">
        <f aca="false">M1214/(1-(1+M1214)^-P1214)</f>
        <v>0.121493265267016</v>
      </c>
      <c r="R1214" s="46" t="n">
        <f aca="false">N1214/(1-(1+N1214)^-P1214)</f>
        <v>0.159761470405744</v>
      </c>
      <c r="S1214" s="46" t="n">
        <f aca="false">O1214/(1-(1+O1214)^-P1214)</f>
        <v>0.0871845569768514</v>
      </c>
      <c r="T1214" s="37" t="n">
        <f aca="false">0*Sector_Params!$I$10</f>
        <v>0</v>
      </c>
      <c r="U1214" s="37" t="n">
        <f aca="false">0*Sector_Params!$J$10</f>
        <v>0</v>
      </c>
      <c r="V1214" s="37" t="n">
        <f aca="false">1000*p_r_wb/(1-(1+p_r_wb)^-Sector_Params!$D$10)/p_cpt_fuel</f>
        <v>0.871845569768514</v>
      </c>
      <c r="W1214" s="16" t="n">
        <f aca="false">T1214*L1214</f>
        <v>0</v>
      </c>
      <c r="X1214" s="16" t="n">
        <f aca="false">U1214*L1214</f>
        <v>0</v>
      </c>
      <c r="Y1214" s="16" t="n">
        <f aca="false">V1214*L1214</f>
        <v>0.00457727427478284</v>
      </c>
      <c r="Z1214" s="16" t="n">
        <f aca="false">Q1214*L1214</f>
        <v>0.000637851492224402</v>
      </c>
      <c r="AA1214" s="16" t="n">
        <f aca="false">R1214*L1214</f>
        <v>0.000838763301606102</v>
      </c>
      <c r="AB1214" s="16" t="n">
        <f aca="false">S1214*L1214</f>
        <v>0.000457727427478284</v>
      </c>
      <c r="AC1214" s="16" t="n">
        <f aca="false">Z1214-W1214</f>
        <v>0.000637851492224402</v>
      </c>
      <c r="AD1214" s="16" t="n">
        <f aca="false">AA1214-W1214</f>
        <v>0.000838763301606102</v>
      </c>
      <c r="AE1214" s="16" t="n">
        <f aca="false">AB1214-W1214</f>
        <v>0.000457727427478284</v>
      </c>
      <c r="AF1214" s="16" t="n">
        <f aca="false">AE1214-X1214</f>
        <v>0.000457727427478284</v>
      </c>
      <c r="AG1214" s="16" t="n">
        <f aca="false">AF1214-p_spc_lo*Y1214/1000</f>
        <v>0.000228863713739142</v>
      </c>
      <c r="AH1214" s="16" t="n">
        <f aca="false">AF1214-p_spc_hi*Y1214/1000</f>
        <v>0</v>
      </c>
      <c r="AI1214" s="16" t="n">
        <f aca="false">Q1214*J1214</f>
        <v>0.00265771455093501</v>
      </c>
      <c r="AJ1214" s="16" t="n">
        <f aca="false">S1214*J1214</f>
        <v>0.00190719761449285</v>
      </c>
      <c r="AK1214" s="16" t="n">
        <f aca="false">T1214*J1214</f>
        <v>0</v>
      </c>
      <c r="AL1214" s="16" t="n">
        <f aca="false">U1214*J1214</f>
        <v>0</v>
      </c>
      <c r="AM1214" s="16" t="n">
        <f aca="false">AI1214-AJ1214</f>
        <v>0.000750516936442158</v>
      </c>
      <c r="AN1214" s="16" t="n">
        <f aca="false">J1214*Country_Data!$EB$177</f>
        <v>0.0258066388385296</v>
      </c>
      <c r="AO1214" s="16" t="n">
        <f aca="false">L1214*Country_Data!$EB$177</f>
        <v>0.00619359332124711</v>
      </c>
    </row>
    <row r="1215" customFormat="false" ht="15" hidden="false" customHeight="false" outlineLevel="0" collapsed="false">
      <c r="A1215" s="14" t="str">
        <f aca="false">Country_Data!$A$177</f>
        <v>LSO</v>
      </c>
      <c r="B1215" s="14" t="str">
        <f aca="false">Country_Data!$E$177</f>
        <v>EMDC</v>
      </c>
      <c r="C1215" s="35" t="s">
        <v>488</v>
      </c>
      <c r="D1215" s="37" t="n">
        <f aca="false">IF(Country_Data!$CE$177="","",Country_Data!$CE$177)</f>
        <v>2.326</v>
      </c>
      <c r="E1215" s="40" t="n">
        <f aca="false">Country_Data!$BW$177</f>
        <v>7.288</v>
      </c>
      <c r="F1215" s="41" t="n">
        <f aca="false">Country_Data!$BX$177</f>
        <v>0.344950603732162</v>
      </c>
      <c r="G1215" s="42" t="n">
        <f aca="false">IF(D1215="","",D1215/SUMIFS($D$5:$D$1369,$B$5:$B$1369,B1215,$C$5:$C$1369,C1215))</f>
        <v>0.00019059153023039</v>
      </c>
      <c r="H1215" s="42" t="n">
        <f aca="false">E1215/SUMIFS($E$5:$E$1369,$B$5:$B$1369,B1215,$C$5:$C$1369,C1215)</f>
        <v>9.02741159658222E-005</v>
      </c>
      <c r="I1215" s="43" t="n">
        <f aca="false">IF(G1215="",H1215,p_beta_alloc*G1215+(1-p_beta_alloc)*H1215)*F1215^p_phi</f>
        <v>8.24797016221552E-005</v>
      </c>
      <c r="J1215" s="16" t="n">
        <f aca="false">INDEX(Sector_Params!$C$22:$E$22,MATCH(B1215,Sector_Params!$C$15:$E$15,0))*I1215/SUMIFS($I$5:$I$1369,$B$5:$B$1369,B1215,$C$5:$C$1369,C1215)</f>
        <v>0.049719455995627</v>
      </c>
      <c r="K1215" s="28" t="n">
        <f aca="false">INDEX(Sector_Params!$F$11:$H$11,MATCH(B1215,Sector_Params!$C$15:$E$15,0))</f>
        <v>0.24</v>
      </c>
      <c r="L1215" s="16" t="n">
        <f aca="false">J1215*K1215</f>
        <v>0.0119326694389505</v>
      </c>
      <c r="M1215" s="44" t="n">
        <f aca="false">Country_Data!$DW$177+Sector_Params!$E$11</f>
        <v>0.105</v>
      </c>
      <c r="N1215" s="44" t="n">
        <f aca="false">Country_Data!$DX$177+Sector_Params!$E$11</f>
        <v>0.15</v>
      </c>
      <c r="O1215" s="11" t="n">
        <f aca="false">IF(p_use_ibrd=1,p_r_ibrd,p_r_wb)</f>
        <v>0.06</v>
      </c>
      <c r="P1215" s="45" t="n">
        <f aca="false">Sector_Params!$D$11</f>
        <v>30</v>
      </c>
      <c r="Q1215" s="46" t="n">
        <f aca="false">M1215/(1-(1+M1215)^-P1215)</f>
        <v>0.110528481529605</v>
      </c>
      <c r="R1215" s="46" t="n">
        <f aca="false">N1215/(1-(1+N1215)^-P1215)</f>
        <v>0.152300198192734</v>
      </c>
      <c r="S1215" s="46" t="n">
        <f aca="false">O1215/(1-(1+O1215)^-P1215)</f>
        <v>0.0726489114900472</v>
      </c>
      <c r="T1215" s="37" t="n">
        <f aca="false">0*Sector_Params!$I$11</f>
        <v>0</v>
      </c>
      <c r="U1215" s="37" t="n">
        <f aca="false">p_c*Sector_Params!$J$11</f>
        <v>0.129</v>
      </c>
      <c r="V1215" s="37" t="n">
        <f aca="false">1000*p_r_wb/(1-(1+p_r_wb)^-Sector_Params!$D$11)/p_cpt_afolu</f>
        <v>1.45297822980094</v>
      </c>
      <c r="W1215" s="16" t="n">
        <f aca="false">T1215*L1215</f>
        <v>0</v>
      </c>
      <c r="X1215" s="16" t="n">
        <f aca="false">U1215*L1215</f>
        <v>0.00153931435762461</v>
      </c>
      <c r="Y1215" s="16" t="n">
        <f aca="false">V1215*L1215</f>
        <v>0.0173379089182061</v>
      </c>
      <c r="Z1215" s="16" t="n">
        <f aca="false">Q1215*L1215</f>
        <v>0.00131889983368192</v>
      </c>
      <c r="AA1215" s="16" t="n">
        <f aca="false">R1215*L1215</f>
        <v>0.00181734792052054</v>
      </c>
      <c r="AB1215" s="16" t="n">
        <f aca="false">S1215*L1215</f>
        <v>0.000866895445910304</v>
      </c>
      <c r="AC1215" s="16" t="n">
        <f aca="false">Z1215-W1215</f>
        <v>0.00131889983368192</v>
      </c>
      <c r="AD1215" s="16" t="n">
        <f aca="false">AA1215-W1215</f>
        <v>0.00181734792052054</v>
      </c>
      <c r="AE1215" s="16" t="n">
        <f aca="false">AB1215-W1215</f>
        <v>0.000866895445910304</v>
      </c>
      <c r="AF1215" s="16" t="n">
        <f aca="false">AE1215-X1215</f>
        <v>-0.000672418911714307</v>
      </c>
      <c r="AG1215" s="16" t="n">
        <f aca="false">AF1215-p_spc_lo*Y1215/1000</f>
        <v>-0.00153931435762461</v>
      </c>
      <c r="AH1215" s="16" t="n">
        <f aca="false">AF1215-p_spc_hi*Y1215/1000</f>
        <v>-0.00240620980353492</v>
      </c>
      <c r="AI1215" s="16" t="n">
        <f aca="false">Q1215*J1215</f>
        <v>0.00549541597367467</v>
      </c>
      <c r="AJ1215" s="16" t="n">
        <f aca="false">S1215*J1215</f>
        <v>0.0036120643579596</v>
      </c>
      <c r="AK1215" s="16" t="n">
        <f aca="false">T1215*J1215</f>
        <v>0</v>
      </c>
      <c r="AL1215" s="16" t="n">
        <f aca="false">U1215*J1215</f>
        <v>0.00641380982343588</v>
      </c>
      <c r="AM1215" s="16" t="n">
        <f aca="false">AI1215-AJ1215</f>
        <v>0.00188335161571507</v>
      </c>
      <c r="AN1215" s="16" t="n">
        <f aca="false">J1215*Country_Data!$EB$177</f>
        <v>0.0586545466383194</v>
      </c>
      <c r="AO1215" s="16" t="n">
        <f aca="false">L1215*Country_Data!$EB$177</f>
        <v>0.0140770911931966</v>
      </c>
    </row>
    <row r="1216" customFormat="false" ht="15" hidden="false" customHeight="false" outlineLevel="0" collapsed="false">
      <c r="A1216" s="14" t="str">
        <f aca="false">Country_Data!$A$178</f>
        <v>GMB</v>
      </c>
      <c r="B1216" s="14" t="str">
        <f aca="false">Country_Data!$E$178</f>
        <v>EMDC</v>
      </c>
      <c r="C1216" s="35" t="s">
        <v>466</v>
      </c>
      <c r="D1216" s="37" t="n">
        <f aca="false">IF(Country_Data!$BZ$178="","",Country_Data!$BZ$178)</f>
        <v>0.383060294964175</v>
      </c>
      <c r="E1216" s="40" t="n">
        <f aca="false">Country_Data!$BW$178</f>
        <v>9.607</v>
      </c>
      <c r="F1216" s="41" t="n">
        <f aca="false">Country_Data!$BX$178</f>
        <v>0.250130113458936</v>
      </c>
      <c r="G1216" s="42" t="n">
        <f aca="false">IF(D1216="","",D1216/SUMIFS($D$5:$D$1369,$B$5:$B$1369,B1216,$C$5:$C$1369,C1216))</f>
        <v>4.37309812712266E-005</v>
      </c>
      <c r="H1216" s="42" t="n">
        <f aca="false">E1216/SUMIFS($E$5:$E$1369,$B$5:$B$1369,B1216,$C$5:$C$1369,C1216)</f>
        <v>0.000118998824380304</v>
      </c>
      <c r="I1216" s="43" t="n">
        <f aca="false">IF(G1216="",H1216,p_beta_alloc*G1216+(1-p_beta_alloc)*H1216)*F1216^p_phi</f>
        <v>4.06930367047155E-005</v>
      </c>
      <c r="J1216" s="16" t="n">
        <f aca="false">INDEX(Sector_Params!$C$16:$E$16,MATCH(B1216,Sector_Params!$C$15:$E$15,0))*I1216/SUMIFS($I$5:$I$1369,$B$5:$B$1369,B1216,$C$5:$C$1369,C1216)</f>
        <v>0.0393593367582276</v>
      </c>
      <c r="K1216" s="28" t="n">
        <f aca="false">INDEX(Sector_Params!$F$5:$H$5,MATCH(B1216,Sector_Params!$C$15:$E$15,0))</f>
        <v>0.24</v>
      </c>
      <c r="L1216" s="16" t="n">
        <f aca="false">J1216*K1216</f>
        <v>0.00944624082197463</v>
      </c>
      <c r="M1216" s="44" t="n">
        <f aca="false">Country_Data!$DW$178+Sector_Params!$E$5</f>
        <v>0.105</v>
      </c>
      <c r="N1216" s="44" t="n">
        <f aca="false">Country_Data!$DX$178+Sector_Params!$E$5</f>
        <v>0.15</v>
      </c>
      <c r="O1216" s="11" t="n">
        <f aca="false">IF(p_use_ibrd=1,p_r_ibrd,p_r_wb)</f>
        <v>0.06</v>
      </c>
      <c r="P1216" s="45" t="n">
        <f aca="false">Sector_Params!$D$5</f>
        <v>25</v>
      </c>
      <c r="Q1216" s="46" t="n">
        <f aca="false">M1216/(1-(1+M1216)^-P1216)</f>
        <v>0.114429319813103</v>
      </c>
      <c r="R1216" s="46" t="n">
        <f aca="false">N1216/(1-(1+N1216)^-P1216)</f>
        <v>0.154699402320206</v>
      </c>
      <c r="S1216" s="46" t="n">
        <f aca="false">O1216/(1-(1+O1216)^-P1216)</f>
        <v>0.078226718212274</v>
      </c>
      <c r="T1216" s="37" t="n">
        <f aca="false">IF(AND(p_eng=1,ISNUMBER(Country_Data!$CZ$178)),Country_Data!$CZ$178,Country_Data!$CM$178)*Sector_Params!$I$5</f>
        <v>0.31172022550978</v>
      </c>
      <c r="U1216" s="37" t="n">
        <f aca="false">IF(AND(p_eng=1,ISNUMBER(Country_Data!$DA$178)),Country_Data!$DA$178,Country_Data!$CN$178)*Sector_Params!$J$5</f>
        <v>0.00210898172399601</v>
      </c>
      <c r="V1216" s="37" t="n">
        <f aca="false">IF(AND(p_eng=1,ISNUMBER(Country_Data!$DB$178)),Country_Data!$DB$178,p_a)</f>
        <v>1.87025721778584</v>
      </c>
      <c r="W1216" s="16" t="n">
        <f aca="false">T1216*L1216</f>
        <v>0.00294458431924562</v>
      </c>
      <c r="X1216" s="16" t="n">
        <f aca="false">U1216*L1216</f>
        <v>1.99219492540095E-005</v>
      </c>
      <c r="Y1216" s="16" t="n">
        <f aca="false">V1216*L1216</f>
        <v>0.0176669000782413</v>
      </c>
      <c r="Z1216" s="16" t="n">
        <f aca="false">Q1216*L1216</f>
        <v>0.00108092691204933</v>
      </c>
      <c r="AA1216" s="16" t="n">
        <f aca="false">R1216*L1216</f>
        <v>0.00146132780933221</v>
      </c>
      <c r="AB1216" s="16" t="n">
        <f aca="false">S1216*L1216</f>
        <v>0.000738948418945888</v>
      </c>
      <c r="AC1216" s="16" t="n">
        <f aca="false">Z1216-W1216</f>
        <v>-0.00186365740719629</v>
      </c>
      <c r="AD1216" s="16" t="n">
        <f aca="false">AA1216-W1216</f>
        <v>-0.00148325650991341</v>
      </c>
      <c r="AE1216" s="16" t="n">
        <f aca="false">AB1216-W1216</f>
        <v>-0.00220563590029973</v>
      </c>
      <c r="AF1216" s="16" t="n">
        <f aca="false">AE1216-X1216</f>
        <v>-0.00222555784955374</v>
      </c>
      <c r="AG1216" s="16" t="n">
        <f aca="false">AF1216-p_spc_lo*Y1216/1000</f>
        <v>-0.00310890285346581</v>
      </c>
      <c r="AH1216" s="16" t="n">
        <f aca="false">AF1216-p_spc_hi*Y1216/1000</f>
        <v>-0.00399224785737787</v>
      </c>
      <c r="AI1216" s="16" t="n">
        <f aca="false">Q1216*J1216</f>
        <v>0.00450386213353886</v>
      </c>
      <c r="AJ1216" s="16" t="n">
        <f aca="false">S1216*J1216</f>
        <v>0.00307895174560787</v>
      </c>
      <c r="AK1216" s="16" t="n">
        <f aca="false">T1216*J1216</f>
        <v>0.0122691013301901</v>
      </c>
      <c r="AL1216" s="16" t="n">
        <f aca="false">U1216*J1216</f>
        <v>8.30081218917065E-005</v>
      </c>
      <c r="AM1216" s="16" t="n">
        <f aca="false">AI1216-AJ1216</f>
        <v>0.00142491038793099</v>
      </c>
      <c r="AN1216" s="16" t="n">
        <f aca="false">J1216*Country_Data!$EB$178</f>
        <v>0.049855159893755</v>
      </c>
      <c r="AO1216" s="16" t="n">
        <f aca="false">L1216*Country_Data!$EB$178</f>
        <v>0.0119652383745012</v>
      </c>
    </row>
    <row r="1217" customFormat="false" ht="15" hidden="false" customHeight="false" outlineLevel="0" collapsed="false">
      <c r="A1217" s="14" t="str">
        <f aca="false">Country_Data!$A$178</f>
        <v>GMB</v>
      </c>
      <c r="B1217" s="14" t="str">
        <f aca="false">Country_Data!$E$178</f>
        <v>EMDC</v>
      </c>
      <c r="C1217" s="35" t="s">
        <v>470</v>
      </c>
      <c r="D1217" s="37" t="n">
        <f aca="false">IF(Country_Data!$BZ$178="","",Country_Data!$BZ$178)</f>
        <v>0.383060294964175</v>
      </c>
      <c r="E1217" s="40" t="n">
        <f aca="false">Country_Data!$BW$178</f>
        <v>9.607</v>
      </c>
      <c r="F1217" s="41" t="n">
        <f aca="false">Country_Data!$BX$178</f>
        <v>0.250130113458936</v>
      </c>
      <c r="G1217" s="42" t="n">
        <f aca="false">IF(D1217="","",D1217/SUMIFS($D$5:$D$1369,$B$5:$B$1369,B1217,$C$5:$C$1369,C1217))</f>
        <v>4.37309812712266E-005</v>
      </c>
      <c r="H1217" s="42" t="n">
        <f aca="false">E1217/SUMIFS($E$5:$E$1369,$B$5:$B$1369,B1217,$C$5:$C$1369,C1217)</f>
        <v>0.000118998824380304</v>
      </c>
      <c r="I1217" s="43" t="n">
        <f aca="false">IF(G1217="",H1217,p_beta_alloc*G1217+(1-p_beta_alloc)*H1217)*F1217^p_phi</f>
        <v>4.06930367047155E-005</v>
      </c>
      <c r="J1217" s="16" t="n">
        <f aca="false">INDEX(Sector_Params!$C$17:$E$17,MATCH(B1217,Sector_Params!$C$15:$E$15,0))*I1217/SUMIFS($I$5:$I$1369,$B$5:$B$1369,B1217,$C$5:$C$1369,C1217)</f>
        <v>0.0269892594913561</v>
      </c>
      <c r="K1217" s="28" t="n">
        <f aca="false">INDEX(Sector_Params!$F$6:$H$6,MATCH(B1217,Sector_Params!$C$15:$E$15,0))</f>
        <v>0.24</v>
      </c>
      <c r="L1217" s="16" t="n">
        <f aca="false">J1217*K1217</f>
        <v>0.00647742227792546</v>
      </c>
      <c r="M1217" s="44" t="n">
        <f aca="false">Country_Data!$DW$178+Sector_Params!$E$6</f>
        <v>0.105</v>
      </c>
      <c r="N1217" s="44" t="n">
        <f aca="false">Country_Data!$DX$178+Sector_Params!$E$6</f>
        <v>0.15</v>
      </c>
      <c r="O1217" s="11" t="n">
        <f aca="false">IF(p_use_ibrd=1,p_r_ibrd,p_r_wb)</f>
        <v>0.06</v>
      </c>
      <c r="P1217" s="45" t="n">
        <f aca="false">Sector_Params!$D$6</f>
        <v>40</v>
      </c>
      <c r="Q1217" s="46" t="n">
        <f aca="false">M1217/(1-(1+M1217)^-P1217)</f>
        <v>0.10697140835497</v>
      </c>
      <c r="R1217" s="46" t="n">
        <f aca="false">N1217/(1-(1+N1217)^-P1217)</f>
        <v>0.150562085013545</v>
      </c>
      <c r="S1217" s="46" t="n">
        <f aca="false">O1217/(1-(1+O1217)^-P1217)</f>
        <v>0.0664615359206755</v>
      </c>
      <c r="T1217" s="37" t="n">
        <f aca="false">p_grid_credit*IF(AND(p_eng=1,ISNUMBER(Country_Data!$CZ$178)),Country_Data!$CZ$178,Country_Data!$CM$178)*Sector_Params!$I$6</f>
        <v>0</v>
      </c>
      <c r="U1217" s="37" t="n">
        <f aca="false">p_grid_credit*IF(AND(p_eng=1,ISNUMBER(Country_Data!$DA$178)),Country_Data!$DA$178,Country_Data!$CN$178)*Sector_Params!$J$6</f>
        <v>0</v>
      </c>
      <c r="V1217" s="37" t="n">
        <f aca="false">p_grid_credit*IF(AND(p_eng=1,ISNUMBER(Country_Data!$DB$178)),Country_Data!$DB$178,p_a)</f>
        <v>0</v>
      </c>
      <c r="W1217" s="16" t="n">
        <f aca="false">T1217*L1217</f>
        <v>0</v>
      </c>
      <c r="X1217" s="16" t="n">
        <f aca="false">U1217*L1217</f>
        <v>0</v>
      </c>
      <c r="Y1217" s="16" t="n">
        <f aca="false">V1217*L1217</f>
        <v>0</v>
      </c>
      <c r="Z1217" s="16" t="n">
        <f aca="false">Q1217*L1217</f>
        <v>0.000692898983579546</v>
      </c>
      <c r="AA1217" s="16" t="n">
        <f aca="false">R1217*L1217</f>
        <v>0.000975254203677643</v>
      </c>
      <c r="AB1217" s="16" t="n">
        <f aca="false">S1217*L1217</f>
        <v>0.000430499433397726</v>
      </c>
      <c r="AC1217" s="16" t="n">
        <f aca="false">Z1217-W1217</f>
        <v>0.000692898983579546</v>
      </c>
      <c r="AD1217" s="16" t="n">
        <f aca="false">AA1217-W1217</f>
        <v>0.000975254203677643</v>
      </c>
      <c r="AE1217" s="16" t="n">
        <f aca="false">AB1217-W1217</f>
        <v>0.000430499433397726</v>
      </c>
      <c r="AF1217" s="16" t="n">
        <f aca="false">AE1217-X1217</f>
        <v>0.000430499433397726</v>
      </c>
      <c r="AG1217" s="16" t="n">
        <f aca="false">AF1217-p_spc_lo*Y1217/1000</f>
        <v>0.000430499433397726</v>
      </c>
      <c r="AH1217" s="16" t="n">
        <f aca="false">AF1217-p_spc_hi*Y1217/1000</f>
        <v>0.000430499433397726</v>
      </c>
      <c r="AI1217" s="16" t="n">
        <f aca="false">Q1217*J1217</f>
        <v>0.00288707909824811</v>
      </c>
      <c r="AJ1217" s="16" t="n">
        <f aca="false">S1217*J1217</f>
        <v>0.00179374763915719</v>
      </c>
      <c r="AK1217" s="16" t="n">
        <f aca="false">T1217*J1217</f>
        <v>0</v>
      </c>
      <c r="AL1217" s="16" t="n">
        <f aca="false">U1217*J1217</f>
        <v>0</v>
      </c>
      <c r="AM1217" s="16" t="n">
        <f aca="false">AI1217-AJ1217</f>
        <v>0.00109333145909092</v>
      </c>
      <c r="AN1217" s="16" t="n">
        <f aca="false">J1217*Country_Data!$EB$178</f>
        <v>0.0341863953557177</v>
      </c>
      <c r="AO1217" s="16" t="n">
        <f aca="false">L1217*Country_Data!$EB$178</f>
        <v>0.00820473488537225</v>
      </c>
    </row>
    <row r="1218" customFormat="false" ht="15" hidden="false" customHeight="false" outlineLevel="0" collapsed="false">
      <c r="A1218" s="14" t="str">
        <f aca="false">Country_Data!$A$178</f>
        <v>GMB</v>
      </c>
      <c r="B1218" s="14" t="str">
        <f aca="false">Country_Data!$E$178</f>
        <v>EMDC</v>
      </c>
      <c r="C1218" s="35" t="s">
        <v>473</v>
      </c>
      <c r="D1218" s="37" t="n">
        <f aca="false">IF(Country_Data!$CA$178="","",Country_Data!$CA$178)</f>
        <v>0.00270879850808962</v>
      </c>
      <c r="E1218" s="40" t="n">
        <f aca="false">Country_Data!$BW$178</f>
        <v>9.607</v>
      </c>
      <c r="F1218" s="41" t="n">
        <f aca="false">Country_Data!$BX$178</f>
        <v>0.250130113458936</v>
      </c>
      <c r="G1218" s="42" t="n">
        <f aca="false">IF(D1218="","",D1218/SUMIFS($D$5:$D$1369,$B$5:$B$1369,B1218,$C$5:$C$1369,C1218))</f>
        <v>6.25795481373936E-005</v>
      </c>
      <c r="H1218" s="42" t="n">
        <f aca="false">E1218/SUMIFS($E$5:$E$1369,$B$5:$B$1369,B1218,$C$5:$C$1369,C1218)</f>
        <v>0.000118998824380304</v>
      </c>
      <c r="I1218" s="43" t="n">
        <f aca="false">IF(G1218="",H1218,p_beta_alloc*G1218+(1-p_beta_alloc)*H1218)*F1218^p_phi</f>
        <v>4.54064044878657E-005</v>
      </c>
      <c r="J1218" s="16" t="n">
        <f aca="false">INDEX(Sector_Params!$C$18:$E$18,MATCH(B1218,Sector_Params!$C$15:$E$15,0))*I1218/SUMIFS($I$5:$I$1369,$B$5:$B$1369,B1218,$C$5:$C$1369,C1218)</f>
        <v>0.0185928482671127</v>
      </c>
      <c r="K1218" s="28" t="n">
        <f aca="false">INDEX(Sector_Params!$F$7:$H$7,MATCH(B1218,Sector_Params!$C$15:$E$15,0))</f>
        <v>0.24</v>
      </c>
      <c r="L1218" s="16" t="n">
        <f aca="false">J1218*K1218</f>
        <v>0.00446228358410705</v>
      </c>
      <c r="M1218" s="44" t="n">
        <f aca="false">Country_Data!$DW$178+Sector_Params!$E$7</f>
        <v>0.105</v>
      </c>
      <c r="N1218" s="44" t="n">
        <f aca="false">Country_Data!$DX$178+Sector_Params!$E$7</f>
        <v>0.15</v>
      </c>
      <c r="O1218" s="11" t="n">
        <f aca="false">IF(p_use_ibrd=1,p_r_ibrd,p_r_wb)</f>
        <v>0.06</v>
      </c>
      <c r="P1218" s="45" t="n">
        <f aca="false">Sector_Params!$D$7</f>
        <v>12</v>
      </c>
      <c r="Q1218" s="46" t="n">
        <f aca="false">M1218/(1-(1+M1218)^-P1218)</f>
        <v>0.150376745634766</v>
      </c>
      <c r="R1218" s="46" t="n">
        <f aca="false">N1218/(1-(1+N1218)^-P1218)</f>
        <v>0.18448077613084</v>
      </c>
      <c r="S1218" s="46" t="n">
        <f aca="false">O1218/(1-(1+O1218)^-P1218)</f>
        <v>0.119277029380664</v>
      </c>
      <c r="T1218" s="37" t="n">
        <f aca="false">IF(AND(p_eng=1,ISNUMBER(Country_Data!$DE$178)),Country_Data!$DE$178,Country_Data!$CM$178)*Sector_Params!$I$7</f>
        <v>0.02521602</v>
      </c>
      <c r="U1218" s="37" t="n">
        <f aca="false">IF(AND(p_eng=1,ISNUMBER(Country_Data!$DF$178)),Country_Data!$DF$178,Country_Data!$CN$178)*Sector_Params!$J$7</f>
        <v>5.2425E-005</v>
      </c>
      <c r="V1218" s="37" t="n">
        <f aca="false">IF(AND(p_eng=1,ISNUMBER(Country_Data!$DG$178)),Country_Data!$DG$178,p_a)</f>
        <v>0.0944055</v>
      </c>
      <c r="W1218" s="16" t="n">
        <f aca="false">T1218*L1218</f>
        <v>0.000112521032102515</v>
      </c>
      <c r="X1218" s="16" t="n">
        <f aca="false">U1218*L1218</f>
        <v>2.33935216896812E-007</v>
      </c>
      <c r="Y1218" s="16" t="n">
        <f aca="false">V1218*L1218</f>
        <v>0.000421264112899418</v>
      </c>
      <c r="Z1218" s="16" t="n">
        <f aca="false">Q1218*L1218</f>
        <v>0.000671023683477457</v>
      </c>
      <c r="AA1218" s="16" t="n">
        <f aca="false">R1218*L1218</f>
        <v>0.000823205538911973</v>
      </c>
      <c r="AB1218" s="16" t="n">
        <f aca="false">S1218*L1218</f>
        <v>0.000532247930166389</v>
      </c>
      <c r="AC1218" s="16" t="n">
        <f aca="false">Z1218-W1218</f>
        <v>0.000558502651374942</v>
      </c>
      <c r="AD1218" s="16" t="n">
        <f aca="false">AA1218-W1218</f>
        <v>0.000710684506809458</v>
      </c>
      <c r="AE1218" s="16" t="n">
        <f aca="false">AB1218-W1218</f>
        <v>0.000419726898063874</v>
      </c>
      <c r="AF1218" s="16" t="n">
        <f aca="false">AE1218-X1218</f>
        <v>0.000419492962846978</v>
      </c>
      <c r="AG1218" s="16" t="n">
        <f aca="false">AF1218-p_spc_lo*Y1218/1000</f>
        <v>0.000398429757202007</v>
      </c>
      <c r="AH1218" s="16" t="n">
        <f aca="false">AF1218-p_spc_hi*Y1218/1000</f>
        <v>0.000377366551557036</v>
      </c>
      <c r="AI1218" s="16" t="n">
        <f aca="false">Q1218*J1218</f>
        <v>0.0027959320144894</v>
      </c>
      <c r="AJ1218" s="16" t="n">
        <f aca="false">S1218*J1218</f>
        <v>0.00221769970902662</v>
      </c>
      <c r="AK1218" s="16" t="n">
        <f aca="false">T1218*J1218</f>
        <v>0.000468837633760479</v>
      </c>
      <c r="AL1218" s="16" t="n">
        <f aca="false">U1218*J1218</f>
        <v>9.74730070403384E-007</v>
      </c>
      <c r="AM1218" s="16" t="n">
        <f aca="false">AI1218-AJ1218</f>
        <v>0.000578232305462781</v>
      </c>
      <c r="AN1218" s="16" t="n">
        <f aca="false">J1218*Country_Data!$EB$178</f>
        <v>0.0235509411383428</v>
      </c>
      <c r="AO1218" s="16" t="n">
        <f aca="false">L1218*Country_Data!$EB$178</f>
        <v>0.00565222587320226</v>
      </c>
    </row>
    <row r="1219" customFormat="false" ht="15" hidden="false" customHeight="false" outlineLevel="0" collapsed="false">
      <c r="A1219" s="14" t="str">
        <f aca="false">Country_Data!$A$178</f>
        <v>GMB</v>
      </c>
      <c r="B1219" s="14" t="str">
        <f aca="false">Country_Data!$E$178</f>
        <v>EMDC</v>
      </c>
      <c r="C1219" s="35" t="s">
        <v>477</v>
      </c>
      <c r="D1219" s="37" t="n">
        <f aca="false">IF(Country_Data!$CB$178="","",Country_Data!$CB$178)</f>
        <v>0.00111398911984392</v>
      </c>
      <c r="E1219" s="40" t="n">
        <f aca="false">Country_Data!$BW$178</f>
        <v>9.607</v>
      </c>
      <c r="F1219" s="41" t="n">
        <f aca="false">Country_Data!$BX$178</f>
        <v>0.250130113458936</v>
      </c>
      <c r="G1219" s="42" t="n">
        <f aca="false">IF(D1219="","",D1219/SUMIFS($D$5:$D$1369,$B$5:$B$1369,B1219,$C$5:$C$1369,C1219))</f>
        <v>3.51274690459013E-005</v>
      </c>
      <c r="H1219" s="42" t="n">
        <f aca="false">E1219/SUMIFS($E$5:$E$1369,$B$5:$B$1369,B1219,$C$5:$C$1369,C1219)</f>
        <v>0.000118998824380304</v>
      </c>
      <c r="I1219" s="43" t="n">
        <f aca="false">IF(G1219="",H1219,p_beta_alloc*G1219+(1-p_beta_alloc)*H1219)*F1219^p_phi</f>
        <v>3.85415990048245E-005</v>
      </c>
      <c r="J1219" s="16" t="n">
        <f aca="false">INDEX(Sector_Params!$C$19:$E$19,MATCH(B1219,Sector_Params!$C$15:$E$15,0))*I1219/SUMIFS($I$5:$I$1369,$B$5:$B$1369,B1219,$C$5:$C$1369,C1219)</f>
        <v>0.0124050991299369</v>
      </c>
      <c r="K1219" s="28" t="n">
        <f aca="false">INDEX(Sector_Params!$F$8:$H$8,MATCH(B1219,Sector_Params!$C$15:$E$15,0))</f>
        <v>0.24</v>
      </c>
      <c r="L1219" s="16" t="n">
        <f aca="false">J1219*K1219</f>
        <v>0.00297722379118485</v>
      </c>
      <c r="M1219" s="44" t="n">
        <f aca="false">Country_Data!$DW$178+Sector_Params!$E$8</f>
        <v>0.105</v>
      </c>
      <c r="N1219" s="44" t="n">
        <f aca="false">Country_Data!$DX$178+Sector_Params!$E$8</f>
        <v>0.15</v>
      </c>
      <c r="O1219" s="11" t="n">
        <f aca="false">IF(p_use_ibrd=1,p_r_ibrd,p_r_wb)</f>
        <v>0.06</v>
      </c>
      <c r="P1219" s="45" t="n">
        <f aca="false">Sector_Params!$D$8</f>
        <v>25</v>
      </c>
      <c r="Q1219" s="46" t="n">
        <f aca="false">M1219/(1-(1+M1219)^-P1219)</f>
        <v>0.114429319813103</v>
      </c>
      <c r="R1219" s="46" t="n">
        <f aca="false">N1219/(1-(1+N1219)^-P1219)</f>
        <v>0.154699402320206</v>
      </c>
      <c r="S1219" s="46" t="n">
        <f aca="false">O1219/(1-(1+O1219)^-P1219)</f>
        <v>0.078226718212274</v>
      </c>
      <c r="T1219" s="37" t="n">
        <f aca="false">Country_Data!$CM$178*Sector_Params!$I$8</f>
        <v>0.232327625937556</v>
      </c>
      <c r="U1219" s="37" t="n">
        <f aca="false">Country_Data!$CN$178*Sector_Params!$J$8</f>
        <v>0.03225</v>
      </c>
      <c r="V1219" s="37" t="n">
        <f aca="false">p_a</f>
        <v>0.35</v>
      </c>
      <c r="W1219" s="16" t="n">
        <f aca="false">T1219*L1219</f>
        <v>0.000691691335290787</v>
      </c>
      <c r="X1219" s="16" t="n">
        <f aca="false">U1219*L1219</f>
        <v>9.60154672657116E-005</v>
      </c>
      <c r="Y1219" s="16" t="n">
        <f aca="false">V1219*L1219</f>
        <v>0.0010420283269147</v>
      </c>
      <c r="Z1219" s="16" t="n">
        <f aca="false">Q1219*L1219</f>
        <v>0.000340681693356672</v>
      </c>
      <c r="AA1219" s="16" t="n">
        <f aca="false">R1219*L1219</f>
        <v>0.000460574741069796</v>
      </c>
      <c r="AB1219" s="16" t="n">
        <f aca="false">S1219*L1219</f>
        <v>0.000232898446567896</v>
      </c>
      <c r="AC1219" s="16" t="n">
        <f aca="false">Z1219-W1219</f>
        <v>-0.000351009641934115</v>
      </c>
      <c r="AD1219" s="16" t="n">
        <f aca="false">AA1219-W1219</f>
        <v>-0.00023111659422099</v>
      </c>
      <c r="AE1219" s="16" t="n">
        <f aca="false">AB1219-W1219</f>
        <v>-0.000458792888722891</v>
      </c>
      <c r="AF1219" s="16" t="n">
        <f aca="false">AE1219-X1219</f>
        <v>-0.000554808355988603</v>
      </c>
      <c r="AG1219" s="16" t="n">
        <f aca="false">AF1219-p_spc_lo*Y1219/1000</f>
        <v>-0.000606909772334338</v>
      </c>
      <c r="AH1219" s="16" t="n">
        <f aca="false">AF1219-p_spc_hi*Y1219/1000</f>
        <v>-0.000659011188680073</v>
      </c>
      <c r="AI1219" s="16" t="n">
        <f aca="false">Q1219*J1219</f>
        <v>0.0014195070556528</v>
      </c>
      <c r="AJ1219" s="16" t="n">
        <f aca="false">S1219*J1219</f>
        <v>0.000970410194032898</v>
      </c>
      <c r="AK1219" s="16" t="n">
        <f aca="false">T1219*J1219</f>
        <v>0.00288204723037828</v>
      </c>
      <c r="AL1219" s="16" t="n">
        <f aca="false">U1219*J1219</f>
        <v>0.000400064446940465</v>
      </c>
      <c r="AM1219" s="16" t="n">
        <f aca="false">AI1219-AJ1219</f>
        <v>0.0004490968616199</v>
      </c>
      <c r="AN1219" s="16" t="n">
        <f aca="false">J1219*Country_Data!$EB$178</f>
        <v>0.0157131255645867</v>
      </c>
      <c r="AO1219" s="16" t="n">
        <f aca="false">L1219*Country_Data!$EB$178</f>
        <v>0.00377115013550082</v>
      </c>
    </row>
    <row r="1220" customFormat="false" ht="15" hidden="false" customHeight="false" outlineLevel="0" collapsed="false">
      <c r="A1220" s="14" t="str">
        <f aca="false">Country_Data!$A$178</f>
        <v>GMB</v>
      </c>
      <c r="B1220" s="14" t="str">
        <f aca="false">Country_Data!$E$178</f>
        <v>EMDC</v>
      </c>
      <c r="C1220" s="35" t="s">
        <v>481</v>
      </c>
      <c r="D1220" s="37" t="n">
        <f aca="false">IF(Country_Data!$CC$178="","",Country_Data!$CC$178)</f>
        <v>0.00811109620949479</v>
      </c>
      <c r="E1220" s="40" t="n">
        <f aca="false">Country_Data!$BW$178</f>
        <v>9.607</v>
      </c>
      <c r="F1220" s="41" t="n">
        <f aca="false">Country_Data!$BX$178</f>
        <v>0.250130113458936</v>
      </c>
      <c r="G1220" s="42" t="n">
        <f aca="false">IF(D1220="","",D1220/SUMIFS($D$5:$D$1369,$B$5:$B$1369,B1220,$C$5:$C$1369,C1220))</f>
        <v>0.000115860790667255</v>
      </c>
      <c r="H1220" s="42" t="n">
        <f aca="false">E1220/SUMIFS($E$5:$E$1369,$B$5:$B$1369,B1220,$C$5:$C$1369,C1220)</f>
        <v>0.000118998824380304</v>
      </c>
      <c r="I1220" s="43" t="n">
        <f aca="false">IF(G1220="",H1220,p_beta_alloc*G1220+(1-p_beta_alloc)*H1220)*F1220^p_phi</f>
        <v>5.87301809728167E-005</v>
      </c>
      <c r="J1220" s="16" t="n">
        <f aca="false">INDEX(Sector_Params!$C$20:$E$20,MATCH(B1220,Sector_Params!$C$15:$E$15,0))*I1220/SUMIFS($I$5:$I$1369,$B$5:$B$1369,B1220,$C$5:$C$1369,C1220)</f>
        <v>0.0107194407175409</v>
      </c>
      <c r="K1220" s="28" t="n">
        <f aca="false">INDEX(Sector_Params!$F$9:$H$9,MATCH(B1220,Sector_Params!$C$15:$E$15,0))</f>
        <v>0.24</v>
      </c>
      <c r="L1220" s="16" t="n">
        <f aca="false">J1220*K1220</f>
        <v>0.00257266577220982</v>
      </c>
      <c r="M1220" s="44" t="n">
        <f aca="false">Country_Data!$DW$178+Sector_Params!$E$9</f>
        <v>0.105</v>
      </c>
      <c r="N1220" s="44" t="n">
        <f aca="false">Country_Data!$DX$178+Sector_Params!$E$9</f>
        <v>0.15</v>
      </c>
      <c r="O1220" s="11" t="n">
        <f aca="false">IF(p_use_ibrd=1,p_r_ibrd,p_r_wb)</f>
        <v>0.06</v>
      </c>
      <c r="P1220" s="45" t="n">
        <f aca="false">Sector_Params!$D$9</f>
        <v>25</v>
      </c>
      <c r="Q1220" s="46" t="n">
        <f aca="false">M1220/(1-(1+M1220)^-P1220)</f>
        <v>0.114429319813103</v>
      </c>
      <c r="R1220" s="46" t="n">
        <f aca="false">N1220/(1-(1+N1220)^-P1220)</f>
        <v>0.154699402320206</v>
      </c>
      <c r="S1220" s="46" t="n">
        <f aca="false">O1220/(1-(1+O1220)^-P1220)</f>
        <v>0.078226718212274</v>
      </c>
      <c r="T1220" s="37" t="n">
        <f aca="false">Country_Data!$CM$178*Sector_Params!$I$9</f>
        <v>0.232327625937556</v>
      </c>
      <c r="U1220" s="37" t="n">
        <f aca="false">Country_Data!$CN$178*Sector_Params!$J$9</f>
        <v>0.03225</v>
      </c>
      <c r="V1220" s="37" t="n">
        <f aca="false">p_a</f>
        <v>0.35</v>
      </c>
      <c r="W1220" s="16" t="n">
        <f aca="false">T1220*L1220</f>
        <v>0.000597701331188317</v>
      </c>
      <c r="X1220" s="16" t="n">
        <f aca="false">U1220*L1220</f>
        <v>8.29684711537668E-005</v>
      </c>
      <c r="Y1220" s="16" t="n">
        <f aca="false">V1220*L1220</f>
        <v>0.000900433020273438</v>
      </c>
      <c r="Z1220" s="16" t="n">
        <f aca="false">Q1220*L1220</f>
        <v>0.000294388394420422</v>
      </c>
      <c r="AA1220" s="16" t="n">
        <f aca="false">R1220*L1220</f>
        <v>0.000397989857330512</v>
      </c>
      <c r="AB1220" s="16" t="n">
        <f aca="false">S1220*L1220</f>
        <v>0.00020125120041702</v>
      </c>
      <c r="AC1220" s="16" t="n">
        <f aca="false">Z1220-W1220</f>
        <v>-0.000303312936767895</v>
      </c>
      <c r="AD1220" s="16" t="n">
        <f aca="false">AA1220-W1220</f>
        <v>-0.000199711473857805</v>
      </c>
      <c r="AE1220" s="16" t="n">
        <f aca="false">AB1220-W1220</f>
        <v>-0.000396450130771297</v>
      </c>
      <c r="AF1220" s="16" t="n">
        <f aca="false">AE1220-X1220</f>
        <v>-0.000479418601925064</v>
      </c>
      <c r="AG1220" s="16" t="n">
        <f aca="false">AF1220-p_spc_lo*Y1220/1000</f>
        <v>-0.000524440252938735</v>
      </c>
      <c r="AH1220" s="16" t="n">
        <f aca="false">AF1220-p_spc_hi*Y1220/1000</f>
        <v>-0.000569461903952407</v>
      </c>
      <c r="AI1220" s="16" t="n">
        <f aca="false">Q1220*J1220</f>
        <v>0.00122661831008509</v>
      </c>
      <c r="AJ1220" s="16" t="n">
        <f aca="false">S1220*J1220</f>
        <v>0.00083854666840425</v>
      </c>
      <c r="AK1220" s="16" t="n">
        <f aca="false">T1220*J1220</f>
        <v>0.00249042221328465</v>
      </c>
      <c r="AL1220" s="16" t="n">
        <f aca="false">U1220*J1220</f>
        <v>0.000345701963140695</v>
      </c>
      <c r="AM1220" s="16" t="n">
        <f aca="false">AI1220-AJ1220</f>
        <v>0.000388071641680843</v>
      </c>
      <c r="AN1220" s="16" t="n">
        <f aca="false">J1220*Country_Data!$EB$178</f>
        <v>0.0135779582422185</v>
      </c>
      <c r="AO1220" s="16" t="n">
        <f aca="false">L1220*Country_Data!$EB$178</f>
        <v>0.00325870997813244</v>
      </c>
    </row>
    <row r="1221" customFormat="false" ht="15" hidden="false" customHeight="false" outlineLevel="0" collapsed="false">
      <c r="A1221" s="14" t="str">
        <f aca="false">Country_Data!$A$178</f>
        <v>GMB</v>
      </c>
      <c r="B1221" s="14" t="str">
        <f aca="false">Country_Data!$E$178</f>
        <v>EMDC</v>
      </c>
      <c r="C1221" s="35" t="s">
        <v>484</v>
      </c>
      <c r="D1221" s="37" t="n">
        <f aca="false">IF(Country_Data!$CD$178="","",Country_Data!$CD$178)</f>
        <v>0.0105548667755573</v>
      </c>
      <c r="E1221" s="40" t="n">
        <f aca="false">Country_Data!$BW$178</f>
        <v>9.607</v>
      </c>
      <c r="F1221" s="41" t="n">
        <f aca="false">Country_Data!$BX$178</f>
        <v>0.250130113458936</v>
      </c>
      <c r="G1221" s="42" t="n">
        <f aca="false">IF(D1221="","",D1221/SUMIFS($D$5:$D$1369,$B$5:$B$1369,B1221,$C$5:$C$1369,C1221))</f>
        <v>5.89422319715591E-005</v>
      </c>
      <c r="H1221" s="42" t="n">
        <f aca="false">E1221/SUMIFS($E$5:$E$1369,$B$5:$B$1369,B1221,$C$5:$C$1369,C1221)</f>
        <v>0.000118998824380304</v>
      </c>
      <c r="I1221" s="43" t="n">
        <f aca="false">IF(G1221="",H1221,p_beta_alloc*G1221+(1-p_beta_alloc)*H1221)*F1221^p_phi</f>
        <v>4.44968388452943E-005</v>
      </c>
      <c r="J1221" s="16" t="n">
        <f aca="false">INDEX(Sector_Params!$C$21:$E$21,MATCH(B1221,Sector_Params!$C$15:$E$15,0))*I1221/SUMIFS($I$5:$I$1369,$B$5:$B$1369,B1221,$C$5:$C$1369,C1221)</f>
        <v>0.00986894615650331</v>
      </c>
      <c r="K1221" s="28" t="n">
        <f aca="false">INDEX(Sector_Params!$F$10:$H$10,MATCH(B1221,Sector_Params!$C$15:$E$15,0))</f>
        <v>0.24</v>
      </c>
      <c r="L1221" s="16" t="n">
        <f aca="false">J1221*K1221</f>
        <v>0.00236854707756079</v>
      </c>
      <c r="M1221" s="44" t="n">
        <f aca="false">Country_Data!$DW$178+Sector_Params!$E$10</f>
        <v>0.105</v>
      </c>
      <c r="N1221" s="44" t="n">
        <f aca="false">Country_Data!$DX$178+Sector_Params!$E$10</f>
        <v>0.15</v>
      </c>
      <c r="O1221" s="11" t="n">
        <f aca="false">IF(p_use_ibrd=1,p_r_ibrd,p_r_wb)</f>
        <v>0.06</v>
      </c>
      <c r="P1221" s="45" t="n">
        <f aca="false">Sector_Params!$D$10</f>
        <v>20</v>
      </c>
      <c r="Q1221" s="46" t="n">
        <f aca="false">M1221/(1-(1+M1221)^-P1221)</f>
        <v>0.121493265267016</v>
      </c>
      <c r="R1221" s="46" t="n">
        <f aca="false">N1221/(1-(1+N1221)^-P1221)</f>
        <v>0.159761470405744</v>
      </c>
      <c r="S1221" s="46" t="n">
        <f aca="false">O1221/(1-(1+O1221)^-P1221)</f>
        <v>0.0871845569768514</v>
      </c>
      <c r="T1221" s="37" t="n">
        <f aca="false">0*Sector_Params!$I$10</f>
        <v>0</v>
      </c>
      <c r="U1221" s="37" t="n">
        <f aca="false">0*Sector_Params!$J$10</f>
        <v>0</v>
      </c>
      <c r="V1221" s="37" t="n">
        <f aca="false">1000*p_r_wb/(1-(1+p_r_wb)^-Sector_Params!$D$10)/p_cpt_fuel</f>
        <v>0.871845569768514</v>
      </c>
      <c r="W1221" s="16" t="n">
        <f aca="false">T1221*L1221</f>
        <v>0</v>
      </c>
      <c r="X1221" s="16" t="n">
        <f aca="false">U1221*L1221</f>
        <v>0</v>
      </c>
      <c r="Y1221" s="16" t="n">
        <f aca="false">V1221*L1221</f>
        <v>0.00206500727635954</v>
      </c>
      <c r="Z1221" s="16" t="n">
        <f aca="false">Q1221*L1221</f>
        <v>0.00028776251839151</v>
      </c>
      <c r="AA1221" s="16" t="n">
        <f aca="false">R1221*L1221</f>
        <v>0.00037840256383634</v>
      </c>
      <c r="AB1221" s="16" t="n">
        <f aca="false">S1221*L1221</f>
        <v>0.000206500727635954</v>
      </c>
      <c r="AC1221" s="16" t="n">
        <f aca="false">Z1221-W1221</f>
        <v>0.00028776251839151</v>
      </c>
      <c r="AD1221" s="16" t="n">
        <f aca="false">AA1221-W1221</f>
        <v>0.00037840256383634</v>
      </c>
      <c r="AE1221" s="16" t="n">
        <f aca="false">AB1221-W1221</f>
        <v>0.000206500727635954</v>
      </c>
      <c r="AF1221" s="16" t="n">
        <f aca="false">AE1221-X1221</f>
        <v>0.000206500727635954</v>
      </c>
      <c r="AG1221" s="16" t="n">
        <f aca="false">AF1221-p_spc_lo*Y1221/1000</f>
        <v>0.000103250363817977</v>
      </c>
      <c r="AH1221" s="16" t="n">
        <f aca="false">AF1221-p_spc_hi*Y1221/1000</f>
        <v>0</v>
      </c>
      <c r="AI1221" s="16" t="n">
        <f aca="false">Q1221*J1221</f>
        <v>0.00119901049329796</v>
      </c>
      <c r="AJ1221" s="16" t="n">
        <f aca="false">S1221*J1221</f>
        <v>0.000860419698483142</v>
      </c>
      <c r="AK1221" s="16" t="n">
        <f aca="false">T1221*J1221</f>
        <v>0</v>
      </c>
      <c r="AL1221" s="16" t="n">
        <f aca="false">U1221*J1221</f>
        <v>0</v>
      </c>
      <c r="AM1221" s="16" t="n">
        <f aca="false">AI1221-AJ1221</f>
        <v>0.000338590794814815</v>
      </c>
      <c r="AN1221" s="16" t="n">
        <f aca="false">J1221*Country_Data!$EB$178</f>
        <v>0.0125006651315709</v>
      </c>
      <c r="AO1221" s="16" t="n">
        <f aca="false">L1221*Country_Data!$EB$178</f>
        <v>0.00300015963157701</v>
      </c>
    </row>
    <row r="1222" customFormat="false" ht="15" hidden="false" customHeight="false" outlineLevel="0" collapsed="false">
      <c r="A1222" s="14" t="str">
        <f aca="false">Country_Data!$A$178</f>
        <v>GMB</v>
      </c>
      <c r="B1222" s="14" t="str">
        <f aca="false">Country_Data!$E$178</f>
        <v>EMDC</v>
      </c>
      <c r="C1222" s="35" t="s">
        <v>488</v>
      </c>
      <c r="D1222" s="37" t="n">
        <f aca="false">IF(Country_Data!$CE$178="","",Country_Data!$CE$178)</f>
        <v>2.309</v>
      </c>
      <c r="E1222" s="40" t="n">
        <f aca="false">Country_Data!$BW$178</f>
        <v>9.607</v>
      </c>
      <c r="F1222" s="41" t="n">
        <f aca="false">Country_Data!$BX$178</f>
        <v>0.250130113458936</v>
      </c>
      <c r="G1222" s="42" t="n">
        <f aca="false">IF(D1222="","",D1222/SUMIFS($D$5:$D$1369,$B$5:$B$1369,B1222,$C$5:$C$1369,C1222))</f>
        <v>0.000189198556879609</v>
      </c>
      <c r="H1222" s="42" t="n">
        <f aca="false">E1222/SUMIFS($E$5:$E$1369,$B$5:$B$1369,B1222,$C$5:$C$1369,C1222)</f>
        <v>0.000118998824380304</v>
      </c>
      <c r="I1222" s="43" t="n">
        <f aca="false">IF(G1222="",H1222,p_beta_alloc*G1222+(1-p_beta_alloc)*H1222)*F1222^p_phi</f>
        <v>7.70693930204965E-005</v>
      </c>
      <c r="J1222" s="16" t="n">
        <f aca="false">INDEX(Sector_Params!$C$22:$E$22,MATCH(B1222,Sector_Params!$C$15:$E$15,0))*I1222/SUMIFS($I$5:$I$1369,$B$5:$B$1369,B1222,$C$5:$C$1369,C1222)</f>
        <v>0.0464580765876943</v>
      </c>
      <c r="K1222" s="28" t="n">
        <f aca="false">INDEX(Sector_Params!$F$11:$H$11,MATCH(B1222,Sector_Params!$C$15:$E$15,0))</f>
        <v>0.24</v>
      </c>
      <c r="L1222" s="16" t="n">
        <f aca="false">J1222*K1222</f>
        <v>0.0111499383810466</v>
      </c>
      <c r="M1222" s="44" t="n">
        <f aca="false">Country_Data!$DW$178+Sector_Params!$E$11</f>
        <v>0.105</v>
      </c>
      <c r="N1222" s="44" t="n">
        <f aca="false">Country_Data!$DX$178+Sector_Params!$E$11</f>
        <v>0.15</v>
      </c>
      <c r="O1222" s="11" t="n">
        <f aca="false">IF(p_use_ibrd=1,p_r_ibrd,p_r_wb)</f>
        <v>0.06</v>
      </c>
      <c r="P1222" s="45" t="n">
        <f aca="false">Sector_Params!$D$11</f>
        <v>30</v>
      </c>
      <c r="Q1222" s="46" t="n">
        <f aca="false">M1222/(1-(1+M1222)^-P1222)</f>
        <v>0.110528481529605</v>
      </c>
      <c r="R1222" s="46" t="n">
        <f aca="false">N1222/(1-(1+N1222)^-P1222)</f>
        <v>0.152300198192734</v>
      </c>
      <c r="S1222" s="46" t="n">
        <f aca="false">O1222/(1-(1+O1222)^-P1222)</f>
        <v>0.0726489114900472</v>
      </c>
      <c r="T1222" s="37" t="n">
        <f aca="false">0*Sector_Params!$I$11</f>
        <v>0</v>
      </c>
      <c r="U1222" s="37" t="n">
        <f aca="false">p_c*Sector_Params!$J$11</f>
        <v>0.129</v>
      </c>
      <c r="V1222" s="37" t="n">
        <f aca="false">1000*p_r_wb/(1-(1+p_r_wb)^-Sector_Params!$D$11)/p_cpt_afolu</f>
        <v>1.45297822980094</v>
      </c>
      <c r="W1222" s="16" t="n">
        <f aca="false">T1222*L1222</f>
        <v>0</v>
      </c>
      <c r="X1222" s="16" t="n">
        <f aca="false">U1222*L1222</f>
        <v>0.00143834205115501</v>
      </c>
      <c r="Y1222" s="16" t="n">
        <f aca="false">V1222*L1222</f>
        <v>0.0162006177312827</v>
      </c>
      <c r="Z1222" s="16" t="n">
        <f aca="false">Q1222*L1222</f>
        <v>0.00123238575840575</v>
      </c>
      <c r="AA1222" s="16" t="n">
        <f aca="false">R1222*L1222</f>
        <v>0.00169813782527018</v>
      </c>
      <c r="AB1222" s="16" t="n">
        <f aca="false">S1222*L1222</f>
        <v>0.000810030886564136</v>
      </c>
      <c r="AC1222" s="16" t="n">
        <f aca="false">Z1222-W1222</f>
        <v>0.00123238575840575</v>
      </c>
      <c r="AD1222" s="16" t="n">
        <f aca="false">AA1222-W1222</f>
        <v>0.00169813782527018</v>
      </c>
      <c r="AE1222" s="16" t="n">
        <f aca="false">AB1222-W1222</f>
        <v>0.000810030886564136</v>
      </c>
      <c r="AF1222" s="16" t="n">
        <f aca="false">AE1222-X1222</f>
        <v>-0.000628311164590878</v>
      </c>
      <c r="AG1222" s="16" t="n">
        <f aca="false">AF1222-p_spc_lo*Y1222/1000</f>
        <v>-0.00143834205115501</v>
      </c>
      <c r="AH1222" s="16" t="n">
        <f aca="false">AF1222-p_spc_hi*Y1222/1000</f>
        <v>-0.00224837293771915</v>
      </c>
      <c r="AI1222" s="16" t="n">
        <f aca="false">Q1222*J1222</f>
        <v>0.00513494066002395</v>
      </c>
      <c r="AJ1222" s="16" t="n">
        <f aca="false">S1222*J1222</f>
        <v>0.00337512869401724</v>
      </c>
      <c r="AK1222" s="16" t="n">
        <f aca="false">T1222*J1222</f>
        <v>0</v>
      </c>
      <c r="AL1222" s="16" t="n">
        <f aca="false">U1222*J1222</f>
        <v>0.00599309187981256</v>
      </c>
      <c r="AM1222" s="16" t="n">
        <f aca="false">AI1222-AJ1222</f>
        <v>0.00175981196600671</v>
      </c>
      <c r="AN1222" s="16" t="n">
        <f aca="false">J1222*Country_Data!$EB$178</f>
        <v>0.0588468970110794</v>
      </c>
      <c r="AO1222" s="16" t="n">
        <f aca="false">L1222*Country_Data!$EB$178</f>
        <v>0.0141232552826591</v>
      </c>
    </row>
    <row r="1223" customFormat="false" ht="15" hidden="false" customHeight="false" outlineLevel="0" collapsed="false">
      <c r="A1223" s="14" t="str">
        <f aca="false">Country_Data!$A$179</f>
        <v>SYC</v>
      </c>
      <c r="B1223" s="14" t="str">
        <f aca="false">Country_Data!$E$179</f>
        <v>EMDC</v>
      </c>
      <c r="C1223" s="35" t="s">
        <v>466</v>
      </c>
      <c r="D1223" s="37" t="n">
        <f aca="false">IF(Country_Data!$BZ$179="","",Country_Data!$BZ$179)</f>
        <v>0.511738971512278</v>
      </c>
      <c r="E1223" s="40" t="n">
        <f aca="false">Country_Data!$BW$179</f>
        <v>4.046</v>
      </c>
      <c r="F1223" s="41" t="n">
        <f aca="false">Country_Data!$BX$179</f>
        <v>0.550914483440435</v>
      </c>
      <c r="G1223" s="42" t="n">
        <f aca="false">IF(D1223="","",D1223/SUMIFS($D$5:$D$1369,$B$5:$B$1369,B1223,$C$5:$C$1369,C1223))</f>
        <v>5.84212137701537E-005</v>
      </c>
      <c r="H1223" s="42" t="n">
        <f aca="false">E1223/SUMIFS($E$5:$E$1369,$B$5:$B$1369,B1223,$C$5:$C$1369,C1223)</f>
        <v>5.0116502908578E-005</v>
      </c>
      <c r="I1223" s="43" t="n">
        <f aca="false">IF(G1223="",H1223,p_beta_alloc*G1223+(1-p_beta_alloc)*H1223)*F1223^p_phi</f>
        <v>4.02803077868016E-005</v>
      </c>
      <c r="J1223" s="16" t="n">
        <f aca="false">INDEX(Sector_Params!$C$16:$E$16,MATCH(B1223,Sector_Params!$C$15:$E$15,0))*I1223/SUMIFS($I$5:$I$1369,$B$5:$B$1369,B1223,$C$5:$C$1369,C1223)</f>
        <v>0.0389601348852411</v>
      </c>
      <c r="K1223" s="28" t="n">
        <f aca="false">INDEX(Sector_Params!$F$5:$H$5,MATCH(B1223,Sector_Params!$C$15:$E$15,0))</f>
        <v>0.24</v>
      </c>
      <c r="L1223" s="16" t="n">
        <f aca="false">J1223*K1223</f>
        <v>0.00935043237245785</v>
      </c>
      <c r="M1223" s="44" t="n">
        <f aca="false">Country_Data!$DW$179+Sector_Params!$E$5</f>
        <v>0.105</v>
      </c>
      <c r="N1223" s="44" t="n">
        <f aca="false">Country_Data!$DX$179+Sector_Params!$E$5</f>
        <v>0.15</v>
      </c>
      <c r="O1223" s="11" t="n">
        <f aca="false">IF(p_use_ibrd=1,p_r_ibrd,p_r_wb)</f>
        <v>0.06</v>
      </c>
      <c r="P1223" s="45" t="n">
        <f aca="false">Sector_Params!$D$5</f>
        <v>25</v>
      </c>
      <c r="Q1223" s="46" t="n">
        <f aca="false">M1223/(1-(1+M1223)^-P1223)</f>
        <v>0.114429319813103</v>
      </c>
      <c r="R1223" s="46" t="n">
        <f aca="false">N1223/(1-(1+N1223)^-P1223)</f>
        <v>0.154699402320206</v>
      </c>
      <c r="S1223" s="46" t="n">
        <f aca="false">O1223/(1-(1+O1223)^-P1223)</f>
        <v>0.078226718212274</v>
      </c>
      <c r="T1223" s="37" t="n">
        <f aca="false">IF(AND(p_eng=1,ISNUMBER(Country_Data!$CZ$179)),Country_Data!$CZ$179,Country_Data!$CM$179)*Sector_Params!$I$5</f>
        <v>0.258566505937619</v>
      </c>
      <c r="U1223" s="37" t="n">
        <f aca="false">IF(AND(p_eng=1,ISNUMBER(Country_Data!$DA$179)),Country_Data!$DA$179,Country_Data!$CN$179)*Sector_Params!$J$5</f>
        <v>0</v>
      </c>
      <c r="V1223" s="37" t="n">
        <f aca="false">IF(AND(p_eng=1,ISNUMBER(Country_Data!$DB$179)),Country_Data!$DB$179,p_a)</f>
        <v>1.57339099274047</v>
      </c>
      <c r="W1223" s="16" t="n">
        <f aca="false">T1223*L1223</f>
        <v>0.00241770862755242</v>
      </c>
      <c r="X1223" s="16" t="n">
        <f aca="false">U1223*L1223</f>
        <v>0</v>
      </c>
      <c r="Y1223" s="16" t="n">
        <f aca="false">V1223*L1223</f>
        <v>0.0147118860730541</v>
      </c>
      <c r="Z1223" s="16" t="n">
        <f aca="false">Q1223*L1223</f>
        <v>0.00106996361633877</v>
      </c>
      <c r="AA1223" s="16" t="n">
        <f aca="false">R1223*L1223</f>
        <v>0.00144650629945474</v>
      </c>
      <c r="AB1223" s="16" t="n">
        <f aca="false">S1223*L1223</f>
        <v>0.000731453638363185</v>
      </c>
      <c r="AC1223" s="16" t="n">
        <f aca="false">Z1223-W1223</f>
        <v>-0.00134774501121365</v>
      </c>
      <c r="AD1223" s="16" t="n">
        <f aca="false">AA1223-W1223</f>
        <v>-0.000971202328097684</v>
      </c>
      <c r="AE1223" s="16" t="n">
        <f aca="false">AB1223-W1223</f>
        <v>-0.00168625498918924</v>
      </c>
      <c r="AF1223" s="16" t="n">
        <f aca="false">AE1223-X1223</f>
        <v>-0.00168625498918924</v>
      </c>
      <c r="AG1223" s="16" t="n">
        <f aca="false">AF1223-p_spc_lo*Y1223/1000</f>
        <v>-0.00242184929284194</v>
      </c>
      <c r="AH1223" s="16" t="n">
        <f aca="false">AF1223-p_spc_hi*Y1223/1000</f>
        <v>-0.00315744359649465</v>
      </c>
      <c r="AI1223" s="16" t="n">
        <f aca="false">Q1223*J1223</f>
        <v>0.00445818173474489</v>
      </c>
      <c r="AJ1223" s="16" t="n">
        <f aca="false">S1223*J1223</f>
        <v>0.00304772349317994</v>
      </c>
      <c r="AK1223" s="16" t="n">
        <f aca="false">T1223*J1223</f>
        <v>0.0100737859481351</v>
      </c>
      <c r="AL1223" s="16" t="n">
        <f aca="false">U1223*J1223</f>
        <v>0</v>
      </c>
      <c r="AM1223" s="16" t="n">
        <f aca="false">AI1223-AJ1223</f>
        <v>0.00141045824156496</v>
      </c>
      <c r="AN1223" s="16" t="n">
        <f aca="false">J1223*Country_Data!$EB$179</f>
        <v>0.049349504187972</v>
      </c>
      <c r="AO1223" s="16" t="n">
        <f aca="false">L1223*Country_Data!$EB$179</f>
        <v>0.0118438810051133</v>
      </c>
    </row>
    <row r="1224" customFormat="false" ht="15" hidden="false" customHeight="false" outlineLevel="0" collapsed="false">
      <c r="A1224" s="14" t="str">
        <f aca="false">Country_Data!$A$179</f>
        <v>SYC</v>
      </c>
      <c r="B1224" s="14" t="str">
        <f aca="false">Country_Data!$E$179</f>
        <v>EMDC</v>
      </c>
      <c r="C1224" s="35" t="s">
        <v>470</v>
      </c>
      <c r="D1224" s="37" t="n">
        <f aca="false">IF(Country_Data!$BZ$179="","",Country_Data!$BZ$179)</f>
        <v>0.511738971512278</v>
      </c>
      <c r="E1224" s="40" t="n">
        <f aca="false">Country_Data!$BW$179</f>
        <v>4.046</v>
      </c>
      <c r="F1224" s="41" t="n">
        <f aca="false">Country_Data!$BX$179</f>
        <v>0.550914483440435</v>
      </c>
      <c r="G1224" s="42" t="n">
        <f aca="false">IF(D1224="","",D1224/SUMIFS($D$5:$D$1369,$B$5:$B$1369,B1224,$C$5:$C$1369,C1224))</f>
        <v>5.84212137701537E-005</v>
      </c>
      <c r="H1224" s="42" t="n">
        <f aca="false">E1224/SUMIFS($E$5:$E$1369,$B$5:$B$1369,B1224,$C$5:$C$1369,C1224)</f>
        <v>5.0116502908578E-005</v>
      </c>
      <c r="I1224" s="43" t="n">
        <f aca="false">IF(G1224="",H1224,p_beta_alloc*G1224+(1-p_beta_alloc)*H1224)*F1224^p_phi</f>
        <v>4.02803077868016E-005</v>
      </c>
      <c r="J1224" s="16" t="n">
        <f aca="false">INDEX(Sector_Params!$C$17:$E$17,MATCH(B1224,Sector_Params!$C$15:$E$15,0))*I1224/SUMIFS($I$5:$I$1369,$B$5:$B$1369,B1224,$C$5:$C$1369,C1224)</f>
        <v>0.0267155210641653</v>
      </c>
      <c r="K1224" s="28" t="n">
        <f aca="false">INDEX(Sector_Params!$F$6:$H$6,MATCH(B1224,Sector_Params!$C$15:$E$15,0))</f>
        <v>0.24</v>
      </c>
      <c r="L1224" s="16" t="n">
        <f aca="false">J1224*K1224</f>
        <v>0.00641172505539967</v>
      </c>
      <c r="M1224" s="44" t="n">
        <f aca="false">Country_Data!$DW$179+Sector_Params!$E$6</f>
        <v>0.105</v>
      </c>
      <c r="N1224" s="44" t="n">
        <f aca="false">Country_Data!$DX$179+Sector_Params!$E$6</f>
        <v>0.15</v>
      </c>
      <c r="O1224" s="11" t="n">
        <f aca="false">IF(p_use_ibrd=1,p_r_ibrd,p_r_wb)</f>
        <v>0.06</v>
      </c>
      <c r="P1224" s="45" t="n">
        <f aca="false">Sector_Params!$D$6</f>
        <v>40</v>
      </c>
      <c r="Q1224" s="46" t="n">
        <f aca="false">M1224/(1-(1+M1224)^-P1224)</f>
        <v>0.10697140835497</v>
      </c>
      <c r="R1224" s="46" t="n">
        <f aca="false">N1224/(1-(1+N1224)^-P1224)</f>
        <v>0.150562085013545</v>
      </c>
      <c r="S1224" s="46" t="n">
        <f aca="false">O1224/(1-(1+O1224)^-P1224)</f>
        <v>0.0664615359206755</v>
      </c>
      <c r="T1224" s="37" t="n">
        <f aca="false">p_grid_credit*IF(AND(p_eng=1,ISNUMBER(Country_Data!$CZ$179)),Country_Data!$CZ$179,Country_Data!$CM$179)*Sector_Params!$I$6</f>
        <v>0</v>
      </c>
      <c r="U1224" s="37" t="n">
        <f aca="false">p_grid_credit*IF(AND(p_eng=1,ISNUMBER(Country_Data!$DA$179)),Country_Data!$DA$179,Country_Data!$CN$179)*Sector_Params!$J$6</f>
        <v>0</v>
      </c>
      <c r="V1224" s="37" t="n">
        <f aca="false">p_grid_credit*IF(AND(p_eng=1,ISNUMBER(Country_Data!$DB$179)),Country_Data!$DB$179,p_a)</f>
        <v>0</v>
      </c>
      <c r="W1224" s="16" t="n">
        <f aca="false">T1224*L1224</f>
        <v>0</v>
      </c>
      <c r="X1224" s="16" t="n">
        <f aca="false">U1224*L1224</f>
        <v>0</v>
      </c>
      <c r="Y1224" s="16" t="n">
        <f aca="false">V1224*L1224</f>
        <v>0</v>
      </c>
      <c r="Z1224" s="16" t="n">
        <f aca="false">Q1224*L1224</f>
        <v>0.000685871259160953</v>
      </c>
      <c r="AA1224" s="16" t="n">
        <f aca="false">R1224*L1224</f>
        <v>0.000965362692874561</v>
      </c>
      <c r="AB1224" s="16" t="n">
        <f aca="false">S1224*L1224</f>
        <v>0.00042613309508294</v>
      </c>
      <c r="AC1224" s="16" t="n">
        <f aca="false">Z1224-W1224</f>
        <v>0.000685871259160953</v>
      </c>
      <c r="AD1224" s="16" t="n">
        <f aca="false">AA1224-W1224</f>
        <v>0.000965362692874561</v>
      </c>
      <c r="AE1224" s="16" t="n">
        <f aca="false">AB1224-W1224</f>
        <v>0.00042613309508294</v>
      </c>
      <c r="AF1224" s="16" t="n">
        <f aca="false">AE1224-X1224</f>
        <v>0.00042613309508294</v>
      </c>
      <c r="AG1224" s="16" t="n">
        <f aca="false">AF1224-p_spc_lo*Y1224/1000</f>
        <v>0.00042613309508294</v>
      </c>
      <c r="AH1224" s="16" t="n">
        <f aca="false">AF1224-p_spc_hi*Y1224/1000</f>
        <v>0.00042613309508294</v>
      </c>
      <c r="AI1224" s="16" t="n">
        <f aca="false">Q1224*J1224</f>
        <v>0.00285779691317064</v>
      </c>
      <c r="AJ1224" s="16" t="n">
        <f aca="false">S1224*J1224</f>
        <v>0.00177555456284558</v>
      </c>
      <c r="AK1224" s="16" t="n">
        <f aca="false">T1224*J1224</f>
        <v>0</v>
      </c>
      <c r="AL1224" s="16" t="n">
        <f aca="false">U1224*J1224</f>
        <v>0</v>
      </c>
      <c r="AM1224" s="16" t="n">
        <f aca="false">AI1224-AJ1224</f>
        <v>0.00108224235032505</v>
      </c>
      <c r="AN1224" s="16" t="n">
        <f aca="false">J1224*Country_Data!$EB$179</f>
        <v>0.0338396600146094</v>
      </c>
      <c r="AO1224" s="16" t="n">
        <f aca="false">L1224*Country_Data!$EB$179</f>
        <v>0.00812151840350625</v>
      </c>
    </row>
    <row r="1225" customFormat="false" ht="15" hidden="false" customHeight="false" outlineLevel="0" collapsed="false">
      <c r="A1225" s="14" t="str">
        <f aca="false">Country_Data!$A$179</f>
        <v>SYC</v>
      </c>
      <c r="B1225" s="14" t="str">
        <f aca="false">Country_Data!$E$179</f>
        <v>EMDC</v>
      </c>
      <c r="C1225" s="35" t="s">
        <v>473</v>
      </c>
      <c r="D1225" s="37" t="n">
        <f aca="false">IF(Country_Data!$CA$179="","",Country_Data!$CA$179)</f>
        <v>0.00302618922305457</v>
      </c>
      <c r="E1225" s="40" t="n">
        <f aca="false">Country_Data!$BW$179</f>
        <v>4.046</v>
      </c>
      <c r="F1225" s="41" t="n">
        <f aca="false">Country_Data!$BX$179</f>
        <v>0.550914483440435</v>
      </c>
      <c r="G1225" s="42" t="n">
        <f aca="false">IF(D1225="","",D1225/SUMIFS($D$5:$D$1369,$B$5:$B$1369,B1225,$C$5:$C$1369,C1225))</f>
        <v>6.99120121306342E-005</v>
      </c>
      <c r="H1225" s="42" t="n">
        <f aca="false">E1225/SUMIFS($E$5:$E$1369,$B$5:$B$1369,B1225,$C$5:$C$1369,C1225)</f>
        <v>5.0116502908578E-005</v>
      </c>
      <c r="I1225" s="43" t="n">
        <f aca="false">IF(G1225="",H1225,p_beta_alloc*G1225+(1-p_beta_alloc)*H1225)*F1225^p_phi</f>
        <v>4.45447506813049E-005</v>
      </c>
      <c r="J1225" s="16" t="n">
        <f aca="false">INDEX(Sector_Params!$C$18:$E$18,MATCH(B1225,Sector_Params!$C$15:$E$15,0))*I1225/SUMIFS($I$5:$I$1369,$B$5:$B$1369,B1225,$C$5:$C$1369,C1225)</f>
        <v>0.0182400214211014</v>
      </c>
      <c r="K1225" s="28" t="n">
        <f aca="false">INDEX(Sector_Params!$F$7:$H$7,MATCH(B1225,Sector_Params!$C$15:$E$15,0))</f>
        <v>0.24</v>
      </c>
      <c r="L1225" s="16" t="n">
        <f aca="false">J1225*K1225</f>
        <v>0.00437760514106435</v>
      </c>
      <c r="M1225" s="44" t="n">
        <f aca="false">Country_Data!$DW$179+Sector_Params!$E$7</f>
        <v>0.105</v>
      </c>
      <c r="N1225" s="44" t="n">
        <f aca="false">Country_Data!$DX$179+Sector_Params!$E$7</f>
        <v>0.15</v>
      </c>
      <c r="O1225" s="11" t="n">
        <f aca="false">IF(p_use_ibrd=1,p_r_ibrd,p_r_wb)</f>
        <v>0.06</v>
      </c>
      <c r="P1225" s="45" t="n">
        <f aca="false">Sector_Params!$D$7</f>
        <v>12</v>
      </c>
      <c r="Q1225" s="46" t="n">
        <f aca="false">M1225/(1-(1+M1225)^-P1225)</f>
        <v>0.150376745634766</v>
      </c>
      <c r="R1225" s="46" t="n">
        <f aca="false">N1225/(1-(1+N1225)^-P1225)</f>
        <v>0.18448077613084</v>
      </c>
      <c r="S1225" s="46" t="n">
        <f aca="false">O1225/(1-(1+O1225)^-P1225)</f>
        <v>0.119277029380664</v>
      </c>
      <c r="T1225" s="37" t="n">
        <f aca="false">IF(AND(p_eng=1,ISNUMBER(Country_Data!$DE$179)),Country_Data!$DE$179,Country_Data!$CM$179)*Sector_Params!$I$7</f>
        <v>0.06437034</v>
      </c>
      <c r="U1225" s="37" t="n">
        <f aca="false">IF(AND(p_eng=1,ISNUMBER(Country_Data!$DF$179)),Country_Data!$DF$179,Country_Data!$CN$179)*Sector_Params!$J$7</f>
        <v>0</v>
      </c>
      <c r="V1225" s="37" t="n">
        <f aca="false">IF(AND(p_eng=1,ISNUMBER(Country_Data!$DG$179)),Country_Data!$DG$179,p_a)</f>
        <v>0.1640655</v>
      </c>
      <c r="W1225" s="16" t="n">
        <f aca="false">T1225*L1225</f>
        <v>0.00028178793131606</v>
      </c>
      <c r="X1225" s="16" t="n">
        <f aca="false">U1225*L1225</f>
        <v>0</v>
      </c>
      <c r="Y1225" s="16" t="n">
        <f aca="false">V1225*L1225</f>
        <v>0.000718213976271292</v>
      </c>
      <c r="Z1225" s="16" t="n">
        <f aca="false">Q1225*L1225</f>
        <v>0.000658290014787276</v>
      </c>
      <c r="AA1225" s="16" t="n">
        <f aca="false">R1225*L1225</f>
        <v>0.000807583994017904</v>
      </c>
      <c r="AB1225" s="16" t="n">
        <f aca="false">S1225*L1225</f>
        <v>0.000522147737027676</v>
      </c>
      <c r="AC1225" s="16" t="n">
        <f aca="false">Z1225-W1225</f>
        <v>0.000376502083471216</v>
      </c>
      <c r="AD1225" s="16" t="n">
        <f aca="false">AA1225-W1225</f>
        <v>0.000525796062701844</v>
      </c>
      <c r="AE1225" s="16" t="n">
        <f aca="false">AB1225-W1225</f>
        <v>0.000240359805711616</v>
      </c>
      <c r="AF1225" s="16" t="n">
        <f aca="false">AE1225-X1225</f>
        <v>0.000240359805711616</v>
      </c>
      <c r="AG1225" s="16" t="n">
        <f aca="false">AF1225-p_spc_lo*Y1225/1000</f>
        <v>0.000204449106898051</v>
      </c>
      <c r="AH1225" s="16" t="n">
        <f aca="false">AF1225-p_spc_hi*Y1225/1000</f>
        <v>0.000168538408084487</v>
      </c>
      <c r="AI1225" s="16" t="n">
        <f aca="false">Q1225*J1225</f>
        <v>0.00274287506161365</v>
      </c>
      <c r="AJ1225" s="16" t="n">
        <f aca="false">S1225*J1225</f>
        <v>0.00217561557094865</v>
      </c>
      <c r="AK1225" s="16" t="n">
        <f aca="false">T1225*J1225</f>
        <v>0.00117411638048358</v>
      </c>
      <c r="AL1225" s="16" t="n">
        <f aca="false">U1225*J1225</f>
        <v>0</v>
      </c>
      <c r="AM1225" s="16" t="n">
        <f aca="false">AI1225-AJ1225</f>
        <v>0.000567259490665</v>
      </c>
      <c r="AN1225" s="16" t="n">
        <f aca="false">J1225*Country_Data!$EB$179</f>
        <v>0.0231040271333952</v>
      </c>
      <c r="AO1225" s="16" t="n">
        <f aca="false">L1225*Country_Data!$EB$179</f>
        <v>0.00554496651201484</v>
      </c>
    </row>
    <row r="1226" customFormat="false" ht="15" hidden="false" customHeight="false" outlineLevel="0" collapsed="false">
      <c r="A1226" s="14" t="str">
        <f aca="false">Country_Data!$A$179</f>
        <v>SYC</v>
      </c>
      <c r="B1226" s="14" t="str">
        <f aca="false">Country_Data!$E$179</f>
        <v>EMDC</v>
      </c>
      <c r="C1226" s="35" t="s">
        <v>477</v>
      </c>
      <c r="D1226" s="37" t="n">
        <f aca="false">IF(Country_Data!$CB$179="","",Country_Data!$CB$179)</f>
        <v>0.00102457257080419</v>
      </c>
      <c r="E1226" s="40" t="n">
        <f aca="false">Country_Data!$BW$179</f>
        <v>4.046</v>
      </c>
      <c r="F1226" s="41" t="n">
        <f aca="false">Country_Data!$BX$179</f>
        <v>0.550914483440435</v>
      </c>
      <c r="G1226" s="42" t="n">
        <f aca="false">IF(D1226="","",D1226/SUMIFS($D$5:$D$1369,$B$5:$B$1369,B1226,$C$5:$C$1369,C1226))</f>
        <v>3.23078929812586E-005</v>
      </c>
      <c r="H1226" s="42" t="n">
        <f aca="false">E1226/SUMIFS($E$5:$E$1369,$B$5:$B$1369,B1226,$C$5:$C$1369,C1226)</f>
        <v>5.0116502908578E-005</v>
      </c>
      <c r="I1226" s="43" t="n">
        <f aca="false">IF(G1226="",H1226,p_beta_alloc*G1226+(1-p_beta_alloc)*H1226)*F1226^p_phi</f>
        <v>3.05891826102362E-005</v>
      </c>
      <c r="J1226" s="16" t="n">
        <f aca="false">INDEX(Sector_Params!$C$19:$E$19,MATCH(B1226,Sector_Params!$C$15:$E$15,0))*I1226/SUMIFS($I$5:$I$1369,$B$5:$B$1369,B1226,$C$5:$C$1369,C1226)</f>
        <v>0.00984551374052284</v>
      </c>
      <c r="K1226" s="28" t="n">
        <f aca="false">INDEX(Sector_Params!$F$8:$H$8,MATCH(B1226,Sector_Params!$C$15:$E$15,0))</f>
        <v>0.24</v>
      </c>
      <c r="L1226" s="16" t="n">
        <f aca="false">J1226*K1226</f>
        <v>0.00236292329772548</v>
      </c>
      <c r="M1226" s="44" t="n">
        <f aca="false">Country_Data!$DW$179+Sector_Params!$E$8</f>
        <v>0.105</v>
      </c>
      <c r="N1226" s="44" t="n">
        <f aca="false">Country_Data!$DX$179+Sector_Params!$E$8</f>
        <v>0.15</v>
      </c>
      <c r="O1226" s="11" t="n">
        <f aca="false">IF(p_use_ibrd=1,p_r_ibrd,p_r_wb)</f>
        <v>0.06</v>
      </c>
      <c r="P1226" s="45" t="n">
        <f aca="false">Sector_Params!$D$8</f>
        <v>25</v>
      </c>
      <c r="Q1226" s="46" t="n">
        <f aca="false">M1226/(1-(1+M1226)^-P1226)</f>
        <v>0.114429319813103</v>
      </c>
      <c r="R1226" s="46" t="n">
        <f aca="false">N1226/(1-(1+N1226)^-P1226)</f>
        <v>0.154699402320206</v>
      </c>
      <c r="S1226" s="46" t="n">
        <f aca="false">O1226/(1-(1+O1226)^-P1226)</f>
        <v>0.078226718212274</v>
      </c>
      <c r="T1226" s="37" t="n">
        <f aca="false">Country_Data!$CM$179*Sector_Params!$I$8</f>
        <v>0.114419667215478</v>
      </c>
      <c r="U1226" s="37" t="n">
        <f aca="false">Country_Data!$CN$179*Sector_Params!$J$8</f>
        <v>0.03225</v>
      </c>
      <c r="V1226" s="37" t="n">
        <f aca="false">p_a</f>
        <v>0.35</v>
      </c>
      <c r="W1226" s="16" t="n">
        <f aca="false">T1226*L1226</f>
        <v>0.000270364897381449</v>
      </c>
      <c r="X1226" s="16" t="n">
        <f aca="false">U1226*L1226</f>
        <v>7.62042763516468E-005</v>
      </c>
      <c r="Y1226" s="16" t="n">
        <f aca="false">V1226*L1226</f>
        <v>0.000827023154203919</v>
      </c>
      <c r="Z1226" s="16" t="n">
        <f aca="false">Q1226*L1226</f>
        <v>0.000270387705729262</v>
      </c>
      <c r="AA1226" s="16" t="n">
        <f aca="false">R1226*L1226</f>
        <v>0.000365542821886623</v>
      </c>
      <c r="AB1226" s="16" t="n">
        <f aca="false">S1226*L1226</f>
        <v>0.000184843734968388</v>
      </c>
      <c r="AC1226" s="16" t="n">
        <f aca="false">Z1226-W1226</f>
        <v>2.28083478127526E-008</v>
      </c>
      <c r="AD1226" s="16" t="n">
        <f aca="false">AA1226-W1226</f>
        <v>9.51779245051741E-005</v>
      </c>
      <c r="AE1226" s="16" t="n">
        <f aca="false">AB1226-W1226</f>
        <v>-8.55211624130608E-005</v>
      </c>
      <c r="AF1226" s="16" t="n">
        <f aca="false">AE1226-X1226</f>
        <v>-0.000161725438764708</v>
      </c>
      <c r="AG1226" s="16" t="n">
        <f aca="false">AF1226-p_spc_lo*Y1226/1000</f>
        <v>-0.000203076596474904</v>
      </c>
      <c r="AH1226" s="16" t="n">
        <f aca="false">AF1226-p_spc_hi*Y1226/1000</f>
        <v>-0.0002444277541851</v>
      </c>
      <c r="AI1226" s="16" t="n">
        <f aca="false">Q1226*J1226</f>
        <v>0.00112661544053859</v>
      </c>
      <c r="AJ1226" s="16" t="n">
        <f aca="false">S1226*J1226</f>
        <v>0.000770182229034952</v>
      </c>
      <c r="AK1226" s="16" t="n">
        <f aca="false">T1226*J1226</f>
        <v>0.00112652040575604</v>
      </c>
      <c r="AL1226" s="16" t="n">
        <f aca="false">U1226*J1226</f>
        <v>0.000317517818131862</v>
      </c>
      <c r="AM1226" s="16" t="n">
        <f aca="false">AI1226-AJ1226</f>
        <v>0.00035643321150364</v>
      </c>
      <c r="AN1226" s="16" t="n">
        <f aca="false">J1226*Country_Data!$EB$179</f>
        <v>0.0124709840713289</v>
      </c>
      <c r="AO1226" s="16" t="n">
        <f aca="false">L1226*Country_Data!$EB$179</f>
        <v>0.00299303617711894</v>
      </c>
    </row>
    <row r="1227" customFormat="false" ht="15" hidden="false" customHeight="false" outlineLevel="0" collapsed="false">
      <c r="A1227" s="14" t="str">
        <f aca="false">Country_Data!$A$179</f>
        <v>SYC</v>
      </c>
      <c r="B1227" s="14" t="str">
        <f aca="false">Country_Data!$E$179</f>
        <v>EMDC</v>
      </c>
      <c r="C1227" s="35" t="s">
        <v>481</v>
      </c>
      <c r="D1227" s="37" t="n">
        <f aca="false">IF(Country_Data!$CC$179="","",Country_Data!$CC$179)</f>
        <v>0.00608675719797865</v>
      </c>
      <c r="E1227" s="40" t="n">
        <f aca="false">Country_Data!$BW$179</f>
        <v>4.046</v>
      </c>
      <c r="F1227" s="41" t="n">
        <f aca="false">Country_Data!$BX$179</f>
        <v>0.550914483440435</v>
      </c>
      <c r="G1227" s="42" t="n">
        <f aca="false">IF(D1227="","",D1227/SUMIFS($D$5:$D$1369,$B$5:$B$1369,B1227,$C$5:$C$1369,C1227))</f>
        <v>8.69446599254849E-005</v>
      </c>
      <c r="H1227" s="42" t="n">
        <f aca="false">E1227/SUMIFS($E$5:$E$1369,$B$5:$B$1369,B1227,$C$5:$C$1369,C1227)</f>
        <v>5.0116502908578E-005</v>
      </c>
      <c r="I1227" s="43" t="n">
        <f aca="false">IF(G1227="",H1227,p_beta_alloc*G1227+(1-p_beta_alloc)*H1227)*F1227^p_phi</f>
        <v>5.08658740345033E-005</v>
      </c>
      <c r="J1227" s="16" t="n">
        <f aca="false">INDEX(Sector_Params!$C$20:$E$20,MATCH(B1227,Sector_Params!$C$15:$E$15,0))*I1227/SUMIFS($I$5:$I$1369,$B$5:$B$1369,B1227,$C$5:$C$1369,C1227)</f>
        <v>0.00928404633234714</v>
      </c>
      <c r="K1227" s="28" t="n">
        <f aca="false">INDEX(Sector_Params!$F$9:$H$9,MATCH(B1227,Sector_Params!$C$15:$E$15,0))</f>
        <v>0.24</v>
      </c>
      <c r="L1227" s="16" t="n">
        <f aca="false">J1227*K1227</f>
        <v>0.00222817111976331</v>
      </c>
      <c r="M1227" s="44" t="n">
        <f aca="false">Country_Data!$DW$179+Sector_Params!$E$9</f>
        <v>0.105</v>
      </c>
      <c r="N1227" s="44" t="n">
        <f aca="false">Country_Data!$DX$179+Sector_Params!$E$9</f>
        <v>0.15</v>
      </c>
      <c r="O1227" s="11" t="n">
        <f aca="false">IF(p_use_ibrd=1,p_r_ibrd,p_r_wb)</f>
        <v>0.06</v>
      </c>
      <c r="P1227" s="45" t="n">
        <f aca="false">Sector_Params!$D$9</f>
        <v>25</v>
      </c>
      <c r="Q1227" s="46" t="n">
        <f aca="false">M1227/(1-(1+M1227)^-P1227)</f>
        <v>0.114429319813103</v>
      </c>
      <c r="R1227" s="46" t="n">
        <f aca="false">N1227/(1-(1+N1227)^-P1227)</f>
        <v>0.154699402320206</v>
      </c>
      <c r="S1227" s="46" t="n">
        <f aca="false">O1227/(1-(1+O1227)^-P1227)</f>
        <v>0.078226718212274</v>
      </c>
      <c r="T1227" s="37" t="n">
        <f aca="false">Country_Data!$CM$179*Sector_Params!$I$9</f>
        <v>0.114419667215478</v>
      </c>
      <c r="U1227" s="37" t="n">
        <f aca="false">Country_Data!$CN$179*Sector_Params!$J$9</f>
        <v>0.03225</v>
      </c>
      <c r="V1227" s="37" t="n">
        <f aca="false">p_a</f>
        <v>0.35</v>
      </c>
      <c r="W1227" s="16" t="n">
        <f aca="false">T1227*L1227</f>
        <v>0.000254946598022457</v>
      </c>
      <c r="X1227" s="16" t="n">
        <f aca="false">U1227*L1227</f>
        <v>7.18585186123669E-005</v>
      </c>
      <c r="Y1227" s="16" t="n">
        <f aca="false">V1227*L1227</f>
        <v>0.00077985989191716</v>
      </c>
      <c r="Z1227" s="16" t="n">
        <f aca="false">Q1227*L1227</f>
        <v>0.000254968105661717</v>
      </c>
      <c r="AA1227" s="16" t="n">
        <f aca="false">R1227*L1227</f>
        <v>0.00034469674049453</v>
      </c>
      <c r="AB1227" s="16" t="n">
        <f aca="false">S1227*L1227</f>
        <v>0.000174302514314452</v>
      </c>
      <c r="AC1227" s="16" t="n">
        <f aca="false">Z1227-W1227</f>
        <v>2.1507639259735E-008</v>
      </c>
      <c r="AD1227" s="16" t="n">
        <f aca="false">AA1227-W1227</f>
        <v>8.97501424720728E-005</v>
      </c>
      <c r="AE1227" s="16" t="n">
        <f aca="false">AB1227-W1227</f>
        <v>-8.06440837080054E-005</v>
      </c>
      <c r="AF1227" s="16" t="n">
        <f aca="false">AE1227-X1227</f>
        <v>-0.000152502602320372</v>
      </c>
      <c r="AG1227" s="16" t="n">
        <f aca="false">AF1227-p_spc_lo*Y1227/1000</f>
        <v>-0.00019149559691623</v>
      </c>
      <c r="AH1227" s="16" t="n">
        <f aca="false">AF1227-p_spc_hi*Y1227/1000</f>
        <v>-0.000230488591512088</v>
      </c>
      <c r="AI1227" s="16" t="n">
        <f aca="false">Q1227*J1227</f>
        <v>0.00106236710692382</v>
      </c>
      <c r="AJ1227" s="16" t="n">
        <f aca="false">S1227*J1227</f>
        <v>0.000726260476310216</v>
      </c>
      <c r="AK1227" s="16" t="n">
        <f aca="false">T1227*J1227</f>
        <v>0.00106227749176024</v>
      </c>
      <c r="AL1227" s="16" t="n">
        <f aca="false">U1227*J1227</f>
        <v>0.000299410494218195</v>
      </c>
      <c r="AM1227" s="16" t="n">
        <f aca="false">AI1227-AJ1227</f>
        <v>0.000336106630613605</v>
      </c>
      <c r="AN1227" s="16" t="n">
        <f aca="false">J1227*Country_Data!$EB$179</f>
        <v>0.011759792020973</v>
      </c>
      <c r="AO1227" s="16" t="n">
        <f aca="false">L1227*Country_Data!$EB$179</f>
        <v>0.00282235008503353</v>
      </c>
    </row>
    <row r="1228" customFormat="false" ht="15" hidden="false" customHeight="false" outlineLevel="0" collapsed="false">
      <c r="A1228" s="14" t="str">
        <f aca="false">Country_Data!$A$179</f>
        <v>SYC</v>
      </c>
      <c r="B1228" s="14" t="str">
        <f aca="false">Country_Data!$E$179</f>
        <v>EMDC</v>
      </c>
      <c r="C1228" s="35" t="s">
        <v>484</v>
      </c>
      <c r="D1228" s="37" t="n">
        <f aca="false">IF(Country_Data!$CD$179="","",Country_Data!$CD$179)</f>
        <v>0.00829525869439322</v>
      </c>
      <c r="E1228" s="40" t="n">
        <f aca="false">Country_Data!$BW$179</f>
        <v>4.046</v>
      </c>
      <c r="F1228" s="41" t="n">
        <f aca="false">Country_Data!$BX$179</f>
        <v>0.550914483440435</v>
      </c>
      <c r="G1228" s="42" t="n">
        <f aca="false">IF(D1228="","",D1228/SUMIFS($D$5:$D$1369,$B$5:$B$1369,B1228,$C$5:$C$1369,C1228))</f>
        <v>4.6323754967831E-005</v>
      </c>
      <c r="H1228" s="42" t="n">
        <f aca="false">E1228/SUMIFS($E$5:$E$1369,$B$5:$B$1369,B1228,$C$5:$C$1369,C1228)</f>
        <v>5.0116502908578E-005</v>
      </c>
      <c r="I1228" s="43" t="n">
        <f aca="false">IF(G1228="",H1228,p_beta_alloc*G1228+(1-p_beta_alloc)*H1228)*F1228^p_phi</f>
        <v>3.57907222408105E-005</v>
      </c>
      <c r="J1228" s="16" t="n">
        <f aca="false">INDEX(Sector_Params!$C$21:$E$21,MATCH(B1228,Sector_Params!$C$15:$E$15,0))*I1228/SUMIFS($I$5:$I$1369,$B$5:$B$1369,B1228,$C$5:$C$1369,C1228)</f>
        <v>0.0079380180674178</v>
      </c>
      <c r="K1228" s="28" t="n">
        <f aca="false">INDEX(Sector_Params!$F$10:$H$10,MATCH(B1228,Sector_Params!$C$15:$E$15,0))</f>
        <v>0.24</v>
      </c>
      <c r="L1228" s="16" t="n">
        <f aca="false">J1228*K1228</f>
        <v>0.00190512433618027</v>
      </c>
      <c r="M1228" s="44" t="n">
        <f aca="false">Country_Data!$DW$179+Sector_Params!$E$10</f>
        <v>0.105</v>
      </c>
      <c r="N1228" s="44" t="n">
        <f aca="false">Country_Data!$DX$179+Sector_Params!$E$10</f>
        <v>0.15</v>
      </c>
      <c r="O1228" s="11" t="n">
        <f aca="false">IF(p_use_ibrd=1,p_r_ibrd,p_r_wb)</f>
        <v>0.06</v>
      </c>
      <c r="P1228" s="45" t="n">
        <f aca="false">Sector_Params!$D$10</f>
        <v>20</v>
      </c>
      <c r="Q1228" s="46" t="n">
        <f aca="false">M1228/(1-(1+M1228)^-P1228)</f>
        <v>0.121493265267016</v>
      </c>
      <c r="R1228" s="46" t="n">
        <f aca="false">N1228/(1-(1+N1228)^-P1228)</f>
        <v>0.159761470405744</v>
      </c>
      <c r="S1228" s="46" t="n">
        <f aca="false">O1228/(1-(1+O1228)^-P1228)</f>
        <v>0.0871845569768514</v>
      </c>
      <c r="T1228" s="37" t="n">
        <f aca="false">0*Sector_Params!$I$10</f>
        <v>0</v>
      </c>
      <c r="U1228" s="37" t="n">
        <f aca="false">0*Sector_Params!$J$10</f>
        <v>0</v>
      </c>
      <c r="V1228" s="37" t="n">
        <f aca="false">1000*p_r_wb/(1-(1+p_r_wb)^-Sector_Params!$D$10)/p_cpt_fuel</f>
        <v>0.871845569768514</v>
      </c>
      <c r="W1228" s="16" t="n">
        <f aca="false">T1228*L1228</f>
        <v>0</v>
      </c>
      <c r="X1228" s="16" t="n">
        <f aca="false">U1228*L1228</f>
        <v>0</v>
      </c>
      <c r="Y1228" s="16" t="n">
        <f aca="false">V1228*L1228</f>
        <v>0.00166097421235695</v>
      </c>
      <c r="Z1228" s="16" t="n">
        <f aca="false">Q1228*L1228</f>
        <v>0.000231459776342198</v>
      </c>
      <c r="AA1228" s="16" t="n">
        <f aca="false">R1228*L1228</f>
        <v>0.000304365465253927</v>
      </c>
      <c r="AB1228" s="16" t="n">
        <f aca="false">S1228*L1228</f>
        <v>0.000166097421235695</v>
      </c>
      <c r="AC1228" s="16" t="n">
        <f aca="false">Z1228-W1228</f>
        <v>0.000231459776342198</v>
      </c>
      <c r="AD1228" s="16" t="n">
        <f aca="false">AA1228-W1228</f>
        <v>0.000304365465253927</v>
      </c>
      <c r="AE1228" s="16" t="n">
        <f aca="false">AB1228-W1228</f>
        <v>0.000166097421235695</v>
      </c>
      <c r="AF1228" s="16" t="n">
        <f aca="false">AE1228-X1228</f>
        <v>0.000166097421235695</v>
      </c>
      <c r="AG1228" s="16" t="n">
        <f aca="false">AF1228-p_spc_lo*Y1228/1000</f>
        <v>8.30487106178476E-005</v>
      </c>
      <c r="AH1228" s="16" t="n">
        <f aca="false">AF1228-p_spc_hi*Y1228/1000</f>
        <v>0</v>
      </c>
      <c r="AI1228" s="16" t="n">
        <f aca="false">Q1228*J1228</f>
        <v>0.000964415734759158</v>
      </c>
      <c r="AJ1228" s="16" t="n">
        <f aca="false">S1228*J1228</f>
        <v>0.000692072588482063</v>
      </c>
      <c r="AK1228" s="16" t="n">
        <f aca="false">T1228*J1228</f>
        <v>0</v>
      </c>
      <c r="AL1228" s="16" t="n">
        <f aca="false">U1228*J1228</f>
        <v>0</v>
      </c>
      <c r="AM1228" s="16" t="n">
        <f aca="false">AI1228-AJ1228</f>
        <v>0.000272343146277095</v>
      </c>
      <c r="AN1228" s="16" t="n">
        <f aca="false">J1228*Country_Data!$EB$179</f>
        <v>0.0100548228853959</v>
      </c>
      <c r="AO1228" s="16" t="n">
        <f aca="false">L1228*Country_Data!$EB$179</f>
        <v>0.00241315749249501</v>
      </c>
    </row>
    <row r="1229" customFormat="false" ht="15" hidden="false" customHeight="false" outlineLevel="0" collapsed="false">
      <c r="A1229" s="14" t="str">
        <f aca="false">Country_Data!$A$179</f>
        <v>SYC</v>
      </c>
      <c r="B1229" s="14" t="str">
        <f aca="false">Country_Data!$E$179</f>
        <v>EMDC</v>
      </c>
      <c r="C1229" s="35" t="s">
        <v>488</v>
      </c>
      <c r="D1229" s="37" t="n">
        <f aca="false">IF(Country_Data!$CE$179="","",Country_Data!$CE$179)</f>
        <v>0.107</v>
      </c>
      <c r="E1229" s="40" t="n">
        <f aca="false">Country_Data!$BW$179</f>
        <v>4.046</v>
      </c>
      <c r="F1229" s="41" t="n">
        <f aca="false">Country_Data!$BX$179</f>
        <v>0.550914483440435</v>
      </c>
      <c r="G1229" s="42" t="n">
        <f aca="false">IF(D1229="","",D1229/SUMIFS($D$5:$D$1369,$B$5:$B$1369,B1229,$C$5:$C$1369,C1229))</f>
        <v>8.7675381490334E-006</v>
      </c>
      <c r="H1229" s="42" t="n">
        <f aca="false">E1229/SUMIFS($E$5:$E$1369,$B$5:$B$1369,B1229,$C$5:$C$1369,C1229)</f>
        <v>5.0116502908578E-005</v>
      </c>
      <c r="I1229" s="43" t="n">
        <f aca="false">IF(G1229="",H1229,p_beta_alloc*G1229+(1-p_beta_alloc)*H1229)*F1229^p_phi</f>
        <v>2.18529315901485E-005</v>
      </c>
      <c r="J1229" s="16" t="n">
        <f aca="false">INDEX(Sector_Params!$C$22:$E$22,MATCH(B1229,Sector_Params!$C$15:$E$15,0))*I1229/SUMIFS($I$5:$I$1369,$B$5:$B$1369,B1229,$C$5:$C$1369,C1229)</f>
        <v>0.0131731304697153</v>
      </c>
      <c r="K1229" s="28" t="n">
        <f aca="false">INDEX(Sector_Params!$F$11:$H$11,MATCH(B1229,Sector_Params!$C$15:$E$15,0))</f>
        <v>0.24</v>
      </c>
      <c r="L1229" s="16" t="n">
        <f aca="false">J1229*K1229</f>
        <v>0.00316155131273166</v>
      </c>
      <c r="M1229" s="44" t="n">
        <f aca="false">Country_Data!$DW$179+Sector_Params!$E$11</f>
        <v>0.105</v>
      </c>
      <c r="N1229" s="44" t="n">
        <f aca="false">Country_Data!$DX$179+Sector_Params!$E$11</f>
        <v>0.15</v>
      </c>
      <c r="O1229" s="11" t="n">
        <f aca="false">IF(p_use_ibrd=1,p_r_ibrd,p_r_wb)</f>
        <v>0.06</v>
      </c>
      <c r="P1229" s="45" t="n">
        <f aca="false">Sector_Params!$D$11</f>
        <v>30</v>
      </c>
      <c r="Q1229" s="46" t="n">
        <f aca="false">M1229/(1-(1+M1229)^-P1229)</f>
        <v>0.110528481529605</v>
      </c>
      <c r="R1229" s="46" t="n">
        <f aca="false">N1229/(1-(1+N1229)^-P1229)</f>
        <v>0.152300198192734</v>
      </c>
      <c r="S1229" s="46" t="n">
        <f aca="false">O1229/(1-(1+O1229)^-P1229)</f>
        <v>0.0726489114900472</v>
      </c>
      <c r="T1229" s="37" t="n">
        <f aca="false">0*Sector_Params!$I$11</f>
        <v>0</v>
      </c>
      <c r="U1229" s="37" t="n">
        <f aca="false">p_c*Sector_Params!$J$11</f>
        <v>0.129</v>
      </c>
      <c r="V1229" s="37" t="n">
        <f aca="false">1000*p_r_wb/(1-(1+p_r_wb)^-Sector_Params!$D$11)/p_cpt_afolu</f>
        <v>1.45297822980094</v>
      </c>
      <c r="W1229" s="16" t="n">
        <f aca="false">T1229*L1229</f>
        <v>0</v>
      </c>
      <c r="X1229" s="16" t="n">
        <f aca="false">U1229*L1229</f>
        <v>0.000407840119342385</v>
      </c>
      <c r="Y1229" s="16" t="n">
        <f aca="false">V1229*L1229</f>
        <v>0.0045936652297977</v>
      </c>
      <c r="Z1229" s="16" t="n">
        <f aca="false">Q1229*L1229</f>
        <v>0.000349441465874161</v>
      </c>
      <c r="AA1229" s="16" t="n">
        <f aca="false">R1229*L1229</f>
        <v>0.000481504891525532</v>
      </c>
      <c r="AB1229" s="16" t="n">
        <f aca="false">S1229*L1229</f>
        <v>0.000229683261489885</v>
      </c>
      <c r="AC1229" s="16" t="n">
        <f aca="false">Z1229-W1229</f>
        <v>0.000349441465874161</v>
      </c>
      <c r="AD1229" s="16" t="n">
        <f aca="false">AA1229-W1229</f>
        <v>0.000481504891525532</v>
      </c>
      <c r="AE1229" s="16" t="n">
        <f aca="false">AB1229-W1229</f>
        <v>0.000229683261489885</v>
      </c>
      <c r="AF1229" s="16" t="n">
        <f aca="false">AE1229-X1229</f>
        <v>-0.000178156857852499</v>
      </c>
      <c r="AG1229" s="16" t="n">
        <f aca="false">AF1229-p_spc_lo*Y1229/1000</f>
        <v>-0.000407840119342385</v>
      </c>
      <c r="AH1229" s="16" t="n">
        <f aca="false">AF1229-p_spc_hi*Y1229/1000</f>
        <v>-0.00063752338083227</v>
      </c>
      <c r="AI1229" s="16" t="n">
        <f aca="false">Q1229*J1229</f>
        <v>0.001456006107809</v>
      </c>
      <c r="AJ1229" s="16" t="n">
        <f aca="false">S1229*J1229</f>
        <v>0.000957013589541189</v>
      </c>
      <c r="AK1229" s="16" t="n">
        <f aca="false">T1229*J1229</f>
        <v>0</v>
      </c>
      <c r="AL1229" s="16" t="n">
        <f aca="false">U1229*J1229</f>
        <v>0.00169933383059327</v>
      </c>
      <c r="AM1229" s="16" t="n">
        <f aca="false">AI1229-AJ1229</f>
        <v>0.000498992518267814</v>
      </c>
      <c r="AN1229" s="16" t="n">
        <f aca="false">J1229*Country_Data!$EB$179</f>
        <v>0.0166859652616393</v>
      </c>
      <c r="AO1229" s="16" t="n">
        <f aca="false">L1229*Country_Data!$EB$179</f>
        <v>0.00400463166279344</v>
      </c>
    </row>
    <row r="1230" customFormat="false" ht="15" hidden="false" customHeight="false" outlineLevel="0" collapsed="false">
      <c r="A1230" s="14" t="str">
        <f aca="false">Country_Data!$A$180</f>
        <v>GNB</v>
      </c>
      <c r="B1230" s="14" t="str">
        <f aca="false">Country_Data!$E$180</f>
        <v>EMDC</v>
      </c>
      <c r="C1230" s="35" t="s">
        <v>466</v>
      </c>
      <c r="D1230" s="37" t="n">
        <f aca="false">IF(Country_Data!$BZ$180="","",Country_Data!$BZ$180)</f>
        <v>0.203727824988999</v>
      </c>
      <c r="E1230" s="40" t="n">
        <f aca="false">Country_Data!$BW$180</f>
        <v>6.151</v>
      </c>
      <c r="F1230" s="41" t="n">
        <f aca="false">Country_Data!$BX$180</f>
        <v>0.355389367582507</v>
      </c>
      <c r="G1230" s="42" t="n">
        <f aca="false">IF(D1230="","",D1230/SUMIFS($D$5:$D$1369,$B$5:$B$1369,B1230,$C$5:$C$1369,C1230))</f>
        <v>2.32580035470784E-005</v>
      </c>
      <c r="H1230" s="42" t="n">
        <f aca="false">E1230/SUMIFS($E$5:$E$1369,$B$5:$B$1369,B1230,$C$5:$C$1369,C1230)</f>
        <v>7.61904620342717E-005</v>
      </c>
      <c r="I1230" s="43" t="n">
        <f aca="false">IF(G1230="",H1230,p_beta_alloc*G1230+(1-p_beta_alloc)*H1230)*F1230^p_phi</f>
        <v>2.96428738828761E-005</v>
      </c>
      <c r="J1230" s="16" t="n">
        <f aca="false">INDEX(Sector_Params!$C$16:$E$16,MATCH(B1230,Sector_Params!$C$15:$E$15,0))*I1230/SUMIFS($I$5:$I$1369,$B$5:$B$1369,B1230,$C$5:$C$1369,C1230)</f>
        <v>0.0286713391311637</v>
      </c>
      <c r="K1230" s="28" t="n">
        <f aca="false">INDEX(Sector_Params!$F$5:$H$5,MATCH(B1230,Sector_Params!$C$15:$E$15,0))</f>
        <v>0.24</v>
      </c>
      <c r="L1230" s="16" t="n">
        <f aca="false">J1230*K1230</f>
        <v>0.00688112139147929</v>
      </c>
      <c r="M1230" s="44" t="n">
        <f aca="false">Country_Data!$DW$180+Sector_Params!$E$5</f>
        <v>0.105</v>
      </c>
      <c r="N1230" s="44" t="n">
        <f aca="false">Country_Data!$DX$180+Sector_Params!$E$5</f>
        <v>0.15</v>
      </c>
      <c r="O1230" s="11" t="n">
        <f aca="false">IF(p_use_ibrd=1,p_r_ibrd,p_r_wb)</f>
        <v>0.06</v>
      </c>
      <c r="P1230" s="45" t="n">
        <f aca="false">Sector_Params!$D$5</f>
        <v>25</v>
      </c>
      <c r="Q1230" s="46" t="n">
        <f aca="false">M1230/(1-(1+M1230)^-P1230)</f>
        <v>0.114429319813103</v>
      </c>
      <c r="R1230" s="46" t="n">
        <f aca="false">N1230/(1-(1+N1230)^-P1230)</f>
        <v>0.154699402320206</v>
      </c>
      <c r="S1230" s="46" t="n">
        <f aca="false">O1230/(1-(1+O1230)^-P1230)</f>
        <v>0.078226718212274</v>
      </c>
      <c r="T1230" s="37" t="n">
        <f aca="false">IF(AND(p_eng=1,ISNUMBER(Country_Data!$CZ$180)),Country_Data!$CZ$180,Country_Data!$CM$180)*Sector_Params!$I$5</f>
        <v>0.365463907075384</v>
      </c>
      <c r="U1230" s="37" t="n">
        <f aca="false">IF(AND(p_eng=1,ISNUMBER(Country_Data!$DA$180)),Country_Data!$DA$180,Country_Data!$CN$180)*Sector_Params!$J$5</f>
        <v>0.000136364686759796</v>
      </c>
      <c r="V1230" s="37" t="n">
        <f aca="false">IF(AND(p_eng=1,ISNUMBER(Country_Data!$DB$180)),Country_Data!$DB$180,p_a)</f>
        <v>1.87025721778584</v>
      </c>
      <c r="W1230" s="16" t="n">
        <f aca="false">T1230*L1230</f>
        <v>0.00251480150879002</v>
      </c>
      <c r="X1230" s="16" t="n">
        <f aca="false">U1230*L1230</f>
        <v>9.38341963105202E-007</v>
      </c>
      <c r="Y1230" s="16" t="n">
        <f aca="false">V1230*L1230</f>
        <v>0.0128694669488747</v>
      </c>
      <c r="Z1230" s="16" t="n">
        <f aca="false">Q1230*L1230</f>
        <v>0.00078740204037837</v>
      </c>
      <c r="AA1230" s="16" t="n">
        <f aca="false">R1230*L1230</f>
        <v>0.00106450536655463</v>
      </c>
      <c r="AB1230" s="16" t="n">
        <f aca="false">S1230*L1230</f>
        <v>0.000538287544075701</v>
      </c>
      <c r="AC1230" s="16" t="n">
        <f aca="false">Z1230-W1230</f>
        <v>-0.00172739946841165</v>
      </c>
      <c r="AD1230" s="16" t="n">
        <f aca="false">AA1230-W1230</f>
        <v>-0.00145029614223539</v>
      </c>
      <c r="AE1230" s="16" t="n">
        <f aca="false">AB1230-W1230</f>
        <v>-0.00197651396471432</v>
      </c>
      <c r="AF1230" s="16" t="n">
        <f aca="false">AE1230-X1230</f>
        <v>-0.00197745230667743</v>
      </c>
      <c r="AG1230" s="16" t="n">
        <f aca="false">AF1230-p_spc_lo*Y1230/1000</f>
        <v>-0.00262092565412116</v>
      </c>
      <c r="AH1230" s="16" t="n">
        <f aca="false">AF1230-p_spc_hi*Y1230/1000</f>
        <v>-0.0032643990015649</v>
      </c>
      <c r="AI1230" s="16" t="n">
        <f aca="false">Q1230*J1230</f>
        <v>0.00328084183490988</v>
      </c>
      <c r="AJ1230" s="16" t="n">
        <f aca="false">S1230*J1230</f>
        <v>0.00224286476698209</v>
      </c>
      <c r="AK1230" s="16" t="n">
        <f aca="false">T1230*J1230</f>
        <v>0.0104783396199584</v>
      </c>
      <c r="AL1230" s="16" t="n">
        <f aca="false">U1230*J1230</f>
        <v>3.90975817960501E-006</v>
      </c>
      <c r="AM1230" s="16" t="n">
        <f aca="false">AI1230-AJ1230</f>
        <v>0.00103797706792779</v>
      </c>
      <c r="AN1230" s="16" t="n">
        <f aca="false">J1230*Country_Data!$EB$180</f>
        <v>0.0363170295661407</v>
      </c>
      <c r="AO1230" s="16" t="n">
        <f aca="false">L1230*Country_Data!$EB$180</f>
        <v>0.00871608709587377</v>
      </c>
    </row>
    <row r="1231" customFormat="false" ht="15" hidden="false" customHeight="false" outlineLevel="0" collapsed="false">
      <c r="A1231" s="14" t="str">
        <f aca="false">Country_Data!$A$180</f>
        <v>GNB</v>
      </c>
      <c r="B1231" s="14" t="str">
        <f aca="false">Country_Data!$E$180</f>
        <v>EMDC</v>
      </c>
      <c r="C1231" s="35" t="s">
        <v>470</v>
      </c>
      <c r="D1231" s="37" t="n">
        <f aca="false">IF(Country_Data!$BZ$180="","",Country_Data!$BZ$180)</f>
        <v>0.203727824988999</v>
      </c>
      <c r="E1231" s="40" t="n">
        <f aca="false">Country_Data!$BW$180</f>
        <v>6.151</v>
      </c>
      <c r="F1231" s="41" t="n">
        <f aca="false">Country_Data!$BX$180</f>
        <v>0.355389367582507</v>
      </c>
      <c r="G1231" s="42" t="n">
        <f aca="false">IF(D1231="","",D1231/SUMIFS($D$5:$D$1369,$B$5:$B$1369,B1231,$C$5:$C$1369,C1231))</f>
        <v>2.32580035470784E-005</v>
      </c>
      <c r="H1231" s="42" t="n">
        <f aca="false">E1231/SUMIFS($E$5:$E$1369,$B$5:$B$1369,B1231,$C$5:$C$1369,C1231)</f>
        <v>7.61904620342717E-005</v>
      </c>
      <c r="I1231" s="43" t="n">
        <f aca="false">IF(G1231="",H1231,p_beta_alloc*G1231+(1-p_beta_alloc)*H1231)*F1231^p_phi</f>
        <v>2.96428738828761E-005</v>
      </c>
      <c r="J1231" s="16" t="n">
        <f aca="false">INDEX(Sector_Params!$C$17:$E$17,MATCH(B1231,Sector_Params!$C$15:$E$15,0))*I1231/SUMIFS($I$5:$I$1369,$B$5:$B$1369,B1231,$C$5:$C$1369,C1231)</f>
        <v>0.019660346832798</v>
      </c>
      <c r="K1231" s="28" t="n">
        <f aca="false">INDEX(Sector_Params!$F$6:$H$6,MATCH(B1231,Sector_Params!$C$15:$E$15,0))</f>
        <v>0.24</v>
      </c>
      <c r="L1231" s="16" t="n">
        <f aca="false">J1231*K1231</f>
        <v>0.00471848323987151</v>
      </c>
      <c r="M1231" s="44" t="n">
        <f aca="false">Country_Data!$DW$180+Sector_Params!$E$6</f>
        <v>0.105</v>
      </c>
      <c r="N1231" s="44" t="n">
        <f aca="false">Country_Data!$DX$180+Sector_Params!$E$6</f>
        <v>0.15</v>
      </c>
      <c r="O1231" s="11" t="n">
        <f aca="false">IF(p_use_ibrd=1,p_r_ibrd,p_r_wb)</f>
        <v>0.06</v>
      </c>
      <c r="P1231" s="45" t="n">
        <f aca="false">Sector_Params!$D$6</f>
        <v>40</v>
      </c>
      <c r="Q1231" s="46" t="n">
        <f aca="false">M1231/(1-(1+M1231)^-P1231)</f>
        <v>0.10697140835497</v>
      </c>
      <c r="R1231" s="46" t="n">
        <f aca="false">N1231/(1-(1+N1231)^-P1231)</f>
        <v>0.150562085013545</v>
      </c>
      <c r="S1231" s="46" t="n">
        <f aca="false">O1231/(1-(1+O1231)^-P1231)</f>
        <v>0.0664615359206755</v>
      </c>
      <c r="T1231" s="37" t="n">
        <f aca="false">p_grid_credit*IF(AND(p_eng=1,ISNUMBER(Country_Data!$CZ$180)),Country_Data!$CZ$180,Country_Data!$CM$180)*Sector_Params!$I$6</f>
        <v>0</v>
      </c>
      <c r="U1231" s="37" t="n">
        <f aca="false">p_grid_credit*IF(AND(p_eng=1,ISNUMBER(Country_Data!$DA$180)),Country_Data!$DA$180,Country_Data!$CN$180)*Sector_Params!$J$6</f>
        <v>0</v>
      </c>
      <c r="V1231" s="37" t="n">
        <f aca="false">p_grid_credit*IF(AND(p_eng=1,ISNUMBER(Country_Data!$DB$180)),Country_Data!$DB$180,p_a)</f>
        <v>0</v>
      </c>
      <c r="W1231" s="16" t="n">
        <f aca="false">T1231*L1231</f>
        <v>0</v>
      </c>
      <c r="X1231" s="16" t="n">
        <f aca="false">U1231*L1231</f>
        <v>0</v>
      </c>
      <c r="Y1231" s="16" t="n">
        <f aca="false">V1231*L1231</f>
        <v>0</v>
      </c>
      <c r="Z1231" s="16" t="n">
        <f aca="false">Q1231*L1231</f>
        <v>0.000504742797468379</v>
      </c>
      <c r="AA1231" s="16" t="n">
        <f aca="false">R1231*L1231</f>
        <v>0.000710424674696522</v>
      </c>
      <c r="AB1231" s="16" t="n">
        <f aca="false">S1231*L1231</f>
        <v>0.000313597643337826</v>
      </c>
      <c r="AC1231" s="16" t="n">
        <f aca="false">Z1231-W1231</f>
        <v>0.000504742797468379</v>
      </c>
      <c r="AD1231" s="16" t="n">
        <f aca="false">AA1231-W1231</f>
        <v>0.000710424674696522</v>
      </c>
      <c r="AE1231" s="16" t="n">
        <f aca="false">AB1231-W1231</f>
        <v>0.000313597643337826</v>
      </c>
      <c r="AF1231" s="16" t="n">
        <f aca="false">AE1231-X1231</f>
        <v>0.000313597643337826</v>
      </c>
      <c r="AG1231" s="16" t="n">
        <f aca="false">AF1231-p_spc_lo*Y1231/1000</f>
        <v>0.000313597643337826</v>
      </c>
      <c r="AH1231" s="16" t="n">
        <f aca="false">AF1231-p_spc_hi*Y1231/1000</f>
        <v>0.000313597643337826</v>
      </c>
      <c r="AI1231" s="16" t="n">
        <f aca="false">Q1231*J1231</f>
        <v>0.00210309498945158</v>
      </c>
      <c r="AJ1231" s="16" t="n">
        <f aca="false">S1231*J1231</f>
        <v>0.00130665684724094</v>
      </c>
      <c r="AK1231" s="16" t="n">
        <f aca="false">T1231*J1231</f>
        <v>0</v>
      </c>
      <c r="AL1231" s="16" t="n">
        <f aca="false">U1231*J1231</f>
        <v>0</v>
      </c>
      <c r="AM1231" s="16" t="n">
        <f aca="false">AI1231-AJ1231</f>
        <v>0.000796438142210639</v>
      </c>
      <c r="AN1231" s="16" t="n">
        <f aca="false">J1231*Country_Data!$EB$180</f>
        <v>0.0249031059882108</v>
      </c>
      <c r="AO1231" s="16" t="n">
        <f aca="false">L1231*Country_Data!$EB$180</f>
        <v>0.00597674543717058</v>
      </c>
    </row>
    <row r="1232" customFormat="false" ht="15" hidden="false" customHeight="false" outlineLevel="0" collapsed="false">
      <c r="A1232" s="14" t="str">
        <f aca="false">Country_Data!$A$180</f>
        <v>GNB</v>
      </c>
      <c r="B1232" s="14" t="str">
        <f aca="false">Country_Data!$E$180</f>
        <v>EMDC</v>
      </c>
      <c r="C1232" s="35" t="s">
        <v>473</v>
      </c>
      <c r="D1232" s="37" t="n">
        <f aca="false">IF(Country_Data!$CA$180="","",Country_Data!$CA$180)</f>
        <v>0.0012096369758011</v>
      </c>
      <c r="E1232" s="40" t="n">
        <f aca="false">Country_Data!$BW$180</f>
        <v>6.151</v>
      </c>
      <c r="F1232" s="41" t="n">
        <f aca="false">Country_Data!$BX$180</f>
        <v>0.355389367582507</v>
      </c>
      <c r="G1232" s="42" t="n">
        <f aca="false">IF(D1232="","",D1232/SUMIFS($D$5:$D$1369,$B$5:$B$1369,B1232,$C$5:$C$1369,C1232))</f>
        <v>2.79454286207883E-005</v>
      </c>
      <c r="H1232" s="42" t="n">
        <f aca="false">E1232/SUMIFS($E$5:$E$1369,$B$5:$B$1369,B1232,$C$5:$C$1369,C1232)</f>
        <v>7.61904620342717E-005</v>
      </c>
      <c r="I1232" s="43" t="n">
        <f aca="false">IF(G1232="",H1232,p_beta_alloc*G1232+(1-p_beta_alloc)*H1232)*F1232^p_phi</f>
        <v>3.10400673889112E-005</v>
      </c>
      <c r="J1232" s="16" t="n">
        <f aca="false">INDEX(Sector_Params!$C$18:$E$18,MATCH(B1232,Sector_Params!$C$15:$E$15,0))*I1232/SUMIFS($I$5:$I$1369,$B$5:$B$1369,B1232,$C$5:$C$1369,C1232)</f>
        <v>0.012710173150072</v>
      </c>
      <c r="K1232" s="28" t="n">
        <f aca="false">INDEX(Sector_Params!$F$7:$H$7,MATCH(B1232,Sector_Params!$C$15:$E$15,0))</f>
        <v>0.24</v>
      </c>
      <c r="L1232" s="16" t="n">
        <f aca="false">J1232*K1232</f>
        <v>0.00305044155601728</v>
      </c>
      <c r="M1232" s="44" t="n">
        <f aca="false">Country_Data!$DW$180+Sector_Params!$E$7</f>
        <v>0.105</v>
      </c>
      <c r="N1232" s="44" t="n">
        <f aca="false">Country_Data!$DX$180+Sector_Params!$E$7</f>
        <v>0.15</v>
      </c>
      <c r="O1232" s="11" t="n">
        <f aca="false">IF(p_use_ibrd=1,p_r_ibrd,p_r_wb)</f>
        <v>0.06</v>
      </c>
      <c r="P1232" s="45" t="n">
        <f aca="false">Sector_Params!$D$7</f>
        <v>12</v>
      </c>
      <c r="Q1232" s="46" t="n">
        <f aca="false">M1232/(1-(1+M1232)^-P1232)</f>
        <v>0.150376745634766</v>
      </c>
      <c r="R1232" s="46" t="n">
        <f aca="false">N1232/(1-(1+N1232)^-P1232)</f>
        <v>0.18448077613084</v>
      </c>
      <c r="S1232" s="46" t="n">
        <f aca="false">O1232/(1-(1+O1232)^-P1232)</f>
        <v>0.119277029380664</v>
      </c>
      <c r="T1232" s="37" t="n">
        <f aca="false">IF(AND(p_eng=1,ISNUMBER(Country_Data!$DE$180)),Country_Data!$DE$180,Country_Data!$CM$180)*Sector_Params!$I$7</f>
        <v>-0.07469568</v>
      </c>
      <c r="U1232" s="37" t="n">
        <f aca="false">IF(AND(p_eng=1,ISNUMBER(Country_Data!$DF$180)),Country_Data!$DF$180,Country_Data!$CN$180)*Sector_Params!$J$7</f>
        <v>8.37E-005</v>
      </c>
      <c r="V1232" s="37" t="n">
        <f aca="false">IF(AND(p_eng=1,ISNUMBER(Country_Data!$DG$180)),Country_Data!$DG$180,p_a)</f>
        <v>0.0944055</v>
      </c>
      <c r="W1232" s="16" t="n">
        <f aca="false">T1232*L1232</f>
        <v>-0.000227854806326969</v>
      </c>
      <c r="X1232" s="16" t="n">
        <f aca="false">U1232*L1232</f>
        <v>2.55321958238646E-007</v>
      </c>
      <c r="Y1232" s="16" t="n">
        <f aca="false">V1232*L1232</f>
        <v>0.000287978460316589</v>
      </c>
      <c r="Z1232" s="16" t="n">
        <f aca="false">Q1232*L1232</f>
        <v>0.000458715473942929</v>
      </c>
      <c r="AA1232" s="16" t="n">
        <f aca="false">R1232*L1232</f>
        <v>0.000562747825795833</v>
      </c>
      <c r="AB1232" s="16" t="n">
        <f aca="false">S1232*L1232</f>
        <v>0.00036384760710107</v>
      </c>
      <c r="AC1232" s="16" t="n">
        <f aca="false">Z1232-W1232</f>
        <v>0.000686570280269898</v>
      </c>
      <c r="AD1232" s="16" t="n">
        <f aca="false">AA1232-W1232</f>
        <v>0.000790602632122802</v>
      </c>
      <c r="AE1232" s="16" t="n">
        <f aca="false">AB1232-W1232</f>
        <v>0.000591702413428038</v>
      </c>
      <c r="AF1232" s="16" t="n">
        <f aca="false">AE1232-X1232</f>
        <v>0.0005914470914698</v>
      </c>
      <c r="AG1232" s="16" t="n">
        <f aca="false">AF1232-p_spc_lo*Y1232/1000</f>
        <v>0.00057704816845397</v>
      </c>
      <c r="AH1232" s="16" t="n">
        <f aca="false">AF1232-p_spc_hi*Y1232/1000</f>
        <v>0.000562649245438141</v>
      </c>
      <c r="AI1232" s="16" t="n">
        <f aca="false">Q1232*J1232</f>
        <v>0.0019113144747622</v>
      </c>
      <c r="AJ1232" s="16" t="n">
        <f aca="false">S1232*J1232</f>
        <v>0.00151603169625446</v>
      </c>
      <c r="AK1232" s="16" t="n">
        <f aca="false">T1232*J1232</f>
        <v>-0.000949395026362369</v>
      </c>
      <c r="AL1232" s="16" t="n">
        <f aca="false">U1232*J1232</f>
        <v>1.06384149266103E-006</v>
      </c>
      <c r="AM1232" s="16" t="n">
        <f aca="false">AI1232-AJ1232</f>
        <v>0.000395282778507747</v>
      </c>
      <c r="AN1232" s="16" t="n">
        <f aca="false">J1232*Country_Data!$EB$180</f>
        <v>0.0160995526567579</v>
      </c>
      <c r="AO1232" s="16" t="n">
        <f aca="false">L1232*Country_Data!$EB$180</f>
        <v>0.00386389263762188</v>
      </c>
    </row>
    <row r="1233" customFormat="false" ht="15" hidden="false" customHeight="false" outlineLevel="0" collapsed="false">
      <c r="A1233" s="14" t="str">
        <f aca="false">Country_Data!$A$180</f>
        <v>GNB</v>
      </c>
      <c r="B1233" s="14" t="str">
        <f aca="false">Country_Data!$E$180</f>
        <v>EMDC</v>
      </c>
      <c r="C1233" s="35" t="s">
        <v>477</v>
      </c>
      <c r="D1233" s="37" t="n">
        <f aca="false">IF(Country_Data!$CB$180="","",Country_Data!$CB$180)</f>
        <v>0.000419497548133377</v>
      </c>
      <c r="E1233" s="40" t="n">
        <f aca="false">Country_Data!$BW$180</f>
        <v>6.151</v>
      </c>
      <c r="F1233" s="41" t="n">
        <f aca="false">Country_Data!$BX$180</f>
        <v>0.355389367582507</v>
      </c>
      <c r="G1233" s="42" t="n">
        <f aca="false">IF(D1233="","",D1233/SUMIFS($D$5:$D$1369,$B$5:$B$1369,B1233,$C$5:$C$1369,C1233))</f>
        <v>1.32280350628122E-005</v>
      </c>
      <c r="H1233" s="42" t="n">
        <f aca="false">E1233/SUMIFS($E$5:$E$1369,$B$5:$B$1369,B1233,$C$5:$C$1369,C1233)</f>
        <v>7.61904620342717E-005</v>
      </c>
      <c r="I1233" s="43" t="n">
        <f aca="false">IF(G1233="",H1233,p_beta_alloc*G1233+(1-p_beta_alloc)*H1233)*F1233^p_phi</f>
        <v>2.66532139711793E-005</v>
      </c>
      <c r="J1233" s="16" t="n">
        <f aca="false">INDEX(Sector_Params!$C$19:$E$19,MATCH(B1233,Sector_Params!$C$15:$E$15,0))*I1233/SUMIFS($I$5:$I$1369,$B$5:$B$1369,B1233,$C$5:$C$1369,C1233)</f>
        <v>0.00857867265451311</v>
      </c>
      <c r="K1233" s="28" t="n">
        <f aca="false">INDEX(Sector_Params!$F$8:$H$8,MATCH(B1233,Sector_Params!$C$15:$E$15,0))</f>
        <v>0.24</v>
      </c>
      <c r="L1233" s="16" t="n">
        <f aca="false">J1233*K1233</f>
        <v>0.00205888143708315</v>
      </c>
      <c r="M1233" s="44" t="n">
        <f aca="false">Country_Data!$DW$180+Sector_Params!$E$8</f>
        <v>0.105</v>
      </c>
      <c r="N1233" s="44" t="n">
        <f aca="false">Country_Data!$DX$180+Sector_Params!$E$8</f>
        <v>0.15</v>
      </c>
      <c r="O1233" s="11" t="n">
        <f aca="false">IF(p_use_ibrd=1,p_r_ibrd,p_r_wb)</f>
        <v>0.06</v>
      </c>
      <c r="P1233" s="45" t="n">
        <f aca="false">Sector_Params!$D$8</f>
        <v>25</v>
      </c>
      <c r="Q1233" s="46" t="n">
        <f aca="false">M1233/(1-(1+M1233)^-P1233)</f>
        <v>0.114429319813103</v>
      </c>
      <c r="R1233" s="46" t="n">
        <f aca="false">N1233/(1-(1+N1233)^-P1233)</f>
        <v>0.154699402320206</v>
      </c>
      <c r="S1233" s="46" t="n">
        <f aca="false">O1233/(1-(1+O1233)^-P1233)</f>
        <v>0.078226718212274</v>
      </c>
      <c r="T1233" s="37" t="n">
        <f aca="false">Country_Data!$CM$180*Sector_Params!$I$8</f>
        <v>0.211344244837453</v>
      </c>
      <c r="U1233" s="37" t="n">
        <f aca="false">Country_Data!$CN$180*Sector_Params!$J$8</f>
        <v>0.03225</v>
      </c>
      <c r="V1233" s="37" t="n">
        <f aca="false">p_a</f>
        <v>0.35</v>
      </c>
      <c r="W1233" s="16" t="n">
        <f aca="false">T1233*L1233</f>
        <v>0.000435132742530188</v>
      </c>
      <c r="X1233" s="16" t="n">
        <f aca="false">U1233*L1233</f>
        <v>6.63989263459315E-005</v>
      </c>
      <c r="Y1233" s="16" t="n">
        <f aca="false">V1233*L1233</f>
        <v>0.000720608502979101</v>
      </c>
      <c r="Z1233" s="16" t="n">
        <f aca="false">Q1233*L1233</f>
        <v>0.000235596402421249</v>
      </c>
      <c r="AA1233" s="16" t="n">
        <f aca="false">R1233*L1233</f>
        <v>0.00031850772776493</v>
      </c>
      <c r="AB1233" s="16" t="n">
        <f aca="false">S1233*L1233</f>
        <v>0.000161059538011185</v>
      </c>
      <c r="AC1233" s="16" t="n">
        <f aca="false">Z1233-W1233</f>
        <v>-0.000199536340108939</v>
      </c>
      <c r="AD1233" s="16" t="n">
        <f aca="false">AA1233-W1233</f>
        <v>-0.000116625014765257</v>
      </c>
      <c r="AE1233" s="16" t="n">
        <f aca="false">AB1233-W1233</f>
        <v>-0.000274073204519003</v>
      </c>
      <c r="AF1233" s="16" t="n">
        <f aca="false">AE1233-X1233</f>
        <v>-0.000340472130864934</v>
      </c>
      <c r="AG1233" s="16" t="n">
        <f aca="false">AF1233-p_spc_lo*Y1233/1000</f>
        <v>-0.000376502556013889</v>
      </c>
      <c r="AH1233" s="16" t="n">
        <f aca="false">AF1233-p_spc_hi*Y1233/1000</f>
        <v>-0.000412532981162844</v>
      </c>
      <c r="AI1233" s="16" t="n">
        <f aca="false">Q1233*J1233</f>
        <v>0.000981651676755205</v>
      </c>
      <c r="AJ1233" s="16" t="n">
        <f aca="false">S1233*J1233</f>
        <v>0.000671081408379937</v>
      </c>
      <c r="AK1233" s="16" t="n">
        <f aca="false">T1233*J1233</f>
        <v>0.00181305309387578</v>
      </c>
      <c r="AL1233" s="16" t="n">
        <f aca="false">U1233*J1233</f>
        <v>0.000276662193108048</v>
      </c>
      <c r="AM1233" s="16" t="n">
        <f aca="false">AI1233-AJ1233</f>
        <v>0.000310570268375267</v>
      </c>
      <c r="AN1233" s="16" t="n">
        <f aca="false">J1233*Country_Data!$EB$180</f>
        <v>0.0108663186957166</v>
      </c>
      <c r="AO1233" s="16" t="n">
        <f aca="false">L1233*Country_Data!$EB$180</f>
        <v>0.00260791648697199</v>
      </c>
    </row>
    <row r="1234" customFormat="false" ht="15" hidden="false" customHeight="false" outlineLevel="0" collapsed="false">
      <c r="A1234" s="14" t="str">
        <f aca="false">Country_Data!$A$180</f>
        <v>GNB</v>
      </c>
      <c r="B1234" s="14" t="str">
        <f aca="false">Country_Data!$E$180</f>
        <v>EMDC</v>
      </c>
      <c r="C1234" s="35" t="s">
        <v>481</v>
      </c>
      <c r="D1234" s="37" t="n">
        <f aca="false">IF(Country_Data!$CC$180="","",Country_Data!$CC$180)</f>
        <v>0.00399477218074278</v>
      </c>
      <c r="E1234" s="40" t="n">
        <f aca="false">Country_Data!$BW$180</f>
        <v>6.151</v>
      </c>
      <c r="F1234" s="41" t="n">
        <f aca="false">Country_Data!$BX$180</f>
        <v>0.355389367582507</v>
      </c>
      <c r="G1234" s="42" t="n">
        <f aca="false">IF(D1234="","",D1234/SUMIFS($D$5:$D$1369,$B$5:$B$1369,B1234,$C$5:$C$1369,C1234))</f>
        <v>5.70622578554327E-005</v>
      </c>
      <c r="H1234" s="42" t="n">
        <f aca="false">E1234/SUMIFS($E$5:$E$1369,$B$5:$B$1369,B1234,$C$5:$C$1369,C1234)</f>
        <v>7.61904620342717E-005</v>
      </c>
      <c r="I1234" s="43" t="n">
        <f aca="false">IF(G1234="",H1234,p_beta_alloc*G1234+(1-p_beta_alloc)*H1234)*F1234^p_phi</f>
        <v>3.97189996562549E-005</v>
      </c>
      <c r="J1234" s="16" t="n">
        <f aca="false">INDEX(Sector_Params!$C$20:$E$20,MATCH(B1234,Sector_Params!$C$15:$E$15,0))*I1234/SUMIFS($I$5:$I$1369,$B$5:$B$1369,B1234,$C$5:$C$1369,C1234)</f>
        <v>0.00724951728604955</v>
      </c>
      <c r="K1234" s="28" t="n">
        <f aca="false">INDEX(Sector_Params!$F$9:$H$9,MATCH(B1234,Sector_Params!$C$15:$E$15,0))</f>
        <v>0.24</v>
      </c>
      <c r="L1234" s="16" t="n">
        <f aca="false">J1234*K1234</f>
        <v>0.00173988414865189</v>
      </c>
      <c r="M1234" s="44" t="n">
        <f aca="false">Country_Data!$DW$180+Sector_Params!$E$9</f>
        <v>0.105</v>
      </c>
      <c r="N1234" s="44" t="n">
        <f aca="false">Country_Data!$DX$180+Sector_Params!$E$9</f>
        <v>0.15</v>
      </c>
      <c r="O1234" s="11" t="n">
        <f aca="false">IF(p_use_ibrd=1,p_r_ibrd,p_r_wb)</f>
        <v>0.06</v>
      </c>
      <c r="P1234" s="45" t="n">
        <f aca="false">Sector_Params!$D$9</f>
        <v>25</v>
      </c>
      <c r="Q1234" s="46" t="n">
        <f aca="false">M1234/(1-(1+M1234)^-P1234)</f>
        <v>0.114429319813103</v>
      </c>
      <c r="R1234" s="46" t="n">
        <f aca="false">N1234/(1-(1+N1234)^-P1234)</f>
        <v>0.154699402320206</v>
      </c>
      <c r="S1234" s="46" t="n">
        <f aca="false">O1234/(1-(1+O1234)^-P1234)</f>
        <v>0.078226718212274</v>
      </c>
      <c r="T1234" s="37" t="n">
        <f aca="false">Country_Data!$CM$180*Sector_Params!$I$9</f>
        <v>0.211344244837453</v>
      </c>
      <c r="U1234" s="37" t="n">
        <f aca="false">Country_Data!$CN$180*Sector_Params!$J$9</f>
        <v>0.03225</v>
      </c>
      <c r="V1234" s="37" t="n">
        <f aca="false">p_a</f>
        <v>0.35</v>
      </c>
      <c r="W1234" s="16" t="n">
        <f aca="false">T1234*L1234</f>
        <v>0.000367714501501489</v>
      </c>
      <c r="X1234" s="16" t="n">
        <f aca="false">U1234*L1234</f>
        <v>5.61112637940235E-005</v>
      </c>
      <c r="Y1234" s="16" t="n">
        <f aca="false">V1234*L1234</f>
        <v>0.000608959452028162</v>
      </c>
      <c r="Z1234" s="16" t="n">
        <f aca="false">Q1234*L1234</f>
        <v>0.000199093759683836</v>
      </c>
      <c r="AA1234" s="16" t="n">
        <f aca="false">R1234*L1234</f>
        <v>0.000269159037902849</v>
      </c>
      <c r="AB1234" s="16" t="n">
        <f aca="false">S1234*L1234</f>
        <v>0.000136105427018594</v>
      </c>
      <c r="AC1234" s="16" t="n">
        <f aca="false">Z1234-W1234</f>
        <v>-0.000168620741817653</v>
      </c>
      <c r="AD1234" s="16" t="n">
        <f aca="false">AA1234-W1234</f>
        <v>-9.85554635986402E-005</v>
      </c>
      <c r="AE1234" s="16" t="n">
        <f aca="false">AB1234-W1234</f>
        <v>-0.000231609074482895</v>
      </c>
      <c r="AF1234" s="16" t="n">
        <f aca="false">AE1234-X1234</f>
        <v>-0.000287720338276919</v>
      </c>
      <c r="AG1234" s="16" t="n">
        <f aca="false">AF1234-p_spc_lo*Y1234/1000</f>
        <v>-0.000318168310878327</v>
      </c>
      <c r="AH1234" s="16" t="n">
        <f aca="false">AF1234-p_spc_hi*Y1234/1000</f>
        <v>-0.000348616283479735</v>
      </c>
      <c r="AI1234" s="16" t="n">
        <f aca="false">Q1234*J1234</f>
        <v>0.000829557332015985</v>
      </c>
      <c r="AJ1234" s="16" t="n">
        <f aca="false">S1234*J1234</f>
        <v>0.000567105945910807</v>
      </c>
      <c r="AK1234" s="16" t="n">
        <f aca="false">T1234*J1234</f>
        <v>0.0015321437562562</v>
      </c>
      <c r="AL1234" s="16" t="n">
        <f aca="false">U1234*J1234</f>
        <v>0.000233796932475098</v>
      </c>
      <c r="AM1234" s="16" t="n">
        <f aca="false">AI1234-AJ1234</f>
        <v>0.000262451386105178</v>
      </c>
      <c r="AN1234" s="16" t="n">
        <f aca="false">J1234*Country_Data!$EB$180</f>
        <v>0.00918272189566276</v>
      </c>
      <c r="AO1234" s="16" t="n">
        <f aca="false">L1234*Country_Data!$EB$180</f>
        <v>0.00220385325495906</v>
      </c>
    </row>
    <row r="1235" customFormat="false" ht="15" hidden="false" customHeight="false" outlineLevel="0" collapsed="false">
      <c r="A1235" s="14" t="str">
        <f aca="false">Country_Data!$A$180</f>
        <v>GNB</v>
      </c>
      <c r="B1235" s="14" t="str">
        <f aca="false">Country_Data!$E$180</f>
        <v>EMDC</v>
      </c>
      <c r="C1235" s="35" t="s">
        <v>484</v>
      </c>
      <c r="D1235" s="37" t="n">
        <f aca="false">IF(Country_Data!$CD$180="","",Country_Data!$CD$180)</f>
        <v>0.00489048653471686</v>
      </c>
      <c r="E1235" s="40" t="n">
        <f aca="false">Country_Data!$BW$180</f>
        <v>6.151</v>
      </c>
      <c r="F1235" s="41" t="n">
        <f aca="false">Country_Data!$BX$180</f>
        <v>0.355389367582507</v>
      </c>
      <c r="G1235" s="42" t="n">
        <f aca="false">IF(D1235="","",D1235/SUMIFS($D$5:$D$1369,$B$5:$B$1369,B1235,$C$5:$C$1369,C1235))</f>
        <v>2.73102633991178E-005</v>
      </c>
      <c r="H1235" s="42" t="n">
        <f aca="false">E1235/SUMIFS($E$5:$E$1369,$B$5:$B$1369,B1235,$C$5:$C$1369,C1235)</f>
        <v>7.61904620342717E-005</v>
      </c>
      <c r="I1235" s="43" t="n">
        <f aca="false">IF(G1235="",H1235,p_beta_alloc*G1235+(1-p_beta_alloc)*H1235)*F1235^p_phi</f>
        <v>3.08507419684464E-005</v>
      </c>
      <c r="J1235" s="16" t="n">
        <f aca="false">INDEX(Sector_Params!$C$21:$E$21,MATCH(B1235,Sector_Params!$C$15:$E$15,0))*I1235/SUMIFS($I$5:$I$1369,$B$5:$B$1369,B1235,$C$5:$C$1369,C1235)</f>
        <v>0.00684238070109497</v>
      </c>
      <c r="K1235" s="28" t="n">
        <f aca="false">INDEX(Sector_Params!$F$10:$H$10,MATCH(B1235,Sector_Params!$C$15:$E$15,0))</f>
        <v>0.24</v>
      </c>
      <c r="L1235" s="16" t="n">
        <f aca="false">J1235*K1235</f>
        <v>0.00164217136826279</v>
      </c>
      <c r="M1235" s="44" t="n">
        <f aca="false">Country_Data!$DW$180+Sector_Params!$E$10</f>
        <v>0.105</v>
      </c>
      <c r="N1235" s="44" t="n">
        <f aca="false">Country_Data!$DX$180+Sector_Params!$E$10</f>
        <v>0.15</v>
      </c>
      <c r="O1235" s="11" t="n">
        <f aca="false">IF(p_use_ibrd=1,p_r_ibrd,p_r_wb)</f>
        <v>0.06</v>
      </c>
      <c r="P1235" s="45" t="n">
        <f aca="false">Sector_Params!$D$10</f>
        <v>20</v>
      </c>
      <c r="Q1235" s="46" t="n">
        <f aca="false">M1235/(1-(1+M1235)^-P1235)</f>
        <v>0.121493265267016</v>
      </c>
      <c r="R1235" s="46" t="n">
        <f aca="false">N1235/(1-(1+N1235)^-P1235)</f>
        <v>0.159761470405744</v>
      </c>
      <c r="S1235" s="46" t="n">
        <f aca="false">O1235/(1-(1+O1235)^-P1235)</f>
        <v>0.0871845569768514</v>
      </c>
      <c r="T1235" s="37" t="n">
        <f aca="false">0*Sector_Params!$I$10</f>
        <v>0</v>
      </c>
      <c r="U1235" s="37" t="n">
        <f aca="false">0*Sector_Params!$J$10</f>
        <v>0</v>
      </c>
      <c r="V1235" s="37" t="n">
        <f aca="false">1000*p_r_wb/(1-(1+p_r_wb)^-Sector_Params!$D$10)/p_cpt_fuel</f>
        <v>0.871845569768514</v>
      </c>
      <c r="W1235" s="16" t="n">
        <f aca="false">T1235*L1235</f>
        <v>0</v>
      </c>
      <c r="X1235" s="16" t="n">
        <f aca="false">U1235*L1235</f>
        <v>0</v>
      </c>
      <c r="Y1235" s="16" t="n">
        <f aca="false">V1235*L1235</f>
        <v>0.00143171983222061</v>
      </c>
      <c r="Z1235" s="16" t="n">
        <f aca="false">Q1235*L1235</f>
        <v>0.00019951276165825</v>
      </c>
      <c r="AA1235" s="16" t="n">
        <f aca="false">R1235*L1235</f>
        <v>0.000262355712451876</v>
      </c>
      <c r="AB1235" s="16" t="n">
        <f aca="false">S1235*L1235</f>
        <v>0.000143171983222061</v>
      </c>
      <c r="AC1235" s="16" t="n">
        <f aca="false">Z1235-W1235</f>
        <v>0.00019951276165825</v>
      </c>
      <c r="AD1235" s="16" t="n">
        <f aca="false">AA1235-W1235</f>
        <v>0.000262355712451876</v>
      </c>
      <c r="AE1235" s="16" t="n">
        <f aca="false">AB1235-W1235</f>
        <v>0.000143171983222061</v>
      </c>
      <c r="AF1235" s="16" t="n">
        <f aca="false">AE1235-X1235</f>
        <v>0.000143171983222061</v>
      </c>
      <c r="AG1235" s="16" t="n">
        <f aca="false">AF1235-p_spc_lo*Y1235/1000</f>
        <v>7.15859916110307E-005</v>
      </c>
      <c r="AH1235" s="16" t="n">
        <f aca="false">AF1235-p_spc_hi*Y1235/1000</f>
        <v>0</v>
      </c>
      <c r="AI1235" s="16" t="n">
        <f aca="false">Q1235*J1235</f>
        <v>0.000831303173576043</v>
      </c>
      <c r="AJ1235" s="16" t="n">
        <f aca="false">S1235*J1235</f>
        <v>0.000596549930091923</v>
      </c>
      <c r="AK1235" s="16" t="n">
        <f aca="false">T1235*J1235</f>
        <v>0</v>
      </c>
      <c r="AL1235" s="16" t="n">
        <f aca="false">U1235*J1235</f>
        <v>0</v>
      </c>
      <c r="AM1235" s="16" t="n">
        <f aca="false">AI1235-AJ1235</f>
        <v>0.00023475324348412</v>
      </c>
      <c r="AN1235" s="16" t="n">
        <f aca="false">J1235*Country_Data!$EB$180</f>
        <v>0.00866701555472029</v>
      </c>
      <c r="AO1235" s="16" t="n">
        <f aca="false">L1235*Country_Data!$EB$180</f>
        <v>0.00208008373313287</v>
      </c>
    </row>
    <row r="1236" customFormat="false" ht="15" hidden="false" customHeight="false" outlineLevel="0" collapsed="false">
      <c r="A1236" s="14" t="str">
        <f aca="false">Country_Data!$A$180</f>
        <v>GNB</v>
      </c>
      <c r="B1236" s="14" t="str">
        <f aca="false">Country_Data!$E$180</f>
        <v>EMDC</v>
      </c>
      <c r="C1236" s="35" t="s">
        <v>488</v>
      </c>
      <c r="D1236" s="37" t="n">
        <f aca="false">IF(Country_Data!$CE$180="","",Country_Data!$CE$180)</f>
        <v>4.631</v>
      </c>
      <c r="E1236" s="40" t="n">
        <f aca="false">Country_Data!$BW$180</f>
        <v>6.151</v>
      </c>
      <c r="F1236" s="41" t="n">
        <f aca="false">Country_Data!$BX$180</f>
        <v>0.355389367582507</v>
      </c>
      <c r="G1236" s="42" t="n">
        <f aca="false">IF(D1236="","",D1236/SUMIFS($D$5:$D$1369,$B$5:$B$1369,B1236,$C$5:$C$1369,C1236))</f>
        <v>0.00037946232867452</v>
      </c>
      <c r="H1236" s="42" t="n">
        <f aca="false">E1236/SUMIFS($E$5:$E$1369,$B$5:$B$1369,B1236,$C$5:$C$1369,C1236)</f>
        <v>7.61904620342717E-005</v>
      </c>
      <c r="I1236" s="43" t="n">
        <f aca="false">IF(G1236="",H1236,p_beta_alloc*G1236+(1-p_beta_alloc)*H1236)*F1236^p_phi</f>
        <v>0.000135817663253059</v>
      </c>
      <c r="J1236" s="16" t="n">
        <f aca="false">INDEX(Sector_Params!$C$22:$E$22,MATCH(B1236,Sector_Params!$C$15:$E$15,0))*I1236/SUMIFS($I$5:$I$1369,$B$5:$B$1369,B1236,$C$5:$C$1369,C1236)</f>
        <v>0.0818720266772337</v>
      </c>
      <c r="K1236" s="28" t="n">
        <f aca="false">INDEX(Sector_Params!$F$11:$H$11,MATCH(B1236,Sector_Params!$C$15:$E$15,0))</f>
        <v>0.24</v>
      </c>
      <c r="L1236" s="16" t="n">
        <f aca="false">J1236*K1236</f>
        <v>0.0196492864025361</v>
      </c>
      <c r="M1236" s="44" t="n">
        <f aca="false">Country_Data!$DW$180+Sector_Params!$E$11</f>
        <v>0.105</v>
      </c>
      <c r="N1236" s="44" t="n">
        <f aca="false">Country_Data!$DX$180+Sector_Params!$E$11</f>
        <v>0.15</v>
      </c>
      <c r="O1236" s="11" t="n">
        <f aca="false">IF(p_use_ibrd=1,p_r_ibrd,p_r_wb)</f>
        <v>0.06</v>
      </c>
      <c r="P1236" s="45" t="n">
        <f aca="false">Sector_Params!$D$11</f>
        <v>30</v>
      </c>
      <c r="Q1236" s="46" t="n">
        <f aca="false">M1236/(1-(1+M1236)^-P1236)</f>
        <v>0.110528481529605</v>
      </c>
      <c r="R1236" s="46" t="n">
        <f aca="false">N1236/(1-(1+N1236)^-P1236)</f>
        <v>0.152300198192734</v>
      </c>
      <c r="S1236" s="46" t="n">
        <f aca="false">O1236/(1-(1+O1236)^-P1236)</f>
        <v>0.0726489114900472</v>
      </c>
      <c r="T1236" s="37" t="n">
        <f aca="false">0*Sector_Params!$I$11</f>
        <v>0</v>
      </c>
      <c r="U1236" s="37" t="n">
        <f aca="false">p_c*Sector_Params!$J$11</f>
        <v>0.129</v>
      </c>
      <c r="V1236" s="37" t="n">
        <f aca="false">1000*p_r_wb/(1-(1+p_r_wb)^-Sector_Params!$D$11)/p_cpt_afolu</f>
        <v>1.45297822980094</v>
      </c>
      <c r="W1236" s="16" t="n">
        <f aca="false">T1236*L1236</f>
        <v>0</v>
      </c>
      <c r="X1236" s="16" t="n">
        <f aca="false">U1236*L1236</f>
        <v>0.00253475794592715</v>
      </c>
      <c r="Y1236" s="16" t="n">
        <f aca="false">V1236*L1236</f>
        <v>0.0285499853740086</v>
      </c>
      <c r="Z1236" s="16" t="n">
        <f aca="false">Q1236*L1236</f>
        <v>0.00217180578921263</v>
      </c>
      <c r="AA1236" s="16" t="n">
        <f aca="false">R1236*L1236</f>
        <v>0.00299259021345204</v>
      </c>
      <c r="AB1236" s="16" t="n">
        <f aca="false">S1236*L1236</f>
        <v>0.00142749926870043</v>
      </c>
      <c r="AC1236" s="16" t="n">
        <f aca="false">Z1236-W1236</f>
        <v>0.00217180578921263</v>
      </c>
      <c r="AD1236" s="16" t="n">
        <f aca="false">AA1236-W1236</f>
        <v>0.00299259021345204</v>
      </c>
      <c r="AE1236" s="16" t="n">
        <f aca="false">AB1236-W1236</f>
        <v>0.00142749926870043</v>
      </c>
      <c r="AF1236" s="16" t="n">
        <f aca="false">AE1236-X1236</f>
        <v>-0.00110725867722672</v>
      </c>
      <c r="AG1236" s="16" t="n">
        <f aca="false">AF1236-p_spc_lo*Y1236/1000</f>
        <v>-0.00253475794592715</v>
      </c>
      <c r="AH1236" s="16" t="n">
        <f aca="false">AF1236-p_spc_hi*Y1236/1000</f>
        <v>-0.00396225721462759</v>
      </c>
      <c r="AI1236" s="16" t="n">
        <f aca="false">Q1236*J1236</f>
        <v>0.00904919078838596</v>
      </c>
      <c r="AJ1236" s="16" t="n">
        <f aca="false">S1236*J1236</f>
        <v>0.00594791361958513</v>
      </c>
      <c r="AK1236" s="16" t="n">
        <f aca="false">T1236*J1236</f>
        <v>0</v>
      </c>
      <c r="AL1236" s="16" t="n">
        <f aca="false">U1236*J1236</f>
        <v>0.0105614914413631</v>
      </c>
      <c r="AM1236" s="16" t="n">
        <f aca="false">AI1236-AJ1236</f>
        <v>0.00310127716880083</v>
      </c>
      <c r="AN1236" s="16" t="n">
        <f aca="false">J1236*Country_Data!$EB$180</f>
        <v>0.103704567124496</v>
      </c>
      <c r="AO1236" s="16" t="n">
        <f aca="false">L1236*Country_Data!$EB$180</f>
        <v>0.024889096109879</v>
      </c>
    </row>
    <row r="1237" customFormat="false" ht="15" hidden="false" customHeight="false" outlineLevel="0" collapsed="false">
      <c r="A1237" s="14" t="str">
        <f aca="false">Country_Data!$A$181</f>
        <v>ATG</v>
      </c>
      <c r="B1237" s="14" t="str">
        <f aca="false">Country_Data!$E$181</f>
        <v>EMDC</v>
      </c>
      <c r="C1237" s="35" t="s">
        <v>466</v>
      </c>
      <c r="D1237" s="37" t="n">
        <f aca="false">IF(Country_Data!$BZ$181="","",Country_Data!$BZ$181)</f>
        <v>0.333421729128382</v>
      </c>
      <c r="E1237" s="40" t="n">
        <f aca="false">Country_Data!$BW$181</f>
        <v>3.127</v>
      </c>
      <c r="F1237" s="41" t="n">
        <f aca="false">Country_Data!$BX$181</f>
        <v>0.691397505596418</v>
      </c>
      <c r="G1237" s="42" t="n">
        <f aca="false">IF(D1237="","",D1237/SUMIFS($D$5:$D$1369,$B$5:$B$1369,B1237,$C$5:$C$1369,C1237))</f>
        <v>3.80641365957726E-005</v>
      </c>
      <c r="H1237" s="42" t="n">
        <f aca="false">E1237/SUMIFS($E$5:$E$1369,$B$5:$B$1369,B1237,$C$5:$C$1369,C1237)</f>
        <v>3.87331449814937E-005</v>
      </c>
      <c r="I1237" s="43" t="n">
        <f aca="false">IF(G1237="",H1237,p_beta_alloc*G1237+(1-p_beta_alloc)*H1237)*F1237^p_phi</f>
        <v>3.19285911671468E-005</v>
      </c>
      <c r="J1237" s="16" t="n">
        <f aca="false">INDEX(Sector_Params!$C$16:$E$16,MATCH(B1237,Sector_Params!$C$15:$E$15,0))*I1237/SUMIFS($I$5:$I$1369,$B$5:$B$1369,B1237,$C$5:$C$1369,C1237)</f>
        <v>0.0308821428364396</v>
      </c>
      <c r="K1237" s="28" t="n">
        <f aca="false">INDEX(Sector_Params!$F$5:$H$5,MATCH(B1237,Sector_Params!$C$15:$E$15,0))</f>
        <v>0.24</v>
      </c>
      <c r="L1237" s="16" t="n">
        <f aca="false">J1237*K1237</f>
        <v>0.0074117142807455</v>
      </c>
      <c r="M1237" s="44" t="n">
        <f aca="false">Country_Data!$DW$181+Sector_Params!$E$5</f>
        <v>0.105</v>
      </c>
      <c r="N1237" s="44" t="n">
        <f aca="false">Country_Data!$DX$181+Sector_Params!$E$5</f>
        <v>0.15</v>
      </c>
      <c r="O1237" s="11" t="n">
        <f aca="false">IF(p_use_ibrd=1,p_r_ibrd,p_r_wb)</f>
        <v>0.06</v>
      </c>
      <c r="P1237" s="45" t="n">
        <f aca="false">Sector_Params!$D$5</f>
        <v>25</v>
      </c>
      <c r="Q1237" s="46" t="n">
        <f aca="false">M1237/(1-(1+M1237)^-P1237)</f>
        <v>0.114429319813103</v>
      </c>
      <c r="R1237" s="46" t="n">
        <f aca="false">N1237/(1-(1+N1237)^-P1237)</f>
        <v>0.154699402320206</v>
      </c>
      <c r="S1237" s="46" t="n">
        <f aca="false">O1237/(1-(1+O1237)^-P1237)</f>
        <v>0.078226718212274</v>
      </c>
      <c r="T1237" s="37" t="n">
        <f aca="false">IF(AND(p_eng=1,ISNUMBER(Country_Data!$CZ$181)),Country_Data!$CZ$181,Country_Data!$CM$181)*Sector_Params!$I$5</f>
        <v>0.291319870010539</v>
      </c>
      <c r="U1237" s="37" t="n">
        <f aca="false">IF(AND(p_eng=1,ISNUMBER(Country_Data!$DA$181)),Country_Data!$DA$181,Country_Data!$CN$181)*Sector_Params!$J$5</f>
        <v>0</v>
      </c>
      <c r="V1237" s="37" t="n">
        <f aca="false">IF(AND(p_eng=1,ISNUMBER(Country_Data!$DB$181)),Country_Data!$DB$181,p_a)</f>
        <v>1.71861474066807</v>
      </c>
      <c r="W1237" s="16" t="n">
        <f aca="false">T1237*L1237</f>
        <v>0.00215917964082204</v>
      </c>
      <c r="X1237" s="16" t="n">
        <f aca="false">U1237*L1237</f>
        <v>0</v>
      </c>
      <c r="Y1237" s="16" t="n">
        <f aca="false">V1237*L1237</f>
        <v>0.0127378814165093</v>
      </c>
      <c r="Z1237" s="16" t="n">
        <f aca="false">Q1237*L1237</f>
        <v>0.000848117423794772</v>
      </c>
      <c r="AA1237" s="16" t="n">
        <f aca="false">R1237*L1237</f>
        <v>0.00114658776939947</v>
      </c>
      <c r="AB1237" s="16" t="n">
        <f aca="false">S1237*L1237</f>
        <v>0.000579794084509765</v>
      </c>
      <c r="AC1237" s="16" t="n">
        <f aca="false">Z1237-W1237</f>
        <v>-0.00131106221702727</v>
      </c>
      <c r="AD1237" s="16" t="n">
        <f aca="false">AA1237-W1237</f>
        <v>-0.00101259187142257</v>
      </c>
      <c r="AE1237" s="16" t="n">
        <f aca="false">AB1237-W1237</f>
        <v>-0.00157938555631227</v>
      </c>
      <c r="AF1237" s="16" t="n">
        <f aca="false">AE1237-X1237</f>
        <v>-0.00157938555631227</v>
      </c>
      <c r="AG1237" s="16" t="n">
        <f aca="false">AF1237-p_spc_lo*Y1237/1000</f>
        <v>-0.00221627962713774</v>
      </c>
      <c r="AH1237" s="16" t="n">
        <f aca="false">AF1237-p_spc_hi*Y1237/1000</f>
        <v>-0.0028531736979632</v>
      </c>
      <c r="AI1237" s="16" t="n">
        <f aca="false">Q1237*J1237</f>
        <v>0.00353382259914488</v>
      </c>
      <c r="AJ1237" s="16" t="n">
        <f aca="false">S1237*J1237</f>
        <v>0.00241580868545735</v>
      </c>
      <c r="AK1237" s="16" t="n">
        <f aca="false">T1237*J1237</f>
        <v>0.00899658183675849</v>
      </c>
      <c r="AL1237" s="16" t="n">
        <f aca="false">U1237*J1237</f>
        <v>0</v>
      </c>
      <c r="AM1237" s="16" t="n">
        <f aca="false">AI1237-AJ1237</f>
        <v>0.00111801391368753</v>
      </c>
      <c r="AN1237" s="16" t="n">
        <f aca="false">J1237*Country_Data!$EB$181</f>
        <v>0.0354510078040224</v>
      </c>
      <c r="AO1237" s="16" t="n">
        <f aca="false">L1237*Country_Data!$EB$181</f>
        <v>0.00850824187296539</v>
      </c>
    </row>
    <row r="1238" customFormat="false" ht="15" hidden="false" customHeight="false" outlineLevel="0" collapsed="false">
      <c r="A1238" s="14" t="str">
        <f aca="false">Country_Data!$A$181</f>
        <v>ATG</v>
      </c>
      <c r="B1238" s="14" t="str">
        <f aca="false">Country_Data!$E$181</f>
        <v>EMDC</v>
      </c>
      <c r="C1238" s="35" t="s">
        <v>470</v>
      </c>
      <c r="D1238" s="37" t="n">
        <f aca="false">IF(Country_Data!$BZ$181="","",Country_Data!$BZ$181)</f>
        <v>0.333421729128382</v>
      </c>
      <c r="E1238" s="40" t="n">
        <f aca="false">Country_Data!$BW$181</f>
        <v>3.127</v>
      </c>
      <c r="F1238" s="41" t="n">
        <f aca="false">Country_Data!$BX$181</f>
        <v>0.691397505596418</v>
      </c>
      <c r="G1238" s="42" t="n">
        <f aca="false">IF(D1238="","",D1238/SUMIFS($D$5:$D$1369,$B$5:$B$1369,B1238,$C$5:$C$1369,C1238))</f>
        <v>3.80641365957726E-005</v>
      </c>
      <c r="H1238" s="42" t="n">
        <f aca="false">E1238/SUMIFS($E$5:$E$1369,$B$5:$B$1369,B1238,$C$5:$C$1369,C1238)</f>
        <v>3.87331449814937E-005</v>
      </c>
      <c r="I1238" s="43" t="n">
        <f aca="false">IF(G1238="",H1238,p_beta_alloc*G1238+(1-p_beta_alloc)*H1238)*F1238^p_phi</f>
        <v>3.19285911671468E-005</v>
      </c>
      <c r="J1238" s="16" t="n">
        <f aca="false">INDEX(Sector_Params!$C$17:$E$17,MATCH(B1238,Sector_Params!$C$15:$E$15,0))*I1238/SUMIFS($I$5:$I$1369,$B$5:$B$1369,B1238,$C$5:$C$1369,C1238)</f>
        <v>0.0211763265164157</v>
      </c>
      <c r="K1238" s="28" t="n">
        <f aca="false">INDEX(Sector_Params!$F$6:$H$6,MATCH(B1238,Sector_Params!$C$15:$E$15,0))</f>
        <v>0.24</v>
      </c>
      <c r="L1238" s="16" t="n">
        <f aca="false">J1238*K1238</f>
        <v>0.00508231836393977</v>
      </c>
      <c r="M1238" s="44" t="n">
        <f aca="false">Country_Data!$DW$181+Sector_Params!$E$6</f>
        <v>0.105</v>
      </c>
      <c r="N1238" s="44" t="n">
        <f aca="false">Country_Data!$DX$181+Sector_Params!$E$6</f>
        <v>0.15</v>
      </c>
      <c r="O1238" s="11" t="n">
        <f aca="false">IF(p_use_ibrd=1,p_r_ibrd,p_r_wb)</f>
        <v>0.06</v>
      </c>
      <c r="P1238" s="45" t="n">
        <f aca="false">Sector_Params!$D$6</f>
        <v>40</v>
      </c>
      <c r="Q1238" s="46" t="n">
        <f aca="false">M1238/(1-(1+M1238)^-P1238)</f>
        <v>0.10697140835497</v>
      </c>
      <c r="R1238" s="46" t="n">
        <f aca="false">N1238/(1-(1+N1238)^-P1238)</f>
        <v>0.150562085013545</v>
      </c>
      <c r="S1238" s="46" t="n">
        <f aca="false">O1238/(1-(1+O1238)^-P1238)</f>
        <v>0.0664615359206755</v>
      </c>
      <c r="T1238" s="37" t="n">
        <f aca="false">p_grid_credit*IF(AND(p_eng=1,ISNUMBER(Country_Data!$CZ$181)),Country_Data!$CZ$181,Country_Data!$CM$181)*Sector_Params!$I$6</f>
        <v>0</v>
      </c>
      <c r="U1238" s="37" t="n">
        <f aca="false">p_grid_credit*IF(AND(p_eng=1,ISNUMBER(Country_Data!$DA$181)),Country_Data!$DA$181,Country_Data!$CN$181)*Sector_Params!$J$6</f>
        <v>0</v>
      </c>
      <c r="V1238" s="37" t="n">
        <f aca="false">p_grid_credit*IF(AND(p_eng=1,ISNUMBER(Country_Data!$DB$181)),Country_Data!$DB$181,p_a)</f>
        <v>0</v>
      </c>
      <c r="W1238" s="16" t="n">
        <f aca="false">T1238*L1238</f>
        <v>0</v>
      </c>
      <c r="X1238" s="16" t="n">
        <f aca="false">U1238*L1238</f>
        <v>0</v>
      </c>
      <c r="Y1238" s="16" t="n">
        <f aca="false">V1238*L1238</f>
        <v>0</v>
      </c>
      <c r="Z1238" s="16" t="n">
        <f aca="false">Q1238*L1238</f>
        <v>0.000543662753098966</v>
      </c>
      <c r="AA1238" s="16" t="n">
        <f aca="false">R1238*L1238</f>
        <v>0.000765204449577401</v>
      </c>
      <c r="AB1238" s="16" t="n">
        <f aca="false">S1238*L1238</f>
        <v>0.000337778684505292</v>
      </c>
      <c r="AC1238" s="16" t="n">
        <f aca="false">Z1238-W1238</f>
        <v>0.000543662753098966</v>
      </c>
      <c r="AD1238" s="16" t="n">
        <f aca="false">AA1238-W1238</f>
        <v>0.000765204449577401</v>
      </c>
      <c r="AE1238" s="16" t="n">
        <f aca="false">AB1238-W1238</f>
        <v>0.000337778684505292</v>
      </c>
      <c r="AF1238" s="16" t="n">
        <f aca="false">AE1238-X1238</f>
        <v>0.000337778684505292</v>
      </c>
      <c r="AG1238" s="16" t="n">
        <f aca="false">AF1238-p_spc_lo*Y1238/1000</f>
        <v>0.000337778684505292</v>
      </c>
      <c r="AH1238" s="16" t="n">
        <f aca="false">AF1238-p_spc_hi*Y1238/1000</f>
        <v>0.000337778684505292</v>
      </c>
      <c r="AI1238" s="16" t="n">
        <f aca="false">Q1238*J1238</f>
        <v>0.00226526147124569</v>
      </c>
      <c r="AJ1238" s="16" t="n">
        <f aca="false">S1238*J1238</f>
        <v>0.00140741118543872</v>
      </c>
      <c r="AK1238" s="16" t="n">
        <f aca="false">T1238*J1238</f>
        <v>0</v>
      </c>
      <c r="AL1238" s="16" t="n">
        <f aca="false">U1238*J1238</f>
        <v>0</v>
      </c>
      <c r="AM1238" s="16" t="n">
        <f aca="false">AI1238-AJ1238</f>
        <v>0.000857850285806977</v>
      </c>
      <c r="AN1238" s="16" t="n">
        <f aca="false">J1238*Country_Data!$EB$181</f>
        <v>0.0243092624941868</v>
      </c>
      <c r="AO1238" s="16" t="n">
        <f aca="false">L1238*Country_Data!$EB$181</f>
        <v>0.00583422299860484</v>
      </c>
    </row>
    <row r="1239" customFormat="false" ht="15" hidden="false" customHeight="false" outlineLevel="0" collapsed="false">
      <c r="A1239" s="14" t="str">
        <f aca="false">Country_Data!$A$181</f>
        <v>ATG</v>
      </c>
      <c r="B1239" s="14" t="str">
        <f aca="false">Country_Data!$E$181</f>
        <v>EMDC</v>
      </c>
      <c r="C1239" s="35" t="s">
        <v>473</v>
      </c>
      <c r="D1239" s="37" t="n">
        <f aca="false">IF(Country_Data!$CA$181="","",Country_Data!$CA$181)</f>
        <v>0.00430345847884749</v>
      </c>
      <c r="E1239" s="40" t="n">
        <f aca="false">Country_Data!$BW$181</f>
        <v>3.127</v>
      </c>
      <c r="F1239" s="41" t="n">
        <f aca="false">Country_Data!$BX$181</f>
        <v>0.691397505596418</v>
      </c>
      <c r="G1239" s="42" t="n">
        <f aca="false">IF(D1239="","",D1239/SUMIFS($D$5:$D$1369,$B$5:$B$1369,B1239,$C$5:$C$1369,C1239))</f>
        <v>9.94199037802341E-005</v>
      </c>
      <c r="H1239" s="42" t="n">
        <f aca="false">E1239/SUMIFS($E$5:$E$1369,$B$5:$B$1369,B1239,$C$5:$C$1369,C1239)</f>
        <v>3.87331449814937E-005</v>
      </c>
      <c r="I1239" s="43" t="n">
        <f aca="false">IF(G1239="",H1239,p_beta_alloc*G1239+(1-p_beta_alloc)*H1239)*F1239^p_phi</f>
        <v>5.74373483255411E-005</v>
      </c>
      <c r="J1239" s="16" t="n">
        <f aca="false">INDEX(Sector_Params!$C$18:$E$18,MATCH(B1239,Sector_Params!$C$15:$E$15,0))*I1239/SUMIFS($I$5:$I$1369,$B$5:$B$1369,B1239,$C$5:$C$1369,C1239)</f>
        <v>0.0235192351019001</v>
      </c>
      <c r="K1239" s="28" t="n">
        <f aca="false">INDEX(Sector_Params!$F$7:$H$7,MATCH(B1239,Sector_Params!$C$15:$E$15,0))</f>
        <v>0.24</v>
      </c>
      <c r="L1239" s="16" t="n">
        <f aca="false">J1239*K1239</f>
        <v>0.00564461642445603</v>
      </c>
      <c r="M1239" s="44" t="n">
        <f aca="false">Country_Data!$DW$181+Sector_Params!$E$7</f>
        <v>0.105</v>
      </c>
      <c r="N1239" s="44" t="n">
        <f aca="false">Country_Data!$DX$181+Sector_Params!$E$7</f>
        <v>0.15</v>
      </c>
      <c r="O1239" s="11" t="n">
        <f aca="false">IF(p_use_ibrd=1,p_r_ibrd,p_r_wb)</f>
        <v>0.06</v>
      </c>
      <c r="P1239" s="45" t="n">
        <f aca="false">Sector_Params!$D$7</f>
        <v>12</v>
      </c>
      <c r="Q1239" s="46" t="n">
        <f aca="false">M1239/(1-(1+M1239)^-P1239)</f>
        <v>0.150376745634766</v>
      </c>
      <c r="R1239" s="46" t="n">
        <f aca="false">N1239/(1-(1+N1239)^-P1239)</f>
        <v>0.18448077613084</v>
      </c>
      <c r="S1239" s="46" t="n">
        <f aca="false">O1239/(1-(1+O1239)^-P1239)</f>
        <v>0.119277029380664</v>
      </c>
      <c r="T1239" s="37" t="n">
        <f aca="false">IF(AND(p_eng=1,ISNUMBER(Country_Data!$DE$181)),Country_Data!$DE$181,Country_Data!$CM$181)*Sector_Params!$I$7</f>
        <v>-0.0486585</v>
      </c>
      <c r="U1239" s="37" t="n">
        <f aca="false">IF(AND(p_eng=1,ISNUMBER(Country_Data!$DF$181)),Country_Data!$DF$181,Country_Data!$CN$181)*Sector_Params!$J$7</f>
        <v>0</v>
      </c>
      <c r="V1239" s="37" t="n">
        <f aca="false">IF(AND(p_eng=1,ISNUMBER(Country_Data!$DG$181)),Country_Data!$DG$181,p_a)</f>
        <v>0.129988581081081</v>
      </c>
      <c r="W1239" s="16" t="n">
        <f aca="false">T1239*L1239</f>
        <v>-0.000274658568289394</v>
      </c>
      <c r="X1239" s="16" t="n">
        <f aca="false">U1239*L1239</f>
        <v>0</v>
      </c>
      <c r="Y1239" s="16" t="n">
        <f aca="false">V1239*L1239</f>
        <v>0.000733735679762005</v>
      </c>
      <c r="Z1239" s="16" t="n">
        <f aca="false">Q1239*L1239</f>
        <v>0.000848819048266246</v>
      </c>
      <c r="AA1239" s="16" t="n">
        <f aca="false">R1239*L1239</f>
        <v>0.00104132321894453</v>
      </c>
      <c r="AB1239" s="16" t="n">
        <f aca="false">S1239*L1239</f>
        <v>0.000673273079102418</v>
      </c>
      <c r="AC1239" s="16" t="n">
        <f aca="false">Z1239-W1239</f>
        <v>0.00112347761655564</v>
      </c>
      <c r="AD1239" s="16" t="n">
        <f aca="false">AA1239-W1239</f>
        <v>0.00131598178723393</v>
      </c>
      <c r="AE1239" s="16" t="n">
        <f aca="false">AB1239-W1239</f>
        <v>0.000947931647391812</v>
      </c>
      <c r="AF1239" s="16" t="n">
        <f aca="false">AE1239-X1239</f>
        <v>0.000947931647391812</v>
      </c>
      <c r="AG1239" s="16" t="n">
        <f aca="false">AF1239-p_spc_lo*Y1239/1000</f>
        <v>0.000911244863403712</v>
      </c>
      <c r="AH1239" s="16" t="n">
        <f aca="false">AF1239-p_spc_hi*Y1239/1000</f>
        <v>0.000874558079415612</v>
      </c>
      <c r="AI1239" s="16" t="n">
        <f aca="false">Q1239*J1239</f>
        <v>0.00353674603444269</v>
      </c>
      <c r="AJ1239" s="16" t="n">
        <f aca="false">S1239*J1239</f>
        <v>0.00280530449626008</v>
      </c>
      <c r="AK1239" s="16" t="n">
        <f aca="false">T1239*J1239</f>
        <v>-0.00114441070120581</v>
      </c>
      <c r="AL1239" s="16" t="n">
        <f aca="false">U1239*J1239</f>
        <v>0</v>
      </c>
      <c r="AM1239" s="16" t="n">
        <f aca="false">AI1239-AJ1239</f>
        <v>0.000731441538182614</v>
      </c>
      <c r="AN1239" s="16" t="n">
        <f aca="false">J1239*Country_Data!$EB$181</f>
        <v>0.0269987931717703</v>
      </c>
      <c r="AO1239" s="16" t="n">
        <f aca="false">L1239*Country_Data!$EB$181</f>
        <v>0.00647971036122487</v>
      </c>
    </row>
    <row r="1240" customFormat="false" ht="15" hidden="false" customHeight="false" outlineLevel="0" collapsed="false">
      <c r="A1240" s="14" t="str">
        <f aca="false">Country_Data!$A$181</f>
        <v>ATG</v>
      </c>
      <c r="B1240" s="14" t="str">
        <f aca="false">Country_Data!$E$181</f>
        <v>EMDC</v>
      </c>
      <c r="C1240" s="35" t="s">
        <v>477</v>
      </c>
      <c r="D1240" s="37" t="n">
        <f aca="false">IF(Country_Data!$CB$181="","",Country_Data!$CB$181)</f>
        <v>0.000578106316783986</v>
      </c>
      <c r="E1240" s="40" t="n">
        <f aca="false">Country_Data!$BW$181</f>
        <v>3.127</v>
      </c>
      <c r="F1240" s="41" t="n">
        <f aca="false">Country_Data!$BX$181</f>
        <v>0.691397505596418</v>
      </c>
      <c r="G1240" s="42" t="n">
        <f aca="false">IF(D1240="","",D1240/SUMIFS($D$5:$D$1369,$B$5:$B$1369,B1240,$C$5:$C$1369,C1240))</f>
        <v>1.82294525021166E-005</v>
      </c>
      <c r="H1240" s="42" t="n">
        <f aca="false">E1240/SUMIFS($E$5:$E$1369,$B$5:$B$1369,B1240,$C$5:$C$1369,C1240)</f>
        <v>3.87331449814937E-005</v>
      </c>
      <c r="I1240" s="43" t="n">
        <f aca="false">IF(G1240="",H1240,p_beta_alloc*G1240+(1-p_beta_alloc)*H1240)*F1240^p_phi</f>
        <v>2.36822899133884E-005</v>
      </c>
      <c r="J1240" s="16" t="n">
        <f aca="false">INDEX(Sector_Params!$C$19:$E$19,MATCH(B1240,Sector_Params!$C$15:$E$15,0))*I1240/SUMIFS($I$5:$I$1369,$B$5:$B$1369,B1240,$C$5:$C$1369,C1240)</f>
        <v>0.0076224433231925</v>
      </c>
      <c r="K1240" s="28" t="n">
        <f aca="false">INDEX(Sector_Params!$F$8:$H$8,MATCH(B1240,Sector_Params!$C$15:$E$15,0))</f>
        <v>0.24</v>
      </c>
      <c r="L1240" s="16" t="n">
        <f aca="false">J1240*K1240</f>
        <v>0.0018293863975662</v>
      </c>
      <c r="M1240" s="44" t="n">
        <f aca="false">Country_Data!$DW$181+Sector_Params!$E$8</f>
        <v>0.105</v>
      </c>
      <c r="N1240" s="44" t="n">
        <f aca="false">Country_Data!$DX$181+Sector_Params!$E$8</f>
        <v>0.15</v>
      </c>
      <c r="O1240" s="11" t="n">
        <f aca="false">IF(p_use_ibrd=1,p_r_ibrd,p_r_wb)</f>
        <v>0.06</v>
      </c>
      <c r="P1240" s="45" t="n">
        <f aca="false">Sector_Params!$D$8</f>
        <v>25</v>
      </c>
      <c r="Q1240" s="46" t="n">
        <f aca="false">M1240/(1-(1+M1240)^-P1240)</f>
        <v>0.114429319813103</v>
      </c>
      <c r="R1240" s="46" t="n">
        <f aca="false">N1240/(1-(1+N1240)^-P1240)</f>
        <v>0.154699402320206</v>
      </c>
      <c r="S1240" s="46" t="n">
        <f aca="false">O1240/(1-(1+O1240)^-P1240)</f>
        <v>0.078226718212274</v>
      </c>
      <c r="T1240" s="37" t="n">
        <f aca="false">Country_Data!$CM$181*Sector_Params!$I$8</f>
        <v>0.532</v>
      </c>
      <c r="U1240" s="37" t="n">
        <f aca="false">Country_Data!$CN$181*Sector_Params!$J$8</f>
        <v>0.03225</v>
      </c>
      <c r="V1240" s="37" t="n">
        <f aca="false">p_a</f>
        <v>0.35</v>
      </c>
      <c r="W1240" s="16" t="n">
        <f aca="false">T1240*L1240</f>
        <v>0.000973233563505219</v>
      </c>
      <c r="X1240" s="16" t="n">
        <f aca="false">U1240*L1240</f>
        <v>5.899771132151E-005</v>
      </c>
      <c r="Y1240" s="16" t="n">
        <f aca="false">V1240*L1240</f>
        <v>0.00064028523914817</v>
      </c>
      <c r="Z1240" s="16" t="n">
        <f aca="false">Q1240*L1240</f>
        <v>0.000209335441148844</v>
      </c>
      <c r="AA1240" s="16" t="n">
        <f aca="false">R1240*L1240</f>
        <v>0.000283004982316207</v>
      </c>
      <c r="AB1240" s="16" t="n">
        <f aca="false">S1240*L1240</f>
        <v>0.000143106894223778</v>
      </c>
      <c r="AC1240" s="16" t="n">
        <f aca="false">Z1240-W1240</f>
        <v>-0.000763898122356375</v>
      </c>
      <c r="AD1240" s="16" t="n">
        <f aca="false">AA1240-W1240</f>
        <v>-0.000690228581189012</v>
      </c>
      <c r="AE1240" s="16" t="n">
        <f aca="false">AB1240-W1240</f>
        <v>-0.000830126669281441</v>
      </c>
      <c r="AF1240" s="16" t="n">
        <f aca="false">AE1240-X1240</f>
        <v>-0.00088912438060295</v>
      </c>
      <c r="AG1240" s="16" t="n">
        <f aca="false">AF1240-p_spc_lo*Y1240/1000</f>
        <v>-0.000921138642560359</v>
      </c>
      <c r="AH1240" s="16" t="n">
        <f aca="false">AF1240-p_spc_hi*Y1240/1000</f>
        <v>-0.000953152904517767</v>
      </c>
      <c r="AI1240" s="16" t="n">
        <f aca="false">Q1240*J1240</f>
        <v>0.000872231004786849</v>
      </c>
      <c r="AJ1240" s="16" t="n">
        <f aca="false">S1240*J1240</f>
        <v>0.000596278725932409</v>
      </c>
      <c r="AK1240" s="16" t="n">
        <f aca="false">T1240*J1240</f>
        <v>0.00405513984793841</v>
      </c>
      <c r="AL1240" s="16" t="n">
        <f aca="false">U1240*J1240</f>
        <v>0.000245823797172958</v>
      </c>
      <c r="AM1240" s="16" t="n">
        <f aca="false">AI1240-AJ1240</f>
        <v>0.00027595227885444</v>
      </c>
      <c r="AN1240" s="16" t="n">
        <f aca="false">J1240*Country_Data!$EB$181</f>
        <v>0.0087501472668977</v>
      </c>
      <c r="AO1240" s="16" t="n">
        <f aca="false">L1240*Country_Data!$EB$181</f>
        <v>0.00210003534405545</v>
      </c>
    </row>
    <row r="1241" customFormat="false" ht="15" hidden="false" customHeight="false" outlineLevel="0" collapsed="false">
      <c r="A1241" s="14" t="str">
        <f aca="false">Country_Data!$A$181</f>
        <v>ATG</v>
      </c>
      <c r="B1241" s="14" t="str">
        <f aca="false">Country_Data!$E$181</f>
        <v>EMDC</v>
      </c>
      <c r="C1241" s="35" t="s">
        <v>481</v>
      </c>
      <c r="D1241" s="37" t="n">
        <f aca="false">IF(Country_Data!$CC$181="","",Country_Data!$CC$181)</f>
        <v>0.00876098550179621</v>
      </c>
      <c r="E1241" s="40" t="n">
        <f aca="false">Country_Data!$BW$181</f>
        <v>3.127</v>
      </c>
      <c r="F1241" s="41" t="n">
        <f aca="false">Country_Data!$BX$181</f>
        <v>0.691397505596418</v>
      </c>
      <c r="G1241" s="42" t="n">
        <f aca="false">IF(D1241="","",D1241/SUMIFS($D$5:$D$1369,$B$5:$B$1369,B1241,$C$5:$C$1369,C1241))</f>
        <v>0.000125143960945039</v>
      </c>
      <c r="H1241" s="42" t="n">
        <f aca="false">E1241/SUMIFS($E$5:$E$1369,$B$5:$B$1369,B1241,$C$5:$C$1369,C1241)</f>
        <v>3.87331449814937E-005</v>
      </c>
      <c r="I1241" s="43" t="n">
        <f aca="false">IF(G1241="",H1241,p_beta_alloc*G1241+(1-p_beta_alloc)*H1241)*F1241^p_phi</f>
        <v>6.81321657397359E-005</v>
      </c>
      <c r="J1241" s="16" t="n">
        <f aca="false">INDEX(Sector_Params!$C$20:$E$20,MATCH(B1241,Sector_Params!$C$15:$E$15,0))*I1241/SUMIFS($I$5:$I$1369,$B$5:$B$1369,B1241,$C$5:$C$1369,C1241)</f>
        <v>0.0124354922717301</v>
      </c>
      <c r="K1241" s="28" t="n">
        <f aca="false">INDEX(Sector_Params!$F$9:$H$9,MATCH(B1241,Sector_Params!$C$15:$E$15,0))</f>
        <v>0.24</v>
      </c>
      <c r="L1241" s="16" t="n">
        <f aca="false">J1241*K1241</f>
        <v>0.00298451814521522</v>
      </c>
      <c r="M1241" s="44" t="n">
        <f aca="false">Country_Data!$DW$181+Sector_Params!$E$9</f>
        <v>0.105</v>
      </c>
      <c r="N1241" s="44" t="n">
        <f aca="false">Country_Data!$DX$181+Sector_Params!$E$9</f>
        <v>0.15</v>
      </c>
      <c r="O1241" s="11" t="n">
        <f aca="false">IF(p_use_ibrd=1,p_r_ibrd,p_r_wb)</f>
        <v>0.06</v>
      </c>
      <c r="P1241" s="45" t="n">
        <f aca="false">Sector_Params!$D$9</f>
        <v>25</v>
      </c>
      <c r="Q1241" s="46" t="n">
        <f aca="false">M1241/(1-(1+M1241)^-P1241)</f>
        <v>0.114429319813103</v>
      </c>
      <c r="R1241" s="46" t="n">
        <f aca="false">N1241/(1-(1+N1241)^-P1241)</f>
        <v>0.154699402320206</v>
      </c>
      <c r="S1241" s="46" t="n">
        <f aca="false">O1241/(1-(1+O1241)^-P1241)</f>
        <v>0.078226718212274</v>
      </c>
      <c r="T1241" s="37" t="n">
        <f aca="false">Country_Data!$CM$181*Sector_Params!$I$9</f>
        <v>0.532</v>
      </c>
      <c r="U1241" s="37" t="n">
        <f aca="false">Country_Data!$CN$181*Sector_Params!$J$9</f>
        <v>0.03225</v>
      </c>
      <c r="V1241" s="37" t="n">
        <f aca="false">p_a</f>
        <v>0.35</v>
      </c>
      <c r="W1241" s="16" t="n">
        <f aca="false">T1241*L1241</f>
        <v>0.0015877636532545</v>
      </c>
      <c r="X1241" s="16" t="n">
        <f aca="false">U1241*L1241</f>
        <v>9.62507101831909E-005</v>
      </c>
      <c r="Y1241" s="16" t="n">
        <f aca="false">V1241*L1241</f>
        <v>0.00104458135082533</v>
      </c>
      <c r="Z1241" s="16" t="n">
        <f aca="false">Q1241*L1241</f>
        <v>0.000341516381326843</v>
      </c>
      <c r="AA1241" s="16" t="n">
        <f aca="false">R1241*L1241</f>
        <v>0.000461703173278606</v>
      </c>
      <c r="AB1241" s="16" t="n">
        <f aca="false">S1241*L1241</f>
        <v>0.00023346905994517</v>
      </c>
      <c r="AC1241" s="16" t="n">
        <f aca="false">Z1241-W1241</f>
        <v>-0.00124624727192766</v>
      </c>
      <c r="AD1241" s="16" t="n">
        <f aca="false">AA1241-W1241</f>
        <v>-0.00112606047997589</v>
      </c>
      <c r="AE1241" s="16" t="n">
        <f aca="false">AB1241-W1241</f>
        <v>-0.00135429459330933</v>
      </c>
      <c r="AF1241" s="16" t="n">
        <f aca="false">AE1241-X1241</f>
        <v>-0.00145054530349252</v>
      </c>
      <c r="AG1241" s="16" t="n">
        <f aca="false">AF1241-p_spc_lo*Y1241/1000</f>
        <v>-0.00150277437103379</v>
      </c>
      <c r="AH1241" s="16" t="n">
        <f aca="false">AF1241-p_spc_hi*Y1241/1000</f>
        <v>-0.00155500343857505</v>
      </c>
      <c r="AI1241" s="16" t="n">
        <f aca="false">Q1241*J1241</f>
        <v>0.00142298492219518</v>
      </c>
      <c r="AJ1241" s="16" t="n">
        <f aca="false">S1241*J1241</f>
        <v>0.000972787749771541</v>
      </c>
      <c r="AK1241" s="16" t="n">
        <f aca="false">T1241*J1241</f>
        <v>0.00661568188856041</v>
      </c>
      <c r="AL1241" s="16" t="n">
        <f aca="false">U1241*J1241</f>
        <v>0.000401044625763296</v>
      </c>
      <c r="AM1241" s="16" t="n">
        <f aca="false">AI1241-AJ1241</f>
        <v>0.000450197172423637</v>
      </c>
      <c r="AN1241" s="16" t="n">
        <f aca="false">J1241*Country_Data!$EB$181</f>
        <v>0.0142752637311093</v>
      </c>
      <c r="AO1241" s="16" t="n">
        <f aca="false">L1241*Country_Data!$EB$181</f>
        <v>0.00342606329546624</v>
      </c>
    </row>
    <row r="1242" customFormat="false" ht="15" hidden="false" customHeight="false" outlineLevel="0" collapsed="false">
      <c r="A1242" s="14" t="str">
        <f aca="false">Country_Data!$A$181</f>
        <v>ATG</v>
      </c>
      <c r="B1242" s="14" t="str">
        <f aca="false">Country_Data!$E$181</f>
        <v>EMDC</v>
      </c>
      <c r="C1242" s="35" t="s">
        <v>484</v>
      </c>
      <c r="D1242" s="37" t="n">
        <f aca="false">IF(Country_Data!$CD$181="","",Country_Data!$CD$181)</f>
        <v>0.0124946514738988</v>
      </c>
      <c r="E1242" s="40" t="n">
        <f aca="false">Country_Data!$BW$181</f>
        <v>3.127</v>
      </c>
      <c r="F1242" s="41" t="n">
        <f aca="false">Country_Data!$BX$181</f>
        <v>0.691397505596418</v>
      </c>
      <c r="G1242" s="42" t="n">
        <f aca="false">IF(D1242="","",D1242/SUMIFS($D$5:$D$1369,$B$5:$B$1369,B1242,$C$5:$C$1369,C1242))</f>
        <v>6.97746983679421E-005</v>
      </c>
      <c r="H1242" s="42" t="n">
        <f aca="false">E1242/SUMIFS($E$5:$E$1369,$B$5:$B$1369,B1242,$C$5:$C$1369,C1242)</f>
        <v>3.87331449814937E-005</v>
      </c>
      <c r="I1242" s="43" t="n">
        <f aca="false">IF(G1242="",H1242,p_beta_alloc*G1242+(1-p_beta_alloc)*H1242)*F1242^p_phi</f>
        <v>4.51123073314423E-005</v>
      </c>
      <c r="J1242" s="16" t="n">
        <f aca="false">INDEX(Sector_Params!$C$21:$E$21,MATCH(B1242,Sector_Params!$C$15:$E$15,0))*I1242/SUMIFS($I$5:$I$1369,$B$5:$B$1369,B1242,$C$5:$C$1369,C1242)</f>
        <v>0.010005450805113</v>
      </c>
      <c r="K1242" s="28" t="n">
        <f aca="false">INDEX(Sector_Params!$F$10:$H$10,MATCH(B1242,Sector_Params!$C$15:$E$15,0))</f>
        <v>0.24</v>
      </c>
      <c r="L1242" s="16" t="n">
        <f aca="false">J1242*K1242</f>
        <v>0.00240130819322712</v>
      </c>
      <c r="M1242" s="44" t="n">
        <f aca="false">Country_Data!$DW$181+Sector_Params!$E$10</f>
        <v>0.105</v>
      </c>
      <c r="N1242" s="44" t="n">
        <f aca="false">Country_Data!$DX$181+Sector_Params!$E$10</f>
        <v>0.15</v>
      </c>
      <c r="O1242" s="11" t="n">
        <f aca="false">IF(p_use_ibrd=1,p_r_ibrd,p_r_wb)</f>
        <v>0.06</v>
      </c>
      <c r="P1242" s="45" t="n">
        <f aca="false">Sector_Params!$D$10</f>
        <v>20</v>
      </c>
      <c r="Q1242" s="46" t="n">
        <f aca="false">M1242/(1-(1+M1242)^-P1242)</f>
        <v>0.121493265267016</v>
      </c>
      <c r="R1242" s="46" t="n">
        <f aca="false">N1242/(1-(1+N1242)^-P1242)</f>
        <v>0.159761470405744</v>
      </c>
      <c r="S1242" s="46" t="n">
        <f aca="false">O1242/(1-(1+O1242)^-P1242)</f>
        <v>0.0871845569768514</v>
      </c>
      <c r="T1242" s="37" t="n">
        <f aca="false">0*Sector_Params!$I$10</f>
        <v>0</v>
      </c>
      <c r="U1242" s="37" t="n">
        <f aca="false">0*Sector_Params!$J$10</f>
        <v>0</v>
      </c>
      <c r="V1242" s="37" t="n">
        <f aca="false">1000*p_r_wb/(1-(1+p_r_wb)^-Sector_Params!$D$10)/p_cpt_fuel</f>
        <v>0.871845569768514</v>
      </c>
      <c r="W1242" s="16" t="n">
        <f aca="false">T1242*L1242</f>
        <v>0</v>
      </c>
      <c r="X1242" s="16" t="n">
        <f aca="false">U1242*L1242</f>
        <v>0</v>
      </c>
      <c r="Y1242" s="16" t="n">
        <f aca="false">V1242*L1242</f>
        <v>0.0020935699099139</v>
      </c>
      <c r="Z1242" s="16" t="n">
        <f aca="false">Q1242*L1242</f>
        <v>0.000291742773307602</v>
      </c>
      <c r="AA1242" s="16" t="n">
        <f aca="false">R1242*L1242</f>
        <v>0.000383636527847325</v>
      </c>
      <c r="AB1242" s="16" t="n">
        <f aca="false">S1242*L1242</f>
        <v>0.00020935699099139</v>
      </c>
      <c r="AC1242" s="16" t="n">
        <f aca="false">Z1242-W1242</f>
        <v>0.000291742773307602</v>
      </c>
      <c r="AD1242" s="16" t="n">
        <f aca="false">AA1242-W1242</f>
        <v>0.000383636527847325</v>
      </c>
      <c r="AE1242" s="16" t="n">
        <f aca="false">AB1242-W1242</f>
        <v>0.00020935699099139</v>
      </c>
      <c r="AF1242" s="16" t="n">
        <f aca="false">AE1242-X1242</f>
        <v>0.00020935699099139</v>
      </c>
      <c r="AG1242" s="16" t="n">
        <f aca="false">AF1242-p_spc_lo*Y1242/1000</f>
        <v>0.000104678495495695</v>
      </c>
      <c r="AH1242" s="16" t="n">
        <f aca="false">AF1242-p_spc_hi*Y1242/1000</f>
        <v>0</v>
      </c>
      <c r="AI1242" s="16" t="n">
        <f aca="false">Q1242*J1242</f>
        <v>0.00121559488878168</v>
      </c>
      <c r="AJ1242" s="16" t="n">
        <f aca="false">S1242*J1242</f>
        <v>0.000872320795797459</v>
      </c>
      <c r="AK1242" s="16" t="n">
        <f aca="false">T1242*J1242</f>
        <v>0</v>
      </c>
      <c r="AL1242" s="16" t="n">
        <f aca="false">U1242*J1242</f>
        <v>0</v>
      </c>
      <c r="AM1242" s="16" t="n">
        <f aca="false">AI1242-AJ1242</f>
        <v>0.000343274092984217</v>
      </c>
      <c r="AN1242" s="16" t="n">
        <f aca="false">J1242*Country_Data!$EB$181</f>
        <v>0.01148570928039</v>
      </c>
      <c r="AO1242" s="16" t="n">
        <f aca="false">L1242*Country_Data!$EB$181</f>
        <v>0.0027565702272936</v>
      </c>
    </row>
    <row r="1243" customFormat="false" ht="15" hidden="false" customHeight="false" outlineLevel="0" collapsed="false">
      <c r="A1243" s="14" t="str">
        <f aca="false">Country_Data!$A$181</f>
        <v>ATG</v>
      </c>
      <c r="B1243" s="14" t="str">
        <f aca="false">Country_Data!$E$181</f>
        <v>EMDC</v>
      </c>
      <c r="C1243" s="35" t="s">
        <v>488</v>
      </c>
      <c r="D1243" s="37" t="n">
        <f aca="false">IF(Country_Data!$CE$181="","",Country_Data!$CE$181)</f>
        <v>0.083</v>
      </c>
      <c r="E1243" s="40" t="n">
        <f aca="false">Country_Data!$BW$181</f>
        <v>3.127</v>
      </c>
      <c r="F1243" s="41" t="n">
        <f aca="false">Country_Data!$BX$181</f>
        <v>0.691397505596418</v>
      </c>
      <c r="G1243" s="42" t="n">
        <f aca="false">IF(D1243="","",D1243/SUMIFS($D$5:$D$1369,$B$5:$B$1369,B1243,$C$5:$C$1369,C1243))</f>
        <v>6.80098753616609E-006</v>
      </c>
      <c r="H1243" s="42" t="n">
        <f aca="false">E1243/SUMIFS($E$5:$E$1369,$B$5:$B$1369,B1243,$C$5:$C$1369,C1243)</f>
        <v>3.87331449814937E-005</v>
      </c>
      <c r="I1243" s="43" t="n">
        <f aca="false">IF(G1243="",H1243,p_beta_alloc*G1243+(1-p_beta_alloc)*H1243)*F1243^p_phi</f>
        <v>1.89308875450796E-005</v>
      </c>
      <c r="J1243" s="16" t="n">
        <f aca="false">INDEX(Sector_Params!$C$22:$E$22,MATCH(B1243,Sector_Params!$C$15:$E$15,0))*I1243/SUMIFS($I$5:$I$1369,$B$5:$B$1369,B1243,$C$5:$C$1369,C1243)</f>
        <v>0.0114116978086027</v>
      </c>
      <c r="K1243" s="28" t="n">
        <f aca="false">INDEX(Sector_Params!$F$11:$H$11,MATCH(B1243,Sector_Params!$C$15:$E$15,0))</f>
        <v>0.24</v>
      </c>
      <c r="L1243" s="16" t="n">
        <f aca="false">J1243*K1243</f>
        <v>0.00273880747406464</v>
      </c>
      <c r="M1243" s="44" t="n">
        <f aca="false">Country_Data!$DW$181+Sector_Params!$E$11</f>
        <v>0.105</v>
      </c>
      <c r="N1243" s="44" t="n">
        <f aca="false">Country_Data!$DX$181+Sector_Params!$E$11</f>
        <v>0.15</v>
      </c>
      <c r="O1243" s="11" t="n">
        <f aca="false">IF(p_use_ibrd=1,p_r_ibrd,p_r_wb)</f>
        <v>0.06</v>
      </c>
      <c r="P1243" s="45" t="n">
        <f aca="false">Sector_Params!$D$11</f>
        <v>30</v>
      </c>
      <c r="Q1243" s="46" t="n">
        <f aca="false">M1243/(1-(1+M1243)^-P1243)</f>
        <v>0.110528481529605</v>
      </c>
      <c r="R1243" s="46" t="n">
        <f aca="false">N1243/(1-(1+N1243)^-P1243)</f>
        <v>0.152300198192734</v>
      </c>
      <c r="S1243" s="46" t="n">
        <f aca="false">O1243/(1-(1+O1243)^-P1243)</f>
        <v>0.0726489114900472</v>
      </c>
      <c r="T1243" s="37" t="n">
        <f aca="false">0*Sector_Params!$I$11</f>
        <v>0</v>
      </c>
      <c r="U1243" s="37" t="n">
        <f aca="false">p_c*Sector_Params!$J$11</f>
        <v>0.129</v>
      </c>
      <c r="V1243" s="37" t="n">
        <f aca="false">1000*p_r_wb/(1-(1+p_r_wb)^-Sector_Params!$D$11)/p_cpt_afolu</f>
        <v>1.45297822980094</v>
      </c>
      <c r="W1243" s="16" t="n">
        <f aca="false">T1243*L1243</f>
        <v>0</v>
      </c>
      <c r="X1243" s="16" t="n">
        <f aca="false">U1243*L1243</f>
        <v>0.000353306164154339</v>
      </c>
      <c r="Y1243" s="16" t="n">
        <f aca="false">V1243*L1243</f>
        <v>0.00397942763543204</v>
      </c>
      <c r="Z1243" s="16" t="n">
        <f aca="false">Q1243*L1243</f>
        <v>0.000302716231310298</v>
      </c>
      <c r="AA1243" s="16" t="n">
        <f aca="false">R1243*L1243</f>
        <v>0.000417120921111787</v>
      </c>
      <c r="AB1243" s="16" t="n">
        <f aca="false">S1243*L1243</f>
        <v>0.000198971381771602</v>
      </c>
      <c r="AC1243" s="16" t="n">
        <f aca="false">Z1243-W1243</f>
        <v>0.000302716231310298</v>
      </c>
      <c r="AD1243" s="16" t="n">
        <f aca="false">AA1243-W1243</f>
        <v>0.000417120921111787</v>
      </c>
      <c r="AE1243" s="16" t="n">
        <f aca="false">AB1243-W1243</f>
        <v>0.000198971381771602</v>
      </c>
      <c r="AF1243" s="16" t="n">
        <f aca="false">AE1243-X1243</f>
        <v>-0.000154334782382737</v>
      </c>
      <c r="AG1243" s="16" t="n">
        <f aca="false">AF1243-p_spc_lo*Y1243/1000</f>
        <v>-0.000353306164154339</v>
      </c>
      <c r="AH1243" s="16" t="n">
        <f aca="false">AF1243-p_spc_hi*Y1243/1000</f>
        <v>-0.00055227754592594</v>
      </c>
      <c r="AI1243" s="16" t="n">
        <f aca="false">Q1243*J1243</f>
        <v>0.00126131763045958</v>
      </c>
      <c r="AJ1243" s="16" t="n">
        <f aca="false">S1243*J1243</f>
        <v>0.000829047424048341</v>
      </c>
      <c r="AK1243" s="16" t="n">
        <f aca="false">T1243*J1243</f>
        <v>0</v>
      </c>
      <c r="AL1243" s="16" t="n">
        <f aca="false">U1243*J1243</f>
        <v>0.00147210901730974</v>
      </c>
      <c r="AM1243" s="16" t="n">
        <f aca="false">AI1243-AJ1243</f>
        <v>0.000432270206411235</v>
      </c>
      <c r="AN1243" s="16" t="n">
        <f aca="false">J1243*Country_Data!$EB$181</f>
        <v>0.0131000037857658</v>
      </c>
      <c r="AO1243" s="16" t="n">
        <f aca="false">L1243*Country_Data!$EB$181</f>
        <v>0.00314400090858379</v>
      </c>
    </row>
    <row r="1244" customFormat="false" ht="15" hidden="false" customHeight="false" outlineLevel="0" collapsed="false">
      <c r="A1244" s="14" t="str">
        <f aca="false">Country_Data!$A$182</f>
        <v>SMR</v>
      </c>
      <c r="B1244" s="14" t="str">
        <f aca="false">Country_Data!$E$182</f>
        <v>AE</v>
      </c>
      <c r="C1244" s="35" t="s">
        <v>466</v>
      </c>
      <c r="D1244" s="37" t="str">
        <f aca="false">IF(Country_Data!$BZ$182="","",Country_Data!$BZ$182)</f>
        <v/>
      </c>
      <c r="E1244" s="40" t="n">
        <f aca="false">Country_Data!$BW$182</f>
        <v>2.759</v>
      </c>
      <c r="F1244" s="41" t="n">
        <f aca="false">Country_Data!$BX$182</f>
        <v>0.756071040231968</v>
      </c>
      <c r="G1244" s="42" t="str">
        <f aca="false">IF(D1244="","",D1244/SUMIFS($D$5:$D$1369,$B$5:$B$1369,B1244,$C$5:$C$1369,C1244))</f>
        <v/>
      </c>
      <c r="H1244" s="42" t="n">
        <f aca="false">E1244/SUMIFS($E$5:$E$1369,$B$5:$B$1369,B1244,$C$5:$C$1369,C1244)</f>
        <v>3.49750296162694E-005</v>
      </c>
      <c r="I1244" s="43" t="n">
        <f aca="false">IF(G1244="",H1244,p_beta_alloc*G1244+(1-p_beta_alloc)*H1244)*F1244^p_phi</f>
        <v>3.04116086195629E-005</v>
      </c>
      <c r="J1244" s="16" t="n">
        <f aca="false">INDEX(Sector_Params!$C$16:$E$16,MATCH(B1244,Sector_Params!$C$15:$E$15,0))*I1244/SUMIFS($I$5:$I$1369,$B$5:$B$1369,B1244,$C$5:$C$1369,C1244)</f>
        <v>0.0272778541606063</v>
      </c>
      <c r="K1244" s="28" t="n">
        <f aca="false">INDEX(Sector_Params!$F$5:$H$5,MATCH(B1244,Sector_Params!$C$15:$E$15,0))</f>
        <v>0.38</v>
      </c>
      <c r="L1244" s="16" t="n">
        <f aca="false">J1244*K1244</f>
        <v>0.0103655845810304</v>
      </c>
      <c r="M1244" s="44" t="n">
        <f aca="false">Country_Data!$DW$182+Sector_Params!$E$5</f>
        <v>0.055</v>
      </c>
      <c r="N1244" s="44" t="n">
        <f aca="false">Country_Data!$DX$182+Sector_Params!$E$5</f>
        <v>0.07</v>
      </c>
      <c r="O1244" s="11" t="n">
        <f aca="false">IF(p_use_ibrd=1,p_r_ibrd,p_r_wb)</f>
        <v>0.06</v>
      </c>
      <c r="P1244" s="45" t="n">
        <f aca="false">Sector_Params!$D$5</f>
        <v>25</v>
      </c>
      <c r="Q1244" s="46" t="n">
        <f aca="false">M1244/(1-(1+M1244)^-P1244)</f>
        <v>0.0745493529464385</v>
      </c>
      <c r="R1244" s="46" t="n">
        <f aca="false">N1244/(1-(1+N1244)^-P1244)</f>
        <v>0.0858105172206656</v>
      </c>
      <c r="S1244" s="46" t="n">
        <f aca="false">O1244/(1-(1+O1244)^-P1244)</f>
        <v>0.078226718212274</v>
      </c>
      <c r="T1244" s="37" t="n">
        <f aca="false">IF(AND(p_eng=1,ISNUMBER(Country_Data!$CZ$182)),Country_Data!$CZ$182,Country_Data!$CM$182)*Sector_Params!$I$5</f>
        <v>0.133</v>
      </c>
      <c r="U1244" s="37" t="n">
        <f aca="false">IF(AND(p_eng=1,ISNUMBER(Country_Data!$DA$182)),Country_Data!$DA$182,Country_Data!$CN$182)*Sector_Params!$J$5</f>
        <v>0.129</v>
      </c>
      <c r="V1244" s="37" t="n">
        <f aca="false">IF(AND(p_eng=1,ISNUMBER(Country_Data!$DB$182)),Country_Data!$DB$182,p_a)</f>
        <v>0.35</v>
      </c>
      <c r="W1244" s="16" t="n">
        <f aca="false">T1244*L1244</f>
        <v>0.00137862274927704</v>
      </c>
      <c r="X1244" s="16" t="n">
        <f aca="false">U1244*L1244</f>
        <v>0.00133716041095292</v>
      </c>
      <c r="Y1244" s="16" t="n">
        <f aca="false">V1244*L1244</f>
        <v>0.00362795460336064</v>
      </c>
      <c r="Z1244" s="16" t="n">
        <f aca="false">Q1244*L1244</f>
        <v>0.000772747623427397</v>
      </c>
      <c r="AA1244" s="16" t="n">
        <f aca="false">R1244*L1244</f>
        <v>0.000889476174192775</v>
      </c>
      <c r="AB1244" s="16" t="n">
        <f aca="false">S1244*L1244</f>
        <v>0.000810865664125757</v>
      </c>
      <c r="AC1244" s="16" t="n">
        <f aca="false">Z1244-W1244</f>
        <v>-0.000605875125849647</v>
      </c>
      <c r="AD1244" s="16" t="n">
        <f aca="false">AA1244-W1244</f>
        <v>-0.000489146575084269</v>
      </c>
      <c r="AE1244" s="16" t="n">
        <f aca="false">AB1244-W1244</f>
        <v>-0.000567757085151287</v>
      </c>
      <c r="AF1244" s="16" t="n">
        <f aca="false">AE1244-X1244</f>
        <v>-0.00190491749610421</v>
      </c>
      <c r="AG1244" s="16" t="n">
        <f aca="false">AF1244-p_spc_lo*Y1244/1000</f>
        <v>-0.00208631522627224</v>
      </c>
      <c r="AH1244" s="16" t="n">
        <f aca="false">AF1244-p_spc_hi*Y1244/1000</f>
        <v>-0.00226771295644027</v>
      </c>
      <c r="AI1244" s="16" t="n">
        <f aca="false">Q1244*J1244</f>
        <v>0.00203354637744052</v>
      </c>
      <c r="AJ1244" s="16" t="n">
        <f aca="false">S1244*J1244</f>
        <v>0.00213385701085726</v>
      </c>
      <c r="AK1244" s="16" t="n">
        <f aca="false">T1244*J1244</f>
        <v>0.00362795460336064</v>
      </c>
      <c r="AL1244" s="16" t="n">
        <f aca="false">U1244*J1244</f>
        <v>0.00351884318671822</v>
      </c>
      <c r="AM1244" s="16" t="n">
        <f aca="false">AI1244-AJ1244</f>
        <v>-0.000100310633416738</v>
      </c>
      <c r="AN1244" s="16" t="n">
        <f aca="false">J1244*Country_Data!$EB$182</f>
        <v>0.0285006545195301</v>
      </c>
      <c r="AO1244" s="16" t="n">
        <f aca="false">L1244*Country_Data!$EB$182</f>
        <v>0.0108302487174214</v>
      </c>
    </row>
    <row r="1245" customFormat="false" ht="15" hidden="false" customHeight="false" outlineLevel="0" collapsed="false">
      <c r="A1245" s="14" t="str">
        <f aca="false">Country_Data!$A$182</f>
        <v>SMR</v>
      </c>
      <c r="B1245" s="14" t="str">
        <f aca="false">Country_Data!$E$182</f>
        <v>AE</v>
      </c>
      <c r="C1245" s="35" t="s">
        <v>470</v>
      </c>
      <c r="D1245" s="37" t="str">
        <f aca="false">IF(Country_Data!$BZ$182="","",Country_Data!$BZ$182)</f>
        <v/>
      </c>
      <c r="E1245" s="40" t="n">
        <f aca="false">Country_Data!$BW$182</f>
        <v>2.759</v>
      </c>
      <c r="F1245" s="41" t="n">
        <f aca="false">Country_Data!$BX$182</f>
        <v>0.756071040231968</v>
      </c>
      <c r="G1245" s="42" t="str">
        <f aca="false">IF(D1245="","",D1245/SUMIFS($D$5:$D$1369,$B$5:$B$1369,B1245,$C$5:$C$1369,C1245))</f>
        <v/>
      </c>
      <c r="H1245" s="42" t="n">
        <f aca="false">E1245/SUMIFS($E$5:$E$1369,$B$5:$B$1369,B1245,$C$5:$C$1369,C1245)</f>
        <v>3.49750296162694E-005</v>
      </c>
      <c r="I1245" s="43" t="n">
        <f aca="false">IF(G1245="",H1245,p_beta_alloc*G1245+(1-p_beta_alloc)*H1245)*F1245^p_phi</f>
        <v>3.04116086195629E-005</v>
      </c>
      <c r="J1245" s="16" t="n">
        <f aca="false">INDEX(Sector_Params!$C$17:$E$17,MATCH(B1245,Sector_Params!$C$15:$E$15,0))*I1245/SUMIFS($I$5:$I$1369,$B$5:$B$1369,B1245,$C$5:$C$1369,C1245)</f>
        <v>0.0187048142815586</v>
      </c>
      <c r="K1245" s="28" t="n">
        <f aca="false">INDEX(Sector_Params!$F$6:$H$6,MATCH(B1245,Sector_Params!$C$15:$E$15,0))</f>
        <v>0.38</v>
      </c>
      <c r="L1245" s="16" t="n">
        <f aca="false">J1245*K1245</f>
        <v>0.00710782942699228</v>
      </c>
      <c r="M1245" s="44" t="n">
        <f aca="false">Country_Data!$DW$182+Sector_Params!$E$6</f>
        <v>0.055</v>
      </c>
      <c r="N1245" s="44" t="n">
        <f aca="false">Country_Data!$DX$182+Sector_Params!$E$6</f>
        <v>0.07</v>
      </c>
      <c r="O1245" s="11" t="n">
        <f aca="false">IF(p_use_ibrd=1,p_r_ibrd,p_r_wb)</f>
        <v>0.06</v>
      </c>
      <c r="P1245" s="45" t="n">
        <f aca="false">Sector_Params!$D$6</f>
        <v>40</v>
      </c>
      <c r="Q1245" s="46" t="n">
        <f aca="false">M1245/(1-(1+M1245)^-P1245)</f>
        <v>0.062320343360638</v>
      </c>
      <c r="R1245" s="46" t="n">
        <f aca="false">N1245/(1-(1+N1245)^-P1245)</f>
        <v>0.0750091388736103</v>
      </c>
      <c r="S1245" s="46" t="n">
        <f aca="false">O1245/(1-(1+O1245)^-P1245)</f>
        <v>0.0664615359206755</v>
      </c>
      <c r="T1245" s="37" t="n">
        <f aca="false">p_grid_credit*IF(AND(p_eng=1,ISNUMBER(Country_Data!$CZ$182)),Country_Data!$CZ$182,Country_Data!$CM$182)*Sector_Params!$I$6</f>
        <v>0</v>
      </c>
      <c r="U1245" s="37" t="n">
        <f aca="false">p_grid_credit*IF(AND(p_eng=1,ISNUMBER(Country_Data!$DA$182)),Country_Data!$DA$182,Country_Data!$CN$182)*Sector_Params!$J$6</f>
        <v>0</v>
      </c>
      <c r="V1245" s="37" t="n">
        <f aca="false">p_grid_credit*IF(AND(p_eng=1,ISNUMBER(Country_Data!$DB$182)),Country_Data!$DB$182,p_a)</f>
        <v>0</v>
      </c>
      <c r="W1245" s="16" t="n">
        <f aca="false">T1245*L1245</f>
        <v>0</v>
      </c>
      <c r="X1245" s="16" t="n">
        <f aca="false">U1245*L1245</f>
        <v>0</v>
      </c>
      <c r="Y1245" s="16" t="n">
        <f aca="false">V1245*L1245</f>
        <v>0</v>
      </c>
      <c r="Z1245" s="16" t="n">
        <f aca="false">Q1245*L1245</f>
        <v>0.000442962370439005</v>
      </c>
      <c r="AA1245" s="16" t="n">
        <f aca="false">R1245*L1245</f>
        <v>0.000533152164579198</v>
      </c>
      <c r="AB1245" s="16" t="n">
        <f aca="false">S1245*L1245</f>
        <v>0.000472397260780082</v>
      </c>
      <c r="AC1245" s="16" t="n">
        <f aca="false">Z1245-W1245</f>
        <v>0.000442962370439005</v>
      </c>
      <c r="AD1245" s="16" t="n">
        <f aca="false">AA1245-W1245</f>
        <v>0.000533152164579198</v>
      </c>
      <c r="AE1245" s="16" t="n">
        <f aca="false">AB1245-W1245</f>
        <v>0.000472397260780082</v>
      </c>
      <c r="AF1245" s="16" t="n">
        <f aca="false">AE1245-X1245</f>
        <v>0.000472397260780082</v>
      </c>
      <c r="AG1245" s="16" t="n">
        <f aca="false">AF1245-p_spc_lo*Y1245/1000</f>
        <v>0.000472397260780082</v>
      </c>
      <c r="AH1245" s="16" t="n">
        <f aca="false">AF1245-p_spc_hi*Y1245/1000</f>
        <v>0.000472397260780082</v>
      </c>
      <c r="AI1245" s="16" t="n">
        <f aca="false">Q1245*J1245</f>
        <v>0.0011656904485237</v>
      </c>
      <c r="AJ1245" s="16" t="n">
        <f aca="false">S1245*J1245</f>
        <v>0.00124315068626337</v>
      </c>
      <c r="AK1245" s="16" t="n">
        <f aca="false">T1245*J1245</f>
        <v>0</v>
      </c>
      <c r="AL1245" s="16" t="n">
        <f aca="false">U1245*J1245</f>
        <v>0</v>
      </c>
      <c r="AM1245" s="16" t="n">
        <f aca="false">AI1245-AJ1245</f>
        <v>-7.74602377396746E-005</v>
      </c>
      <c r="AN1245" s="16" t="n">
        <f aca="false">J1245*Country_Data!$EB$182</f>
        <v>0.0195433059562492</v>
      </c>
      <c r="AO1245" s="16" t="n">
        <f aca="false">L1245*Country_Data!$EB$182</f>
        <v>0.00742645626337469</v>
      </c>
    </row>
    <row r="1246" customFormat="false" ht="15" hidden="false" customHeight="false" outlineLevel="0" collapsed="false">
      <c r="A1246" s="14" t="str">
        <f aca="false">Country_Data!$A$182</f>
        <v>SMR</v>
      </c>
      <c r="B1246" s="14" t="str">
        <f aca="false">Country_Data!$E$182</f>
        <v>AE</v>
      </c>
      <c r="C1246" s="35" t="s">
        <v>473</v>
      </c>
      <c r="D1246" s="37" t="str">
        <f aca="false">IF(Country_Data!$CA$182="","",Country_Data!$CA$182)</f>
        <v/>
      </c>
      <c r="E1246" s="40" t="n">
        <f aca="false">Country_Data!$BW$182</f>
        <v>2.759</v>
      </c>
      <c r="F1246" s="41" t="n">
        <f aca="false">Country_Data!$BX$182</f>
        <v>0.756071040231968</v>
      </c>
      <c r="G1246" s="42" t="str">
        <f aca="false">IF(D1246="","",D1246/SUMIFS($D$5:$D$1369,$B$5:$B$1369,B1246,$C$5:$C$1369,C1246))</f>
        <v/>
      </c>
      <c r="H1246" s="42" t="n">
        <f aca="false">E1246/SUMIFS($E$5:$E$1369,$B$5:$B$1369,B1246,$C$5:$C$1369,C1246)</f>
        <v>3.49750296162694E-005</v>
      </c>
      <c r="I1246" s="43" t="n">
        <f aca="false">IF(G1246="",H1246,p_beta_alloc*G1246+(1-p_beta_alloc)*H1246)*F1246^p_phi</f>
        <v>3.04116086195629E-005</v>
      </c>
      <c r="J1246" s="16" t="n">
        <f aca="false">INDEX(Sector_Params!$C$18:$E$18,MATCH(B1246,Sector_Params!$C$15:$E$15,0))*I1246/SUMIFS($I$5:$I$1369,$B$5:$B$1369,B1246,$C$5:$C$1369,C1246)</f>
        <v>0.0114607108329822</v>
      </c>
      <c r="K1246" s="28" t="n">
        <f aca="false">INDEX(Sector_Params!$F$7:$H$7,MATCH(B1246,Sector_Params!$C$15:$E$15,0))</f>
        <v>0.38</v>
      </c>
      <c r="L1246" s="16" t="n">
        <f aca="false">J1246*K1246</f>
        <v>0.00435507011653322</v>
      </c>
      <c r="M1246" s="44" t="n">
        <f aca="false">Country_Data!$DW$182+Sector_Params!$E$7</f>
        <v>0.055</v>
      </c>
      <c r="N1246" s="44" t="n">
        <f aca="false">Country_Data!$DX$182+Sector_Params!$E$7</f>
        <v>0.07</v>
      </c>
      <c r="O1246" s="11" t="n">
        <f aca="false">IF(p_use_ibrd=1,p_r_ibrd,p_r_wb)</f>
        <v>0.06</v>
      </c>
      <c r="P1246" s="45" t="n">
        <f aca="false">Sector_Params!$D$7</f>
        <v>12</v>
      </c>
      <c r="Q1246" s="46" t="n">
        <f aca="false">M1246/(1-(1+M1246)^-P1246)</f>
        <v>0.116029231191614</v>
      </c>
      <c r="R1246" s="46" t="n">
        <f aca="false">N1246/(1-(1+N1246)^-P1246)</f>
        <v>0.12590198865502</v>
      </c>
      <c r="S1246" s="46" t="n">
        <f aca="false">O1246/(1-(1+O1246)^-P1246)</f>
        <v>0.119277029380664</v>
      </c>
      <c r="T1246" s="37" t="n">
        <f aca="false">IF(AND(p_eng=1,ISNUMBER(Country_Data!$DE$182)),Country_Data!$DE$182,Country_Data!$CM$182)*Sector_Params!$I$7</f>
        <v>0.133</v>
      </c>
      <c r="U1246" s="37" t="n">
        <f aca="false">IF(AND(p_eng=1,ISNUMBER(Country_Data!$DF$182)),Country_Data!$DF$182,Country_Data!$CN$182)*Sector_Params!$J$7</f>
        <v>0.129</v>
      </c>
      <c r="V1246" s="37" t="n">
        <f aca="false">IF(AND(p_eng=1,ISNUMBER(Country_Data!$DG$182)),Country_Data!$DG$182,p_a)</f>
        <v>0.35</v>
      </c>
      <c r="W1246" s="16" t="n">
        <f aca="false">T1246*L1246</f>
        <v>0.000579224325498919</v>
      </c>
      <c r="X1246" s="16" t="n">
        <f aca="false">U1246*L1246</f>
        <v>0.000561804045032786</v>
      </c>
      <c r="Y1246" s="16" t="n">
        <f aca="false">V1246*L1246</f>
        <v>0.00152427454078663</v>
      </c>
      <c r="Z1246" s="16" t="n">
        <f aca="false">Q1246*L1246</f>
        <v>0.000505315437406925</v>
      </c>
      <c r="AA1246" s="16" t="n">
        <f aca="false">R1246*L1246</f>
        <v>0.000548311988403584</v>
      </c>
      <c r="AB1246" s="16" t="n">
        <f aca="false">S1246*L1246</f>
        <v>0.000519459826244583</v>
      </c>
      <c r="AC1246" s="16" t="n">
        <f aca="false">Z1246-W1246</f>
        <v>-7.39088880919941E-005</v>
      </c>
      <c r="AD1246" s="16" t="n">
        <f aca="false">AA1246-W1246</f>
        <v>-3.09123370953343E-005</v>
      </c>
      <c r="AE1246" s="16" t="n">
        <f aca="false">AB1246-W1246</f>
        <v>-5.97644992543356E-005</v>
      </c>
      <c r="AF1246" s="16" t="n">
        <f aca="false">AE1246-X1246</f>
        <v>-0.000621568544287121</v>
      </c>
      <c r="AG1246" s="16" t="n">
        <f aca="false">AF1246-p_spc_lo*Y1246/1000</f>
        <v>-0.000697782271326453</v>
      </c>
      <c r="AH1246" s="16" t="n">
        <f aca="false">AF1246-p_spc_hi*Y1246/1000</f>
        <v>-0.000773995998365784</v>
      </c>
      <c r="AI1246" s="16" t="n">
        <f aca="false">Q1246*J1246</f>
        <v>0.00132977746686033</v>
      </c>
      <c r="AJ1246" s="16" t="n">
        <f aca="false">S1246*J1246</f>
        <v>0.0013669995427489</v>
      </c>
      <c r="AK1246" s="16" t="n">
        <f aca="false">T1246*J1246</f>
        <v>0.00152427454078663</v>
      </c>
      <c r="AL1246" s="16" t="n">
        <f aca="false">U1246*J1246</f>
        <v>0.0014784316974547</v>
      </c>
      <c r="AM1246" s="16" t="n">
        <f aca="false">AI1246-AJ1246</f>
        <v>-3.72220758885751E-005</v>
      </c>
      <c r="AN1246" s="16" t="n">
        <f aca="false">J1246*Country_Data!$EB$182</f>
        <v>0.01197446683584</v>
      </c>
      <c r="AO1246" s="16" t="n">
        <f aca="false">L1246*Country_Data!$EB$182</f>
        <v>0.0045502973976192</v>
      </c>
    </row>
    <row r="1247" customFormat="false" ht="15" hidden="false" customHeight="false" outlineLevel="0" collapsed="false">
      <c r="A1247" s="14" t="str">
        <f aca="false">Country_Data!$A$182</f>
        <v>SMR</v>
      </c>
      <c r="B1247" s="14" t="str">
        <f aca="false">Country_Data!$E$182</f>
        <v>AE</v>
      </c>
      <c r="C1247" s="35" t="s">
        <v>477</v>
      </c>
      <c r="D1247" s="37" t="str">
        <f aca="false">IF(Country_Data!$CB$182="","",Country_Data!$CB$182)</f>
        <v/>
      </c>
      <c r="E1247" s="40" t="n">
        <f aca="false">Country_Data!$BW$182</f>
        <v>2.759</v>
      </c>
      <c r="F1247" s="41" t="n">
        <f aca="false">Country_Data!$BX$182</f>
        <v>0.756071040231968</v>
      </c>
      <c r="G1247" s="42" t="str">
        <f aca="false">IF(D1247="","",D1247/SUMIFS($D$5:$D$1369,$B$5:$B$1369,B1247,$C$5:$C$1369,C1247))</f>
        <v/>
      </c>
      <c r="H1247" s="42" t="n">
        <f aca="false">E1247/SUMIFS($E$5:$E$1369,$B$5:$B$1369,B1247,$C$5:$C$1369,C1247)</f>
        <v>3.49750296162694E-005</v>
      </c>
      <c r="I1247" s="43" t="n">
        <f aca="false">IF(G1247="",H1247,p_beta_alloc*G1247+(1-p_beta_alloc)*H1247)*F1247^p_phi</f>
        <v>3.04116086195629E-005</v>
      </c>
      <c r="J1247" s="16" t="n">
        <f aca="false">INDEX(Sector_Params!$C$19:$E$19,MATCH(B1247,Sector_Params!$C$15:$E$15,0))*I1247/SUMIFS($I$5:$I$1369,$B$5:$B$1369,B1247,$C$5:$C$1369,C1247)</f>
        <v>0.00893970272598136</v>
      </c>
      <c r="K1247" s="28" t="n">
        <f aca="false">INDEX(Sector_Params!$F$8:$H$8,MATCH(B1247,Sector_Params!$C$15:$E$15,0))</f>
        <v>0.38</v>
      </c>
      <c r="L1247" s="16" t="n">
        <f aca="false">J1247*K1247</f>
        <v>0.00339708703587292</v>
      </c>
      <c r="M1247" s="44" t="n">
        <f aca="false">Country_Data!$DW$182+Sector_Params!$E$8</f>
        <v>0.055</v>
      </c>
      <c r="N1247" s="44" t="n">
        <f aca="false">Country_Data!$DX$182+Sector_Params!$E$8</f>
        <v>0.07</v>
      </c>
      <c r="O1247" s="11" t="n">
        <f aca="false">IF(p_use_ibrd=1,p_r_ibrd,p_r_wb)</f>
        <v>0.06</v>
      </c>
      <c r="P1247" s="45" t="n">
        <f aca="false">Sector_Params!$D$8</f>
        <v>25</v>
      </c>
      <c r="Q1247" s="46" t="n">
        <f aca="false">M1247/(1-(1+M1247)^-P1247)</f>
        <v>0.0745493529464385</v>
      </c>
      <c r="R1247" s="46" t="n">
        <f aca="false">N1247/(1-(1+N1247)^-P1247)</f>
        <v>0.0858105172206656</v>
      </c>
      <c r="S1247" s="46" t="n">
        <f aca="false">O1247/(1-(1+O1247)^-P1247)</f>
        <v>0.078226718212274</v>
      </c>
      <c r="T1247" s="37" t="n">
        <f aca="false">Country_Data!$CM$182*Sector_Params!$I$8</f>
        <v>0.133</v>
      </c>
      <c r="U1247" s="37" t="n">
        <f aca="false">Country_Data!$CN$182*Sector_Params!$J$8</f>
        <v>0.129</v>
      </c>
      <c r="V1247" s="37" t="n">
        <f aca="false">p_a</f>
        <v>0.35</v>
      </c>
      <c r="W1247" s="16" t="n">
        <f aca="false">T1247*L1247</f>
        <v>0.000451812575771098</v>
      </c>
      <c r="X1247" s="16" t="n">
        <f aca="false">U1247*L1247</f>
        <v>0.000438224227627606</v>
      </c>
      <c r="Y1247" s="16" t="n">
        <f aca="false">V1247*L1247</f>
        <v>0.00118898046255552</v>
      </c>
      <c r="Z1247" s="16" t="n">
        <f aca="false">Q1247*L1247</f>
        <v>0.000253250640427061</v>
      </c>
      <c r="AA1247" s="16" t="n">
        <f aca="false">R1247*L1247</f>
        <v>0.000291505795591873</v>
      </c>
      <c r="AB1247" s="16" t="n">
        <f aca="false">S1247*L1247</f>
        <v>0.0002657429702978</v>
      </c>
      <c r="AC1247" s="16" t="n">
        <f aca="false">Z1247-W1247</f>
        <v>-0.000198561935344037</v>
      </c>
      <c r="AD1247" s="16" t="n">
        <f aca="false">AA1247-W1247</f>
        <v>-0.000160306780179225</v>
      </c>
      <c r="AE1247" s="16" t="n">
        <f aca="false">AB1247-W1247</f>
        <v>-0.000186069605473298</v>
      </c>
      <c r="AF1247" s="16" t="n">
        <f aca="false">AE1247-X1247</f>
        <v>-0.000624293833100905</v>
      </c>
      <c r="AG1247" s="16" t="n">
        <f aca="false">AF1247-p_spc_lo*Y1247/1000</f>
        <v>-0.000683742856228681</v>
      </c>
      <c r="AH1247" s="16" t="n">
        <f aca="false">AF1247-p_spc_hi*Y1247/1000</f>
        <v>-0.000743191879356457</v>
      </c>
      <c r="AI1247" s="16" t="n">
        <f aca="false">Q1247*J1247</f>
        <v>0.000666449053755423</v>
      </c>
      <c r="AJ1247" s="16" t="n">
        <f aca="false">S1247*J1247</f>
        <v>0.000699323606046842</v>
      </c>
      <c r="AK1247" s="16" t="n">
        <f aca="false">T1247*J1247</f>
        <v>0.00118898046255552</v>
      </c>
      <c r="AL1247" s="16" t="n">
        <f aca="false">U1247*J1247</f>
        <v>0.0011532216516516</v>
      </c>
      <c r="AM1247" s="16" t="n">
        <f aca="false">AI1247-AJ1247</f>
        <v>-3.28745522914181E-005</v>
      </c>
      <c r="AN1247" s="16" t="n">
        <f aca="false">J1247*Country_Data!$EB$182</f>
        <v>0.00934044802059432</v>
      </c>
      <c r="AO1247" s="16" t="n">
        <f aca="false">L1247*Country_Data!$EB$182</f>
        <v>0.00354937024782584</v>
      </c>
    </row>
    <row r="1248" customFormat="false" ht="15" hidden="false" customHeight="false" outlineLevel="0" collapsed="false">
      <c r="A1248" s="14" t="str">
        <f aca="false">Country_Data!$A$182</f>
        <v>SMR</v>
      </c>
      <c r="B1248" s="14" t="str">
        <f aca="false">Country_Data!$E$182</f>
        <v>AE</v>
      </c>
      <c r="C1248" s="35" t="s">
        <v>481</v>
      </c>
      <c r="D1248" s="37" t="str">
        <f aca="false">IF(Country_Data!$CC$182="","",Country_Data!$CC$182)</f>
        <v/>
      </c>
      <c r="E1248" s="40" t="n">
        <f aca="false">Country_Data!$BW$182</f>
        <v>2.759</v>
      </c>
      <c r="F1248" s="41" t="n">
        <f aca="false">Country_Data!$BX$182</f>
        <v>0.756071040231968</v>
      </c>
      <c r="G1248" s="42" t="str">
        <f aca="false">IF(D1248="","",D1248/SUMIFS($D$5:$D$1369,$B$5:$B$1369,B1248,$C$5:$C$1369,C1248))</f>
        <v/>
      </c>
      <c r="H1248" s="42" t="n">
        <f aca="false">E1248/SUMIFS($E$5:$E$1369,$B$5:$B$1369,B1248,$C$5:$C$1369,C1248)</f>
        <v>3.49750296162694E-005</v>
      </c>
      <c r="I1248" s="43" t="n">
        <f aca="false">IF(G1248="",H1248,p_beta_alloc*G1248+(1-p_beta_alloc)*H1248)*F1248^p_phi</f>
        <v>3.04116086195629E-005</v>
      </c>
      <c r="J1248" s="16" t="n">
        <f aca="false">INDEX(Sector_Params!$C$20:$E$20,MATCH(B1248,Sector_Params!$C$15:$E$15,0))*I1248/SUMIFS($I$5:$I$1369,$B$5:$B$1369,B1248,$C$5:$C$1369,C1248)</f>
        <v>0.00516441883845089</v>
      </c>
      <c r="K1248" s="28" t="n">
        <f aca="false">INDEX(Sector_Params!$F$9:$H$9,MATCH(B1248,Sector_Params!$C$15:$E$15,0))</f>
        <v>0.38</v>
      </c>
      <c r="L1248" s="16" t="n">
        <f aca="false">J1248*K1248</f>
        <v>0.00196247915861134</v>
      </c>
      <c r="M1248" s="44" t="n">
        <f aca="false">Country_Data!$DW$182+Sector_Params!$E$9</f>
        <v>0.055</v>
      </c>
      <c r="N1248" s="44" t="n">
        <f aca="false">Country_Data!$DX$182+Sector_Params!$E$9</f>
        <v>0.07</v>
      </c>
      <c r="O1248" s="11" t="n">
        <f aca="false">IF(p_use_ibrd=1,p_r_ibrd,p_r_wb)</f>
        <v>0.06</v>
      </c>
      <c r="P1248" s="45" t="n">
        <f aca="false">Sector_Params!$D$9</f>
        <v>25</v>
      </c>
      <c r="Q1248" s="46" t="n">
        <f aca="false">M1248/(1-(1+M1248)^-P1248)</f>
        <v>0.0745493529464385</v>
      </c>
      <c r="R1248" s="46" t="n">
        <f aca="false">N1248/(1-(1+N1248)^-P1248)</f>
        <v>0.0858105172206656</v>
      </c>
      <c r="S1248" s="46" t="n">
        <f aca="false">O1248/(1-(1+O1248)^-P1248)</f>
        <v>0.078226718212274</v>
      </c>
      <c r="T1248" s="37" t="n">
        <f aca="false">Country_Data!$CM$182*Sector_Params!$I$9</f>
        <v>0.133</v>
      </c>
      <c r="U1248" s="37" t="n">
        <f aca="false">Country_Data!$CN$182*Sector_Params!$J$9</f>
        <v>0.129</v>
      </c>
      <c r="V1248" s="37" t="n">
        <f aca="false">p_a</f>
        <v>0.35</v>
      </c>
      <c r="W1248" s="16" t="n">
        <f aca="false">T1248*L1248</f>
        <v>0.000261009728095308</v>
      </c>
      <c r="X1248" s="16" t="n">
        <f aca="false">U1248*L1248</f>
        <v>0.000253159811460863</v>
      </c>
      <c r="Y1248" s="16" t="n">
        <f aca="false">V1248*L1248</f>
        <v>0.000686867705513969</v>
      </c>
      <c r="Z1248" s="16" t="n">
        <f aca="false">Q1248*L1248</f>
        <v>0.000146301551445346</v>
      </c>
      <c r="AA1248" s="16" t="n">
        <f aca="false">R1248*L1248</f>
        <v>0.000168401351635216</v>
      </c>
      <c r="AB1248" s="16" t="n">
        <f aca="false">S1248*L1248</f>
        <v>0.00015351830413815</v>
      </c>
      <c r="AC1248" s="16" t="n">
        <f aca="false">Z1248-W1248</f>
        <v>-0.000114708176649962</v>
      </c>
      <c r="AD1248" s="16" t="n">
        <f aca="false">AA1248-W1248</f>
        <v>-9.26083764600925E-005</v>
      </c>
      <c r="AE1248" s="16" t="n">
        <f aca="false">AB1248-W1248</f>
        <v>-0.000107491423957158</v>
      </c>
      <c r="AF1248" s="16" t="n">
        <f aca="false">AE1248-X1248</f>
        <v>-0.000360651235418021</v>
      </c>
      <c r="AG1248" s="16" t="n">
        <f aca="false">AF1248-p_spc_lo*Y1248/1000</f>
        <v>-0.00039499462069372</v>
      </c>
      <c r="AH1248" s="16" t="n">
        <f aca="false">AF1248-p_spc_hi*Y1248/1000</f>
        <v>-0.000429338005969418</v>
      </c>
      <c r="AI1248" s="16" t="n">
        <f aca="false">Q1248*J1248</f>
        <v>0.000385004082750912</v>
      </c>
      <c r="AJ1248" s="16" t="n">
        <f aca="false">S1248*J1248</f>
        <v>0.000403995537205657</v>
      </c>
      <c r="AK1248" s="16" t="n">
        <f aca="false">T1248*J1248</f>
        <v>0.000686867705513969</v>
      </c>
      <c r="AL1248" s="16" t="n">
        <f aca="false">U1248*J1248</f>
        <v>0.000666210030160165</v>
      </c>
      <c r="AM1248" s="16" t="n">
        <f aca="false">AI1248-AJ1248</f>
        <v>-1.89914544547454E-005</v>
      </c>
      <c r="AN1248" s="16" t="n">
        <f aca="false">J1248*Country_Data!$EB$182</f>
        <v>0.00539592726914007</v>
      </c>
      <c r="AO1248" s="16" t="n">
        <f aca="false">L1248*Country_Data!$EB$182</f>
        <v>0.00205045236227323</v>
      </c>
    </row>
    <row r="1249" customFormat="false" ht="15" hidden="false" customHeight="false" outlineLevel="0" collapsed="false">
      <c r="A1249" s="14" t="str">
        <f aca="false">Country_Data!$A$182</f>
        <v>SMR</v>
      </c>
      <c r="B1249" s="14" t="str">
        <f aca="false">Country_Data!$E$182</f>
        <v>AE</v>
      </c>
      <c r="C1249" s="35" t="s">
        <v>484</v>
      </c>
      <c r="D1249" s="37" t="str">
        <f aca="false">IF(Country_Data!$CD$182="","",Country_Data!$CD$182)</f>
        <v/>
      </c>
      <c r="E1249" s="40" t="n">
        <f aca="false">Country_Data!$BW$182</f>
        <v>2.759</v>
      </c>
      <c r="F1249" s="41" t="n">
        <f aca="false">Country_Data!$BX$182</f>
        <v>0.756071040231968</v>
      </c>
      <c r="G1249" s="42" t="str">
        <f aca="false">IF(D1249="","",D1249/SUMIFS($D$5:$D$1369,$B$5:$B$1369,B1249,$C$5:$C$1369,C1249))</f>
        <v/>
      </c>
      <c r="H1249" s="42" t="n">
        <f aca="false">E1249/SUMIFS($E$5:$E$1369,$B$5:$B$1369,B1249,$C$5:$C$1369,C1249)</f>
        <v>3.49750296162694E-005</v>
      </c>
      <c r="I1249" s="43" t="n">
        <f aca="false">IF(G1249="",H1249,p_beta_alloc*G1249+(1-p_beta_alloc)*H1249)*F1249^p_phi</f>
        <v>3.04116086195629E-005</v>
      </c>
      <c r="J1249" s="16" t="n">
        <f aca="false">INDEX(Sector_Params!$C$21:$E$21,MATCH(B1249,Sector_Params!$C$15:$E$15,0))*I1249/SUMIFS($I$5:$I$1369,$B$5:$B$1369,B1249,$C$5:$C$1369,C1249)</f>
        <v>0.00619635721950071</v>
      </c>
      <c r="K1249" s="28" t="n">
        <f aca="false">INDEX(Sector_Params!$F$10:$H$10,MATCH(B1249,Sector_Params!$C$15:$E$15,0))</f>
        <v>0.38</v>
      </c>
      <c r="L1249" s="16" t="n">
        <f aca="false">J1249*K1249</f>
        <v>0.00235461574341027</v>
      </c>
      <c r="M1249" s="44" t="n">
        <f aca="false">Country_Data!$DW$182+Sector_Params!$E$10</f>
        <v>0.055</v>
      </c>
      <c r="N1249" s="44" t="n">
        <f aca="false">Country_Data!$DX$182+Sector_Params!$E$10</f>
        <v>0.07</v>
      </c>
      <c r="O1249" s="11" t="n">
        <f aca="false">IF(p_use_ibrd=1,p_r_ibrd,p_r_wb)</f>
        <v>0.06</v>
      </c>
      <c r="P1249" s="45" t="n">
        <f aca="false">Sector_Params!$D$10</f>
        <v>20</v>
      </c>
      <c r="Q1249" s="46" t="n">
        <f aca="false">M1249/(1-(1+M1249)^-P1249)</f>
        <v>0.0836793300349332</v>
      </c>
      <c r="R1249" s="46" t="n">
        <f aca="false">N1249/(1-(1+N1249)^-P1249)</f>
        <v>0.0943929257432557</v>
      </c>
      <c r="S1249" s="46" t="n">
        <f aca="false">O1249/(1-(1+O1249)^-P1249)</f>
        <v>0.0871845569768514</v>
      </c>
      <c r="T1249" s="37" t="n">
        <f aca="false">0*Sector_Params!$I$10</f>
        <v>0</v>
      </c>
      <c r="U1249" s="37" t="n">
        <f aca="false">0*Sector_Params!$J$10</f>
        <v>0</v>
      </c>
      <c r="V1249" s="37" t="n">
        <f aca="false">1000*p_r_wb/(1-(1+p_r_wb)^-Sector_Params!$D$10)/p_cpt_fuel</f>
        <v>0.871845569768514</v>
      </c>
      <c r="W1249" s="16" t="n">
        <f aca="false">T1249*L1249</f>
        <v>0</v>
      </c>
      <c r="X1249" s="16" t="n">
        <f aca="false">U1249*L1249</f>
        <v>0</v>
      </c>
      <c r="Y1249" s="16" t="n">
        <f aca="false">V1249*L1249</f>
        <v>0.00205286130439944</v>
      </c>
      <c r="Z1249" s="16" t="n">
        <f aca="false">Q1249*L1249</f>
        <v>0.000197032667898278</v>
      </c>
      <c r="AA1249" s="16" t="n">
        <f aca="false">R1249*L1249</f>
        <v>0.000222259069021626</v>
      </c>
      <c r="AB1249" s="16" t="n">
        <f aca="false">S1249*L1249</f>
        <v>0.000205286130439944</v>
      </c>
      <c r="AC1249" s="16" t="n">
        <f aca="false">Z1249-W1249</f>
        <v>0.000197032667898278</v>
      </c>
      <c r="AD1249" s="16" t="n">
        <f aca="false">AA1249-W1249</f>
        <v>0.000222259069021626</v>
      </c>
      <c r="AE1249" s="16" t="n">
        <f aca="false">AB1249-W1249</f>
        <v>0.000205286130439944</v>
      </c>
      <c r="AF1249" s="16" t="n">
        <f aca="false">AE1249-X1249</f>
        <v>0.000205286130439944</v>
      </c>
      <c r="AG1249" s="16" t="n">
        <f aca="false">AF1249-p_spc_lo*Y1249/1000</f>
        <v>0.000102643065219972</v>
      </c>
      <c r="AH1249" s="16" t="n">
        <f aca="false">AF1249-p_spc_hi*Y1249/1000</f>
        <v>0</v>
      </c>
      <c r="AI1249" s="16" t="n">
        <f aca="false">Q1249*J1249</f>
        <v>0.000518507020784941</v>
      </c>
      <c r="AJ1249" s="16" t="n">
        <f aca="false">S1249*J1249</f>
        <v>0.000540226659052484</v>
      </c>
      <c r="AK1249" s="16" t="n">
        <f aca="false">T1249*J1249</f>
        <v>0</v>
      </c>
      <c r="AL1249" s="16" t="n">
        <f aca="false">U1249*J1249</f>
        <v>0</v>
      </c>
      <c r="AM1249" s="16" t="n">
        <f aca="false">AI1249-AJ1249</f>
        <v>-2.17196382675431E-005</v>
      </c>
      <c r="AN1249" s="16" t="n">
        <f aca="false">J1249*Country_Data!$EB$182</f>
        <v>0.0064741249569266</v>
      </c>
      <c r="AO1249" s="16" t="n">
        <f aca="false">L1249*Country_Data!$EB$182</f>
        <v>0.00246016748363211</v>
      </c>
    </row>
    <row r="1250" customFormat="false" ht="15" hidden="false" customHeight="false" outlineLevel="0" collapsed="false">
      <c r="A1250" s="14" t="str">
        <f aca="false">Country_Data!$A$182</f>
        <v>SMR</v>
      </c>
      <c r="B1250" s="14" t="str">
        <f aca="false">Country_Data!$E$182</f>
        <v>AE</v>
      </c>
      <c r="C1250" s="35" t="s">
        <v>488</v>
      </c>
      <c r="D1250" s="37" t="str">
        <f aca="false">IF(Country_Data!$CE$182="","",Country_Data!$CE$182)</f>
        <v/>
      </c>
      <c r="E1250" s="40" t="n">
        <f aca="false">Country_Data!$BW$182</f>
        <v>2.759</v>
      </c>
      <c r="F1250" s="41" t="n">
        <f aca="false">Country_Data!$BX$182</f>
        <v>0.756071040231968</v>
      </c>
      <c r="G1250" s="42" t="str">
        <f aca="false">IF(D1250="","",D1250/SUMIFS($D$5:$D$1369,$B$5:$B$1369,B1250,$C$5:$C$1369,C1250))</f>
        <v/>
      </c>
      <c r="H1250" s="42" t="n">
        <f aca="false">E1250/SUMIFS($E$5:$E$1369,$B$5:$B$1369,B1250,$C$5:$C$1369,C1250)</f>
        <v>3.49750296162694E-005</v>
      </c>
      <c r="I1250" s="43" t="n">
        <f aca="false">IF(G1250="",H1250,p_beta_alloc*G1250+(1-p_beta_alloc)*H1250)*F1250^p_phi</f>
        <v>3.04116086195629E-005</v>
      </c>
      <c r="J1250" s="16" t="n">
        <f aca="false">INDEX(Sector_Params!$C$22:$E$22,MATCH(B1250,Sector_Params!$C$15:$E$15,0))*I1250/SUMIFS($I$5:$I$1369,$B$5:$B$1369,B1250,$C$5:$C$1369,C1250)</f>
        <v>0.00117837753577341</v>
      </c>
      <c r="K1250" s="28" t="n">
        <f aca="false">INDEX(Sector_Params!$F$11:$H$11,MATCH(B1250,Sector_Params!$C$15:$E$15,0))</f>
        <v>0.38</v>
      </c>
      <c r="L1250" s="16" t="n">
        <f aca="false">J1250*K1250</f>
        <v>0.000447783463593897</v>
      </c>
      <c r="M1250" s="44" t="n">
        <f aca="false">Country_Data!$DW$182+Sector_Params!$E$11</f>
        <v>0.055</v>
      </c>
      <c r="N1250" s="44" t="n">
        <f aca="false">Country_Data!$DX$182+Sector_Params!$E$11</f>
        <v>0.07</v>
      </c>
      <c r="O1250" s="11" t="n">
        <f aca="false">IF(p_use_ibrd=1,p_r_ibrd,p_r_wb)</f>
        <v>0.06</v>
      </c>
      <c r="P1250" s="45" t="n">
        <f aca="false">Sector_Params!$D$11</f>
        <v>30</v>
      </c>
      <c r="Q1250" s="46" t="n">
        <f aca="false">M1250/(1-(1+M1250)^-P1250)</f>
        <v>0.0688053896793896</v>
      </c>
      <c r="R1250" s="46" t="n">
        <f aca="false">N1250/(1-(1+N1250)^-P1250)</f>
        <v>0.0805864035111112</v>
      </c>
      <c r="S1250" s="46" t="n">
        <f aca="false">O1250/(1-(1+O1250)^-P1250)</f>
        <v>0.0726489114900472</v>
      </c>
      <c r="T1250" s="37" t="n">
        <f aca="false">0*Sector_Params!$I$11</f>
        <v>0</v>
      </c>
      <c r="U1250" s="37" t="n">
        <f aca="false">p_c*Sector_Params!$J$11</f>
        <v>0.129</v>
      </c>
      <c r="V1250" s="37" t="n">
        <f aca="false">1000*p_r_wb/(1-(1+p_r_wb)^-Sector_Params!$D$11)/p_cpt_afolu</f>
        <v>1.45297822980094</v>
      </c>
      <c r="W1250" s="16" t="n">
        <f aca="false">T1250*L1250</f>
        <v>0</v>
      </c>
      <c r="X1250" s="16" t="n">
        <f aca="false">U1250*L1250</f>
        <v>5.77640668036127E-005</v>
      </c>
      <c r="Y1250" s="16" t="n">
        <f aca="false">V1250*L1250</f>
        <v>0.000650619624266796</v>
      </c>
      <c r="Z1250" s="16" t="n">
        <f aca="false">Q1250*L1250</f>
        <v>3.08099157045648E-005</v>
      </c>
      <c r="AA1250" s="16" t="n">
        <f aca="false">R1250*L1250</f>
        <v>3.60852588827807E-005</v>
      </c>
      <c r="AB1250" s="16" t="n">
        <f aca="false">S1250*L1250</f>
        <v>3.25309812133398E-005</v>
      </c>
      <c r="AC1250" s="16" t="n">
        <f aca="false">Z1250-W1250</f>
        <v>3.08099157045648E-005</v>
      </c>
      <c r="AD1250" s="16" t="n">
        <f aca="false">AA1250-W1250</f>
        <v>3.60852588827807E-005</v>
      </c>
      <c r="AE1250" s="16" t="n">
        <f aca="false">AB1250-W1250</f>
        <v>3.25309812133398E-005</v>
      </c>
      <c r="AF1250" s="16" t="n">
        <f aca="false">AE1250-X1250</f>
        <v>-2.52330855902729E-005</v>
      </c>
      <c r="AG1250" s="16" t="n">
        <f aca="false">AF1250-p_spc_lo*Y1250/1000</f>
        <v>-5.77640668036127E-005</v>
      </c>
      <c r="AH1250" s="16" t="n">
        <f aca="false">AF1250-p_spc_hi*Y1250/1000</f>
        <v>-9.02950480169525E-005</v>
      </c>
      <c r="AI1250" s="16" t="n">
        <f aca="false">Q1250*J1250</f>
        <v>8.10787255383285E-005</v>
      </c>
      <c r="AJ1250" s="16" t="n">
        <f aca="false">S1250*J1250</f>
        <v>8.56078452982626E-005</v>
      </c>
      <c r="AK1250" s="16" t="n">
        <f aca="false">T1250*J1250</f>
        <v>0</v>
      </c>
      <c r="AL1250" s="16" t="n">
        <f aca="false">U1250*J1250</f>
        <v>0.00015201070211477</v>
      </c>
      <c r="AM1250" s="16" t="n">
        <f aca="false">AI1250-AJ1250</f>
        <v>-4.52911975993408E-006</v>
      </c>
      <c r="AN1250" s="16" t="n">
        <f aca="false">J1250*Country_Data!$EB$182</f>
        <v>0.00123120135634257</v>
      </c>
      <c r="AO1250" s="16" t="n">
        <f aca="false">L1250*Country_Data!$EB$182</f>
        <v>0.000467856515410175</v>
      </c>
    </row>
    <row r="1251" customFormat="false" ht="15" hidden="false" customHeight="false" outlineLevel="0" collapsed="false">
      <c r="A1251" s="14" t="str">
        <f aca="false">Country_Data!$A$183</f>
        <v>TLS</v>
      </c>
      <c r="B1251" s="14" t="str">
        <f aca="false">Country_Data!$E$183</f>
        <v>EMDC</v>
      </c>
      <c r="C1251" s="35" t="s">
        <v>466</v>
      </c>
      <c r="D1251" s="37" t="n">
        <f aca="false">IF(Country_Data!$BZ$183="","",Country_Data!$BZ$183)</f>
        <v>0.411693663759096</v>
      </c>
      <c r="E1251" s="40" t="n">
        <f aca="false">Country_Data!$BW$183</f>
        <v>6.204</v>
      </c>
      <c r="F1251" s="41" t="n">
        <f aca="false">Country_Data!$BX$183</f>
        <v>0.300773694390716</v>
      </c>
      <c r="G1251" s="42" t="n">
        <f aca="false">IF(D1251="","",D1251/SUMIFS($D$5:$D$1369,$B$5:$B$1369,B1251,$C$5:$C$1369,C1251))</f>
        <v>4.6999827797385E-005</v>
      </c>
      <c r="H1251" s="42" t="n">
        <f aca="false">E1251/SUMIFS($E$5:$E$1369,$B$5:$B$1369,B1251,$C$5:$C$1369,C1251)</f>
        <v>7.68469560170089E-005</v>
      </c>
      <c r="I1251" s="43" t="n">
        <f aca="false">IF(G1251="",H1251,p_beta_alloc*G1251+(1-p_beta_alloc)*H1251)*F1251^p_phi</f>
        <v>3.3960545869156E-005</v>
      </c>
      <c r="J1251" s="16" t="n">
        <f aca="false">INDEX(Sector_Params!$C$16:$E$16,MATCH(B1251,Sector_Params!$C$15:$E$15,0))*I1251/SUMIFS($I$5:$I$1369,$B$5:$B$1369,B1251,$C$5:$C$1369,C1251)</f>
        <v>0.032847500938716</v>
      </c>
      <c r="K1251" s="28" t="n">
        <f aca="false">INDEX(Sector_Params!$F$5:$H$5,MATCH(B1251,Sector_Params!$C$15:$E$15,0))</f>
        <v>0.24</v>
      </c>
      <c r="L1251" s="16" t="n">
        <f aca="false">J1251*K1251</f>
        <v>0.00788340022529185</v>
      </c>
      <c r="M1251" s="44" t="n">
        <f aca="false">Country_Data!$DW$183+Sector_Params!$E$5</f>
        <v>0.105</v>
      </c>
      <c r="N1251" s="44" t="n">
        <f aca="false">Country_Data!$DX$183+Sector_Params!$E$5</f>
        <v>0.15</v>
      </c>
      <c r="O1251" s="11" t="n">
        <f aca="false">IF(p_use_ibrd=1,p_r_ibrd,p_r_wb)</f>
        <v>0.06</v>
      </c>
      <c r="P1251" s="45" t="n">
        <f aca="false">Sector_Params!$D$5</f>
        <v>25</v>
      </c>
      <c r="Q1251" s="46" t="n">
        <f aca="false">M1251/(1-(1+M1251)^-P1251)</f>
        <v>0.114429319813103</v>
      </c>
      <c r="R1251" s="46" t="n">
        <f aca="false">N1251/(1-(1+N1251)^-P1251)</f>
        <v>0.154699402320206</v>
      </c>
      <c r="S1251" s="46" t="n">
        <f aca="false">O1251/(1-(1+O1251)^-P1251)</f>
        <v>0.078226718212274</v>
      </c>
      <c r="T1251" s="37" t="n">
        <f aca="false">IF(AND(p_eng=1,ISNUMBER(Country_Data!$CZ$183)),Country_Data!$CZ$183,Country_Data!$CM$183)*Sector_Params!$I$5</f>
        <v>0.415940415125173</v>
      </c>
      <c r="U1251" s="37" t="n">
        <f aca="false">IF(AND(p_eng=1,ISNUMBER(Country_Data!$DA$183)),Country_Data!$DA$183,Country_Data!$CN$183)*Sector_Params!$J$5</f>
        <v>0.03225</v>
      </c>
      <c r="V1251" s="37" t="n">
        <f aca="false">IF(AND(p_eng=1,ISNUMBER(Country_Data!$DB$183)),Country_Data!$DB$183,p_a)</f>
        <v>0.35</v>
      </c>
      <c r="W1251" s="16" t="n">
        <f aca="false">T1251*L1251</f>
        <v>0.00327902476230578</v>
      </c>
      <c r="X1251" s="16" t="n">
        <f aca="false">U1251*L1251</f>
        <v>0.000254239657265662</v>
      </c>
      <c r="Y1251" s="16" t="n">
        <f aca="false">V1251*L1251</f>
        <v>0.00275919007885215</v>
      </c>
      <c r="Z1251" s="16" t="n">
        <f aca="false">Q1251*L1251</f>
        <v>0.000902092125594611</v>
      </c>
      <c r="AA1251" s="16" t="n">
        <f aca="false">R1251*L1251</f>
        <v>0.00121955730310363</v>
      </c>
      <c r="AB1251" s="16" t="n">
        <f aca="false">S1251*L1251</f>
        <v>0.000616692527978482</v>
      </c>
      <c r="AC1251" s="16" t="n">
        <f aca="false">Z1251-W1251</f>
        <v>-0.00237693263671116</v>
      </c>
      <c r="AD1251" s="16" t="n">
        <f aca="false">AA1251-W1251</f>
        <v>-0.00205946745920215</v>
      </c>
      <c r="AE1251" s="16" t="n">
        <f aca="false">AB1251-W1251</f>
        <v>-0.00266233223432729</v>
      </c>
      <c r="AF1251" s="16" t="n">
        <f aca="false">AE1251-X1251</f>
        <v>-0.00291657189159296</v>
      </c>
      <c r="AG1251" s="16" t="n">
        <f aca="false">AF1251-p_spc_lo*Y1251/1000</f>
        <v>-0.00305453139553556</v>
      </c>
      <c r="AH1251" s="16" t="n">
        <f aca="false">AF1251-p_spc_hi*Y1251/1000</f>
        <v>-0.00319249089947817</v>
      </c>
      <c r="AI1251" s="16" t="n">
        <f aca="false">Q1251*J1251</f>
        <v>0.00375871718997755</v>
      </c>
      <c r="AJ1251" s="16" t="n">
        <f aca="false">S1251*J1251</f>
        <v>0.00256955219991034</v>
      </c>
      <c r="AK1251" s="16" t="n">
        <f aca="false">T1251*J1251</f>
        <v>0.0136626031762741</v>
      </c>
      <c r="AL1251" s="16" t="n">
        <f aca="false">U1251*J1251</f>
        <v>0.00105933190527359</v>
      </c>
      <c r="AM1251" s="16" t="n">
        <f aca="false">AI1251-AJ1251</f>
        <v>0.00118916499006721</v>
      </c>
      <c r="AN1251" s="16" t="n">
        <f aca="false">J1251*Country_Data!$EB$183</f>
        <v>0.040079043781038</v>
      </c>
      <c r="AO1251" s="16" t="n">
        <f aca="false">L1251*Country_Data!$EB$183</f>
        <v>0.00961897050744912</v>
      </c>
    </row>
    <row r="1252" customFormat="false" ht="15" hidden="false" customHeight="false" outlineLevel="0" collapsed="false">
      <c r="A1252" s="14" t="str">
        <f aca="false">Country_Data!$A$183</f>
        <v>TLS</v>
      </c>
      <c r="B1252" s="14" t="str">
        <f aca="false">Country_Data!$E$183</f>
        <v>EMDC</v>
      </c>
      <c r="C1252" s="35" t="s">
        <v>470</v>
      </c>
      <c r="D1252" s="37" t="n">
        <f aca="false">IF(Country_Data!$BZ$183="","",Country_Data!$BZ$183)</f>
        <v>0.411693663759096</v>
      </c>
      <c r="E1252" s="40" t="n">
        <f aca="false">Country_Data!$BW$183</f>
        <v>6.204</v>
      </c>
      <c r="F1252" s="41" t="n">
        <f aca="false">Country_Data!$BX$183</f>
        <v>0.300773694390716</v>
      </c>
      <c r="G1252" s="42" t="n">
        <f aca="false">IF(D1252="","",D1252/SUMIFS($D$5:$D$1369,$B$5:$B$1369,B1252,$C$5:$C$1369,C1252))</f>
        <v>4.6999827797385E-005</v>
      </c>
      <c r="H1252" s="42" t="n">
        <f aca="false">E1252/SUMIFS($E$5:$E$1369,$B$5:$B$1369,B1252,$C$5:$C$1369,C1252)</f>
        <v>7.68469560170089E-005</v>
      </c>
      <c r="I1252" s="43" t="n">
        <f aca="false">IF(G1252="",H1252,p_beta_alloc*G1252+(1-p_beta_alloc)*H1252)*F1252^p_phi</f>
        <v>3.3960545869156E-005</v>
      </c>
      <c r="J1252" s="16" t="n">
        <f aca="false">INDEX(Sector_Params!$C$17:$E$17,MATCH(B1252,Sector_Params!$C$15:$E$15,0))*I1252/SUMIFS($I$5:$I$1369,$B$5:$B$1369,B1252,$C$5:$C$1369,C1252)</f>
        <v>0.022524000643691</v>
      </c>
      <c r="K1252" s="28" t="n">
        <f aca="false">INDEX(Sector_Params!$F$6:$H$6,MATCH(B1252,Sector_Params!$C$15:$E$15,0))</f>
        <v>0.24</v>
      </c>
      <c r="L1252" s="16" t="n">
        <f aca="false">J1252*K1252</f>
        <v>0.00540576015448584</v>
      </c>
      <c r="M1252" s="44" t="n">
        <f aca="false">Country_Data!$DW$183+Sector_Params!$E$6</f>
        <v>0.105</v>
      </c>
      <c r="N1252" s="44" t="n">
        <f aca="false">Country_Data!$DX$183+Sector_Params!$E$6</f>
        <v>0.15</v>
      </c>
      <c r="O1252" s="11" t="n">
        <f aca="false">IF(p_use_ibrd=1,p_r_ibrd,p_r_wb)</f>
        <v>0.06</v>
      </c>
      <c r="P1252" s="45" t="n">
        <f aca="false">Sector_Params!$D$6</f>
        <v>40</v>
      </c>
      <c r="Q1252" s="46" t="n">
        <f aca="false">M1252/(1-(1+M1252)^-P1252)</f>
        <v>0.10697140835497</v>
      </c>
      <c r="R1252" s="46" t="n">
        <f aca="false">N1252/(1-(1+N1252)^-P1252)</f>
        <v>0.150562085013545</v>
      </c>
      <c r="S1252" s="46" t="n">
        <f aca="false">O1252/(1-(1+O1252)^-P1252)</f>
        <v>0.0664615359206755</v>
      </c>
      <c r="T1252" s="37" t="n">
        <f aca="false">p_grid_credit*IF(AND(p_eng=1,ISNUMBER(Country_Data!$CZ$183)),Country_Data!$CZ$183,Country_Data!$CM$183)*Sector_Params!$I$6</f>
        <v>0</v>
      </c>
      <c r="U1252" s="37" t="n">
        <f aca="false">p_grid_credit*IF(AND(p_eng=1,ISNUMBER(Country_Data!$DA$183)),Country_Data!$DA$183,Country_Data!$CN$183)*Sector_Params!$J$6</f>
        <v>0</v>
      </c>
      <c r="V1252" s="37" t="n">
        <f aca="false">p_grid_credit*IF(AND(p_eng=1,ISNUMBER(Country_Data!$DB$183)),Country_Data!$DB$183,p_a)</f>
        <v>0</v>
      </c>
      <c r="W1252" s="16" t="n">
        <f aca="false">T1252*L1252</f>
        <v>0</v>
      </c>
      <c r="X1252" s="16" t="n">
        <f aca="false">U1252*L1252</f>
        <v>0</v>
      </c>
      <c r="Y1252" s="16" t="n">
        <f aca="false">V1252*L1252</f>
        <v>0</v>
      </c>
      <c r="Z1252" s="16" t="n">
        <f aca="false">Q1252*L1252</f>
        <v>0.000578261776954532</v>
      </c>
      <c r="AA1252" s="16" t="n">
        <f aca="false">R1252*L1252</f>
        <v>0.000813902519942531</v>
      </c>
      <c r="AB1252" s="16" t="n">
        <f aca="false">S1252*L1252</f>
        <v>0.000359275122685917</v>
      </c>
      <c r="AC1252" s="16" t="n">
        <f aca="false">Z1252-W1252</f>
        <v>0.000578261776954532</v>
      </c>
      <c r="AD1252" s="16" t="n">
        <f aca="false">AA1252-W1252</f>
        <v>0.000813902519942531</v>
      </c>
      <c r="AE1252" s="16" t="n">
        <f aca="false">AB1252-W1252</f>
        <v>0.000359275122685917</v>
      </c>
      <c r="AF1252" s="16" t="n">
        <f aca="false">AE1252-X1252</f>
        <v>0.000359275122685917</v>
      </c>
      <c r="AG1252" s="16" t="n">
        <f aca="false">AF1252-p_spc_lo*Y1252/1000</f>
        <v>0.000359275122685917</v>
      </c>
      <c r="AH1252" s="16" t="n">
        <f aca="false">AF1252-p_spc_hi*Y1252/1000</f>
        <v>0.000359275122685917</v>
      </c>
      <c r="AI1252" s="16" t="n">
        <f aca="false">Q1252*J1252</f>
        <v>0.00240942407064388</v>
      </c>
      <c r="AJ1252" s="16" t="n">
        <f aca="false">S1252*J1252</f>
        <v>0.00149697967785799</v>
      </c>
      <c r="AK1252" s="16" t="n">
        <f aca="false">T1252*J1252</f>
        <v>0</v>
      </c>
      <c r="AL1252" s="16" t="n">
        <f aca="false">U1252*J1252</f>
        <v>0</v>
      </c>
      <c r="AM1252" s="16" t="n">
        <f aca="false">AI1252-AJ1252</f>
        <v>0.000912444392785897</v>
      </c>
      <c r="AN1252" s="16" t="n">
        <f aca="false">J1252*Country_Data!$EB$183</f>
        <v>0.0274827728784261</v>
      </c>
      <c r="AO1252" s="16" t="n">
        <f aca="false">L1252*Country_Data!$EB$183</f>
        <v>0.00659586549082225</v>
      </c>
    </row>
    <row r="1253" customFormat="false" ht="15" hidden="false" customHeight="false" outlineLevel="0" collapsed="false">
      <c r="A1253" s="14" t="str">
        <f aca="false">Country_Data!$A$183</f>
        <v>TLS</v>
      </c>
      <c r="B1253" s="14" t="str">
        <f aca="false">Country_Data!$E$183</f>
        <v>EMDC</v>
      </c>
      <c r="C1253" s="35" t="s">
        <v>473</v>
      </c>
      <c r="D1253" s="37" t="n">
        <f aca="false">IF(Country_Data!$CA$183="","",Country_Data!$CA$183)</f>
        <v>0.00912802473961223</v>
      </c>
      <c r="E1253" s="40" t="n">
        <f aca="false">Country_Data!$BW$183</f>
        <v>6.204</v>
      </c>
      <c r="F1253" s="41" t="n">
        <f aca="false">Country_Data!$BX$183</f>
        <v>0.300773694390716</v>
      </c>
      <c r="G1253" s="42" t="n">
        <f aca="false">IF(D1253="","",D1253/SUMIFS($D$5:$D$1369,$B$5:$B$1369,B1253,$C$5:$C$1369,C1253))</f>
        <v>0.000210878609791742</v>
      </c>
      <c r="H1253" s="42" t="n">
        <f aca="false">E1253/SUMIFS($E$5:$E$1369,$B$5:$B$1369,B1253,$C$5:$C$1369,C1253)</f>
        <v>7.68469560170089E-005</v>
      </c>
      <c r="I1253" s="43" t="n">
        <f aca="false">IF(G1253="",H1253,p_beta_alloc*G1253+(1-p_beta_alloc)*H1253)*F1253^p_phi</f>
        <v>7.88984338101262E-005</v>
      </c>
      <c r="J1253" s="16" t="n">
        <f aca="false">INDEX(Sector_Params!$C$18:$E$18,MATCH(B1253,Sector_Params!$C$15:$E$15,0))*I1253/SUMIFS($I$5:$I$1369,$B$5:$B$1369,B1253,$C$5:$C$1369,C1253)</f>
        <v>0.0323070418124944</v>
      </c>
      <c r="K1253" s="28" t="n">
        <f aca="false">INDEX(Sector_Params!$F$7:$H$7,MATCH(B1253,Sector_Params!$C$15:$E$15,0))</f>
        <v>0.24</v>
      </c>
      <c r="L1253" s="16" t="n">
        <f aca="false">J1253*K1253</f>
        <v>0.00775369003499867</v>
      </c>
      <c r="M1253" s="44" t="n">
        <f aca="false">Country_Data!$DW$183+Sector_Params!$E$7</f>
        <v>0.105</v>
      </c>
      <c r="N1253" s="44" t="n">
        <f aca="false">Country_Data!$DX$183+Sector_Params!$E$7</f>
        <v>0.15</v>
      </c>
      <c r="O1253" s="11" t="n">
        <f aca="false">IF(p_use_ibrd=1,p_r_ibrd,p_r_wb)</f>
        <v>0.06</v>
      </c>
      <c r="P1253" s="45" t="n">
        <f aca="false">Sector_Params!$D$7</f>
        <v>12</v>
      </c>
      <c r="Q1253" s="46" t="n">
        <f aca="false">M1253/(1-(1+M1253)^-P1253)</f>
        <v>0.150376745634766</v>
      </c>
      <c r="R1253" s="46" t="n">
        <f aca="false">N1253/(1-(1+N1253)^-P1253)</f>
        <v>0.18448077613084</v>
      </c>
      <c r="S1253" s="46" t="n">
        <f aca="false">O1253/(1-(1+O1253)^-P1253)</f>
        <v>0.119277029380664</v>
      </c>
      <c r="T1253" s="37" t="n">
        <f aca="false">IF(AND(p_eng=1,ISNUMBER(Country_Data!$DE$183)),Country_Data!$DE$183,Country_Data!$CM$183)*Sector_Params!$I$7</f>
        <v>0.415940415125173</v>
      </c>
      <c r="U1253" s="37" t="n">
        <f aca="false">IF(AND(p_eng=1,ISNUMBER(Country_Data!$DF$183)),Country_Data!$DF$183,Country_Data!$CN$183)*Sector_Params!$J$7</f>
        <v>0.03225</v>
      </c>
      <c r="V1253" s="37" t="n">
        <f aca="false">IF(AND(p_eng=1,ISNUMBER(Country_Data!$DG$183)),Country_Data!$DG$183,p_a)</f>
        <v>0.35</v>
      </c>
      <c r="W1253" s="16" t="n">
        <f aca="false">T1253*L1253</f>
        <v>0.00322507305190927</v>
      </c>
      <c r="X1253" s="16" t="n">
        <f aca="false">U1253*L1253</f>
        <v>0.000250056503628707</v>
      </c>
      <c r="Y1253" s="16" t="n">
        <f aca="false">V1253*L1253</f>
        <v>0.00271379151224953</v>
      </c>
      <c r="Z1253" s="16" t="n">
        <f aca="false">Q1253*L1253</f>
        <v>0.00116597467412381</v>
      </c>
      <c r="AA1253" s="16" t="n">
        <f aca="false">R1253*L1253</f>
        <v>0.00143040675553451</v>
      </c>
      <c r="AB1253" s="16" t="n">
        <f aca="false">S1253*L1253</f>
        <v>0.000924837114113094</v>
      </c>
      <c r="AC1253" s="16" t="n">
        <f aca="false">Z1253-W1253</f>
        <v>-0.00205909837778545</v>
      </c>
      <c r="AD1253" s="16" t="n">
        <f aca="false">AA1253-W1253</f>
        <v>-0.00179466629637476</v>
      </c>
      <c r="AE1253" s="16" t="n">
        <f aca="false">AB1253-W1253</f>
        <v>-0.00230023593779617</v>
      </c>
      <c r="AF1253" s="16" t="n">
        <f aca="false">AE1253-X1253</f>
        <v>-0.00255029244142488</v>
      </c>
      <c r="AG1253" s="16" t="n">
        <f aca="false">AF1253-p_spc_lo*Y1253/1000</f>
        <v>-0.00268598201703736</v>
      </c>
      <c r="AH1253" s="16" t="n">
        <f aca="false">AF1253-p_spc_hi*Y1253/1000</f>
        <v>-0.00282167159264983</v>
      </c>
      <c r="AI1253" s="16" t="n">
        <f aca="false">Q1253*J1253</f>
        <v>0.00485822780884922</v>
      </c>
      <c r="AJ1253" s="16" t="n">
        <f aca="false">S1253*J1253</f>
        <v>0.00385348797547123</v>
      </c>
      <c r="AK1253" s="16" t="n">
        <f aca="false">T1253*J1253</f>
        <v>0.0134378043829553</v>
      </c>
      <c r="AL1253" s="16" t="n">
        <f aca="false">U1253*J1253</f>
        <v>0.00104190209845295</v>
      </c>
      <c r="AM1253" s="16" t="n">
        <f aca="false">AI1253-AJ1253</f>
        <v>0.00100473983337799</v>
      </c>
      <c r="AN1253" s="16" t="n">
        <f aca="false">J1253*Country_Data!$EB$183</f>
        <v>0.0394195998549351</v>
      </c>
      <c r="AO1253" s="16" t="n">
        <f aca="false">L1253*Country_Data!$EB$183</f>
        <v>0.00946070396518442</v>
      </c>
    </row>
    <row r="1254" customFormat="false" ht="15" hidden="false" customHeight="false" outlineLevel="0" collapsed="false">
      <c r="A1254" s="14" t="str">
        <f aca="false">Country_Data!$A$183</f>
        <v>TLS</v>
      </c>
      <c r="B1254" s="14" t="str">
        <f aca="false">Country_Data!$E$183</f>
        <v>EMDC</v>
      </c>
      <c r="C1254" s="35" t="s">
        <v>477</v>
      </c>
      <c r="D1254" s="37" t="n">
        <f aca="false">IF(Country_Data!$CB$183="","",Country_Data!$CB$183)</f>
        <v>0.00059772090115291</v>
      </c>
      <c r="E1254" s="40" t="n">
        <f aca="false">Country_Data!$BW$183</f>
        <v>6.204</v>
      </c>
      <c r="F1254" s="41" t="n">
        <f aca="false">Country_Data!$BX$183</f>
        <v>0.300773694390716</v>
      </c>
      <c r="G1254" s="42" t="n">
        <f aca="false">IF(D1254="","",D1254/SUMIFS($D$5:$D$1369,$B$5:$B$1369,B1254,$C$5:$C$1369,C1254))</f>
        <v>1.88479600736844E-005</v>
      </c>
      <c r="H1254" s="42" t="n">
        <f aca="false">E1254/SUMIFS($E$5:$E$1369,$B$5:$B$1369,B1254,$C$5:$C$1369,C1254)</f>
        <v>7.68469560170089E-005</v>
      </c>
      <c r="I1254" s="43" t="n">
        <f aca="false">IF(G1254="",H1254,p_beta_alloc*G1254+(1-p_beta_alloc)*H1254)*F1254^p_phi</f>
        <v>2.62409041821667E-005</v>
      </c>
      <c r="J1254" s="16" t="n">
        <f aca="false">INDEX(Sector_Params!$C$19:$E$19,MATCH(B1254,Sector_Params!$C$15:$E$15,0))*I1254/SUMIFS($I$5:$I$1369,$B$5:$B$1369,B1254,$C$5:$C$1369,C1254)</f>
        <v>0.00844596555524866</v>
      </c>
      <c r="K1254" s="28" t="n">
        <f aca="false">INDEX(Sector_Params!$F$8:$H$8,MATCH(B1254,Sector_Params!$C$15:$E$15,0))</f>
        <v>0.24</v>
      </c>
      <c r="L1254" s="16" t="n">
        <f aca="false">J1254*K1254</f>
        <v>0.00202703173325968</v>
      </c>
      <c r="M1254" s="44" t="n">
        <f aca="false">Country_Data!$DW$183+Sector_Params!$E$8</f>
        <v>0.105</v>
      </c>
      <c r="N1254" s="44" t="n">
        <f aca="false">Country_Data!$DX$183+Sector_Params!$E$8</f>
        <v>0.15</v>
      </c>
      <c r="O1254" s="11" t="n">
        <f aca="false">IF(p_use_ibrd=1,p_r_ibrd,p_r_wb)</f>
        <v>0.06</v>
      </c>
      <c r="P1254" s="45" t="n">
        <f aca="false">Sector_Params!$D$8</f>
        <v>25</v>
      </c>
      <c r="Q1254" s="46" t="n">
        <f aca="false">M1254/(1-(1+M1254)^-P1254)</f>
        <v>0.114429319813103</v>
      </c>
      <c r="R1254" s="46" t="n">
        <f aca="false">N1254/(1-(1+N1254)^-P1254)</f>
        <v>0.154699402320206</v>
      </c>
      <c r="S1254" s="46" t="n">
        <f aca="false">O1254/(1-(1+O1254)^-P1254)</f>
        <v>0.078226718212274</v>
      </c>
      <c r="T1254" s="37" t="n">
        <f aca="false">Country_Data!$CM$183*Sector_Params!$I$8</f>
        <v>0.415940415125173</v>
      </c>
      <c r="U1254" s="37" t="n">
        <f aca="false">Country_Data!$CN$183*Sector_Params!$J$8</f>
        <v>0.03225</v>
      </c>
      <c r="V1254" s="37" t="n">
        <f aca="false">p_a</f>
        <v>0.35</v>
      </c>
      <c r="W1254" s="16" t="n">
        <f aca="false">T1254*L1254</f>
        <v>0.000843124420603931</v>
      </c>
      <c r="X1254" s="16" t="n">
        <f aca="false">U1254*L1254</f>
        <v>6.53717733976246E-005</v>
      </c>
      <c r="Y1254" s="16" t="n">
        <f aca="false">V1254*L1254</f>
        <v>0.000709461106640887</v>
      </c>
      <c r="Z1254" s="16" t="n">
        <f aca="false">Q1254*L1254</f>
        <v>0.000231951862476481</v>
      </c>
      <c r="AA1254" s="16" t="n">
        <f aca="false">R1254*L1254</f>
        <v>0.000313580597619364</v>
      </c>
      <c r="AB1254" s="16" t="n">
        <f aca="false">S1254*L1254</f>
        <v>0.000158568040205042</v>
      </c>
      <c r="AC1254" s="16" t="n">
        <f aca="false">Z1254-W1254</f>
        <v>-0.00061117255812745</v>
      </c>
      <c r="AD1254" s="16" t="n">
        <f aca="false">AA1254-W1254</f>
        <v>-0.000529543822984566</v>
      </c>
      <c r="AE1254" s="16" t="n">
        <f aca="false">AB1254-W1254</f>
        <v>-0.000684556380398888</v>
      </c>
      <c r="AF1254" s="16" t="n">
        <f aca="false">AE1254-X1254</f>
        <v>-0.000749928153796513</v>
      </c>
      <c r="AG1254" s="16" t="n">
        <f aca="false">AF1254-p_spc_lo*Y1254/1000</f>
        <v>-0.000785401209128557</v>
      </c>
      <c r="AH1254" s="16" t="n">
        <f aca="false">AF1254-p_spc_hi*Y1254/1000</f>
        <v>-0.000820874264460602</v>
      </c>
      <c r="AI1254" s="16" t="n">
        <f aca="false">Q1254*J1254</f>
        <v>0.000966466093652004</v>
      </c>
      <c r="AJ1254" s="16" t="n">
        <f aca="false">S1254*J1254</f>
        <v>0.000660700167521009</v>
      </c>
      <c r="AK1254" s="16" t="n">
        <f aca="false">T1254*J1254</f>
        <v>0.00351301841918304</v>
      </c>
      <c r="AL1254" s="16" t="n">
        <f aca="false">U1254*J1254</f>
        <v>0.000272382389156769</v>
      </c>
      <c r="AM1254" s="16" t="n">
        <f aca="false">AI1254-AJ1254</f>
        <v>0.000305765926130995</v>
      </c>
      <c r="AN1254" s="16" t="n">
        <f aca="false">J1254*Country_Data!$EB$183</f>
        <v>0.0103053874294274</v>
      </c>
      <c r="AO1254" s="16" t="n">
        <f aca="false">L1254*Country_Data!$EB$183</f>
        <v>0.00247329298306258</v>
      </c>
    </row>
    <row r="1255" customFormat="false" ht="15" hidden="false" customHeight="false" outlineLevel="0" collapsed="false">
      <c r="A1255" s="14" t="str">
        <f aca="false">Country_Data!$A$183</f>
        <v>TLS</v>
      </c>
      <c r="B1255" s="14" t="str">
        <f aca="false">Country_Data!$E$183</f>
        <v>EMDC</v>
      </c>
      <c r="C1255" s="35" t="s">
        <v>481</v>
      </c>
      <c r="D1255" s="37" t="n">
        <f aca="false">IF(Country_Data!$CC$183="","",Country_Data!$CC$183)</f>
        <v>0.00762108245041859</v>
      </c>
      <c r="E1255" s="40" t="n">
        <f aca="false">Country_Data!$BW$183</f>
        <v>6.204</v>
      </c>
      <c r="F1255" s="41" t="n">
        <f aca="false">Country_Data!$BX$183</f>
        <v>0.300773694390716</v>
      </c>
      <c r="G1255" s="42" t="n">
        <f aca="false">IF(D1255="","",D1255/SUMIFS($D$5:$D$1369,$B$5:$B$1369,B1255,$C$5:$C$1369,C1255))</f>
        <v>0.000108861319806838</v>
      </c>
      <c r="H1255" s="42" t="n">
        <f aca="false">E1255/SUMIFS($E$5:$E$1369,$B$5:$B$1369,B1255,$C$5:$C$1369,C1255)</f>
        <v>7.68469560170089E-005</v>
      </c>
      <c r="I1255" s="43" t="n">
        <f aca="false">IF(G1255="",H1255,p_beta_alloc*G1255+(1-p_beta_alloc)*H1255)*F1255^p_phi</f>
        <v>5.09238449732324E-005</v>
      </c>
      <c r="J1255" s="16" t="n">
        <f aca="false">INDEX(Sector_Params!$C$20:$E$20,MATCH(B1255,Sector_Params!$C$15:$E$15,0))*I1255/SUMIFS($I$5:$I$1369,$B$5:$B$1369,B1255,$C$5:$C$1369,C1255)</f>
        <v>0.00929462719606582</v>
      </c>
      <c r="K1255" s="28" t="n">
        <f aca="false">INDEX(Sector_Params!$F$9:$H$9,MATCH(B1255,Sector_Params!$C$15:$E$15,0))</f>
        <v>0.24</v>
      </c>
      <c r="L1255" s="16" t="n">
        <f aca="false">J1255*K1255</f>
        <v>0.0022307105270558</v>
      </c>
      <c r="M1255" s="44" t="n">
        <f aca="false">Country_Data!$DW$183+Sector_Params!$E$9</f>
        <v>0.105</v>
      </c>
      <c r="N1255" s="44" t="n">
        <f aca="false">Country_Data!$DX$183+Sector_Params!$E$9</f>
        <v>0.15</v>
      </c>
      <c r="O1255" s="11" t="n">
        <f aca="false">IF(p_use_ibrd=1,p_r_ibrd,p_r_wb)</f>
        <v>0.06</v>
      </c>
      <c r="P1255" s="45" t="n">
        <f aca="false">Sector_Params!$D$9</f>
        <v>25</v>
      </c>
      <c r="Q1255" s="46" t="n">
        <f aca="false">M1255/(1-(1+M1255)^-P1255)</f>
        <v>0.114429319813103</v>
      </c>
      <c r="R1255" s="46" t="n">
        <f aca="false">N1255/(1-(1+N1255)^-P1255)</f>
        <v>0.154699402320206</v>
      </c>
      <c r="S1255" s="46" t="n">
        <f aca="false">O1255/(1-(1+O1255)^-P1255)</f>
        <v>0.078226718212274</v>
      </c>
      <c r="T1255" s="37" t="n">
        <f aca="false">Country_Data!$CM$183*Sector_Params!$I$9</f>
        <v>0.415940415125173</v>
      </c>
      <c r="U1255" s="37" t="n">
        <f aca="false">Country_Data!$CN$183*Sector_Params!$J$9</f>
        <v>0.03225</v>
      </c>
      <c r="V1255" s="37" t="n">
        <f aca="false">p_a</f>
        <v>0.35</v>
      </c>
      <c r="W1255" s="16" t="n">
        <f aca="false">T1255*L1255</f>
        <v>0.000927842662647682</v>
      </c>
      <c r="X1255" s="16" t="n">
        <f aca="false">U1255*L1255</f>
        <v>7.19404144975494E-005</v>
      </c>
      <c r="Y1255" s="16" t="n">
        <f aca="false">V1255*L1255</f>
        <v>0.000780748684469529</v>
      </c>
      <c r="Z1255" s="16" t="n">
        <f aca="false">Q1255*L1255</f>
        <v>0.000255258688310924</v>
      </c>
      <c r="AA1255" s="16" t="n">
        <f aca="false">R1255*L1255</f>
        <v>0.000345089585284924</v>
      </c>
      <c r="AB1255" s="16" t="n">
        <f aca="false">S1255*L1255</f>
        <v>0.000174501163813147</v>
      </c>
      <c r="AC1255" s="16" t="n">
        <f aca="false">Z1255-W1255</f>
        <v>-0.000672583974336758</v>
      </c>
      <c r="AD1255" s="16" t="n">
        <f aca="false">AA1255-W1255</f>
        <v>-0.000582753077362758</v>
      </c>
      <c r="AE1255" s="16" t="n">
        <f aca="false">AB1255-W1255</f>
        <v>-0.000753341498834535</v>
      </c>
      <c r="AF1255" s="16" t="n">
        <f aca="false">AE1255-X1255</f>
        <v>-0.000825281913332085</v>
      </c>
      <c r="AG1255" s="16" t="n">
        <f aca="false">AF1255-p_spc_lo*Y1255/1000</f>
        <v>-0.000864319347555561</v>
      </c>
      <c r="AH1255" s="16" t="n">
        <f aca="false">AF1255-p_spc_hi*Y1255/1000</f>
        <v>-0.000903356781779038</v>
      </c>
      <c r="AI1255" s="16" t="n">
        <f aca="false">Q1255*J1255</f>
        <v>0.00106357786796218</v>
      </c>
      <c r="AJ1255" s="16" t="n">
        <f aca="false">S1255*J1255</f>
        <v>0.000727088182554779</v>
      </c>
      <c r="AK1255" s="16" t="n">
        <f aca="false">T1255*J1255</f>
        <v>0.00386601109436534</v>
      </c>
      <c r="AL1255" s="16" t="n">
        <f aca="false">U1255*J1255</f>
        <v>0.000299751727073123</v>
      </c>
      <c r="AM1255" s="16" t="n">
        <f aca="false">AI1255-AJ1255</f>
        <v>0.000336489685407405</v>
      </c>
      <c r="AN1255" s="16" t="n">
        <f aca="false">J1255*Country_Data!$EB$183</f>
        <v>0.0113408862066726</v>
      </c>
      <c r="AO1255" s="16" t="n">
        <f aca="false">L1255*Country_Data!$EB$183</f>
        <v>0.00272181268960141</v>
      </c>
    </row>
    <row r="1256" customFormat="false" ht="15" hidden="false" customHeight="false" outlineLevel="0" collapsed="false">
      <c r="A1256" s="14" t="str">
        <f aca="false">Country_Data!$A$183</f>
        <v>TLS</v>
      </c>
      <c r="B1256" s="14" t="str">
        <f aca="false">Country_Data!$E$183</f>
        <v>EMDC</v>
      </c>
      <c r="C1256" s="35" t="s">
        <v>484</v>
      </c>
      <c r="D1256" s="37" t="n">
        <f aca="false">IF(Country_Data!$CD$183="","",Country_Data!$CD$183)</f>
        <v>0.016376116251463</v>
      </c>
      <c r="E1256" s="40" t="n">
        <f aca="false">Country_Data!$BW$183</f>
        <v>6.204</v>
      </c>
      <c r="F1256" s="41" t="n">
        <f aca="false">Country_Data!$BX$183</f>
        <v>0.300773694390716</v>
      </c>
      <c r="G1256" s="42" t="n">
        <f aca="false">IF(D1256="","",D1256/SUMIFS($D$5:$D$1369,$B$5:$B$1369,B1256,$C$5:$C$1369,C1256))</f>
        <v>9.14502156599684E-005</v>
      </c>
      <c r="H1256" s="42" t="n">
        <f aca="false">E1256/SUMIFS($E$5:$E$1369,$B$5:$B$1369,B1256,$C$5:$C$1369,C1256)</f>
        <v>7.68469560170089E-005</v>
      </c>
      <c r="I1256" s="43" t="n">
        <f aca="false">IF(G1256="",H1256,p_beta_alloc*G1256+(1-p_beta_alloc)*H1256)*F1256^p_phi</f>
        <v>4.61494731017871E-005</v>
      </c>
      <c r="J1256" s="16" t="n">
        <f aca="false">INDEX(Sector_Params!$C$21:$E$21,MATCH(B1256,Sector_Params!$C$15:$E$15,0))*I1256/SUMIFS($I$5:$I$1369,$B$5:$B$1369,B1256,$C$5:$C$1369,C1256)</f>
        <v>0.010235483621118</v>
      </c>
      <c r="K1256" s="28" t="n">
        <f aca="false">INDEX(Sector_Params!$F$10:$H$10,MATCH(B1256,Sector_Params!$C$15:$E$15,0))</f>
        <v>0.24</v>
      </c>
      <c r="L1256" s="16" t="n">
        <f aca="false">J1256*K1256</f>
        <v>0.00245651606906831</v>
      </c>
      <c r="M1256" s="44" t="n">
        <f aca="false">Country_Data!$DW$183+Sector_Params!$E$10</f>
        <v>0.105</v>
      </c>
      <c r="N1256" s="44" t="n">
        <f aca="false">Country_Data!$DX$183+Sector_Params!$E$10</f>
        <v>0.15</v>
      </c>
      <c r="O1256" s="11" t="n">
        <f aca="false">IF(p_use_ibrd=1,p_r_ibrd,p_r_wb)</f>
        <v>0.06</v>
      </c>
      <c r="P1256" s="45" t="n">
        <f aca="false">Sector_Params!$D$10</f>
        <v>20</v>
      </c>
      <c r="Q1256" s="46" t="n">
        <f aca="false">M1256/(1-(1+M1256)^-P1256)</f>
        <v>0.121493265267016</v>
      </c>
      <c r="R1256" s="46" t="n">
        <f aca="false">N1256/(1-(1+N1256)^-P1256)</f>
        <v>0.159761470405744</v>
      </c>
      <c r="S1256" s="46" t="n">
        <f aca="false">O1256/(1-(1+O1256)^-P1256)</f>
        <v>0.0871845569768514</v>
      </c>
      <c r="T1256" s="37" t="n">
        <f aca="false">0*Sector_Params!$I$10</f>
        <v>0</v>
      </c>
      <c r="U1256" s="37" t="n">
        <f aca="false">0*Sector_Params!$J$10</f>
        <v>0</v>
      </c>
      <c r="V1256" s="37" t="n">
        <f aca="false">1000*p_r_wb/(1-(1+p_r_wb)^-Sector_Params!$D$10)/p_cpt_fuel</f>
        <v>0.871845569768514</v>
      </c>
      <c r="W1256" s="16" t="n">
        <f aca="false">T1256*L1256</f>
        <v>0</v>
      </c>
      <c r="X1256" s="16" t="n">
        <f aca="false">U1256*L1256</f>
        <v>0</v>
      </c>
      <c r="Y1256" s="16" t="n">
        <f aca="false">V1256*L1256</f>
        <v>0.00214170265188237</v>
      </c>
      <c r="Z1256" s="16" t="n">
        <f aca="false">Q1256*L1256</f>
        <v>0.000298450158412004</v>
      </c>
      <c r="AA1256" s="16" t="n">
        <f aca="false">R1256*L1256</f>
        <v>0.000392456619269691</v>
      </c>
      <c r="AB1256" s="16" t="n">
        <f aca="false">S1256*L1256</f>
        <v>0.000214170265188237</v>
      </c>
      <c r="AC1256" s="16" t="n">
        <f aca="false">Z1256-W1256</f>
        <v>0.000298450158412004</v>
      </c>
      <c r="AD1256" s="16" t="n">
        <f aca="false">AA1256-W1256</f>
        <v>0.000392456619269691</v>
      </c>
      <c r="AE1256" s="16" t="n">
        <f aca="false">AB1256-W1256</f>
        <v>0.000214170265188237</v>
      </c>
      <c r="AF1256" s="16" t="n">
        <f aca="false">AE1256-X1256</f>
        <v>0.000214170265188237</v>
      </c>
      <c r="AG1256" s="16" t="n">
        <f aca="false">AF1256-p_spc_lo*Y1256/1000</f>
        <v>0.000107085132594119</v>
      </c>
      <c r="AH1256" s="16" t="n">
        <f aca="false">AF1256-p_spc_hi*Y1256/1000</f>
        <v>0</v>
      </c>
      <c r="AI1256" s="16" t="n">
        <f aca="false">Q1256*J1256</f>
        <v>0.00124354232671668</v>
      </c>
      <c r="AJ1256" s="16" t="n">
        <f aca="false">S1256*J1256</f>
        <v>0.000892376104950988</v>
      </c>
      <c r="AK1256" s="16" t="n">
        <f aca="false">T1256*J1256</f>
        <v>0</v>
      </c>
      <c r="AL1256" s="16" t="n">
        <f aca="false">U1256*J1256</f>
        <v>0</v>
      </c>
      <c r="AM1256" s="16" t="n">
        <f aca="false">AI1256-AJ1256</f>
        <v>0.000351166221765696</v>
      </c>
      <c r="AN1256" s="16" t="n">
        <f aca="false">J1256*Country_Data!$EB$183</f>
        <v>0.0124888769144494</v>
      </c>
      <c r="AO1256" s="16" t="n">
        <f aca="false">L1256*Country_Data!$EB$183</f>
        <v>0.00299733045946785</v>
      </c>
    </row>
    <row r="1257" customFormat="false" ht="15" hidden="false" customHeight="false" outlineLevel="0" collapsed="false">
      <c r="A1257" s="14" t="str">
        <f aca="false">Country_Data!$A$183</f>
        <v>TLS</v>
      </c>
      <c r="B1257" s="14" t="str">
        <f aca="false">Country_Data!$E$183</f>
        <v>EMDC</v>
      </c>
      <c r="C1257" s="35" t="s">
        <v>488</v>
      </c>
      <c r="D1257" s="37" t="n">
        <f aca="false">IF(Country_Data!$CE$183="","",Country_Data!$CE$183)</f>
        <v>2.386</v>
      </c>
      <c r="E1257" s="40" t="n">
        <f aca="false">Country_Data!$BW$183</f>
        <v>6.204</v>
      </c>
      <c r="F1257" s="41" t="n">
        <f aca="false">Country_Data!$BX$183</f>
        <v>0.300773694390716</v>
      </c>
      <c r="G1257" s="42" t="n">
        <f aca="false">IF(D1257="","",D1257/SUMIFS($D$5:$D$1369,$B$5:$B$1369,B1257,$C$5:$C$1369,C1257))</f>
        <v>0.000195507906762558</v>
      </c>
      <c r="H1257" s="42" t="n">
        <f aca="false">E1257/SUMIFS($E$5:$E$1369,$B$5:$B$1369,B1257,$C$5:$C$1369,C1257)</f>
        <v>7.68469560170089E-005</v>
      </c>
      <c r="I1257" s="43" t="n">
        <f aca="false">IF(G1257="",H1257,p_beta_alloc*G1257+(1-p_beta_alloc)*H1257)*F1257^p_phi</f>
        <v>7.46835688843959E-005</v>
      </c>
      <c r="J1257" s="16" t="n">
        <f aca="false">INDEX(Sector_Params!$C$22:$E$22,MATCH(B1257,Sector_Params!$C$15:$E$15,0))*I1257/SUMIFS($I$5:$I$1369,$B$5:$B$1369,B1257,$C$5:$C$1369,C1257)</f>
        <v>0.0450198817856377</v>
      </c>
      <c r="K1257" s="28" t="n">
        <f aca="false">INDEX(Sector_Params!$F$11:$H$11,MATCH(B1257,Sector_Params!$C$15:$E$15,0))</f>
        <v>0.24</v>
      </c>
      <c r="L1257" s="16" t="n">
        <f aca="false">J1257*K1257</f>
        <v>0.0108047716285531</v>
      </c>
      <c r="M1257" s="44" t="n">
        <f aca="false">Country_Data!$DW$183+Sector_Params!$E$11</f>
        <v>0.105</v>
      </c>
      <c r="N1257" s="44" t="n">
        <f aca="false">Country_Data!$DX$183+Sector_Params!$E$11</f>
        <v>0.15</v>
      </c>
      <c r="O1257" s="11" t="n">
        <f aca="false">IF(p_use_ibrd=1,p_r_ibrd,p_r_wb)</f>
        <v>0.06</v>
      </c>
      <c r="P1257" s="45" t="n">
        <f aca="false">Sector_Params!$D$11</f>
        <v>30</v>
      </c>
      <c r="Q1257" s="46" t="n">
        <f aca="false">M1257/(1-(1+M1257)^-P1257)</f>
        <v>0.110528481529605</v>
      </c>
      <c r="R1257" s="46" t="n">
        <f aca="false">N1257/(1-(1+N1257)^-P1257)</f>
        <v>0.152300198192734</v>
      </c>
      <c r="S1257" s="46" t="n">
        <f aca="false">O1257/(1-(1+O1257)^-P1257)</f>
        <v>0.0726489114900472</v>
      </c>
      <c r="T1257" s="37" t="n">
        <f aca="false">0*Sector_Params!$I$11</f>
        <v>0</v>
      </c>
      <c r="U1257" s="37" t="n">
        <f aca="false">p_c*Sector_Params!$J$11</f>
        <v>0.129</v>
      </c>
      <c r="V1257" s="37" t="n">
        <f aca="false">1000*p_r_wb/(1-(1+p_r_wb)^-Sector_Params!$D$11)/p_cpt_afolu</f>
        <v>1.45297822980094</v>
      </c>
      <c r="W1257" s="16" t="n">
        <f aca="false">T1257*L1257</f>
        <v>0</v>
      </c>
      <c r="X1257" s="16" t="n">
        <f aca="false">U1257*L1257</f>
        <v>0.00139381554008334</v>
      </c>
      <c r="Y1257" s="16" t="n">
        <f aca="false">V1257*L1257</f>
        <v>0.0156990979542585</v>
      </c>
      <c r="Z1257" s="16" t="n">
        <f aca="false">Q1257*L1257</f>
        <v>0.00119423500137813</v>
      </c>
      <c r="AA1257" s="16" t="n">
        <f aca="false">R1257*L1257</f>
        <v>0.00164556886045586</v>
      </c>
      <c r="AB1257" s="16" t="n">
        <f aca="false">S1257*L1257</f>
        <v>0.000784954897712924</v>
      </c>
      <c r="AC1257" s="16" t="n">
        <f aca="false">Z1257-W1257</f>
        <v>0.00119423500137813</v>
      </c>
      <c r="AD1257" s="16" t="n">
        <f aca="false">AA1257-W1257</f>
        <v>0.00164556886045586</v>
      </c>
      <c r="AE1257" s="16" t="n">
        <f aca="false">AB1257-W1257</f>
        <v>0.000784954897712924</v>
      </c>
      <c r="AF1257" s="16" t="n">
        <f aca="false">AE1257-X1257</f>
        <v>-0.00060886064237042</v>
      </c>
      <c r="AG1257" s="16" t="n">
        <f aca="false">AF1257-p_spc_lo*Y1257/1000</f>
        <v>-0.00139381554008334</v>
      </c>
      <c r="AH1257" s="16" t="n">
        <f aca="false">AF1257-p_spc_hi*Y1257/1000</f>
        <v>-0.00217877043779627</v>
      </c>
      <c r="AI1257" s="16" t="n">
        <f aca="false">Q1257*J1257</f>
        <v>0.00497597917240887</v>
      </c>
      <c r="AJ1257" s="16" t="n">
        <f aca="false">S1257*J1257</f>
        <v>0.00327064540713718</v>
      </c>
      <c r="AK1257" s="16" t="n">
        <f aca="false">T1257*J1257</f>
        <v>0</v>
      </c>
      <c r="AL1257" s="16" t="n">
        <f aca="false">U1257*J1257</f>
        <v>0.00580756475034727</v>
      </c>
      <c r="AM1257" s="16" t="n">
        <f aca="false">AI1257-AJ1257</f>
        <v>0.00170533376527168</v>
      </c>
      <c r="AN1257" s="16" t="n">
        <f aca="false">J1257*Country_Data!$EB$183</f>
        <v>0.0549312356051114</v>
      </c>
      <c r="AO1257" s="16" t="n">
        <f aca="false">L1257*Country_Data!$EB$183</f>
        <v>0.0131834965452267</v>
      </c>
    </row>
    <row r="1258" customFormat="false" ht="15" hidden="false" customHeight="false" outlineLevel="0" collapsed="false">
      <c r="A1258" s="14" t="str">
        <f aca="false">Country_Data!$A$184</f>
        <v>SLB</v>
      </c>
      <c r="B1258" s="14" t="str">
        <f aca="false">Country_Data!$E$184</f>
        <v>EMDC</v>
      </c>
      <c r="C1258" s="35" t="s">
        <v>466</v>
      </c>
      <c r="D1258" s="37" t="n">
        <f aca="false">IF(Country_Data!$BZ$184="","",Country_Data!$BZ$184)</f>
        <v>0.0995108027034591</v>
      </c>
      <c r="E1258" s="40" t="n">
        <f aca="false">Country_Data!$BW$184</f>
        <v>1.962</v>
      </c>
      <c r="F1258" s="41" t="n">
        <f aca="false">Country_Data!$BX$184</f>
        <v>0.807339449541284</v>
      </c>
      <c r="G1258" s="42" t="n">
        <f aca="false">IF(D1258="","",D1258/SUMIFS($D$5:$D$1369,$B$5:$B$1369,B1258,$C$5:$C$1369,C1258))</f>
        <v>1.13603657348948E-005</v>
      </c>
      <c r="H1258" s="42" t="n">
        <f aca="false">E1258/SUMIFS($E$5:$E$1369,$B$5:$B$1369,B1258,$C$5:$C$1369,C1258)</f>
        <v>2.43026640401953E-005</v>
      </c>
      <c r="I1258" s="43" t="n">
        <f aca="false">IF(G1258="",H1258,p_beta_alloc*G1258+(1-p_beta_alloc)*H1258)*F1258^p_phi</f>
        <v>1.60219852508516E-005</v>
      </c>
      <c r="J1258" s="16" t="n">
        <f aca="false">INDEX(Sector_Params!$C$16:$E$16,MATCH(B1258,Sector_Params!$C$15:$E$15,0))*I1258/SUMIFS($I$5:$I$1369,$B$5:$B$1369,B1258,$C$5:$C$1369,C1258)</f>
        <v>0.0154968703269704</v>
      </c>
      <c r="K1258" s="28" t="n">
        <f aca="false">INDEX(Sector_Params!$F$5:$H$5,MATCH(B1258,Sector_Params!$C$15:$E$15,0))</f>
        <v>0.24</v>
      </c>
      <c r="L1258" s="16" t="n">
        <f aca="false">J1258*K1258</f>
        <v>0.0037192488784729</v>
      </c>
      <c r="M1258" s="44" t="n">
        <f aca="false">Country_Data!$DW$184+Sector_Params!$E$5</f>
        <v>0.105</v>
      </c>
      <c r="N1258" s="44" t="n">
        <f aca="false">Country_Data!$DX$184+Sector_Params!$E$5</f>
        <v>0.15</v>
      </c>
      <c r="O1258" s="11" t="n">
        <f aca="false">IF(p_use_ibrd=1,p_r_ibrd,p_r_wb)</f>
        <v>0.06</v>
      </c>
      <c r="P1258" s="45" t="n">
        <f aca="false">Sector_Params!$D$5</f>
        <v>25</v>
      </c>
      <c r="Q1258" s="46" t="n">
        <f aca="false">M1258/(1-(1+M1258)^-P1258)</f>
        <v>0.114429319813103</v>
      </c>
      <c r="R1258" s="46" t="n">
        <f aca="false">N1258/(1-(1+N1258)^-P1258)</f>
        <v>0.154699402320206</v>
      </c>
      <c r="S1258" s="46" t="n">
        <f aca="false">O1258/(1-(1+O1258)^-P1258)</f>
        <v>0.078226718212274</v>
      </c>
      <c r="T1258" s="37" t="n">
        <f aca="false">IF(AND(p_eng=1,ISNUMBER(Country_Data!$CZ$184)),Country_Data!$CZ$184,Country_Data!$CM$184)*Sector_Params!$I$5</f>
        <v>0.294211976202851</v>
      </c>
      <c r="U1258" s="37" t="n">
        <f aca="false">IF(AND(p_eng=1,ISNUMBER(Country_Data!$DA$184)),Country_Data!$DA$184,Country_Data!$CN$184)*Sector_Params!$J$5</f>
        <v>5.70471083639072E-007</v>
      </c>
      <c r="V1258" s="37" t="n">
        <f aca="false">IF(AND(p_eng=1,ISNUMBER(Country_Data!$DB$184)),Country_Data!$DB$184,p_a)</f>
        <v>1.70023383435077</v>
      </c>
      <c r="W1258" s="16" t="n">
        <f aca="false">T1258*L1258</f>
        <v>0.00109424756252575</v>
      </c>
      <c r="X1258" s="16" t="n">
        <f aca="false">U1258*L1258</f>
        <v>2.12172393802584E-009</v>
      </c>
      <c r="Y1258" s="16" t="n">
        <f aca="false">V1258*L1258</f>
        <v>0.00632359278155076</v>
      </c>
      <c r="Z1258" s="16" t="n">
        <f aca="false">Q1258*L1258</f>
        <v>0.000425591119379301</v>
      </c>
      <c r="AA1258" s="16" t="n">
        <f aca="false">R1258*L1258</f>
        <v>0.000575365578579856</v>
      </c>
      <c r="AB1258" s="16" t="n">
        <f aca="false">S1258*L1258</f>
        <v>0.000290944633977615</v>
      </c>
      <c r="AC1258" s="16" t="n">
        <f aca="false">Z1258-W1258</f>
        <v>-0.000668656443146447</v>
      </c>
      <c r="AD1258" s="16" t="n">
        <f aca="false">AA1258-W1258</f>
        <v>-0.000518881983945892</v>
      </c>
      <c r="AE1258" s="16" t="n">
        <f aca="false">AB1258-W1258</f>
        <v>-0.000803302928548132</v>
      </c>
      <c r="AF1258" s="16" t="n">
        <f aca="false">AE1258-X1258</f>
        <v>-0.00080330505027207</v>
      </c>
      <c r="AG1258" s="16" t="n">
        <f aca="false">AF1258-p_spc_lo*Y1258/1000</f>
        <v>-0.00111948468934961</v>
      </c>
      <c r="AH1258" s="16" t="n">
        <f aca="false">AF1258-p_spc_hi*Y1258/1000</f>
        <v>-0.00143566432842715</v>
      </c>
      <c r="AI1258" s="16" t="n">
        <f aca="false">Q1258*J1258</f>
        <v>0.00177329633074709</v>
      </c>
      <c r="AJ1258" s="16" t="n">
        <f aca="false">S1258*J1258</f>
        <v>0.00121226930824006</v>
      </c>
      <c r="AK1258" s="16" t="n">
        <f aca="false">T1258*J1258</f>
        <v>0.00455936484385728</v>
      </c>
      <c r="AL1258" s="16" t="n">
        <f aca="false">U1258*J1258</f>
        <v>8.84051640844099E-009</v>
      </c>
      <c r="AM1258" s="16" t="n">
        <f aca="false">AI1258-AJ1258</f>
        <v>0.000561027022507024</v>
      </c>
      <c r="AN1258" s="16" t="n">
        <f aca="false">J1258*Country_Data!$EB$184</f>
        <v>0.0177895579917825</v>
      </c>
      <c r="AO1258" s="16" t="n">
        <f aca="false">L1258*Country_Data!$EB$184</f>
        <v>0.00426949391802779</v>
      </c>
    </row>
    <row r="1259" customFormat="false" ht="15" hidden="false" customHeight="false" outlineLevel="0" collapsed="false">
      <c r="A1259" s="14" t="str">
        <f aca="false">Country_Data!$A$184</f>
        <v>SLB</v>
      </c>
      <c r="B1259" s="14" t="str">
        <f aca="false">Country_Data!$E$184</f>
        <v>EMDC</v>
      </c>
      <c r="C1259" s="35" t="s">
        <v>470</v>
      </c>
      <c r="D1259" s="37" t="n">
        <f aca="false">IF(Country_Data!$BZ$184="","",Country_Data!$BZ$184)</f>
        <v>0.0995108027034591</v>
      </c>
      <c r="E1259" s="40" t="n">
        <f aca="false">Country_Data!$BW$184</f>
        <v>1.962</v>
      </c>
      <c r="F1259" s="41" t="n">
        <f aca="false">Country_Data!$BX$184</f>
        <v>0.807339449541284</v>
      </c>
      <c r="G1259" s="42" t="n">
        <f aca="false">IF(D1259="","",D1259/SUMIFS($D$5:$D$1369,$B$5:$B$1369,B1259,$C$5:$C$1369,C1259))</f>
        <v>1.13603657348948E-005</v>
      </c>
      <c r="H1259" s="42" t="n">
        <f aca="false">E1259/SUMIFS($E$5:$E$1369,$B$5:$B$1369,B1259,$C$5:$C$1369,C1259)</f>
        <v>2.43026640401953E-005</v>
      </c>
      <c r="I1259" s="43" t="n">
        <f aca="false">IF(G1259="",H1259,p_beta_alloc*G1259+(1-p_beta_alloc)*H1259)*F1259^p_phi</f>
        <v>1.60219852508516E-005</v>
      </c>
      <c r="J1259" s="16" t="n">
        <f aca="false">INDEX(Sector_Params!$C$17:$E$17,MATCH(B1259,Sector_Params!$C$15:$E$15,0))*I1259/SUMIFS($I$5:$I$1369,$B$5:$B$1369,B1259,$C$5:$C$1369,C1259)</f>
        <v>0.0106264253670654</v>
      </c>
      <c r="K1259" s="28" t="n">
        <f aca="false">INDEX(Sector_Params!$F$6:$H$6,MATCH(B1259,Sector_Params!$C$15:$E$15,0))</f>
        <v>0.24</v>
      </c>
      <c r="L1259" s="16" t="n">
        <f aca="false">J1259*K1259</f>
        <v>0.0025503420880957</v>
      </c>
      <c r="M1259" s="44" t="n">
        <f aca="false">Country_Data!$DW$184+Sector_Params!$E$6</f>
        <v>0.105</v>
      </c>
      <c r="N1259" s="44" t="n">
        <f aca="false">Country_Data!$DX$184+Sector_Params!$E$6</f>
        <v>0.15</v>
      </c>
      <c r="O1259" s="11" t="n">
        <f aca="false">IF(p_use_ibrd=1,p_r_ibrd,p_r_wb)</f>
        <v>0.06</v>
      </c>
      <c r="P1259" s="45" t="n">
        <f aca="false">Sector_Params!$D$6</f>
        <v>40</v>
      </c>
      <c r="Q1259" s="46" t="n">
        <f aca="false">M1259/(1-(1+M1259)^-P1259)</f>
        <v>0.10697140835497</v>
      </c>
      <c r="R1259" s="46" t="n">
        <f aca="false">N1259/(1-(1+N1259)^-P1259)</f>
        <v>0.150562085013545</v>
      </c>
      <c r="S1259" s="46" t="n">
        <f aca="false">O1259/(1-(1+O1259)^-P1259)</f>
        <v>0.0664615359206755</v>
      </c>
      <c r="T1259" s="37" t="n">
        <f aca="false">p_grid_credit*IF(AND(p_eng=1,ISNUMBER(Country_Data!$CZ$184)),Country_Data!$CZ$184,Country_Data!$CM$184)*Sector_Params!$I$6</f>
        <v>0</v>
      </c>
      <c r="U1259" s="37" t="n">
        <f aca="false">p_grid_credit*IF(AND(p_eng=1,ISNUMBER(Country_Data!$DA$184)),Country_Data!$DA$184,Country_Data!$CN$184)*Sector_Params!$J$6</f>
        <v>0</v>
      </c>
      <c r="V1259" s="37" t="n">
        <f aca="false">p_grid_credit*IF(AND(p_eng=1,ISNUMBER(Country_Data!$DB$184)),Country_Data!$DB$184,p_a)</f>
        <v>0</v>
      </c>
      <c r="W1259" s="16" t="n">
        <f aca="false">T1259*L1259</f>
        <v>0</v>
      </c>
      <c r="X1259" s="16" t="n">
        <f aca="false">U1259*L1259</f>
        <v>0</v>
      </c>
      <c r="Y1259" s="16" t="n">
        <f aca="false">V1259*L1259</f>
        <v>0</v>
      </c>
      <c r="Z1259" s="16" t="n">
        <f aca="false">Q1259*L1259</f>
        <v>0.000272813684950553</v>
      </c>
      <c r="AA1259" s="16" t="n">
        <f aca="false">R1259*L1259</f>
        <v>0.000383984822281487</v>
      </c>
      <c r="AB1259" s="16" t="n">
        <f aca="false">S1259*L1259</f>
        <v>0.000169499652297983</v>
      </c>
      <c r="AC1259" s="16" t="n">
        <f aca="false">Z1259-W1259</f>
        <v>0.000272813684950553</v>
      </c>
      <c r="AD1259" s="16" t="n">
        <f aca="false">AA1259-W1259</f>
        <v>0.000383984822281487</v>
      </c>
      <c r="AE1259" s="16" t="n">
        <f aca="false">AB1259-W1259</f>
        <v>0.000169499652297983</v>
      </c>
      <c r="AF1259" s="16" t="n">
        <f aca="false">AE1259-X1259</f>
        <v>0.000169499652297983</v>
      </c>
      <c r="AG1259" s="16" t="n">
        <f aca="false">AF1259-p_spc_lo*Y1259/1000</f>
        <v>0.000169499652297983</v>
      </c>
      <c r="AH1259" s="16" t="n">
        <f aca="false">AF1259-p_spc_hi*Y1259/1000</f>
        <v>0.000169499652297983</v>
      </c>
      <c r="AI1259" s="16" t="n">
        <f aca="false">Q1259*J1259</f>
        <v>0.00113672368729397</v>
      </c>
      <c r="AJ1259" s="16" t="n">
        <f aca="false">S1259*J1259</f>
        <v>0.000706248551241596</v>
      </c>
      <c r="AK1259" s="16" t="n">
        <f aca="false">T1259*J1259</f>
        <v>0</v>
      </c>
      <c r="AL1259" s="16" t="n">
        <f aca="false">U1259*J1259</f>
        <v>0</v>
      </c>
      <c r="AM1259" s="16" t="n">
        <f aca="false">AI1259-AJ1259</f>
        <v>0.000430475136052375</v>
      </c>
      <c r="AN1259" s="16" t="n">
        <f aca="false">J1259*Country_Data!$EB$184</f>
        <v>0.012198554051508</v>
      </c>
      <c r="AO1259" s="16" t="n">
        <f aca="false">L1259*Country_Data!$EB$184</f>
        <v>0.00292765297236192</v>
      </c>
    </row>
    <row r="1260" customFormat="false" ht="15" hidden="false" customHeight="false" outlineLevel="0" collapsed="false">
      <c r="A1260" s="14" t="str">
        <f aca="false">Country_Data!$A$184</f>
        <v>SLB</v>
      </c>
      <c r="B1260" s="14" t="str">
        <f aca="false">Country_Data!$E$184</f>
        <v>EMDC</v>
      </c>
      <c r="C1260" s="35" t="s">
        <v>473</v>
      </c>
      <c r="D1260" s="37" t="n">
        <f aca="false">IF(Country_Data!$CA$184="","",Country_Data!$CA$184)</f>
        <v>0.0034001625129085</v>
      </c>
      <c r="E1260" s="40" t="n">
        <f aca="false">Country_Data!$BW$184</f>
        <v>1.962</v>
      </c>
      <c r="F1260" s="41" t="n">
        <f aca="false">Country_Data!$BX$184</f>
        <v>0.807339449541284</v>
      </c>
      <c r="G1260" s="42" t="n">
        <f aca="false">IF(D1260="","",D1260/SUMIFS($D$5:$D$1369,$B$5:$B$1369,B1260,$C$5:$C$1369,C1260))</f>
        <v>7.85516652553027E-005</v>
      </c>
      <c r="H1260" s="42" t="n">
        <f aca="false">E1260/SUMIFS($E$5:$E$1369,$B$5:$B$1369,B1260,$C$5:$C$1369,C1260)</f>
        <v>2.43026640401953E-005</v>
      </c>
      <c r="I1260" s="43" t="n">
        <f aca="false">IF(G1260="",H1260,p_beta_alloc*G1260+(1-p_beta_alloc)*H1260)*F1260^p_phi</f>
        <v>4.6208372013018E-005</v>
      </c>
      <c r="J1260" s="16" t="n">
        <f aca="false">INDEX(Sector_Params!$C$18:$E$18,MATCH(B1260,Sector_Params!$C$15:$E$15,0))*I1260/SUMIFS($I$5:$I$1369,$B$5:$B$1369,B1260,$C$5:$C$1369,C1260)</f>
        <v>0.0189212349931371</v>
      </c>
      <c r="K1260" s="28" t="n">
        <f aca="false">INDEX(Sector_Params!$F$7:$H$7,MATCH(B1260,Sector_Params!$C$15:$E$15,0))</f>
        <v>0.24</v>
      </c>
      <c r="L1260" s="16" t="n">
        <f aca="false">J1260*K1260</f>
        <v>0.0045410963983529</v>
      </c>
      <c r="M1260" s="44" t="n">
        <f aca="false">Country_Data!$DW$184+Sector_Params!$E$7</f>
        <v>0.105</v>
      </c>
      <c r="N1260" s="44" t="n">
        <f aca="false">Country_Data!$DX$184+Sector_Params!$E$7</f>
        <v>0.15</v>
      </c>
      <c r="O1260" s="11" t="n">
        <f aca="false">IF(p_use_ibrd=1,p_r_ibrd,p_r_wb)</f>
        <v>0.06</v>
      </c>
      <c r="P1260" s="45" t="n">
        <f aca="false">Sector_Params!$D$7</f>
        <v>12</v>
      </c>
      <c r="Q1260" s="46" t="n">
        <f aca="false">M1260/(1-(1+M1260)^-P1260)</f>
        <v>0.150376745634766</v>
      </c>
      <c r="R1260" s="46" t="n">
        <f aca="false">N1260/(1-(1+N1260)^-P1260)</f>
        <v>0.18448077613084</v>
      </c>
      <c r="S1260" s="46" t="n">
        <f aca="false">O1260/(1-(1+O1260)^-P1260)</f>
        <v>0.119277029380664</v>
      </c>
      <c r="T1260" s="37" t="n">
        <f aca="false">IF(AND(p_eng=1,ISNUMBER(Country_Data!$DE$184)),Country_Data!$DE$184,Country_Data!$CM$184)*Sector_Params!$I$7</f>
        <v>-0.02438226</v>
      </c>
      <c r="U1260" s="37" t="n">
        <f aca="false">IF(AND(p_eng=1,ISNUMBER(Country_Data!$DF$184)),Country_Data!$DF$184,Country_Data!$CN$184)*Sector_Params!$J$7</f>
        <v>3.8925E-005</v>
      </c>
      <c r="V1260" s="37" t="n">
        <f aca="false">IF(AND(p_eng=1,ISNUMBER(Country_Data!$DG$184)),Country_Data!$DG$184,p_a)</f>
        <v>0.134301681818182</v>
      </c>
      <c r="W1260" s="16" t="n">
        <f aca="false">T1260*L1260</f>
        <v>-0.000110722193069704</v>
      </c>
      <c r="X1260" s="16" t="n">
        <f aca="false">U1260*L1260</f>
        <v>1.76762177305887E-007</v>
      </c>
      <c r="Y1260" s="16" t="n">
        <f aca="false">V1260*L1260</f>
        <v>0.000609876883597283</v>
      </c>
      <c r="Z1260" s="16" t="n">
        <f aca="false">Q1260*L1260</f>
        <v>0.000682875297998065</v>
      </c>
      <c r="AA1260" s="16" t="n">
        <f aca="false">R1260*L1260</f>
        <v>0.000837744988053104</v>
      </c>
      <c r="AB1260" s="16" t="n">
        <f aca="false">S1260*L1260</f>
        <v>0.000541648488526765</v>
      </c>
      <c r="AC1260" s="16" t="n">
        <f aca="false">Z1260-W1260</f>
        <v>0.000793597491067769</v>
      </c>
      <c r="AD1260" s="16" t="n">
        <f aca="false">AA1260-W1260</f>
        <v>0.000948467181122808</v>
      </c>
      <c r="AE1260" s="16" t="n">
        <f aca="false">AB1260-W1260</f>
        <v>0.000652370681596469</v>
      </c>
      <c r="AF1260" s="16" t="n">
        <f aca="false">AE1260-X1260</f>
        <v>0.000652193919419163</v>
      </c>
      <c r="AG1260" s="16" t="n">
        <f aca="false">AF1260-p_spc_lo*Y1260/1000</f>
        <v>0.000621700075239299</v>
      </c>
      <c r="AH1260" s="16" t="n">
        <f aca="false">AF1260-p_spc_hi*Y1260/1000</f>
        <v>0.000591206231059435</v>
      </c>
      <c r="AI1260" s="16" t="n">
        <f aca="false">Q1260*J1260</f>
        <v>0.00284531374165861</v>
      </c>
      <c r="AJ1260" s="16" t="n">
        <f aca="false">S1260*J1260</f>
        <v>0.00225686870219485</v>
      </c>
      <c r="AK1260" s="16" t="n">
        <f aca="false">T1260*J1260</f>
        <v>-0.000461342471123767</v>
      </c>
      <c r="AL1260" s="16" t="n">
        <f aca="false">U1260*J1260</f>
        <v>7.36509072107862E-007</v>
      </c>
      <c r="AM1260" s="16" t="n">
        <f aca="false">AI1260-AJ1260</f>
        <v>0.000588445039463753</v>
      </c>
      <c r="AN1260" s="16" t="n">
        <f aca="false">J1260*Country_Data!$EB$184</f>
        <v>0.0217205409921218</v>
      </c>
      <c r="AO1260" s="16" t="n">
        <f aca="false">L1260*Country_Data!$EB$184</f>
        <v>0.00521292983810922</v>
      </c>
    </row>
    <row r="1261" customFormat="false" ht="15" hidden="false" customHeight="false" outlineLevel="0" collapsed="false">
      <c r="A1261" s="14" t="str">
        <f aca="false">Country_Data!$A$184</f>
        <v>SLB</v>
      </c>
      <c r="B1261" s="14" t="str">
        <f aca="false">Country_Data!$E$184</f>
        <v>EMDC</v>
      </c>
      <c r="C1261" s="35" t="s">
        <v>477</v>
      </c>
      <c r="D1261" s="37" t="n">
        <f aca="false">IF(Country_Data!$CB$184="","",Country_Data!$CB$184)</f>
        <v>0.000159757517652206</v>
      </c>
      <c r="E1261" s="40" t="n">
        <f aca="false">Country_Data!$BW$184</f>
        <v>1.962</v>
      </c>
      <c r="F1261" s="41" t="n">
        <f aca="false">Country_Data!$BX$184</f>
        <v>0.807339449541284</v>
      </c>
      <c r="G1261" s="42" t="n">
        <f aca="false">IF(D1261="","",D1261/SUMIFS($D$5:$D$1369,$B$5:$B$1369,B1261,$C$5:$C$1369,C1261))</f>
        <v>5.03764099326588E-006</v>
      </c>
      <c r="H1261" s="42" t="n">
        <f aca="false">E1261/SUMIFS($E$5:$E$1369,$B$5:$B$1369,B1261,$C$5:$C$1369,C1261)</f>
        <v>2.43026640401953E-005</v>
      </c>
      <c r="I1261" s="43" t="n">
        <f aca="false">IF(G1261="",H1261,p_beta_alloc*G1261+(1-p_beta_alloc)*H1261)*F1261^p_phi</f>
        <v>1.31814357183402E-005</v>
      </c>
      <c r="J1261" s="16" t="n">
        <f aca="false">INDEX(Sector_Params!$C$19:$E$19,MATCH(B1261,Sector_Params!$C$15:$E$15,0))*I1261/SUMIFS($I$5:$I$1369,$B$5:$B$1369,B1261,$C$5:$C$1369,C1261)</f>
        <v>0.00424261112623875</v>
      </c>
      <c r="K1261" s="28" t="n">
        <f aca="false">INDEX(Sector_Params!$F$8:$H$8,MATCH(B1261,Sector_Params!$C$15:$E$15,0))</f>
        <v>0.24</v>
      </c>
      <c r="L1261" s="16" t="n">
        <f aca="false">J1261*K1261</f>
        <v>0.0010182266702973</v>
      </c>
      <c r="M1261" s="44" t="n">
        <f aca="false">Country_Data!$DW$184+Sector_Params!$E$8</f>
        <v>0.105</v>
      </c>
      <c r="N1261" s="44" t="n">
        <f aca="false">Country_Data!$DX$184+Sector_Params!$E$8</f>
        <v>0.15</v>
      </c>
      <c r="O1261" s="11" t="n">
        <f aca="false">IF(p_use_ibrd=1,p_r_ibrd,p_r_wb)</f>
        <v>0.06</v>
      </c>
      <c r="P1261" s="45" t="n">
        <f aca="false">Sector_Params!$D$8</f>
        <v>25</v>
      </c>
      <c r="Q1261" s="46" t="n">
        <f aca="false">M1261/(1-(1+M1261)^-P1261)</f>
        <v>0.114429319813103</v>
      </c>
      <c r="R1261" s="46" t="n">
        <f aca="false">N1261/(1-(1+N1261)^-P1261)</f>
        <v>0.154699402320206</v>
      </c>
      <c r="S1261" s="46" t="n">
        <f aca="false">O1261/(1-(1+O1261)^-P1261)</f>
        <v>0.078226718212274</v>
      </c>
      <c r="T1261" s="37" t="n">
        <f aca="false">Country_Data!$CM$184*Sector_Params!$I$8</f>
        <v>0.19873378724677</v>
      </c>
      <c r="U1261" s="37" t="n">
        <f aca="false">Country_Data!$CN$184*Sector_Params!$J$8</f>
        <v>0.03225</v>
      </c>
      <c r="V1261" s="37" t="n">
        <f aca="false">p_a</f>
        <v>0.35</v>
      </c>
      <c r="W1261" s="16" t="n">
        <f aca="false">T1261*L1261</f>
        <v>0.00020235604246385</v>
      </c>
      <c r="X1261" s="16" t="n">
        <f aca="false">U1261*L1261</f>
        <v>3.28378101170879E-005</v>
      </c>
      <c r="Y1261" s="16" t="n">
        <f aca="false">V1261*L1261</f>
        <v>0.000356379334604055</v>
      </c>
      <c r="Z1261" s="16" t="n">
        <f aca="false">Q1261*L1261</f>
        <v>0.000116514985297681</v>
      </c>
      <c r="AA1261" s="16" t="n">
        <f aca="false">R1261*L1261</f>
        <v>0.000157519057321486</v>
      </c>
      <c r="AB1261" s="16" t="n">
        <f aca="false">S1261*L1261</f>
        <v>7.96525308135688E-005</v>
      </c>
      <c r="AC1261" s="16" t="n">
        <f aca="false">Z1261-W1261</f>
        <v>-8.58410571661694E-005</v>
      </c>
      <c r="AD1261" s="16" t="n">
        <f aca="false">AA1261-W1261</f>
        <v>-4.48369851423642E-005</v>
      </c>
      <c r="AE1261" s="16" t="n">
        <f aca="false">AB1261-W1261</f>
        <v>-0.000122703511650282</v>
      </c>
      <c r="AF1261" s="16" t="n">
        <f aca="false">AE1261-X1261</f>
        <v>-0.000155541321767369</v>
      </c>
      <c r="AG1261" s="16" t="n">
        <f aca="false">AF1261-p_spc_lo*Y1261/1000</f>
        <v>-0.000173360288497572</v>
      </c>
      <c r="AH1261" s="16" t="n">
        <f aca="false">AF1261-p_spc_hi*Y1261/1000</f>
        <v>-0.000191179255227775</v>
      </c>
      <c r="AI1261" s="16" t="n">
        <f aca="false">Q1261*J1261</f>
        <v>0.000485479105407004</v>
      </c>
      <c r="AJ1261" s="16" t="n">
        <f aca="false">S1261*J1261</f>
        <v>0.000331885545056537</v>
      </c>
      <c r="AK1261" s="16" t="n">
        <f aca="false">T1261*J1261</f>
        <v>0.00084315017693271</v>
      </c>
      <c r="AL1261" s="16" t="n">
        <f aca="false">U1261*J1261</f>
        <v>0.0001368242088212</v>
      </c>
      <c r="AM1261" s="16" t="n">
        <f aca="false">AI1261-AJ1261</f>
        <v>0.000153593560350467</v>
      </c>
      <c r="AN1261" s="16" t="n">
        <f aca="false">J1261*Country_Data!$EB$184</f>
        <v>0.00487028510107955</v>
      </c>
      <c r="AO1261" s="16" t="n">
        <f aca="false">L1261*Country_Data!$EB$184</f>
        <v>0.00116886842425909</v>
      </c>
    </row>
    <row r="1262" customFormat="false" ht="15" hidden="false" customHeight="false" outlineLevel="0" collapsed="false">
      <c r="A1262" s="14" t="str">
        <f aca="false">Country_Data!$A$184</f>
        <v>SLB</v>
      </c>
      <c r="B1262" s="14" t="str">
        <f aca="false">Country_Data!$E$184</f>
        <v>EMDC</v>
      </c>
      <c r="C1262" s="35" t="s">
        <v>481</v>
      </c>
      <c r="D1262" s="37" t="n">
        <f aca="false">IF(Country_Data!$CC$184="","",Country_Data!$CC$184)</f>
        <v>0.00110106958600249</v>
      </c>
      <c r="E1262" s="40" t="n">
        <f aca="false">Country_Data!$BW$184</f>
        <v>1.962</v>
      </c>
      <c r="F1262" s="41" t="n">
        <f aca="false">Country_Data!$BX$184</f>
        <v>0.807339449541284</v>
      </c>
      <c r="G1262" s="42" t="n">
        <f aca="false">IF(D1262="","",D1262/SUMIFS($D$5:$D$1369,$B$5:$B$1369,B1262,$C$5:$C$1369,C1262))</f>
        <v>1.57279348584946E-005</v>
      </c>
      <c r="H1262" s="42" t="n">
        <f aca="false">E1262/SUMIFS($E$5:$E$1369,$B$5:$B$1369,B1262,$C$5:$C$1369,C1262)</f>
        <v>2.43026640401953E-005</v>
      </c>
      <c r="I1262" s="43" t="n">
        <f aca="false">IF(G1262="",H1262,p_beta_alloc*G1262+(1-p_beta_alloc)*H1262)*F1262^p_phi</f>
        <v>1.7984160885443E-005</v>
      </c>
      <c r="J1262" s="16" t="n">
        <f aca="false">INDEX(Sector_Params!$C$20:$E$20,MATCH(B1262,Sector_Params!$C$15:$E$15,0))*I1262/SUMIFS($I$5:$I$1369,$B$5:$B$1369,B1262,$C$5:$C$1369,C1262)</f>
        <v>0.00328247152099622</v>
      </c>
      <c r="K1262" s="28" t="n">
        <f aca="false">INDEX(Sector_Params!$F$9:$H$9,MATCH(B1262,Sector_Params!$C$15:$E$15,0))</f>
        <v>0.24</v>
      </c>
      <c r="L1262" s="16" t="n">
        <f aca="false">J1262*K1262</f>
        <v>0.000787793165039093</v>
      </c>
      <c r="M1262" s="44" t="n">
        <f aca="false">Country_Data!$DW$184+Sector_Params!$E$9</f>
        <v>0.105</v>
      </c>
      <c r="N1262" s="44" t="n">
        <f aca="false">Country_Data!$DX$184+Sector_Params!$E$9</f>
        <v>0.15</v>
      </c>
      <c r="O1262" s="11" t="n">
        <f aca="false">IF(p_use_ibrd=1,p_r_ibrd,p_r_wb)</f>
        <v>0.06</v>
      </c>
      <c r="P1262" s="45" t="n">
        <f aca="false">Sector_Params!$D$9</f>
        <v>25</v>
      </c>
      <c r="Q1262" s="46" t="n">
        <f aca="false">M1262/(1-(1+M1262)^-P1262)</f>
        <v>0.114429319813103</v>
      </c>
      <c r="R1262" s="46" t="n">
        <f aca="false">N1262/(1-(1+N1262)^-P1262)</f>
        <v>0.154699402320206</v>
      </c>
      <c r="S1262" s="46" t="n">
        <f aca="false">O1262/(1-(1+O1262)^-P1262)</f>
        <v>0.078226718212274</v>
      </c>
      <c r="T1262" s="37" t="n">
        <f aca="false">Country_Data!$CM$184*Sector_Params!$I$9</f>
        <v>0.19873378724677</v>
      </c>
      <c r="U1262" s="37" t="n">
        <f aca="false">Country_Data!$CN$184*Sector_Params!$J$9</f>
        <v>0.03225</v>
      </c>
      <c r="V1262" s="37" t="n">
        <f aca="false">p_a</f>
        <v>0.35</v>
      </c>
      <c r="W1262" s="16" t="n">
        <f aca="false">T1262*L1262</f>
        <v>0.000156561119255339</v>
      </c>
      <c r="X1262" s="16" t="n">
        <f aca="false">U1262*L1262</f>
        <v>2.54063295725108E-005</v>
      </c>
      <c r="Y1262" s="16" t="n">
        <f aca="false">V1262*L1262</f>
        <v>0.000275727607763683</v>
      </c>
      <c r="Z1262" s="16" t="n">
        <f aca="false">Q1262*L1262</f>
        <v>9.01466360288352E-005</v>
      </c>
      <c r="AA1262" s="16" t="n">
        <f aca="false">R1262*L1262</f>
        <v>0.000121871131783491</v>
      </c>
      <c r="AB1262" s="16" t="n">
        <f aca="false">S1262*L1262</f>
        <v>6.16264739310686E-005</v>
      </c>
      <c r="AC1262" s="16" t="n">
        <f aca="false">Z1262-W1262</f>
        <v>-6.64144832265033E-005</v>
      </c>
      <c r="AD1262" s="16" t="n">
        <f aca="false">AA1262-W1262</f>
        <v>-3.46899874718471E-005</v>
      </c>
      <c r="AE1262" s="16" t="n">
        <f aca="false">AB1262-W1262</f>
        <v>-9.493464532427E-005</v>
      </c>
      <c r="AF1262" s="16" t="n">
        <f aca="false">AE1262-X1262</f>
        <v>-0.000120340974896781</v>
      </c>
      <c r="AG1262" s="16" t="n">
        <f aca="false">AF1262-p_spc_lo*Y1262/1000</f>
        <v>-0.000134127355284965</v>
      </c>
      <c r="AH1262" s="16" t="n">
        <f aca="false">AF1262-p_spc_hi*Y1262/1000</f>
        <v>-0.000147913735673149</v>
      </c>
      <c r="AI1262" s="16" t="n">
        <f aca="false">Q1262*J1262</f>
        <v>0.00037561098345348</v>
      </c>
      <c r="AJ1262" s="16" t="n">
        <f aca="false">S1262*J1262</f>
        <v>0.000256776974712786</v>
      </c>
      <c r="AK1262" s="16" t="n">
        <f aca="false">T1262*J1262</f>
        <v>0.000652337996897244</v>
      </c>
      <c r="AL1262" s="16" t="n">
        <f aca="false">U1262*J1262</f>
        <v>0.000105859706552128</v>
      </c>
      <c r="AM1262" s="16" t="n">
        <f aca="false">AI1262-AJ1262</f>
        <v>0.000118834008740695</v>
      </c>
      <c r="AN1262" s="16" t="n">
        <f aca="false">J1262*Country_Data!$EB$184</f>
        <v>0.00376809744465046</v>
      </c>
      <c r="AO1262" s="16" t="n">
        <f aca="false">L1262*Country_Data!$EB$184</f>
        <v>0.00090434338671611</v>
      </c>
    </row>
    <row r="1263" customFormat="false" ht="15" hidden="false" customHeight="false" outlineLevel="0" collapsed="false">
      <c r="A1263" s="14" t="str">
        <f aca="false">Country_Data!$A$184</f>
        <v>SLB</v>
      </c>
      <c r="B1263" s="14" t="str">
        <f aca="false">Country_Data!$E$184</f>
        <v>EMDC</v>
      </c>
      <c r="C1263" s="35" t="s">
        <v>484</v>
      </c>
      <c r="D1263" s="37" t="n">
        <f aca="false">IF(Country_Data!$CD$184="","",Country_Data!$CD$184)</f>
        <v>0.00430275072683075</v>
      </c>
      <c r="E1263" s="40" t="n">
        <f aca="false">Country_Data!$BW$184</f>
        <v>1.962</v>
      </c>
      <c r="F1263" s="41" t="n">
        <f aca="false">Country_Data!$BX$184</f>
        <v>0.807339449541284</v>
      </c>
      <c r="G1263" s="42" t="n">
        <f aca="false">IF(D1263="","",D1263/SUMIFS($D$5:$D$1369,$B$5:$B$1369,B1263,$C$5:$C$1369,C1263))</f>
        <v>2.40281319366309E-005</v>
      </c>
      <c r="H1263" s="42" t="n">
        <f aca="false">E1263/SUMIFS($E$5:$E$1369,$B$5:$B$1369,B1263,$C$5:$C$1369,C1263)</f>
        <v>2.43026640401953E-005</v>
      </c>
      <c r="I1263" s="43" t="n">
        <f aca="false">IF(G1263="",H1263,p_beta_alloc*G1263+(1-p_beta_alloc)*H1263)*F1263^p_phi</f>
        <v>2.17131103326363E-005</v>
      </c>
      <c r="J1263" s="16" t="n">
        <f aca="false">INDEX(Sector_Params!$C$21:$E$21,MATCH(B1263,Sector_Params!$C$15:$E$15,0))*I1263/SUMIFS($I$5:$I$1369,$B$5:$B$1369,B1263,$C$5:$C$1369,C1263)</f>
        <v>0.00481574696818413</v>
      </c>
      <c r="K1263" s="28" t="n">
        <f aca="false">INDEX(Sector_Params!$F$10:$H$10,MATCH(B1263,Sector_Params!$C$15:$E$15,0))</f>
        <v>0.24</v>
      </c>
      <c r="L1263" s="16" t="n">
        <f aca="false">J1263*K1263</f>
        <v>0.00115577927236419</v>
      </c>
      <c r="M1263" s="44" t="n">
        <f aca="false">Country_Data!$DW$184+Sector_Params!$E$10</f>
        <v>0.105</v>
      </c>
      <c r="N1263" s="44" t="n">
        <f aca="false">Country_Data!$DX$184+Sector_Params!$E$10</f>
        <v>0.15</v>
      </c>
      <c r="O1263" s="11" t="n">
        <f aca="false">IF(p_use_ibrd=1,p_r_ibrd,p_r_wb)</f>
        <v>0.06</v>
      </c>
      <c r="P1263" s="45" t="n">
        <f aca="false">Sector_Params!$D$10</f>
        <v>20</v>
      </c>
      <c r="Q1263" s="46" t="n">
        <f aca="false">M1263/(1-(1+M1263)^-P1263)</f>
        <v>0.121493265267016</v>
      </c>
      <c r="R1263" s="46" t="n">
        <f aca="false">N1263/(1-(1+N1263)^-P1263)</f>
        <v>0.159761470405744</v>
      </c>
      <c r="S1263" s="46" t="n">
        <f aca="false">O1263/(1-(1+O1263)^-P1263)</f>
        <v>0.0871845569768514</v>
      </c>
      <c r="T1263" s="37" t="n">
        <f aca="false">0*Sector_Params!$I$10</f>
        <v>0</v>
      </c>
      <c r="U1263" s="37" t="n">
        <f aca="false">0*Sector_Params!$J$10</f>
        <v>0</v>
      </c>
      <c r="V1263" s="37" t="n">
        <f aca="false">1000*p_r_wb/(1-(1+p_r_wb)^-Sector_Params!$D$10)/p_cpt_fuel</f>
        <v>0.871845569768514</v>
      </c>
      <c r="W1263" s="16" t="n">
        <f aca="false">T1263*L1263</f>
        <v>0</v>
      </c>
      <c r="X1263" s="16" t="n">
        <f aca="false">U1263*L1263</f>
        <v>0</v>
      </c>
      <c r="Y1263" s="16" t="n">
        <f aca="false">V1263*L1263</f>
        <v>0.001007661038241</v>
      </c>
      <c r="Z1263" s="16" t="n">
        <f aca="false">Q1263*L1263</f>
        <v>0.000140419397727462</v>
      </c>
      <c r="AA1263" s="16" t="n">
        <f aca="false">R1263*L1263</f>
        <v>0.000184648996017384</v>
      </c>
      <c r="AB1263" s="16" t="n">
        <f aca="false">S1263*L1263</f>
        <v>0.0001007661038241</v>
      </c>
      <c r="AC1263" s="16" t="n">
        <f aca="false">Z1263-W1263</f>
        <v>0.000140419397727462</v>
      </c>
      <c r="AD1263" s="16" t="n">
        <f aca="false">AA1263-W1263</f>
        <v>0.000184648996017384</v>
      </c>
      <c r="AE1263" s="16" t="n">
        <f aca="false">AB1263-W1263</f>
        <v>0.0001007661038241</v>
      </c>
      <c r="AF1263" s="16" t="n">
        <f aca="false">AE1263-X1263</f>
        <v>0.0001007661038241</v>
      </c>
      <c r="AG1263" s="16" t="n">
        <f aca="false">AF1263-p_spc_lo*Y1263/1000</f>
        <v>5.03830519120499E-005</v>
      </c>
      <c r="AH1263" s="16" t="n">
        <f aca="false">AF1263-p_spc_hi*Y1263/1000</f>
        <v>0</v>
      </c>
      <c r="AI1263" s="16" t="n">
        <f aca="false">Q1263*J1263</f>
        <v>0.000585080823864424</v>
      </c>
      <c r="AJ1263" s="16" t="n">
        <f aca="false">S1263*J1263</f>
        <v>0.000419858765933749</v>
      </c>
      <c r="AK1263" s="16" t="n">
        <f aca="false">T1263*J1263</f>
        <v>0</v>
      </c>
      <c r="AL1263" s="16" t="n">
        <f aca="false">U1263*J1263</f>
        <v>0</v>
      </c>
      <c r="AM1263" s="16" t="n">
        <f aca="false">AI1263-AJ1263</f>
        <v>0.000165222057930675</v>
      </c>
      <c r="AN1263" s="16" t="n">
        <f aca="false">J1263*Country_Data!$EB$184</f>
        <v>0.00552821364292918</v>
      </c>
      <c r="AO1263" s="16" t="n">
        <f aca="false">L1263*Country_Data!$EB$184</f>
        <v>0.001326771274303</v>
      </c>
    </row>
    <row r="1264" customFormat="false" ht="15" hidden="false" customHeight="false" outlineLevel="0" collapsed="false">
      <c r="A1264" s="14" t="str">
        <f aca="false">Country_Data!$A$184</f>
        <v>SLB</v>
      </c>
      <c r="B1264" s="14" t="str">
        <f aca="false">Country_Data!$E$184</f>
        <v>EMDC</v>
      </c>
      <c r="C1264" s="35" t="s">
        <v>488</v>
      </c>
      <c r="D1264" s="37" t="n">
        <f aca="false">IF(Country_Data!$CE$184="","",Country_Data!$CE$184)</f>
        <v>43.423</v>
      </c>
      <c r="E1264" s="40" t="n">
        <f aca="false">Country_Data!$BW$184</f>
        <v>1.962</v>
      </c>
      <c r="F1264" s="41" t="n">
        <f aca="false">Country_Data!$BX$184</f>
        <v>0.807339449541284</v>
      </c>
      <c r="G1264" s="42" t="n">
        <f aca="false">IF(D1264="","",D1264/SUMIFS($D$5:$D$1369,$B$5:$B$1369,B1264,$C$5:$C$1369,C1264))</f>
        <v>0.00355806363593904</v>
      </c>
      <c r="H1264" s="42" t="n">
        <f aca="false">E1264/SUMIFS($E$5:$E$1369,$B$5:$B$1369,B1264,$C$5:$C$1369,C1264)</f>
        <v>2.43026640401953E-005</v>
      </c>
      <c r="I1264" s="43" t="n">
        <f aca="false">IF(G1264="",H1264,p_beta_alloc*G1264+(1-p_beta_alloc)*H1264)*F1264^p_phi</f>
        <v>0.00160941513896572</v>
      </c>
      <c r="J1264" s="16" t="n">
        <f aca="false">INDEX(Sector_Params!$C$22:$E$22,MATCH(B1264,Sector_Params!$C$15:$E$15,0))*I1264/SUMIFS($I$5:$I$1369,$B$5:$B$1369,B1264,$C$5:$C$1369,C1264)</f>
        <v>0.970168945895017</v>
      </c>
      <c r="K1264" s="28" t="n">
        <f aca="false">INDEX(Sector_Params!$F$11:$H$11,MATCH(B1264,Sector_Params!$C$15:$E$15,0))</f>
        <v>0.24</v>
      </c>
      <c r="L1264" s="16" t="n">
        <f aca="false">J1264*K1264</f>
        <v>0.232840547014804</v>
      </c>
      <c r="M1264" s="44" t="n">
        <f aca="false">Country_Data!$DW$184+Sector_Params!$E$11</f>
        <v>0.105</v>
      </c>
      <c r="N1264" s="44" t="n">
        <f aca="false">Country_Data!$DX$184+Sector_Params!$E$11</f>
        <v>0.15</v>
      </c>
      <c r="O1264" s="11" t="n">
        <f aca="false">IF(p_use_ibrd=1,p_r_ibrd,p_r_wb)</f>
        <v>0.06</v>
      </c>
      <c r="P1264" s="45" t="n">
        <f aca="false">Sector_Params!$D$11</f>
        <v>30</v>
      </c>
      <c r="Q1264" s="46" t="n">
        <f aca="false">M1264/(1-(1+M1264)^-P1264)</f>
        <v>0.110528481529605</v>
      </c>
      <c r="R1264" s="46" t="n">
        <f aca="false">N1264/(1-(1+N1264)^-P1264)</f>
        <v>0.152300198192734</v>
      </c>
      <c r="S1264" s="46" t="n">
        <f aca="false">O1264/(1-(1+O1264)^-P1264)</f>
        <v>0.0726489114900472</v>
      </c>
      <c r="T1264" s="37" t="n">
        <f aca="false">0*Sector_Params!$I$11</f>
        <v>0</v>
      </c>
      <c r="U1264" s="37" t="n">
        <f aca="false">p_c*Sector_Params!$J$11</f>
        <v>0.129</v>
      </c>
      <c r="V1264" s="37" t="n">
        <f aca="false">1000*p_r_wb/(1-(1+p_r_wb)^-Sector_Params!$D$11)/p_cpt_afolu</f>
        <v>1.45297822980094</v>
      </c>
      <c r="W1264" s="16" t="n">
        <f aca="false">T1264*L1264</f>
        <v>0</v>
      </c>
      <c r="X1264" s="16" t="n">
        <f aca="false">U1264*L1264</f>
        <v>0.0300364305649097</v>
      </c>
      <c r="Y1264" s="16" t="n">
        <f aca="false">V1264*L1264</f>
        <v>0.338312245827454</v>
      </c>
      <c r="Z1264" s="16" t="n">
        <f aca="false">Q1264*L1264</f>
        <v>0.0257355121000689</v>
      </c>
      <c r="AA1264" s="16" t="n">
        <f aca="false">R1264*L1264</f>
        <v>0.0354616614576593</v>
      </c>
      <c r="AB1264" s="16" t="n">
        <f aca="false">S1264*L1264</f>
        <v>0.0169156122913727</v>
      </c>
      <c r="AC1264" s="16" t="n">
        <f aca="false">Z1264-W1264</f>
        <v>0.0257355121000689</v>
      </c>
      <c r="AD1264" s="16" t="n">
        <f aca="false">AA1264-W1264</f>
        <v>0.0354616614576593</v>
      </c>
      <c r="AE1264" s="16" t="n">
        <f aca="false">AB1264-W1264</f>
        <v>0.0169156122913727</v>
      </c>
      <c r="AF1264" s="16" t="n">
        <f aca="false">AE1264-X1264</f>
        <v>-0.0131208182735371</v>
      </c>
      <c r="AG1264" s="16" t="n">
        <f aca="false">AF1264-p_spc_lo*Y1264/1000</f>
        <v>-0.0300364305649097</v>
      </c>
      <c r="AH1264" s="16" t="n">
        <f aca="false">AF1264-p_spc_hi*Y1264/1000</f>
        <v>-0.0469520428562824</v>
      </c>
      <c r="AI1264" s="16" t="n">
        <f aca="false">Q1264*J1264</f>
        <v>0.107231300416954</v>
      </c>
      <c r="AJ1264" s="16" t="n">
        <f aca="false">S1264*J1264</f>
        <v>0.0704817178807195</v>
      </c>
      <c r="AK1264" s="16" t="n">
        <f aca="false">T1264*J1264</f>
        <v>0</v>
      </c>
      <c r="AL1264" s="16" t="n">
        <f aca="false">U1264*J1264</f>
        <v>0.125151794020457</v>
      </c>
      <c r="AM1264" s="16" t="n">
        <f aca="false">AI1264-AJ1264</f>
        <v>0.0367495825362344</v>
      </c>
      <c r="AN1264" s="16" t="n">
        <f aca="false">J1264*Country_Data!$EB$184</f>
        <v>1.11370078994524</v>
      </c>
      <c r="AO1264" s="16" t="n">
        <f aca="false">L1264*Country_Data!$EB$184</f>
        <v>0.267288189586857</v>
      </c>
    </row>
    <row r="1265" customFormat="false" ht="15" hidden="false" customHeight="false" outlineLevel="0" collapsed="false">
      <c r="A1265" s="14" t="str">
        <f aca="false">Country_Data!$A$185</f>
        <v>COM</v>
      </c>
      <c r="B1265" s="14" t="str">
        <f aca="false">Country_Data!$E$185</f>
        <v>EMDC</v>
      </c>
      <c r="C1265" s="35" t="s">
        <v>466</v>
      </c>
      <c r="D1265" s="37" t="n">
        <f aca="false">IF(Country_Data!$BZ$185="","",Country_Data!$BZ$185)</f>
        <v>0.107451518581651</v>
      </c>
      <c r="E1265" s="40" t="n">
        <f aca="false">Country_Data!$BW$185</f>
        <v>3.436</v>
      </c>
      <c r="F1265" s="41" t="n">
        <f aca="false">Country_Data!$BX$185</f>
        <v>0.419674039580908</v>
      </c>
      <c r="G1265" s="42" t="n">
        <f aca="false">IF(D1265="","",D1265/SUMIFS($D$5:$D$1369,$B$5:$B$1369,B1265,$C$5:$C$1369,C1265))</f>
        <v>1.22668948163853E-005</v>
      </c>
      <c r="H1265" s="42" t="n">
        <f aca="false">E1265/SUMIFS($E$5:$E$1369,$B$5:$B$1369,B1265,$C$5:$C$1369,C1265)</f>
        <v>4.25606287676406E-005</v>
      </c>
      <c r="I1265" s="43" t="n">
        <f aca="false">IF(G1265="",H1265,p_beta_alloc*G1265+(1-p_beta_alloc)*H1265)*F1265^p_phi</f>
        <v>1.77592527156886E-005</v>
      </c>
      <c r="J1265" s="16" t="n">
        <f aca="false">INDEX(Sector_Params!$C$16:$E$16,MATCH(B1265,Sector_Params!$C$15:$E$15,0))*I1265/SUMIFS($I$5:$I$1369,$B$5:$B$1369,B1265,$C$5:$C$1369,C1265)</f>
        <v>0.0171771994624883</v>
      </c>
      <c r="K1265" s="28" t="n">
        <f aca="false">INDEX(Sector_Params!$F$5:$H$5,MATCH(B1265,Sector_Params!$C$15:$E$15,0))</f>
        <v>0.24</v>
      </c>
      <c r="L1265" s="16" t="n">
        <f aca="false">J1265*K1265</f>
        <v>0.0041225278709972</v>
      </c>
      <c r="M1265" s="44" t="n">
        <f aca="false">Country_Data!$DW$185+Sector_Params!$E$5</f>
        <v>0.105</v>
      </c>
      <c r="N1265" s="44" t="n">
        <f aca="false">Country_Data!$DX$185+Sector_Params!$E$5</f>
        <v>0.15</v>
      </c>
      <c r="O1265" s="11" t="n">
        <f aca="false">IF(p_use_ibrd=1,p_r_ibrd,p_r_wb)</f>
        <v>0.06</v>
      </c>
      <c r="P1265" s="45" t="n">
        <f aca="false">Sector_Params!$D$5</f>
        <v>25</v>
      </c>
      <c r="Q1265" s="46" t="n">
        <f aca="false">M1265/(1-(1+M1265)^-P1265)</f>
        <v>0.114429319813103</v>
      </c>
      <c r="R1265" s="46" t="n">
        <f aca="false">N1265/(1-(1+N1265)^-P1265)</f>
        <v>0.154699402320206</v>
      </c>
      <c r="S1265" s="46" t="n">
        <f aca="false">O1265/(1-(1+O1265)^-P1265)</f>
        <v>0.078226718212274</v>
      </c>
      <c r="T1265" s="37" t="n">
        <f aca="false">IF(AND(p_eng=1,ISNUMBER(Country_Data!$CZ$185)),Country_Data!$CZ$185,Country_Data!$CM$185)*Sector_Params!$I$5</f>
        <v>0.325023516110953</v>
      </c>
      <c r="U1265" s="37" t="n">
        <f aca="false">IF(AND(p_eng=1,ISNUMBER(Country_Data!$DA$185)),Country_Data!$DA$185,Country_Data!$CN$185)*Sector_Params!$J$5</f>
        <v>0.00121154307608893</v>
      </c>
      <c r="V1265" s="37" t="n">
        <f aca="false">IF(AND(p_eng=1,ISNUMBER(Country_Data!$DB$185)),Country_Data!$DB$185,p_a)</f>
        <v>1.87025721778584</v>
      </c>
      <c r="W1265" s="16" t="n">
        <f aca="false">T1265*L1265</f>
        <v>0.00133991850389691</v>
      </c>
      <c r="X1265" s="16" t="n">
        <f aca="false">U1265*L1265</f>
        <v>4.99462009809029E-006</v>
      </c>
      <c r="Y1265" s="16" t="n">
        <f aca="false">V1265*L1265</f>
        <v>0.00771018750625583</v>
      </c>
      <c r="Z1265" s="16" t="n">
        <f aca="false">Q1265*L1265</f>
        <v>0.000471738060188771</v>
      </c>
      <c r="AA1265" s="16" t="n">
        <f aca="false">R1265*L1265</f>
        <v>0.000637752597691661</v>
      </c>
      <c r="AB1265" s="16" t="n">
        <f aca="false">S1265*L1265</f>
        <v>0.000322491826086744</v>
      </c>
      <c r="AC1265" s="16" t="n">
        <f aca="false">Z1265-W1265</f>
        <v>-0.000868180443708139</v>
      </c>
      <c r="AD1265" s="16" t="n">
        <f aca="false">AA1265-W1265</f>
        <v>-0.00070216590620525</v>
      </c>
      <c r="AE1265" s="16" t="n">
        <f aca="false">AB1265-W1265</f>
        <v>-0.00101742667781017</v>
      </c>
      <c r="AF1265" s="16" t="n">
        <f aca="false">AE1265-X1265</f>
        <v>-0.00102242129790826</v>
      </c>
      <c r="AG1265" s="16" t="n">
        <f aca="false">AF1265-p_spc_lo*Y1265/1000</f>
        <v>-0.00140793067322105</v>
      </c>
      <c r="AH1265" s="16" t="n">
        <f aca="false">AF1265-p_spc_hi*Y1265/1000</f>
        <v>-0.00179344004853384</v>
      </c>
      <c r="AI1265" s="16" t="n">
        <f aca="false">Q1265*J1265</f>
        <v>0.00196557525078655</v>
      </c>
      <c r="AJ1265" s="16" t="n">
        <f aca="false">S1265*J1265</f>
        <v>0.0013437159420281</v>
      </c>
      <c r="AK1265" s="16" t="n">
        <f aca="false">T1265*J1265</f>
        <v>0.00558299376623713</v>
      </c>
      <c r="AL1265" s="16" t="n">
        <f aca="false">U1265*J1265</f>
        <v>2.08109170753762E-005</v>
      </c>
      <c r="AM1265" s="16" t="n">
        <f aca="false">AI1265-AJ1265</f>
        <v>0.000621859308758446</v>
      </c>
      <c r="AN1265" s="16" t="n">
        <f aca="false">J1265*Country_Data!$EB$185</f>
        <v>0.0197184837665277</v>
      </c>
      <c r="AO1265" s="16" t="n">
        <f aca="false">L1265*Country_Data!$EB$185</f>
        <v>0.00473243610396665</v>
      </c>
    </row>
    <row r="1266" customFormat="false" ht="15" hidden="false" customHeight="false" outlineLevel="0" collapsed="false">
      <c r="A1266" s="14" t="str">
        <f aca="false">Country_Data!$A$185</f>
        <v>COM</v>
      </c>
      <c r="B1266" s="14" t="str">
        <f aca="false">Country_Data!$E$185</f>
        <v>EMDC</v>
      </c>
      <c r="C1266" s="35" t="s">
        <v>470</v>
      </c>
      <c r="D1266" s="37" t="n">
        <f aca="false">IF(Country_Data!$BZ$185="","",Country_Data!$BZ$185)</f>
        <v>0.107451518581651</v>
      </c>
      <c r="E1266" s="40" t="n">
        <f aca="false">Country_Data!$BW$185</f>
        <v>3.436</v>
      </c>
      <c r="F1266" s="41" t="n">
        <f aca="false">Country_Data!$BX$185</f>
        <v>0.419674039580908</v>
      </c>
      <c r="G1266" s="42" t="n">
        <f aca="false">IF(D1266="","",D1266/SUMIFS($D$5:$D$1369,$B$5:$B$1369,B1266,$C$5:$C$1369,C1266))</f>
        <v>1.22668948163853E-005</v>
      </c>
      <c r="H1266" s="42" t="n">
        <f aca="false">E1266/SUMIFS($E$5:$E$1369,$B$5:$B$1369,B1266,$C$5:$C$1369,C1266)</f>
        <v>4.25606287676406E-005</v>
      </c>
      <c r="I1266" s="43" t="n">
        <f aca="false">IF(G1266="",H1266,p_beta_alloc*G1266+(1-p_beta_alloc)*H1266)*F1266^p_phi</f>
        <v>1.77592527156886E-005</v>
      </c>
      <c r="J1266" s="16" t="n">
        <f aca="false">INDEX(Sector_Params!$C$17:$E$17,MATCH(B1266,Sector_Params!$C$15:$E$15,0))*I1266/SUMIFS($I$5:$I$1369,$B$5:$B$1369,B1266,$C$5:$C$1369,C1266)</f>
        <v>0.011778651059992</v>
      </c>
      <c r="K1266" s="28" t="n">
        <f aca="false">INDEX(Sector_Params!$F$6:$H$6,MATCH(B1266,Sector_Params!$C$15:$E$15,0))</f>
        <v>0.24</v>
      </c>
      <c r="L1266" s="16" t="n">
        <f aca="false">J1266*K1266</f>
        <v>0.00282687625439808</v>
      </c>
      <c r="M1266" s="44" t="n">
        <f aca="false">Country_Data!$DW$185+Sector_Params!$E$6</f>
        <v>0.105</v>
      </c>
      <c r="N1266" s="44" t="n">
        <f aca="false">Country_Data!$DX$185+Sector_Params!$E$6</f>
        <v>0.15</v>
      </c>
      <c r="O1266" s="11" t="n">
        <f aca="false">IF(p_use_ibrd=1,p_r_ibrd,p_r_wb)</f>
        <v>0.06</v>
      </c>
      <c r="P1266" s="45" t="n">
        <f aca="false">Sector_Params!$D$6</f>
        <v>40</v>
      </c>
      <c r="Q1266" s="46" t="n">
        <f aca="false">M1266/(1-(1+M1266)^-P1266)</f>
        <v>0.10697140835497</v>
      </c>
      <c r="R1266" s="46" t="n">
        <f aca="false">N1266/(1-(1+N1266)^-P1266)</f>
        <v>0.150562085013545</v>
      </c>
      <c r="S1266" s="46" t="n">
        <f aca="false">O1266/(1-(1+O1266)^-P1266)</f>
        <v>0.0664615359206755</v>
      </c>
      <c r="T1266" s="37" t="n">
        <f aca="false">p_grid_credit*IF(AND(p_eng=1,ISNUMBER(Country_Data!$CZ$185)),Country_Data!$CZ$185,Country_Data!$CM$185)*Sector_Params!$I$6</f>
        <v>0</v>
      </c>
      <c r="U1266" s="37" t="n">
        <f aca="false">p_grid_credit*IF(AND(p_eng=1,ISNUMBER(Country_Data!$DA$185)),Country_Data!$DA$185,Country_Data!$CN$185)*Sector_Params!$J$6</f>
        <v>0</v>
      </c>
      <c r="V1266" s="37" t="n">
        <f aca="false">p_grid_credit*IF(AND(p_eng=1,ISNUMBER(Country_Data!$DB$185)),Country_Data!$DB$185,p_a)</f>
        <v>0</v>
      </c>
      <c r="W1266" s="16" t="n">
        <f aca="false">T1266*L1266</f>
        <v>0</v>
      </c>
      <c r="X1266" s="16" t="n">
        <f aca="false">U1266*L1266</f>
        <v>0</v>
      </c>
      <c r="Y1266" s="16" t="n">
        <f aca="false">V1266*L1266</f>
        <v>0</v>
      </c>
      <c r="Z1266" s="16" t="n">
        <f aca="false">Q1266*L1266</f>
        <v>0.000302394934178186</v>
      </c>
      <c r="AA1266" s="16" t="n">
        <f aca="false">R1266*L1266</f>
        <v>0.000425620382937456</v>
      </c>
      <c r="AB1266" s="16" t="n">
        <f aca="false">S1266*L1266</f>
        <v>0.000187878537724983</v>
      </c>
      <c r="AC1266" s="16" t="n">
        <f aca="false">Z1266-W1266</f>
        <v>0.000302394934178186</v>
      </c>
      <c r="AD1266" s="16" t="n">
        <f aca="false">AA1266-W1266</f>
        <v>0.000425620382937456</v>
      </c>
      <c r="AE1266" s="16" t="n">
        <f aca="false">AB1266-W1266</f>
        <v>0.000187878537724983</v>
      </c>
      <c r="AF1266" s="16" t="n">
        <f aca="false">AE1266-X1266</f>
        <v>0.000187878537724983</v>
      </c>
      <c r="AG1266" s="16" t="n">
        <f aca="false">AF1266-p_spc_lo*Y1266/1000</f>
        <v>0.000187878537724983</v>
      </c>
      <c r="AH1266" s="16" t="n">
        <f aca="false">AF1266-p_spc_hi*Y1266/1000</f>
        <v>0.000187878537724983</v>
      </c>
      <c r="AI1266" s="16" t="n">
        <f aca="false">Q1266*J1266</f>
        <v>0.00125997889240911</v>
      </c>
      <c r="AJ1266" s="16" t="n">
        <f aca="false">S1266*J1266</f>
        <v>0.000782827240520761</v>
      </c>
      <c r="AK1266" s="16" t="n">
        <f aca="false">T1266*J1266</f>
        <v>0</v>
      </c>
      <c r="AL1266" s="16" t="n">
        <f aca="false">U1266*J1266</f>
        <v>0</v>
      </c>
      <c r="AM1266" s="16" t="n">
        <f aca="false">AI1266-AJ1266</f>
        <v>0.000477151651888348</v>
      </c>
      <c r="AN1266" s="16" t="n">
        <f aca="false">J1266*Country_Data!$EB$185</f>
        <v>0.0135212460113333</v>
      </c>
      <c r="AO1266" s="16" t="n">
        <f aca="false">L1266*Country_Data!$EB$185</f>
        <v>0.00324509904271999</v>
      </c>
    </row>
    <row r="1267" customFormat="false" ht="15" hidden="false" customHeight="false" outlineLevel="0" collapsed="false">
      <c r="A1267" s="14" t="str">
        <f aca="false">Country_Data!$A$185</f>
        <v>COM</v>
      </c>
      <c r="B1267" s="14" t="str">
        <f aca="false">Country_Data!$E$185</f>
        <v>EMDC</v>
      </c>
      <c r="C1267" s="35" t="s">
        <v>473</v>
      </c>
      <c r="D1267" s="37" t="n">
        <f aca="false">IF(Country_Data!$CA$185="","",Country_Data!$CA$185)</f>
        <v>0.00432569056611836</v>
      </c>
      <c r="E1267" s="40" t="n">
        <f aca="false">Country_Data!$BW$185</f>
        <v>3.436</v>
      </c>
      <c r="F1267" s="41" t="n">
        <f aca="false">Country_Data!$BX$185</f>
        <v>0.419674039580908</v>
      </c>
      <c r="G1267" s="42" t="n">
        <f aca="false">IF(D1267="","",D1267/SUMIFS($D$5:$D$1369,$B$5:$B$1369,B1267,$C$5:$C$1369,C1267))</f>
        <v>9.9933516723909E-005</v>
      </c>
      <c r="H1267" s="42" t="n">
        <f aca="false">E1267/SUMIFS($E$5:$E$1369,$B$5:$B$1369,B1267,$C$5:$C$1369,C1267)</f>
        <v>4.25606287676406E-005</v>
      </c>
      <c r="I1267" s="43" t="n">
        <f aca="false">IF(G1267="",H1267,p_beta_alloc*G1267+(1-p_beta_alloc)*H1267)*F1267^p_phi</f>
        <v>4.61554594274586E-005</v>
      </c>
      <c r="J1267" s="16" t="n">
        <f aca="false">INDEX(Sector_Params!$C$18:$E$18,MATCH(B1267,Sector_Params!$C$15:$E$15,0))*I1267/SUMIFS($I$5:$I$1369,$B$5:$B$1369,B1267,$C$5:$C$1369,C1267)</f>
        <v>0.0188995685413265</v>
      </c>
      <c r="K1267" s="28" t="n">
        <f aca="false">INDEX(Sector_Params!$F$7:$H$7,MATCH(B1267,Sector_Params!$C$15:$E$15,0))</f>
        <v>0.24</v>
      </c>
      <c r="L1267" s="16" t="n">
        <f aca="false">J1267*K1267</f>
        <v>0.00453589644991837</v>
      </c>
      <c r="M1267" s="44" t="n">
        <f aca="false">Country_Data!$DW$185+Sector_Params!$E$7</f>
        <v>0.105</v>
      </c>
      <c r="N1267" s="44" t="n">
        <f aca="false">Country_Data!$DX$185+Sector_Params!$E$7</f>
        <v>0.15</v>
      </c>
      <c r="O1267" s="11" t="n">
        <f aca="false">IF(p_use_ibrd=1,p_r_ibrd,p_r_wb)</f>
        <v>0.06</v>
      </c>
      <c r="P1267" s="45" t="n">
        <f aca="false">Sector_Params!$D$7</f>
        <v>12</v>
      </c>
      <c r="Q1267" s="46" t="n">
        <f aca="false">M1267/(1-(1+M1267)^-P1267)</f>
        <v>0.150376745634766</v>
      </c>
      <c r="R1267" s="46" t="n">
        <f aca="false">N1267/(1-(1+N1267)^-P1267)</f>
        <v>0.18448077613084</v>
      </c>
      <c r="S1267" s="46" t="n">
        <f aca="false">O1267/(1-(1+O1267)^-P1267)</f>
        <v>0.119277029380664</v>
      </c>
      <c r="T1267" s="37" t="n">
        <f aca="false">IF(AND(p_eng=1,ISNUMBER(Country_Data!$DE$185)),Country_Data!$DE$185,Country_Data!$CM$185)*Sector_Params!$I$7</f>
        <v>-0.031828005</v>
      </c>
      <c r="U1267" s="37" t="n">
        <f aca="false">IF(AND(p_eng=1,ISNUMBER(Country_Data!$DF$185)),Country_Data!$DF$185,Country_Data!$CN$185)*Sector_Params!$J$7</f>
        <v>0.0001944</v>
      </c>
      <c r="V1267" s="37" t="n">
        <f aca="false">IF(AND(p_eng=1,ISNUMBER(Country_Data!$DG$185)),Country_Data!$DG$185,p_a)</f>
        <v>0.0944055</v>
      </c>
      <c r="W1267" s="16" t="n">
        <f aca="false">T1267*L1267</f>
        <v>-0.000144368534887484</v>
      </c>
      <c r="X1267" s="16" t="n">
        <f aca="false">U1267*L1267</f>
        <v>8.8177826986413E-007</v>
      </c>
      <c r="Y1267" s="16" t="n">
        <f aca="false">V1267*L1267</f>
        <v>0.000428213572302768</v>
      </c>
      <c r="Z1267" s="16" t="n">
        <f aca="false">Q1267*L1267</f>
        <v>0.000682093346675011</v>
      </c>
      <c r="AA1267" s="16" t="n">
        <f aca="false">R1267*L1267</f>
        <v>0.00083678569753006</v>
      </c>
      <c r="AB1267" s="16" t="n">
        <f aca="false">S1267*L1267</f>
        <v>0.00054102825412456</v>
      </c>
      <c r="AC1267" s="16" t="n">
        <f aca="false">Z1267-W1267</f>
        <v>0.000826461881562495</v>
      </c>
      <c r="AD1267" s="16" t="n">
        <f aca="false">AA1267-W1267</f>
        <v>0.000981154232417544</v>
      </c>
      <c r="AE1267" s="16" t="n">
        <f aca="false">AB1267-W1267</f>
        <v>0.000685396789012044</v>
      </c>
      <c r="AF1267" s="16" t="n">
        <f aca="false">AE1267-X1267</f>
        <v>0.00068451501074218</v>
      </c>
      <c r="AG1267" s="16" t="n">
        <f aca="false">AF1267-p_spc_lo*Y1267/1000</f>
        <v>0.000663104332127042</v>
      </c>
      <c r="AH1267" s="16" t="n">
        <f aca="false">AF1267-p_spc_hi*Y1267/1000</f>
        <v>0.000641693653511904</v>
      </c>
      <c r="AI1267" s="16" t="n">
        <f aca="false">Q1267*J1267</f>
        <v>0.00284205561114588</v>
      </c>
      <c r="AJ1267" s="16" t="n">
        <f aca="false">S1267*J1267</f>
        <v>0.00225428439218567</v>
      </c>
      <c r="AK1267" s="16" t="n">
        <f aca="false">T1267*J1267</f>
        <v>-0.000601535562031184</v>
      </c>
      <c r="AL1267" s="16" t="n">
        <f aca="false">U1267*J1267</f>
        <v>3.67407612443388E-006</v>
      </c>
      <c r="AM1267" s="16" t="n">
        <f aca="false">AI1267-AJ1267</f>
        <v>0.000587771218960211</v>
      </c>
      <c r="AN1267" s="16" t="n">
        <f aca="false">J1267*Country_Data!$EB$185</f>
        <v>0.0216956690926461</v>
      </c>
      <c r="AO1267" s="16" t="n">
        <f aca="false">L1267*Country_Data!$EB$185</f>
        <v>0.00520696058223506</v>
      </c>
    </row>
    <row r="1268" customFormat="false" ht="15" hidden="false" customHeight="false" outlineLevel="0" collapsed="false">
      <c r="A1268" s="14" t="str">
        <f aca="false">Country_Data!$A$185</f>
        <v>COM</v>
      </c>
      <c r="B1268" s="14" t="str">
        <f aca="false">Country_Data!$E$185</f>
        <v>EMDC</v>
      </c>
      <c r="C1268" s="35" t="s">
        <v>477</v>
      </c>
      <c r="D1268" s="37" t="n">
        <f aca="false">IF(Country_Data!$CB$185="","",Country_Data!$CB$185)</f>
        <v>0.000980524591338421</v>
      </c>
      <c r="E1268" s="40" t="n">
        <f aca="false">Country_Data!$BW$185</f>
        <v>3.436</v>
      </c>
      <c r="F1268" s="41" t="n">
        <f aca="false">Country_Data!$BX$185</f>
        <v>0.419674039580908</v>
      </c>
      <c r="G1268" s="42" t="n">
        <f aca="false">IF(D1268="","",D1268/SUMIFS($D$5:$D$1369,$B$5:$B$1369,B1268,$C$5:$C$1369,C1268))</f>
        <v>3.09189260625914E-005</v>
      </c>
      <c r="H1268" s="42" t="n">
        <f aca="false">E1268/SUMIFS($E$5:$E$1369,$B$5:$B$1369,B1268,$C$5:$C$1369,C1268)</f>
        <v>4.25606287676406E-005</v>
      </c>
      <c r="I1268" s="43" t="n">
        <f aca="false">IF(G1268="",H1268,p_beta_alloc*G1268+(1-p_beta_alloc)*H1268)*F1268^p_phi</f>
        <v>2.38008558177263E-005</v>
      </c>
      <c r="J1268" s="16" t="n">
        <f aca="false">INDEX(Sector_Params!$C$19:$E$19,MATCH(B1268,Sector_Params!$C$15:$E$15,0))*I1268/SUMIFS($I$5:$I$1369,$B$5:$B$1369,B1268,$C$5:$C$1369,C1268)</f>
        <v>0.0076606052530221</v>
      </c>
      <c r="K1268" s="28" t="n">
        <f aca="false">INDEX(Sector_Params!$F$8:$H$8,MATCH(B1268,Sector_Params!$C$15:$E$15,0))</f>
        <v>0.24</v>
      </c>
      <c r="L1268" s="16" t="n">
        <f aca="false">J1268*K1268</f>
        <v>0.0018385452607253</v>
      </c>
      <c r="M1268" s="44" t="n">
        <f aca="false">Country_Data!$DW$185+Sector_Params!$E$8</f>
        <v>0.105</v>
      </c>
      <c r="N1268" s="44" t="n">
        <f aca="false">Country_Data!$DX$185+Sector_Params!$E$8</f>
        <v>0.15</v>
      </c>
      <c r="O1268" s="11" t="n">
        <f aca="false">IF(p_use_ibrd=1,p_r_ibrd,p_r_wb)</f>
        <v>0.06</v>
      </c>
      <c r="P1268" s="45" t="n">
        <f aca="false">Sector_Params!$D$8</f>
        <v>25</v>
      </c>
      <c r="Q1268" s="46" t="n">
        <f aca="false">M1268/(1-(1+M1268)^-P1268)</f>
        <v>0.114429319813103</v>
      </c>
      <c r="R1268" s="46" t="n">
        <f aca="false">N1268/(1-(1+N1268)^-P1268)</f>
        <v>0.154699402320206</v>
      </c>
      <c r="S1268" s="46" t="n">
        <f aca="false">O1268/(1-(1+O1268)^-P1268)</f>
        <v>0.078226718212274</v>
      </c>
      <c r="T1268" s="37" t="n">
        <f aca="false">Country_Data!$CM$185*Sector_Params!$I$8</f>
        <v>0.331396810888449</v>
      </c>
      <c r="U1268" s="37" t="n">
        <f aca="false">Country_Data!$CN$185*Sector_Params!$J$8</f>
        <v>0.03225</v>
      </c>
      <c r="V1268" s="37" t="n">
        <f aca="false">p_a</f>
        <v>0.35</v>
      </c>
      <c r="W1268" s="16" t="n">
        <f aca="false">T1268*L1268</f>
        <v>0.000609288036078438</v>
      </c>
      <c r="X1268" s="16" t="n">
        <f aca="false">U1268*L1268</f>
        <v>5.9293084658391E-005</v>
      </c>
      <c r="Y1268" s="16" t="n">
        <f aca="false">V1268*L1268</f>
        <v>0.000643490841253856</v>
      </c>
      <c r="Z1268" s="16" t="n">
        <f aca="false">Q1268*L1268</f>
        <v>0.000210383483630401</v>
      </c>
      <c r="AA1268" s="16" t="n">
        <f aca="false">R1268*L1268</f>
        <v>0.000284421852972853</v>
      </c>
      <c r="AB1268" s="16" t="n">
        <f aca="false">S1268*L1268</f>
        <v>0.00014382336203127</v>
      </c>
      <c r="AC1268" s="16" t="n">
        <f aca="false">Z1268-W1268</f>
        <v>-0.000398904552448037</v>
      </c>
      <c r="AD1268" s="16" t="n">
        <f aca="false">AA1268-W1268</f>
        <v>-0.000324866183105586</v>
      </c>
      <c r="AE1268" s="16" t="n">
        <f aca="false">AB1268-W1268</f>
        <v>-0.000465464674047168</v>
      </c>
      <c r="AF1268" s="16" t="n">
        <f aca="false">AE1268-X1268</f>
        <v>-0.000524757758705559</v>
      </c>
      <c r="AG1268" s="16" t="n">
        <f aca="false">AF1268-p_spc_lo*Y1268/1000</f>
        <v>-0.000556932300768252</v>
      </c>
      <c r="AH1268" s="16" t="n">
        <f aca="false">AF1268-p_spc_hi*Y1268/1000</f>
        <v>-0.000589106842830945</v>
      </c>
      <c r="AI1268" s="16" t="n">
        <f aca="false">Q1268*J1268</f>
        <v>0.000876597848460005</v>
      </c>
      <c r="AJ1268" s="16" t="n">
        <f aca="false">S1268*J1268</f>
        <v>0.000599264008463625</v>
      </c>
      <c r="AK1268" s="16" t="n">
        <f aca="false">T1268*J1268</f>
        <v>0.00253870015032683</v>
      </c>
      <c r="AL1268" s="16" t="n">
        <f aca="false">U1268*J1268</f>
        <v>0.000247054519409963</v>
      </c>
      <c r="AM1268" s="16" t="n">
        <f aca="false">AI1268-AJ1268</f>
        <v>0.00027733383999638</v>
      </c>
      <c r="AN1268" s="16" t="n">
        <f aca="false">J1268*Country_Data!$EB$185</f>
        <v>0.00879395507127742</v>
      </c>
      <c r="AO1268" s="16" t="n">
        <f aca="false">L1268*Country_Data!$EB$185</f>
        <v>0.00211054921710658</v>
      </c>
    </row>
    <row r="1269" customFormat="false" ht="15" hidden="false" customHeight="false" outlineLevel="0" collapsed="false">
      <c r="A1269" s="14" t="str">
        <f aca="false">Country_Data!$A$185</f>
        <v>COM</v>
      </c>
      <c r="B1269" s="14" t="str">
        <f aca="false">Country_Data!$E$185</f>
        <v>EMDC</v>
      </c>
      <c r="C1269" s="35" t="s">
        <v>481</v>
      </c>
      <c r="D1269" s="37" t="n">
        <f aca="false">IF(Country_Data!$CC$185="","",Country_Data!$CC$185)</f>
        <v>0.00228985251388514</v>
      </c>
      <c r="E1269" s="40" t="n">
        <f aca="false">Country_Data!$BW$185</f>
        <v>3.436</v>
      </c>
      <c r="F1269" s="41" t="n">
        <f aca="false">Country_Data!$BX$185</f>
        <v>0.419674039580908</v>
      </c>
      <c r="G1269" s="42" t="n">
        <f aca="false">IF(D1269="","",D1269/SUMIFS($D$5:$D$1369,$B$5:$B$1369,B1269,$C$5:$C$1369,C1269))</f>
        <v>3.27087875569237E-005</v>
      </c>
      <c r="H1269" s="42" t="n">
        <f aca="false">E1269/SUMIFS($E$5:$E$1369,$B$5:$B$1369,B1269,$C$5:$C$1369,C1269)</f>
        <v>4.25606287676406E-005</v>
      </c>
      <c r="I1269" s="43" t="n">
        <f aca="false">IF(G1269="",H1269,p_beta_alloc*G1269+(1-p_beta_alloc)*H1269)*F1269^p_phi</f>
        <v>2.43806121248886E-005</v>
      </c>
      <c r="J1269" s="16" t="n">
        <f aca="false">INDEX(Sector_Params!$C$20:$E$20,MATCH(B1269,Sector_Params!$C$15:$E$15,0))*I1269/SUMIFS($I$5:$I$1369,$B$5:$B$1369,B1269,$C$5:$C$1369,C1269)</f>
        <v>0.00444995268192801</v>
      </c>
      <c r="K1269" s="28" t="n">
        <f aca="false">INDEX(Sector_Params!$F$9:$H$9,MATCH(B1269,Sector_Params!$C$15:$E$15,0))</f>
        <v>0.24</v>
      </c>
      <c r="L1269" s="16" t="n">
        <f aca="false">J1269*K1269</f>
        <v>0.00106798864366272</v>
      </c>
      <c r="M1269" s="44" t="n">
        <f aca="false">Country_Data!$DW$185+Sector_Params!$E$9</f>
        <v>0.105</v>
      </c>
      <c r="N1269" s="44" t="n">
        <f aca="false">Country_Data!$DX$185+Sector_Params!$E$9</f>
        <v>0.15</v>
      </c>
      <c r="O1269" s="11" t="n">
        <f aca="false">IF(p_use_ibrd=1,p_r_ibrd,p_r_wb)</f>
        <v>0.06</v>
      </c>
      <c r="P1269" s="45" t="n">
        <f aca="false">Sector_Params!$D$9</f>
        <v>25</v>
      </c>
      <c r="Q1269" s="46" t="n">
        <f aca="false">M1269/(1-(1+M1269)^-P1269)</f>
        <v>0.114429319813103</v>
      </c>
      <c r="R1269" s="46" t="n">
        <f aca="false">N1269/(1-(1+N1269)^-P1269)</f>
        <v>0.154699402320206</v>
      </c>
      <c r="S1269" s="46" t="n">
        <f aca="false">O1269/(1-(1+O1269)^-P1269)</f>
        <v>0.078226718212274</v>
      </c>
      <c r="T1269" s="37" t="n">
        <f aca="false">Country_Data!$CM$185*Sector_Params!$I$9</f>
        <v>0.331396810888449</v>
      </c>
      <c r="U1269" s="37" t="n">
        <f aca="false">Country_Data!$CN$185*Sector_Params!$J$9</f>
        <v>0.03225</v>
      </c>
      <c r="V1269" s="37" t="n">
        <f aca="false">p_a</f>
        <v>0.35</v>
      </c>
      <c r="W1269" s="16" t="n">
        <f aca="false">T1269*L1269</f>
        <v>0.000353928030574906</v>
      </c>
      <c r="X1269" s="16" t="n">
        <f aca="false">U1269*L1269</f>
        <v>3.44426337581228E-005</v>
      </c>
      <c r="Y1269" s="16" t="n">
        <f aca="false">V1269*L1269</f>
        <v>0.000373796025281952</v>
      </c>
      <c r="Z1269" s="16" t="n">
        <f aca="false">Q1269*L1269</f>
        <v>0.000122209214062444</v>
      </c>
      <c r="AA1269" s="16" t="n">
        <f aca="false">R1269*L1269</f>
        <v>0.000165217204859391</v>
      </c>
      <c r="AB1269" s="16" t="n">
        <f aca="false">S1269*L1269</f>
        <v>8.35452466817123E-005</v>
      </c>
      <c r="AC1269" s="16" t="n">
        <f aca="false">Z1269-W1269</f>
        <v>-0.000231718816512462</v>
      </c>
      <c r="AD1269" s="16" t="n">
        <f aca="false">AA1269-W1269</f>
        <v>-0.000188710825715515</v>
      </c>
      <c r="AE1269" s="16" t="n">
        <f aca="false">AB1269-W1269</f>
        <v>-0.000270382783893194</v>
      </c>
      <c r="AF1269" s="16" t="n">
        <f aca="false">AE1269-X1269</f>
        <v>-0.000304825417651317</v>
      </c>
      <c r="AG1269" s="16" t="n">
        <f aca="false">AF1269-p_spc_lo*Y1269/1000</f>
        <v>-0.000323515218915414</v>
      </c>
      <c r="AH1269" s="16" t="n">
        <f aca="false">AF1269-p_spc_hi*Y1269/1000</f>
        <v>-0.000342205020179512</v>
      </c>
      <c r="AI1269" s="16" t="n">
        <f aca="false">Q1269*J1269</f>
        <v>0.000509205058593517</v>
      </c>
      <c r="AJ1269" s="16" t="n">
        <f aca="false">S1269*J1269</f>
        <v>0.000348105194507135</v>
      </c>
      <c r="AK1269" s="16" t="n">
        <f aca="false">T1269*J1269</f>
        <v>0.00147470012739544</v>
      </c>
      <c r="AL1269" s="16" t="n">
        <f aca="false">U1269*J1269</f>
        <v>0.000143510973992178</v>
      </c>
      <c r="AM1269" s="16" t="n">
        <f aca="false">AI1269-AJ1269</f>
        <v>0.000161099864086382</v>
      </c>
      <c r="AN1269" s="16" t="n">
        <f aca="false">J1269*Country_Data!$EB$185</f>
        <v>0.00510830184582968</v>
      </c>
      <c r="AO1269" s="16" t="n">
        <f aca="false">L1269*Country_Data!$EB$185</f>
        <v>0.00122599244299912</v>
      </c>
    </row>
    <row r="1270" customFormat="false" ht="15" hidden="false" customHeight="false" outlineLevel="0" collapsed="false">
      <c r="A1270" s="14" t="str">
        <f aca="false">Country_Data!$A$185</f>
        <v>COM</v>
      </c>
      <c r="B1270" s="14" t="str">
        <f aca="false">Country_Data!$E$185</f>
        <v>EMDC</v>
      </c>
      <c r="C1270" s="35" t="s">
        <v>484</v>
      </c>
      <c r="D1270" s="37" t="n">
        <f aca="false">IF(Country_Data!$CD$185="","",Country_Data!$CD$185)</f>
        <v>0.00720924220444797</v>
      </c>
      <c r="E1270" s="40" t="n">
        <f aca="false">Country_Data!$BW$185</f>
        <v>3.436</v>
      </c>
      <c r="F1270" s="41" t="n">
        <f aca="false">Country_Data!$BX$185</f>
        <v>0.419674039580908</v>
      </c>
      <c r="G1270" s="42" t="n">
        <f aca="false">IF(D1270="","",D1270/SUMIFS($D$5:$D$1369,$B$5:$B$1369,B1270,$C$5:$C$1369,C1270))</f>
        <v>4.02590421451615E-005</v>
      </c>
      <c r="H1270" s="42" t="n">
        <f aca="false">E1270/SUMIFS($E$5:$E$1369,$B$5:$B$1369,B1270,$C$5:$C$1369,C1270)</f>
        <v>4.25606287676406E-005</v>
      </c>
      <c r="I1270" s="43" t="n">
        <f aca="false">IF(G1270="",H1270,p_beta_alloc*G1270+(1-p_beta_alloc)*H1270)*F1270^p_phi</f>
        <v>2.68262246664583E-005</v>
      </c>
      <c r="J1270" s="16" t="n">
        <f aca="false">INDEX(Sector_Params!$C$21:$E$21,MATCH(B1270,Sector_Params!$C$15:$E$15,0))*I1270/SUMIFS($I$5:$I$1369,$B$5:$B$1369,B1270,$C$5:$C$1369,C1270)</f>
        <v>0.00594978370791696</v>
      </c>
      <c r="K1270" s="28" t="n">
        <f aca="false">INDEX(Sector_Params!$F$10:$H$10,MATCH(B1270,Sector_Params!$C$15:$E$15,0))</f>
        <v>0.24</v>
      </c>
      <c r="L1270" s="16" t="n">
        <f aca="false">J1270*K1270</f>
        <v>0.00142794808990007</v>
      </c>
      <c r="M1270" s="44" t="n">
        <f aca="false">Country_Data!$DW$185+Sector_Params!$E$10</f>
        <v>0.105</v>
      </c>
      <c r="N1270" s="44" t="n">
        <f aca="false">Country_Data!$DX$185+Sector_Params!$E$10</f>
        <v>0.15</v>
      </c>
      <c r="O1270" s="11" t="n">
        <f aca="false">IF(p_use_ibrd=1,p_r_ibrd,p_r_wb)</f>
        <v>0.06</v>
      </c>
      <c r="P1270" s="45" t="n">
        <f aca="false">Sector_Params!$D$10</f>
        <v>20</v>
      </c>
      <c r="Q1270" s="46" t="n">
        <f aca="false">M1270/(1-(1+M1270)^-P1270)</f>
        <v>0.121493265267016</v>
      </c>
      <c r="R1270" s="46" t="n">
        <f aca="false">N1270/(1-(1+N1270)^-P1270)</f>
        <v>0.159761470405744</v>
      </c>
      <c r="S1270" s="46" t="n">
        <f aca="false">O1270/(1-(1+O1270)^-P1270)</f>
        <v>0.0871845569768514</v>
      </c>
      <c r="T1270" s="37" t="n">
        <f aca="false">0*Sector_Params!$I$10</f>
        <v>0</v>
      </c>
      <c r="U1270" s="37" t="n">
        <f aca="false">0*Sector_Params!$J$10</f>
        <v>0</v>
      </c>
      <c r="V1270" s="37" t="n">
        <f aca="false">1000*p_r_wb/(1-(1+p_r_wb)^-Sector_Params!$D$10)/p_cpt_fuel</f>
        <v>0.871845569768514</v>
      </c>
      <c r="W1270" s="16" t="n">
        <f aca="false">T1270*L1270</f>
        <v>0</v>
      </c>
      <c r="X1270" s="16" t="n">
        <f aca="false">U1270*L1270</f>
        <v>0</v>
      </c>
      <c r="Y1270" s="16" t="n">
        <f aca="false">V1270*L1270</f>
        <v>0.00124495021603879</v>
      </c>
      <c r="Z1270" s="16" t="n">
        <f aca="false">Q1270*L1270</f>
        <v>0.000173486076073758</v>
      </c>
      <c r="AA1270" s="16" t="n">
        <f aca="false">R1270*L1270</f>
        <v>0.000228131086505508</v>
      </c>
      <c r="AB1270" s="16" t="n">
        <f aca="false">S1270*L1270</f>
        <v>0.000124495021603879</v>
      </c>
      <c r="AC1270" s="16" t="n">
        <f aca="false">Z1270-W1270</f>
        <v>0.000173486076073758</v>
      </c>
      <c r="AD1270" s="16" t="n">
        <f aca="false">AA1270-W1270</f>
        <v>0.000228131086505508</v>
      </c>
      <c r="AE1270" s="16" t="n">
        <f aca="false">AB1270-W1270</f>
        <v>0.000124495021603879</v>
      </c>
      <c r="AF1270" s="16" t="n">
        <f aca="false">AE1270-X1270</f>
        <v>0.000124495021603879</v>
      </c>
      <c r="AG1270" s="16" t="n">
        <f aca="false">AF1270-p_spc_lo*Y1270/1000</f>
        <v>6.22475108019394E-005</v>
      </c>
      <c r="AH1270" s="16" t="n">
        <f aca="false">AF1270-p_spc_hi*Y1270/1000</f>
        <v>0</v>
      </c>
      <c r="AI1270" s="16" t="n">
        <f aca="false">Q1270*J1270</f>
        <v>0.000722858650307326</v>
      </c>
      <c r="AJ1270" s="16" t="n">
        <f aca="false">S1270*J1270</f>
        <v>0.000518729256682828</v>
      </c>
      <c r="AK1270" s="16" t="n">
        <f aca="false">T1270*J1270</f>
        <v>0</v>
      </c>
      <c r="AL1270" s="16" t="n">
        <f aca="false">U1270*J1270</f>
        <v>0</v>
      </c>
      <c r="AM1270" s="16" t="n">
        <f aca="false">AI1270-AJ1270</f>
        <v>0.000204129393624498</v>
      </c>
      <c r="AN1270" s="16" t="n">
        <f aca="false">J1270*Country_Data!$EB$185</f>
        <v>0.00683002568114303</v>
      </c>
      <c r="AO1270" s="16" t="n">
        <f aca="false">L1270*Country_Data!$EB$185</f>
        <v>0.00163920616347433</v>
      </c>
    </row>
    <row r="1271" customFormat="false" ht="15" hidden="false" customHeight="false" outlineLevel="0" collapsed="false">
      <c r="A1271" s="14" t="str">
        <f aca="false">Country_Data!$A$185</f>
        <v>COM</v>
      </c>
      <c r="B1271" s="14" t="str">
        <f aca="false">Country_Data!$E$185</f>
        <v>EMDC</v>
      </c>
      <c r="C1271" s="35" t="s">
        <v>488</v>
      </c>
      <c r="D1271" s="37" t="n">
        <f aca="false">IF(Country_Data!$CE$185="","",Country_Data!$CE$185)</f>
        <v>0.649</v>
      </c>
      <c r="E1271" s="40" t="n">
        <f aca="false">Country_Data!$BW$185</f>
        <v>3.436</v>
      </c>
      <c r="F1271" s="41" t="n">
        <f aca="false">Country_Data!$BX$185</f>
        <v>0.419674039580908</v>
      </c>
      <c r="G1271" s="42" t="n">
        <f aca="false">IF(D1271="","",D1271/SUMIFS($D$5:$D$1369,$B$5:$B$1369,B1271,$C$5:$C$1369,C1271))</f>
        <v>5.31788061562867E-005</v>
      </c>
      <c r="H1271" s="42" t="n">
        <f aca="false">E1271/SUMIFS($E$5:$E$1369,$B$5:$B$1369,B1271,$C$5:$C$1369,C1271)</f>
        <v>4.25606287676406E-005</v>
      </c>
      <c r="I1271" s="43" t="n">
        <f aca="false">IF(G1271="",H1271,p_beta_alloc*G1271+(1-p_beta_alloc)*H1271)*F1271^p_phi</f>
        <v>3.10110818166996E-005</v>
      </c>
      <c r="J1271" s="16" t="n">
        <f aca="false">INDEX(Sector_Params!$C$22:$E$22,MATCH(B1271,Sector_Params!$C$15:$E$15,0))*I1271/SUMIFS($I$5:$I$1369,$B$5:$B$1369,B1271,$C$5:$C$1369,C1271)</f>
        <v>0.018693740246849</v>
      </c>
      <c r="K1271" s="28" t="n">
        <f aca="false">INDEX(Sector_Params!$F$11:$H$11,MATCH(B1271,Sector_Params!$C$15:$E$15,0))</f>
        <v>0.24</v>
      </c>
      <c r="L1271" s="16" t="n">
        <f aca="false">J1271*K1271</f>
        <v>0.00448649765924377</v>
      </c>
      <c r="M1271" s="44" t="n">
        <f aca="false">Country_Data!$DW$185+Sector_Params!$E$11</f>
        <v>0.105</v>
      </c>
      <c r="N1271" s="44" t="n">
        <f aca="false">Country_Data!$DX$185+Sector_Params!$E$11</f>
        <v>0.15</v>
      </c>
      <c r="O1271" s="11" t="n">
        <f aca="false">IF(p_use_ibrd=1,p_r_ibrd,p_r_wb)</f>
        <v>0.06</v>
      </c>
      <c r="P1271" s="45" t="n">
        <f aca="false">Sector_Params!$D$11</f>
        <v>30</v>
      </c>
      <c r="Q1271" s="46" t="n">
        <f aca="false">M1271/(1-(1+M1271)^-P1271)</f>
        <v>0.110528481529605</v>
      </c>
      <c r="R1271" s="46" t="n">
        <f aca="false">N1271/(1-(1+N1271)^-P1271)</f>
        <v>0.152300198192734</v>
      </c>
      <c r="S1271" s="46" t="n">
        <f aca="false">O1271/(1-(1+O1271)^-P1271)</f>
        <v>0.0726489114900472</v>
      </c>
      <c r="T1271" s="37" t="n">
        <f aca="false">0*Sector_Params!$I$11</f>
        <v>0</v>
      </c>
      <c r="U1271" s="37" t="n">
        <f aca="false">p_c*Sector_Params!$J$11</f>
        <v>0.129</v>
      </c>
      <c r="V1271" s="37" t="n">
        <f aca="false">1000*p_r_wb/(1-(1+p_r_wb)^-Sector_Params!$D$11)/p_cpt_afolu</f>
        <v>1.45297822980094</v>
      </c>
      <c r="W1271" s="16" t="n">
        <f aca="false">T1271*L1271</f>
        <v>0</v>
      </c>
      <c r="X1271" s="16" t="n">
        <f aca="false">U1271*L1271</f>
        <v>0.000578758198042446</v>
      </c>
      <c r="Y1271" s="16" t="n">
        <f aca="false">V1271*L1271</f>
        <v>0.00651878342693409</v>
      </c>
      <c r="Z1271" s="16" t="n">
        <f aca="false">Q1271*L1271</f>
        <v>0.000495885773662341</v>
      </c>
      <c r="AA1271" s="16" t="n">
        <f aca="false">R1271*L1271</f>
        <v>0.000683294482694064</v>
      </c>
      <c r="AB1271" s="16" t="n">
        <f aca="false">S1271*L1271</f>
        <v>0.000325939171346704</v>
      </c>
      <c r="AC1271" s="16" t="n">
        <f aca="false">Z1271-W1271</f>
        <v>0.000495885773662341</v>
      </c>
      <c r="AD1271" s="16" t="n">
        <f aca="false">AA1271-W1271</f>
        <v>0.000683294482694064</v>
      </c>
      <c r="AE1271" s="16" t="n">
        <f aca="false">AB1271-W1271</f>
        <v>0.000325939171346704</v>
      </c>
      <c r="AF1271" s="16" t="n">
        <f aca="false">AE1271-X1271</f>
        <v>-0.000252819026695742</v>
      </c>
      <c r="AG1271" s="16" t="n">
        <f aca="false">AF1271-p_spc_lo*Y1271/1000</f>
        <v>-0.000578758198042446</v>
      </c>
      <c r="AH1271" s="16" t="n">
        <f aca="false">AF1271-p_spc_hi*Y1271/1000</f>
        <v>-0.00090469736938915</v>
      </c>
      <c r="AI1271" s="16" t="n">
        <f aca="false">Q1271*J1271</f>
        <v>0.00206619072359309</v>
      </c>
      <c r="AJ1271" s="16" t="n">
        <f aca="false">S1271*J1271</f>
        <v>0.00135807988061127</v>
      </c>
      <c r="AK1271" s="16" t="n">
        <f aca="false">T1271*J1271</f>
        <v>0</v>
      </c>
      <c r="AL1271" s="16" t="n">
        <f aca="false">U1271*J1271</f>
        <v>0.00241149249184352</v>
      </c>
      <c r="AM1271" s="16" t="n">
        <f aca="false">AI1271-AJ1271</f>
        <v>0.000708110842981821</v>
      </c>
      <c r="AN1271" s="16" t="n">
        <f aca="false">J1271*Country_Data!$EB$185</f>
        <v>0.0214593894888486</v>
      </c>
      <c r="AO1271" s="16" t="n">
        <f aca="false">L1271*Country_Data!$EB$185</f>
        <v>0.00515025347732367</v>
      </c>
    </row>
    <row r="1272" customFormat="false" ht="15" hidden="false" customHeight="false" outlineLevel="0" collapsed="false">
      <c r="A1272" s="14" t="str">
        <f aca="false">Country_Data!$A$186</f>
        <v>GRD</v>
      </c>
      <c r="B1272" s="14" t="str">
        <f aca="false">Country_Data!$E$186</f>
        <v>EMDC</v>
      </c>
      <c r="C1272" s="35" t="s">
        <v>466</v>
      </c>
      <c r="D1272" s="37" t="n">
        <f aca="false">IF(Country_Data!$BZ$186="","",Country_Data!$BZ$186)</f>
        <v>0.211364975134191</v>
      </c>
      <c r="E1272" s="40" t="n">
        <f aca="false">Country_Data!$BW$186</f>
        <v>2.333</v>
      </c>
      <c r="F1272" s="41" t="n">
        <f aca="false">Country_Data!$BX$186</f>
        <v>0.579082726103729</v>
      </c>
      <c r="G1272" s="42" t="n">
        <f aca="false">IF(D1272="","",D1272/SUMIFS($D$5:$D$1369,$B$5:$B$1369,B1272,$C$5:$C$1369,C1272))</f>
        <v>2.41298769162465E-005</v>
      </c>
      <c r="H1272" s="42" t="n">
        <f aca="false">E1272/SUMIFS($E$5:$E$1369,$B$5:$B$1369,B1272,$C$5:$C$1369,C1272)</f>
        <v>2.88981219193555E-005</v>
      </c>
      <c r="I1272" s="43" t="n">
        <f aca="false">IF(G1272="",H1272,p_beta_alloc*G1272+(1-p_beta_alloc)*H1272)*F1272^p_phi</f>
        <v>2.01764867955597E-005</v>
      </c>
      <c r="J1272" s="16" t="n">
        <f aca="false">INDEX(Sector_Params!$C$16:$E$16,MATCH(B1272,Sector_Params!$C$15:$E$15,0))*I1272/SUMIFS($I$5:$I$1369,$B$5:$B$1369,B1272,$C$5:$C$1369,C1272)</f>
        <v>0.0195152095467071</v>
      </c>
      <c r="K1272" s="28" t="n">
        <f aca="false">INDEX(Sector_Params!$F$5:$H$5,MATCH(B1272,Sector_Params!$C$15:$E$15,0))</f>
        <v>0.24</v>
      </c>
      <c r="L1272" s="16" t="n">
        <f aca="false">J1272*K1272</f>
        <v>0.0046836502912097</v>
      </c>
      <c r="M1272" s="44" t="n">
        <f aca="false">Country_Data!$DW$186+Sector_Params!$E$5</f>
        <v>0.105</v>
      </c>
      <c r="N1272" s="44" t="n">
        <f aca="false">Country_Data!$DX$186+Sector_Params!$E$5</f>
        <v>0.15</v>
      </c>
      <c r="O1272" s="11" t="n">
        <f aca="false">IF(p_use_ibrd=1,p_r_ibrd,p_r_wb)</f>
        <v>0.06</v>
      </c>
      <c r="P1272" s="45" t="n">
        <f aca="false">Sector_Params!$D$5</f>
        <v>25</v>
      </c>
      <c r="Q1272" s="46" t="n">
        <f aca="false">M1272/(1-(1+M1272)^-P1272)</f>
        <v>0.114429319813103</v>
      </c>
      <c r="R1272" s="46" t="n">
        <f aca="false">N1272/(1-(1+N1272)^-P1272)</f>
        <v>0.154699402320206</v>
      </c>
      <c r="S1272" s="46" t="n">
        <f aca="false">O1272/(1-(1+O1272)^-P1272)</f>
        <v>0.078226718212274</v>
      </c>
      <c r="T1272" s="37" t="n">
        <f aca="false">IF(AND(p_eng=1,ISNUMBER(Country_Data!$CZ$186)),Country_Data!$CZ$186,Country_Data!$CM$186)*Sector_Params!$I$5</f>
        <v>0.358946243094605</v>
      </c>
      <c r="U1272" s="37" t="n">
        <f aca="false">IF(AND(p_eng=1,ISNUMBER(Country_Data!$DA$186)),Country_Data!$DA$186,Country_Data!$CN$186)*Sector_Params!$J$5</f>
        <v>0.00604940057271625</v>
      </c>
      <c r="V1272" s="37" t="n">
        <f aca="false">IF(AND(p_eng=1,ISNUMBER(Country_Data!$DB$186)),Country_Data!$DB$186,p_a)</f>
        <v>1.87025721778584</v>
      </c>
      <c r="W1272" s="16" t="n">
        <f aca="false">T1272*L1272</f>
        <v>0.00168117867599867</v>
      </c>
      <c r="X1272" s="16" t="n">
        <f aca="false">U1272*L1272</f>
        <v>2.83332767540466E-005</v>
      </c>
      <c r="Y1272" s="16" t="n">
        <f aca="false">V1272*L1272</f>
        <v>0.00875963076271971</v>
      </c>
      <c r="Z1272" s="16" t="n">
        <f aca="false">Q1272*L1272</f>
        <v>0.000535946917065569</v>
      </c>
      <c r="AA1272" s="16" t="n">
        <f aca="false">R1272*L1272</f>
        <v>0.000724557900727002</v>
      </c>
      <c r="AB1272" s="16" t="n">
        <f aca="false">S1272*L1272</f>
        <v>0.000366386591535296</v>
      </c>
      <c r="AC1272" s="16" t="n">
        <f aca="false">Z1272-W1272</f>
        <v>-0.00114523175893311</v>
      </c>
      <c r="AD1272" s="16" t="n">
        <f aca="false">AA1272-W1272</f>
        <v>-0.000956620775271673</v>
      </c>
      <c r="AE1272" s="16" t="n">
        <f aca="false">AB1272-W1272</f>
        <v>-0.00131479208446338</v>
      </c>
      <c r="AF1272" s="16" t="n">
        <f aca="false">AE1272-X1272</f>
        <v>-0.00134312536121743</v>
      </c>
      <c r="AG1272" s="16" t="n">
        <f aca="false">AF1272-p_spc_lo*Y1272/1000</f>
        <v>-0.00178110689935341</v>
      </c>
      <c r="AH1272" s="16" t="n">
        <f aca="false">AF1272-p_spc_hi*Y1272/1000</f>
        <v>-0.0022190884374894</v>
      </c>
      <c r="AI1272" s="16" t="n">
        <f aca="false">Q1272*J1272</f>
        <v>0.00223311215443987</v>
      </c>
      <c r="AJ1272" s="16" t="n">
        <f aca="false">S1272*J1272</f>
        <v>0.00152661079806373</v>
      </c>
      <c r="AK1272" s="16" t="n">
        <f aca="false">T1272*J1272</f>
        <v>0.00700491114999448</v>
      </c>
      <c r="AL1272" s="16" t="n">
        <f aca="false">U1272*J1272</f>
        <v>0.000118055319808527</v>
      </c>
      <c r="AM1272" s="16" t="n">
        <f aca="false">AI1272-AJ1272</f>
        <v>0.000706501356376139</v>
      </c>
      <c r="AN1272" s="16" t="n">
        <f aca="false">J1272*Country_Data!$EB$186</f>
        <v>0.0224023912330692</v>
      </c>
      <c r="AO1272" s="16" t="n">
        <f aca="false">L1272*Country_Data!$EB$186</f>
        <v>0.00537657389593662</v>
      </c>
    </row>
    <row r="1273" customFormat="false" ht="15" hidden="false" customHeight="false" outlineLevel="0" collapsed="false">
      <c r="A1273" s="14" t="str">
        <f aca="false">Country_Data!$A$186</f>
        <v>GRD</v>
      </c>
      <c r="B1273" s="14" t="str">
        <f aca="false">Country_Data!$E$186</f>
        <v>EMDC</v>
      </c>
      <c r="C1273" s="35" t="s">
        <v>470</v>
      </c>
      <c r="D1273" s="37" t="n">
        <f aca="false">IF(Country_Data!$BZ$186="","",Country_Data!$BZ$186)</f>
        <v>0.211364975134191</v>
      </c>
      <c r="E1273" s="40" t="n">
        <f aca="false">Country_Data!$BW$186</f>
        <v>2.333</v>
      </c>
      <c r="F1273" s="41" t="n">
        <f aca="false">Country_Data!$BX$186</f>
        <v>0.579082726103729</v>
      </c>
      <c r="G1273" s="42" t="n">
        <f aca="false">IF(D1273="","",D1273/SUMIFS($D$5:$D$1369,$B$5:$B$1369,B1273,$C$5:$C$1369,C1273))</f>
        <v>2.41298769162465E-005</v>
      </c>
      <c r="H1273" s="42" t="n">
        <f aca="false">E1273/SUMIFS($E$5:$E$1369,$B$5:$B$1369,B1273,$C$5:$C$1369,C1273)</f>
        <v>2.88981219193555E-005</v>
      </c>
      <c r="I1273" s="43" t="n">
        <f aca="false">IF(G1273="",H1273,p_beta_alloc*G1273+(1-p_beta_alloc)*H1273)*F1273^p_phi</f>
        <v>2.01764867955597E-005</v>
      </c>
      <c r="J1273" s="16" t="n">
        <f aca="false">INDEX(Sector_Params!$C$17:$E$17,MATCH(B1273,Sector_Params!$C$15:$E$15,0))*I1273/SUMIFS($I$5:$I$1369,$B$5:$B$1369,B1273,$C$5:$C$1369,C1273)</f>
        <v>0.0133818579748849</v>
      </c>
      <c r="K1273" s="28" t="n">
        <f aca="false">INDEX(Sector_Params!$F$6:$H$6,MATCH(B1273,Sector_Params!$C$15:$E$15,0))</f>
        <v>0.24</v>
      </c>
      <c r="L1273" s="16" t="n">
        <f aca="false">J1273*K1273</f>
        <v>0.00321164591397237</v>
      </c>
      <c r="M1273" s="44" t="n">
        <f aca="false">Country_Data!$DW$186+Sector_Params!$E$6</f>
        <v>0.105</v>
      </c>
      <c r="N1273" s="44" t="n">
        <f aca="false">Country_Data!$DX$186+Sector_Params!$E$6</f>
        <v>0.15</v>
      </c>
      <c r="O1273" s="11" t="n">
        <f aca="false">IF(p_use_ibrd=1,p_r_ibrd,p_r_wb)</f>
        <v>0.06</v>
      </c>
      <c r="P1273" s="45" t="n">
        <f aca="false">Sector_Params!$D$6</f>
        <v>40</v>
      </c>
      <c r="Q1273" s="46" t="n">
        <f aca="false">M1273/(1-(1+M1273)^-P1273)</f>
        <v>0.10697140835497</v>
      </c>
      <c r="R1273" s="46" t="n">
        <f aca="false">N1273/(1-(1+N1273)^-P1273)</f>
        <v>0.150562085013545</v>
      </c>
      <c r="S1273" s="46" t="n">
        <f aca="false">O1273/(1-(1+O1273)^-P1273)</f>
        <v>0.0664615359206755</v>
      </c>
      <c r="T1273" s="37" t="n">
        <f aca="false">p_grid_credit*IF(AND(p_eng=1,ISNUMBER(Country_Data!$CZ$186)),Country_Data!$CZ$186,Country_Data!$CM$186)*Sector_Params!$I$6</f>
        <v>0</v>
      </c>
      <c r="U1273" s="37" t="n">
        <f aca="false">p_grid_credit*IF(AND(p_eng=1,ISNUMBER(Country_Data!$DA$186)),Country_Data!$DA$186,Country_Data!$CN$186)*Sector_Params!$J$6</f>
        <v>0</v>
      </c>
      <c r="V1273" s="37" t="n">
        <f aca="false">p_grid_credit*IF(AND(p_eng=1,ISNUMBER(Country_Data!$DB$186)),Country_Data!$DB$186,p_a)</f>
        <v>0</v>
      </c>
      <c r="W1273" s="16" t="n">
        <f aca="false">T1273*L1273</f>
        <v>0</v>
      </c>
      <c r="X1273" s="16" t="n">
        <f aca="false">U1273*L1273</f>
        <v>0</v>
      </c>
      <c r="Y1273" s="16" t="n">
        <f aca="false">V1273*L1273</f>
        <v>0</v>
      </c>
      <c r="Z1273" s="16" t="n">
        <f aca="false">Q1273*L1273</f>
        <v>0.00034355428655511</v>
      </c>
      <c r="AA1273" s="16" t="n">
        <f aca="false">R1273*L1273</f>
        <v>0.000483552105132912</v>
      </c>
      <c r="AB1273" s="16" t="n">
        <f aca="false">S1273*L1273</f>
        <v>0.000213450920275965</v>
      </c>
      <c r="AC1273" s="16" t="n">
        <f aca="false">Z1273-W1273</f>
        <v>0.00034355428655511</v>
      </c>
      <c r="AD1273" s="16" t="n">
        <f aca="false">AA1273-W1273</f>
        <v>0.000483552105132912</v>
      </c>
      <c r="AE1273" s="16" t="n">
        <f aca="false">AB1273-W1273</f>
        <v>0.000213450920275965</v>
      </c>
      <c r="AF1273" s="16" t="n">
        <f aca="false">AE1273-X1273</f>
        <v>0.000213450920275965</v>
      </c>
      <c r="AG1273" s="16" t="n">
        <f aca="false">AF1273-p_spc_lo*Y1273/1000</f>
        <v>0.000213450920275965</v>
      </c>
      <c r="AH1273" s="16" t="n">
        <f aca="false">AF1273-p_spc_hi*Y1273/1000</f>
        <v>0.000213450920275965</v>
      </c>
      <c r="AI1273" s="16" t="n">
        <f aca="false">Q1273*J1273</f>
        <v>0.00143147619397963</v>
      </c>
      <c r="AJ1273" s="16" t="n">
        <f aca="false">S1273*J1273</f>
        <v>0.000889378834483188</v>
      </c>
      <c r="AK1273" s="16" t="n">
        <f aca="false">T1273*J1273</f>
        <v>0</v>
      </c>
      <c r="AL1273" s="16" t="n">
        <f aca="false">U1273*J1273</f>
        <v>0</v>
      </c>
      <c r="AM1273" s="16" t="n">
        <f aca="false">AI1273-AJ1273</f>
        <v>0.000542097359496437</v>
      </c>
      <c r="AN1273" s="16" t="n">
        <f aca="false">J1273*Country_Data!$EB$186</f>
        <v>0.015361639702676</v>
      </c>
      <c r="AO1273" s="16" t="n">
        <f aca="false">L1273*Country_Data!$EB$186</f>
        <v>0.00368679352864225</v>
      </c>
    </row>
    <row r="1274" customFormat="false" ht="15" hidden="false" customHeight="false" outlineLevel="0" collapsed="false">
      <c r="A1274" s="14" t="str">
        <f aca="false">Country_Data!$A$186</f>
        <v>GRD</v>
      </c>
      <c r="B1274" s="14" t="str">
        <f aca="false">Country_Data!$E$186</f>
        <v>EMDC</v>
      </c>
      <c r="C1274" s="35" t="s">
        <v>473</v>
      </c>
      <c r="D1274" s="37" t="n">
        <f aca="false">IF(Country_Data!$CA$186="","",Country_Data!$CA$186)</f>
        <v>0.00213654892496981</v>
      </c>
      <c r="E1274" s="40" t="n">
        <f aca="false">Country_Data!$BW$186</f>
        <v>2.333</v>
      </c>
      <c r="F1274" s="41" t="n">
        <f aca="false">Country_Data!$BX$186</f>
        <v>0.579082726103729</v>
      </c>
      <c r="G1274" s="42" t="n">
        <f aca="false">IF(D1274="","",D1274/SUMIFS($D$5:$D$1369,$B$5:$B$1369,B1274,$C$5:$C$1369,C1274))</f>
        <v>4.93592513059747E-005</v>
      </c>
      <c r="H1274" s="42" t="n">
        <f aca="false">E1274/SUMIFS($E$5:$E$1369,$B$5:$B$1369,B1274,$C$5:$C$1369,C1274)</f>
        <v>2.88981219193555E-005</v>
      </c>
      <c r="I1274" s="43" t="n">
        <f aca="false">IF(G1274="",H1274,p_beta_alloc*G1274+(1-p_beta_alloc)*H1274)*F1274^p_phi</f>
        <v>2.9775946522726E-005</v>
      </c>
      <c r="J1274" s="16" t="n">
        <f aca="false">INDEX(Sector_Params!$C$18:$E$18,MATCH(B1274,Sector_Params!$C$15:$E$15,0))*I1274/SUMIFS($I$5:$I$1369,$B$5:$B$1369,B1274,$C$5:$C$1369,C1274)</f>
        <v>0.0121925455660039</v>
      </c>
      <c r="K1274" s="28" t="n">
        <f aca="false">INDEX(Sector_Params!$F$7:$H$7,MATCH(B1274,Sector_Params!$C$15:$E$15,0))</f>
        <v>0.24</v>
      </c>
      <c r="L1274" s="16" t="n">
        <f aca="false">J1274*K1274</f>
        <v>0.00292621093584094</v>
      </c>
      <c r="M1274" s="44" t="n">
        <f aca="false">Country_Data!$DW$186+Sector_Params!$E$7</f>
        <v>0.105</v>
      </c>
      <c r="N1274" s="44" t="n">
        <f aca="false">Country_Data!$DX$186+Sector_Params!$E$7</f>
        <v>0.15</v>
      </c>
      <c r="O1274" s="11" t="n">
        <f aca="false">IF(p_use_ibrd=1,p_r_ibrd,p_r_wb)</f>
        <v>0.06</v>
      </c>
      <c r="P1274" s="45" t="n">
        <f aca="false">Sector_Params!$D$7</f>
        <v>12</v>
      </c>
      <c r="Q1274" s="46" t="n">
        <f aca="false">M1274/(1-(1+M1274)^-P1274)</f>
        <v>0.150376745634766</v>
      </c>
      <c r="R1274" s="46" t="n">
        <f aca="false">N1274/(1-(1+N1274)^-P1274)</f>
        <v>0.18448077613084</v>
      </c>
      <c r="S1274" s="46" t="n">
        <f aca="false">O1274/(1-(1+O1274)^-P1274)</f>
        <v>0.119277029380664</v>
      </c>
      <c r="T1274" s="37" t="n">
        <f aca="false">IF(AND(p_eng=1,ISNUMBER(Country_Data!$DE$186)),Country_Data!$DE$186,Country_Data!$CM$186)*Sector_Params!$I$7</f>
        <v>0.06719994</v>
      </c>
      <c r="U1274" s="37" t="n">
        <f aca="false">IF(AND(p_eng=1,ISNUMBER(Country_Data!$DF$186)),Country_Data!$DF$186,Country_Data!$CN$186)*Sector_Params!$J$7</f>
        <v>0.00140175</v>
      </c>
      <c r="V1274" s="37" t="n">
        <f aca="false">IF(AND(p_eng=1,ISNUMBER(Country_Data!$DG$186)),Country_Data!$DG$186,p_a)</f>
        <v>0.0944055</v>
      </c>
      <c r="W1274" s="16" t="n">
        <f aca="false">T1274*L1274</f>
        <v>0.000196641199315855</v>
      </c>
      <c r="X1274" s="16" t="n">
        <f aca="false">U1274*L1274</f>
        <v>4.10181617931503E-006</v>
      </c>
      <c r="Y1274" s="16" t="n">
        <f aca="false">V1274*L1274</f>
        <v>0.000276250406503532</v>
      </c>
      <c r="Z1274" s="16" t="n">
        <f aca="false">Q1274*L1274</f>
        <v>0.000440034077572622</v>
      </c>
      <c r="AA1274" s="16" t="n">
        <f aca="false">R1274*L1274</f>
        <v>0.000539829664566486</v>
      </c>
      <c r="AB1274" s="16" t="n">
        <f aca="false">S1274*L1274</f>
        <v>0.000349029747768318</v>
      </c>
      <c r="AC1274" s="16" t="n">
        <f aca="false">Z1274-W1274</f>
        <v>0.000243392878256767</v>
      </c>
      <c r="AD1274" s="16" t="n">
        <f aca="false">AA1274-W1274</f>
        <v>0.000343188465250632</v>
      </c>
      <c r="AE1274" s="16" t="n">
        <f aca="false">AB1274-W1274</f>
        <v>0.000152388548452464</v>
      </c>
      <c r="AF1274" s="16" t="n">
        <f aca="false">AE1274-X1274</f>
        <v>0.000148286732273149</v>
      </c>
      <c r="AG1274" s="16" t="n">
        <f aca="false">AF1274-p_spc_lo*Y1274/1000</f>
        <v>0.000134474211947972</v>
      </c>
      <c r="AH1274" s="16" t="n">
        <f aca="false">AF1274-p_spc_hi*Y1274/1000</f>
        <v>0.000120661691622795</v>
      </c>
      <c r="AI1274" s="16" t="n">
        <f aca="false">Q1274*J1274</f>
        <v>0.00183347532321926</v>
      </c>
      <c r="AJ1274" s="16" t="n">
        <f aca="false">S1274*J1274</f>
        <v>0.00145429061570133</v>
      </c>
      <c r="AK1274" s="16" t="n">
        <f aca="false">T1274*J1274</f>
        <v>0.000819338330482729</v>
      </c>
      <c r="AL1274" s="16" t="n">
        <f aca="false">U1274*J1274</f>
        <v>1.7090900747146E-005</v>
      </c>
      <c r="AM1274" s="16" t="n">
        <f aca="false">AI1274-AJ1274</f>
        <v>0.000379184707517933</v>
      </c>
      <c r="AN1274" s="16" t="n">
        <f aca="false">J1274*Country_Data!$EB$186</f>
        <v>0.0139963742250839</v>
      </c>
      <c r="AO1274" s="16" t="n">
        <f aca="false">L1274*Country_Data!$EB$186</f>
        <v>0.00335912981402014</v>
      </c>
    </row>
    <row r="1275" customFormat="false" ht="15" hidden="false" customHeight="false" outlineLevel="0" collapsed="false">
      <c r="A1275" s="14" t="str">
        <f aca="false">Country_Data!$A$186</f>
        <v>GRD</v>
      </c>
      <c r="B1275" s="14" t="str">
        <f aca="false">Country_Data!$E$186</f>
        <v>EMDC</v>
      </c>
      <c r="C1275" s="35" t="s">
        <v>477</v>
      </c>
      <c r="D1275" s="37" t="n">
        <f aca="false">IF(Country_Data!$CB$186="","",Country_Data!$CB$186)</f>
        <v>0.0005440378339086</v>
      </c>
      <c r="E1275" s="40" t="n">
        <f aca="false">Country_Data!$BW$186</f>
        <v>2.333</v>
      </c>
      <c r="F1275" s="41" t="n">
        <f aca="false">Country_Data!$BX$186</f>
        <v>0.579082726103729</v>
      </c>
      <c r="G1275" s="42" t="n">
        <f aca="false">IF(D1275="","",D1275/SUMIFS($D$5:$D$1369,$B$5:$B$1369,B1275,$C$5:$C$1369,C1275))</f>
        <v>1.71551694985146E-005</v>
      </c>
      <c r="H1275" s="42" t="n">
        <f aca="false">E1275/SUMIFS($E$5:$E$1369,$B$5:$B$1369,B1275,$C$5:$C$1369,C1275)</f>
        <v>2.88981219193555E-005</v>
      </c>
      <c r="I1275" s="43" t="n">
        <f aca="false">IF(G1275="",H1275,p_beta_alloc*G1275+(1-p_beta_alloc)*H1275)*F1275^p_phi</f>
        <v>1.75226983214172E-005</v>
      </c>
      <c r="J1275" s="16" t="n">
        <f aca="false">INDEX(Sector_Params!$C$19:$E$19,MATCH(B1275,Sector_Params!$C$15:$E$15,0))*I1275/SUMIFS($I$5:$I$1369,$B$5:$B$1369,B1275,$C$5:$C$1369,C1275)</f>
        <v>0.00563990117986412</v>
      </c>
      <c r="K1275" s="28" t="n">
        <f aca="false">INDEX(Sector_Params!$F$8:$H$8,MATCH(B1275,Sector_Params!$C$15:$E$15,0))</f>
        <v>0.24</v>
      </c>
      <c r="L1275" s="16" t="n">
        <f aca="false">J1275*K1275</f>
        <v>0.00135357628316739</v>
      </c>
      <c r="M1275" s="44" t="n">
        <f aca="false">Country_Data!$DW$186+Sector_Params!$E$8</f>
        <v>0.105</v>
      </c>
      <c r="N1275" s="44" t="n">
        <f aca="false">Country_Data!$DX$186+Sector_Params!$E$8</f>
        <v>0.15</v>
      </c>
      <c r="O1275" s="11" t="n">
        <f aca="false">IF(p_use_ibrd=1,p_r_ibrd,p_r_wb)</f>
        <v>0.06</v>
      </c>
      <c r="P1275" s="45" t="n">
        <f aca="false">Sector_Params!$D$8</f>
        <v>25</v>
      </c>
      <c r="Q1275" s="46" t="n">
        <f aca="false">M1275/(1-(1+M1275)^-P1275)</f>
        <v>0.114429319813103</v>
      </c>
      <c r="R1275" s="46" t="n">
        <f aca="false">N1275/(1-(1+N1275)^-P1275)</f>
        <v>0.154699402320206</v>
      </c>
      <c r="S1275" s="46" t="n">
        <f aca="false">O1275/(1-(1+O1275)^-P1275)</f>
        <v>0.078226718212274</v>
      </c>
      <c r="T1275" s="37" t="n">
        <f aca="false">Country_Data!$CM$186*Sector_Params!$I$8</f>
        <v>0.532</v>
      </c>
      <c r="U1275" s="37" t="n">
        <f aca="false">Country_Data!$CN$186*Sector_Params!$J$8</f>
        <v>0.03225</v>
      </c>
      <c r="V1275" s="37" t="n">
        <f aca="false">p_a</f>
        <v>0.35</v>
      </c>
      <c r="W1275" s="16" t="n">
        <f aca="false">T1275*L1275</f>
        <v>0.000720102582645051</v>
      </c>
      <c r="X1275" s="16" t="n">
        <f aca="false">U1275*L1275</f>
        <v>4.36528351321483E-005</v>
      </c>
      <c r="Y1275" s="16" t="n">
        <f aca="false">V1275*L1275</f>
        <v>0.000473751699108586</v>
      </c>
      <c r="Z1275" s="16" t="n">
        <f aca="false">Q1275*L1275</f>
        <v>0.000154888813397993</v>
      </c>
      <c r="AA1275" s="16" t="n">
        <f aca="false">R1275*L1275</f>
        <v>0.000209397442000802</v>
      </c>
      <c r="AB1275" s="16" t="n">
        <f aca="false">S1275*L1275</f>
        <v>0.000105885830482152</v>
      </c>
      <c r="AC1275" s="16" t="n">
        <f aca="false">Z1275-W1275</f>
        <v>-0.000565213769247058</v>
      </c>
      <c r="AD1275" s="16" t="n">
        <f aca="false">AA1275-W1275</f>
        <v>-0.000510705140644249</v>
      </c>
      <c r="AE1275" s="16" t="n">
        <f aca="false">AB1275-W1275</f>
        <v>-0.000614216752162899</v>
      </c>
      <c r="AF1275" s="16" t="n">
        <f aca="false">AE1275-X1275</f>
        <v>-0.000657869587295047</v>
      </c>
      <c r="AG1275" s="16" t="n">
        <f aca="false">AF1275-p_spc_lo*Y1275/1000</f>
        <v>-0.000681557172250476</v>
      </c>
      <c r="AH1275" s="16" t="n">
        <f aca="false">AF1275-p_spc_hi*Y1275/1000</f>
        <v>-0.000705244757205905</v>
      </c>
      <c r="AI1275" s="16" t="n">
        <f aca="false">Q1275*J1275</f>
        <v>0.00064537005582497</v>
      </c>
      <c r="AJ1275" s="16" t="n">
        <f aca="false">S1275*J1275</f>
        <v>0.000441190960342302</v>
      </c>
      <c r="AK1275" s="16" t="n">
        <f aca="false">T1275*J1275</f>
        <v>0.00300042742768771</v>
      </c>
      <c r="AL1275" s="16" t="n">
        <f aca="false">U1275*J1275</f>
        <v>0.000181886813050618</v>
      </c>
      <c r="AM1275" s="16" t="n">
        <f aca="false">AI1275-AJ1275</f>
        <v>0.000204179095482668</v>
      </c>
      <c r="AN1275" s="16" t="n">
        <f aca="false">J1275*Country_Data!$EB$186</f>
        <v>0.00647429751880292</v>
      </c>
      <c r="AO1275" s="16" t="n">
        <f aca="false">L1275*Country_Data!$EB$186</f>
        <v>0.0015538314045127</v>
      </c>
    </row>
    <row r="1276" customFormat="false" ht="15" hidden="false" customHeight="false" outlineLevel="0" collapsed="false">
      <c r="A1276" s="14" t="str">
        <f aca="false">Country_Data!$A$186</f>
        <v>GRD</v>
      </c>
      <c r="B1276" s="14" t="str">
        <f aca="false">Country_Data!$E$186</f>
        <v>EMDC</v>
      </c>
      <c r="C1276" s="35" t="s">
        <v>481</v>
      </c>
      <c r="D1276" s="37" t="n">
        <f aca="false">IF(Country_Data!$CC$186="","",Country_Data!$CC$186)</f>
        <v>0.00230817672824308</v>
      </c>
      <c r="E1276" s="40" t="n">
        <f aca="false">Country_Data!$BW$186</f>
        <v>2.333</v>
      </c>
      <c r="F1276" s="41" t="n">
        <f aca="false">Country_Data!$BX$186</f>
        <v>0.579082726103729</v>
      </c>
      <c r="G1276" s="42" t="n">
        <f aca="false">IF(D1276="","",D1276/SUMIFS($D$5:$D$1369,$B$5:$B$1369,B1276,$C$5:$C$1369,C1276))</f>
        <v>3.29705349100598E-005</v>
      </c>
      <c r="H1276" s="42" t="n">
        <f aca="false">E1276/SUMIFS($E$5:$E$1369,$B$5:$B$1369,B1276,$C$5:$C$1369,C1276)</f>
        <v>2.88981219193555E-005</v>
      </c>
      <c r="I1276" s="43" t="n">
        <f aca="false">IF(G1276="",H1276,p_beta_alloc*G1276+(1-p_beta_alloc)*H1276)*F1276^p_phi</f>
        <v>2.35402460018844E-005</v>
      </c>
      <c r="J1276" s="16" t="n">
        <f aca="false">INDEX(Sector_Params!$C$20:$E$20,MATCH(B1276,Sector_Params!$C$15:$E$15,0))*I1276/SUMIFS($I$5:$I$1369,$B$5:$B$1369,B1276,$C$5:$C$1369,C1276)</f>
        <v>0.00429656894144979</v>
      </c>
      <c r="K1276" s="28" t="n">
        <f aca="false">INDEX(Sector_Params!$F$9:$H$9,MATCH(B1276,Sector_Params!$C$15:$E$15,0))</f>
        <v>0.24</v>
      </c>
      <c r="L1276" s="16" t="n">
        <f aca="false">J1276*K1276</f>
        <v>0.00103117654594795</v>
      </c>
      <c r="M1276" s="44" t="n">
        <f aca="false">Country_Data!$DW$186+Sector_Params!$E$9</f>
        <v>0.105</v>
      </c>
      <c r="N1276" s="44" t="n">
        <f aca="false">Country_Data!$DX$186+Sector_Params!$E$9</f>
        <v>0.15</v>
      </c>
      <c r="O1276" s="11" t="n">
        <f aca="false">IF(p_use_ibrd=1,p_r_ibrd,p_r_wb)</f>
        <v>0.06</v>
      </c>
      <c r="P1276" s="45" t="n">
        <f aca="false">Sector_Params!$D$9</f>
        <v>25</v>
      </c>
      <c r="Q1276" s="46" t="n">
        <f aca="false">M1276/(1-(1+M1276)^-P1276)</f>
        <v>0.114429319813103</v>
      </c>
      <c r="R1276" s="46" t="n">
        <f aca="false">N1276/(1-(1+N1276)^-P1276)</f>
        <v>0.154699402320206</v>
      </c>
      <c r="S1276" s="46" t="n">
        <f aca="false">O1276/(1-(1+O1276)^-P1276)</f>
        <v>0.078226718212274</v>
      </c>
      <c r="T1276" s="37" t="n">
        <f aca="false">Country_Data!$CM$186*Sector_Params!$I$9</f>
        <v>0.532</v>
      </c>
      <c r="U1276" s="37" t="n">
        <f aca="false">Country_Data!$CN$186*Sector_Params!$J$9</f>
        <v>0.03225</v>
      </c>
      <c r="V1276" s="37" t="n">
        <f aca="false">p_a</f>
        <v>0.35</v>
      </c>
      <c r="W1276" s="16" t="n">
        <f aca="false">T1276*L1276</f>
        <v>0.000548585922444309</v>
      </c>
      <c r="X1276" s="16" t="n">
        <f aca="false">U1276*L1276</f>
        <v>3.32554436068214E-005</v>
      </c>
      <c r="Y1276" s="16" t="n">
        <f aca="false">V1276*L1276</f>
        <v>0.000360911791081782</v>
      </c>
      <c r="Z1276" s="16" t="n">
        <f aca="false">Q1276*L1276</f>
        <v>0.000117996830760049</v>
      </c>
      <c r="AA1276" s="16" t="n">
        <f aca="false">R1276*L1276</f>
        <v>0.000159522395344763</v>
      </c>
      <c r="AB1276" s="16" t="n">
        <f aca="false">S1276*L1276</f>
        <v>8.06655570869762E-005</v>
      </c>
      <c r="AC1276" s="16" t="n">
        <f aca="false">Z1276-W1276</f>
        <v>-0.00043058909168426</v>
      </c>
      <c r="AD1276" s="16" t="n">
        <f aca="false">AA1276-W1276</f>
        <v>-0.000389063527099547</v>
      </c>
      <c r="AE1276" s="16" t="n">
        <f aca="false">AB1276-W1276</f>
        <v>-0.000467920365357333</v>
      </c>
      <c r="AF1276" s="16" t="n">
        <f aca="false">AE1276-X1276</f>
        <v>-0.000501175808964154</v>
      </c>
      <c r="AG1276" s="16" t="n">
        <f aca="false">AF1276-p_spc_lo*Y1276/1000</f>
        <v>-0.000519221398518244</v>
      </c>
      <c r="AH1276" s="16" t="n">
        <f aca="false">AF1276-p_spc_hi*Y1276/1000</f>
        <v>-0.000537266988072333</v>
      </c>
      <c r="AI1276" s="16" t="n">
        <f aca="false">Q1276*J1276</f>
        <v>0.000491653461500205</v>
      </c>
      <c r="AJ1276" s="16" t="n">
        <f aca="false">S1276*J1276</f>
        <v>0.000336106487862401</v>
      </c>
      <c r="AK1276" s="16" t="n">
        <f aca="false">T1276*J1276</f>
        <v>0.00228577467685129</v>
      </c>
      <c r="AL1276" s="16" t="n">
        <f aca="false">U1276*J1276</f>
        <v>0.000138564348361756</v>
      </c>
      <c r="AM1276" s="16" t="n">
        <f aca="false">AI1276-AJ1276</f>
        <v>0.000155546973637804</v>
      </c>
      <c r="AN1276" s="16" t="n">
        <f aca="false">J1276*Country_Data!$EB$186</f>
        <v>0.00493222571634921</v>
      </c>
      <c r="AO1276" s="16" t="n">
        <f aca="false">L1276*Country_Data!$EB$186</f>
        <v>0.00118373417192381</v>
      </c>
    </row>
    <row r="1277" customFormat="false" ht="15" hidden="false" customHeight="false" outlineLevel="0" collapsed="false">
      <c r="A1277" s="14" t="str">
        <f aca="false">Country_Data!$A$186</f>
        <v>GRD</v>
      </c>
      <c r="B1277" s="14" t="str">
        <f aca="false">Country_Data!$E$186</f>
        <v>EMDC</v>
      </c>
      <c r="C1277" s="35" t="s">
        <v>484</v>
      </c>
      <c r="D1277" s="37" t="n">
        <f aca="false">IF(Country_Data!$CD$186="","",Country_Data!$CD$186)</f>
        <v>0.0042278495766384</v>
      </c>
      <c r="E1277" s="40" t="n">
        <f aca="false">Country_Data!$BW$186</f>
        <v>2.333</v>
      </c>
      <c r="F1277" s="41" t="n">
        <f aca="false">Country_Data!$BX$186</f>
        <v>0.579082726103729</v>
      </c>
      <c r="G1277" s="42" t="n">
        <f aca="false">IF(D1277="","",D1277/SUMIFS($D$5:$D$1369,$B$5:$B$1369,B1277,$C$5:$C$1369,C1277))</f>
        <v>2.36098565511189E-005</v>
      </c>
      <c r="H1277" s="42" t="n">
        <f aca="false">E1277/SUMIFS($E$5:$E$1369,$B$5:$B$1369,B1277,$C$5:$C$1369,C1277)</f>
        <v>2.88981219193555E-005</v>
      </c>
      <c r="I1277" s="43" t="n">
        <f aca="false">IF(G1277="",H1277,p_beta_alloc*G1277+(1-p_beta_alloc)*H1277)*F1277^p_phi</f>
        <v>1.99786255852404E-005</v>
      </c>
      <c r="J1277" s="16" t="n">
        <f aca="false">INDEX(Sector_Params!$C$21:$E$21,MATCH(B1277,Sector_Params!$C$15:$E$15,0))*I1277/SUMIFS($I$5:$I$1369,$B$5:$B$1369,B1277,$C$5:$C$1369,C1277)</f>
        <v>0.00443105589741301</v>
      </c>
      <c r="K1277" s="28" t="n">
        <f aca="false">INDEX(Sector_Params!$F$10:$H$10,MATCH(B1277,Sector_Params!$C$15:$E$15,0))</f>
        <v>0.24</v>
      </c>
      <c r="L1277" s="16" t="n">
        <f aca="false">J1277*K1277</f>
        <v>0.00106345341537912</v>
      </c>
      <c r="M1277" s="44" t="n">
        <f aca="false">Country_Data!$DW$186+Sector_Params!$E$10</f>
        <v>0.105</v>
      </c>
      <c r="N1277" s="44" t="n">
        <f aca="false">Country_Data!$DX$186+Sector_Params!$E$10</f>
        <v>0.15</v>
      </c>
      <c r="O1277" s="11" t="n">
        <f aca="false">IF(p_use_ibrd=1,p_r_ibrd,p_r_wb)</f>
        <v>0.06</v>
      </c>
      <c r="P1277" s="45" t="n">
        <f aca="false">Sector_Params!$D$10</f>
        <v>20</v>
      </c>
      <c r="Q1277" s="46" t="n">
        <f aca="false">M1277/(1-(1+M1277)^-P1277)</f>
        <v>0.121493265267016</v>
      </c>
      <c r="R1277" s="46" t="n">
        <f aca="false">N1277/(1-(1+N1277)^-P1277)</f>
        <v>0.159761470405744</v>
      </c>
      <c r="S1277" s="46" t="n">
        <f aca="false">O1277/(1-(1+O1277)^-P1277)</f>
        <v>0.0871845569768514</v>
      </c>
      <c r="T1277" s="37" t="n">
        <f aca="false">0*Sector_Params!$I$10</f>
        <v>0</v>
      </c>
      <c r="U1277" s="37" t="n">
        <f aca="false">0*Sector_Params!$J$10</f>
        <v>0</v>
      </c>
      <c r="V1277" s="37" t="n">
        <f aca="false">1000*p_r_wb/(1-(1+p_r_wb)^-Sector_Params!$D$10)/p_cpt_fuel</f>
        <v>0.871845569768514</v>
      </c>
      <c r="W1277" s="16" t="n">
        <f aca="false">T1277*L1277</f>
        <v>0</v>
      </c>
      <c r="X1277" s="16" t="n">
        <f aca="false">U1277*L1277</f>
        <v>0</v>
      </c>
      <c r="Y1277" s="16" t="n">
        <f aca="false">V1277*L1277</f>
        <v>0.000927167148853483</v>
      </c>
      <c r="Z1277" s="16" t="n">
        <f aca="false">Q1277*L1277</f>
        <v>0.00012920242789377</v>
      </c>
      <c r="AA1277" s="16" t="n">
        <f aca="false">R1277*L1277</f>
        <v>0.000169898881348979</v>
      </c>
      <c r="AB1277" s="16" t="n">
        <f aca="false">S1277*L1277</f>
        <v>9.27167148853483E-005</v>
      </c>
      <c r="AC1277" s="16" t="n">
        <f aca="false">Z1277-W1277</f>
        <v>0.00012920242789377</v>
      </c>
      <c r="AD1277" s="16" t="n">
        <f aca="false">AA1277-W1277</f>
        <v>0.000169898881348979</v>
      </c>
      <c r="AE1277" s="16" t="n">
        <f aca="false">AB1277-W1277</f>
        <v>9.27167148853483E-005</v>
      </c>
      <c r="AF1277" s="16" t="n">
        <f aca="false">AE1277-X1277</f>
        <v>9.27167148853483E-005</v>
      </c>
      <c r="AG1277" s="16" t="n">
        <f aca="false">AF1277-p_spc_lo*Y1277/1000</f>
        <v>4.63583574426741E-005</v>
      </c>
      <c r="AH1277" s="16" t="n">
        <f aca="false">AF1277-p_spc_hi*Y1277/1000</f>
        <v>0</v>
      </c>
      <c r="AI1277" s="16" t="n">
        <f aca="false">Q1277*J1277</f>
        <v>0.000538343449557375</v>
      </c>
      <c r="AJ1277" s="16" t="n">
        <f aca="false">S1277*J1277</f>
        <v>0.000386319645355618</v>
      </c>
      <c r="AK1277" s="16" t="n">
        <f aca="false">T1277*J1277</f>
        <v>0</v>
      </c>
      <c r="AL1277" s="16" t="n">
        <f aca="false">U1277*J1277</f>
        <v>0</v>
      </c>
      <c r="AM1277" s="16" t="n">
        <f aca="false">AI1277-AJ1277</f>
        <v>0.000152023804201757</v>
      </c>
      <c r="AN1277" s="16" t="n">
        <f aca="false">J1277*Country_Data!$EB$186</f>
        <v>0.00508660937264671</v>
      </c>
      <c r="AO1277" s="16" t="n">
        <f aca="false">L1277*Country_Data!$EB$186</f>
        <v>0.00122078624943521</v>
      </c>
    </row>
    <row r="1278" customFormat="false" ht="15" hidden="false" customHeight="false" outlineLevel="0" collapsed="false">
      <c r="A1278" s="14" t="str">
        <f aca="false">Country_Data!$A$186</f>
        <v>GRD</v>
      </c>
      <c r="B1278" s="14" t="str">
        <f aca="false">Country_Data!$E$186</f>
        <v>EMDC</v>
      </c>
      <c r="C1278" s="35" t="s">
        <v>488</v>
      </c>
      <c r="D1278" s="37" t="n">
        <f aca="false">IF(Country_Data!$CE$186="","",Country_Data!$CE$186)</f>
        <v>0.07</v>
      </c>
      <c r="E1278" s="40" t="n">
        <f aca="false">Country_Data!$BW$186</f>
        <v>2.333</v>
      </c>
      <c r="F1278" s="41" t="n">
        <f aca="false">Country_Data!$BX$186</f>
        <v>0.579082726103729</v>
      </c>
      <c r="G1278" s="42" t="n">
        <f aca="false">IF(D1278="","",D1278/SUMIFS($D$5:$D$1369,$B$5:$B$1369,B1278,$C$5:$C$1369,C1278))</f>
        <v>5.73577262086297E-006</v>
      </c>
      <c r="H1278" s="42" t="n">
        <f aca="false">E1278/SUMIFS($E$5:$E$1369,$B$5:$B$1369,B1278,$C$5:$C$1369,C1278)</f>
        <v>2.88981219193555E-005</v>
      </c>
      <c r="I1278" s="43" t="n">
        <f aca="false">IF(G1278="",H1278,p_beta_alloc*G1278+(1-p_beta_alloc)*H1278)*F1278^p_phi</f>
        <v>1.31777613942386E-005</v>
      </c>
      <c r="J1278" s="16" t="n">
        <f aca="false">INDEX(Sector_Params!$C$22:$E$22,MATCH(B1278,Sector_Params!$C$15:$E$15,0))*I1278/SUMIFS($I$5:$I$1369,$B$5:$B$1369,B1278,$C$5:$C$1369,C1278)</f>
        <v>0.00794366510639418</v>
      </c>
      <c r="K1278" s="28" t="n">
        <f aca="false">INDEX(Sector_Params!$F$11:$H$11,MATCH(B1278,Sector_Params!$C$15:$E$15,0))</f>
        <v>0.24</v>
      </c>
      <c r="L1278" s="16" t="n">
        <f aca="false">J1278*K1278</f>
        <v>0.0019064796255346</v>
      </c>
      <c r="M1278" s="44" t="n">
        <f aca="false">Country_Data!$DW$186+Sector_Params!$E$11</f>
        <v>0.105</v>
      </c>
      <c r="N1278" s="44" t="n">
        <f aca="false">Country_Data!$DX$186+Sector_Params!$E$11</f>
        <v>0.15</v>
      </c>
      <c r="O1278" s="11" t="n">
        <f aca="false">IF(p_use_ibrd=1,p_r_ibrd,p_r_wb)</f>
        <v>0.06</v>
      </c>
      <c r="P1278" s="45" t="n">
        <f aca="false">Sector_Params!$D$11</f>
        <v>30</v>
      </c>
      <c r="Q1278" s="46" t="n">
        <f aca="false">M1278/(1-(1+M1278)^-P1278)</f>
        <v>0.110528481529605</v>
      </c>
      <c r="R1278" s="46" t="n">
        <f aca="false">N1278/(1-(1+N1278)^-P1278)</f>
        <v>0.152300198192734</v>
      </c>
      <c r="S1278" s="46" t="n">
        <f aca="false">O1278/(1-(1+O1278)^-P1278)</f>
        <v>0.0726489114900472</v>
      </c>
      <c r="T1278" s="37" t="n">
        <f aca="false">0*Sector_Params!$I$11</f>
        <v>0</v>
      </c>
      <c r="U1278" s="37" t="n">
        <f aca="false">p_c*Sector_Params!$J$11</f>
        <v>0.129</v>
      </c>
      <c r="V1278" s="37" t="n">
        <f aca="false">1000*p_r_wb/(1-(1+p_r_wb)^-Sector_Params!$D$11)/p_cpt_afolu</f>
        <v>1.45297822980094</v>
      </c>
      <c r="W1278" s="16" t="n">
        <f aca="false">T1278*L1278</f>
        <v>0</v>
      </c>
      <c r="X1278" s="16" t="n">
        <f aca="false">U1278*L1278</f>
        <v>0.000245935871693964</v>
      </c>
      <c r="Y1278" s="16" t="n">
        <f aca="false">V1278*L1278</f>
        <v>0.00277007339146083</v>
      </c>
      <c r="Z1278" s="16" t="n">
        <f aca="false">Q1278*L1278</f>
        <v>0.00021072029807747</v>
      </c>
      <c r="AA1278" s="16" t="n">
        <f aca="false">R1278*L1278</f>
        <v>0.00029035722481933</v>
      </c>
      <c r="AB1278" s="16" t="n">
        <f aca="false">S1278*L1278</f>
        <v>0.000138503669573042</v>
      </c>
      <c r="AC1278" s="16" t="n">
        <f aca="false">Z1278-W1278</f>
        <v>0.00021072029807747</v>
      </c>
      <c r="AD1278" s="16" t="n">
        <f aca="false">AA1278-W1278</f>
        <v>0.00029035722481933</v>
      </c>
      <c r="AE1278" s="16" t="n">
        <f aca="false">AB1278-W1278</f>
        <v>0.000138503669573042</v>
      </c>
      <c r="AF1278" s="16" t="n">
        <f aca="false">AE1278-X1278</f>
        <v>-0.000107432202120922</v>
      </c>
      <c r="AG1278" s="16" t="n">
        <f aca="false">AF1278-p_spc_lo*Y1278/1000</f>
        <v>-0.000245935871693964</v>
      </c>
      <c r="AH1278" s="16" t="n">
        <f aca="false">AF1278-p_spc_hi*Y1278/1000</f>
        <v>-0.000384439541267006</v>
      </c>
      <c r="AI1278" s="16" t="n">
        <f aca="false">Q1278*J1278</f>
        <v>0.000878001241989458</v>
      </c>
      <c r="AJ1278" s="16" t="n">
        <f aca="false">S1278*J1278</f>
        <v>0.000577098623221007</v>
      </c>
      <c r="AK1278" s="16" t="n">
        <f aca="false">T1278*J1278</f>
        <v>0</v>
      </c>
      <c r="AL1278" s="16" t="n">
        <f aca="false">U1278*J1278</f>
        <v>0.00102473279872485</v>
      </c>
      <c r="AM1278" s="16" t="n">
        <f aca="false">AI1278-AJ1278</f>
        <v>0.000300902618768451</v>
      </c>
      <c r="AN1278" s="16" t="n">
        <f aca="false">J1278*Country_Data!$EB$186</f>
        <v>0.00911889227281962</v>
      </c>
      <c r="AO1278" s="16" t="n">
        <f aca="false">L1278*Country_Data!$EB$186</f>
        <v>0.00218853414547671</v>
      </c>
    </row>
    <row r="1279" customFormat="false" ht="15" hidden="false" customHeight="false" outlineLevel="0" collapsed="false">
      <c r="A1279" s="14" t="str">
        <f aca="false">Country_Data!$A$187</f>
        <v>VUT</v>
      </c>
      <c r="B1279" s="14" t="str">
        <f aca="false">Country_Data!$E$187</f>
        <v>EMDC</v>
      </c>
      <c r="C1279" s="35" t="s">
        <v>466</v>
      </c>
      <c r="D1279" s="37" t="n">
        <f aca="false">IF(Country_Data!$BZ$187="","",Country_Data!$BZ$187)</f>
        <v>0.0692391798310204</v>
      </c>
      <c r="E1279" s="40" t="n">
        <f aca="false">Country_Data!$BW$187</f>
        <v>1.242</v>
      </c>
      <c r="F1279" s="41" t="n">
        <f aca="false">Country_Data!$BX$187</f>
        <v>1.01851851851852</v>
      </c>
      <c r="G1279" s="42" t="n">
        <f aca="false">IF(D1279="","",D1279/SUMIFS($D$5:$D$1369,$B$5:$B$1369,B1279,$C$5:$C$1369,C1279))</f>
        <v>7.90449262487157E-006</v>
      </c>
      <c r="H1279" s="42" t="n">
        <f aca="false">E1279/SUMIFS($E$5:$E$1369,$B$5:$B$1369,B1279,$C$5:$C$1369,C1279)</f>
        <v>1.53842552181053E-005</v>
      </c>
      <c r="I1279" s="43" t="n">
        <f aca="false">IF(G1279="",H1279,p_beta_alloc*G1279+(1-p_beta_alloc)*H1279)*F1279^p_phi</f>
        <v>1.17516976088793E-005</v>
      </c>
      <c r="J1279" s="16" t="n">
        <f aca="false">INDEX(Sector_Params!$C$16:$E$16,MATCH(B1279,Sector_Params!$C$15:$E$15,0))*I1279/SUMIFS($I$5:$I$1369,$B$5:$B$1369,B1279,$C$5:$C$1369,C1279)</f>
        <v>0.0113665398585292</v>
      </c>
      <c r="K1279" s="28" t="n">
        <f aca="false">INDEX(Sector_Params!$F$5:$H$5,MATCH(B1279,Sector_Params!$C$15:$E$15,0))</f>
        <v>0.24</v>
      </c>
      <c r="L1279" s="16" t="n">
        <f aca="false">J1279*K1279</f>
        <v>0.002727969566047</v>
      </c>
      <c r="M1279" s="44" t="n">
        <f aca="false">Country_Data!$DW$187+Sector_Params!$E$5</f>
        <v>0.105</v>
      </c>
      <c r="N1279" s="44" t="n">
        <f aca="false">Country_Data!$DX$187+Sector_Params!$E$5</f>
        <v>0.15</v>
      </c>
      <c r="O1279" s="11" t="n">
        <f aca="false">IF(p_use_ibrd=1,p_r_ibrd,p_r_wb)</f>
        <v>0.06</v>
      </c>
      <c r="P1279" s="45" t="n">
        <f aca="false">Sector_Params!$D$5</f>
        <v>25</v>
      </c>
      <c r="Q1279" s="46" t="n">
        <f aca="false">M1279/(1-(1+M1279)^-P1279)</f>
        <v>0.114429319813103</v>
      </c>
      <c r="R1279" s="46" t="n">
        <f aca="false">N1279/(1-(1+N1279)^-P1279)</f>
        <v>0.154699402320206</v>
      </c>
      <c r="S1279" s="46" t="n">
        <f aca="false">O1279/(1-(1+O1279)^-P1279)</f>
        <v>0.078226718212274</v>
      </c>
      <c r="T1279" s="37" t="n">
        <f aca="false">IF(AND(p_eng=1,ISNUMBER(Country_Data!$CZ$187)),Country_Data!$CZ$187,Country_Data!$CM$187)*Sector_Params!$I$5</f>
        <v>0.240099880367352</v>
      </c>
      <c r="U1279" s="37" t="n">
        <f aca="false">IF(AND(p_eng=1,ISNUMBER(Country_Data!$DA$187)),Country_Data!$DA$187,Country_Data!$CN$187)*Sector_Params!$J$5</f>
        <v>7.7835342554433E-007</v>
      </c>
      <c r="V1279" s="37" t="n">
        <f aca="false">IF(AND(p_eng=1,ISNUMBER(Country_Data!$DB$187)),Country_Data!$DB$187,p_a)</f>
        <v>1.40269291333938</v>
      </c>
      <c r="W1279" s="16" t="n">
        <f aca="false">T1279*L1279</f>
        <v>0.000654985166453663</v>
      </c>
      <c r="X1279" s="16" t="n">
        <f aca="false">U1279*L1279</f>
        <v>2.12332445651337E-009</v>
      </c>
      <c r="Y1279" s="16" t="n">
        <f aca="false">V1279*L1279</f>
        <v>0.00382650357809964</v>
      </c>
      <c r="Z1279" s="16" t="n">
        <f aca="false">Q1279*L1279</f>
        <v>0.000312159701913605</v>
      </c>
      <c r="AA1279" s="16" t="n">
        <f aca="false">R1279*L1279</f>
        <v>0.000422015261415184</v>
      </c>
      <c r="AB1279" s="16" t="n">
        <f aca="false">S1279*L1279</f>
        <v>0.000213400106534818</v>
      </c>
      <c r="AC1279" s="16" t="n">
        <f aca="false">Z1279-W1279</f>
        <v>-0.000342825464540057</v>
      </c>
      <c r="AD1279" s="16" t="n">
        <f aca="false">AA1279-W1279</f>
        <v>-0.000232969905038478</v>
      </c>
      <c r="AE1279" s="16" t="n">
        <f aca="false">AB1279-W1279</f>
        <v>-0.000441585059918844</v>
      </c>
      <c r="AF1279" s="16" t="n">
        <f aca="false">AE1279-X1279</f>
        <v>-0.000441587183243301</v>
      </c>
      <c r="AG1279" s="16" t="n">
        <f aca="false">AF1279-p_spc_lo*Y1279/1000</f>
        <v>-0.000632912362148283</v>
      </c>
      <c r="AH1279" s="16" t="n">
        <f aca="false">AF1279-p_spc_hi*Y1279/1000</f>
        <v>-0.000824237541053265</v>
      </c>
      <c r="AI1279" s="16" t="n">
        <f aca="false">Q1279*J1279</f>
        <v>0.00130066542464002</v>
      </c>
      <c r="AJ1279" s="16" t="n">
        <f aca="false">S1279*J1279</f>
        <v>0.000889167110561743</v>
      </c>
      <c r="AK1279" s="16" t="n">
        <f aca="false">T1279*J1279</f>
        <v>0.00272910486022359</v>
      </c>
      <c r="AL1279" s="16" t="n">
        <f aca="false">U1279*J1279</f>
        <v>8.84718523547236E-009</v>
      </c>
      <c r="AM1279" s="16" t="n">
        <f aca="false">AI1279-AJ1279</f>
        <v>0.00041149831407828</v>
      </c>
      <c r="AN1279" s="16" t="n">
        <f aca="false">J1279*Country_Data!$EB$187</f>
        <v>0.0130057959469701</v>
      </c>
      <c r="AO1279" s="16" t="n">
        <f aca="false">L1279*Country_Data!$EB$187</f>
        <v>0.00312139102727283</v>
      </c>
    </row>
    <row r="1280" customFormat="false" ht="15" hidden="false" customHeight="false" outlineLevel="0" collapsed="false">
      <c r="A1280" s="14" t="str">
        <f aca="false">Country_Data!$A$187</f>
        <v>VUT</v>
      </c>
      <c r="B1280" s="14" t="str">
        <f aca="false">Country_Data!$E$187</f>
        <v>EMDC</v>
      </c>
      <c r="C1280" s="35" t="s">
        <v>470</v>
      </c>
      <c r="D1280" s="37" t="n">
        <f aca="false">IF(Country_Data!$BZ$187="","",Country_Data!$BZ$187)</f>
        <v>0.0692391798310204</v>
      </c>
      <c r="E1280" s="40" t="n">
        <f aca="false">Country_Data!$BW$187</f>
        <v>1.242</v>
      </c>
      <c r="F1280" s="41" t="n">
        <f aca="false">Country_Data!$BX$187</f>
        <v>1.01851851851852</v>
      </c>
      <c r="G1280" s="42" t="n">
        <f aca="false">IF(D1280="","",D1280/SUMIFS($D$5:$D$1369,$B$5:$B$1369,B1280,$C$5:$C$1369,C1280))</f>
        <v>7.90449262487157E-006</v>
      </c>
      <c r="H1280" s="42" t="n">
        <f aca="false">E1280/SUMIFS($E$5:$E$1369,$B$5:$B$1369,B1280,$C$5:$C$1369,C1280)</f>
        <v>1.53842552181053E-005</v>
      </c>
      <c r="I1280" s="43" t="n">
        <f aca="false">IF(G1280="",H1280,p_beta_alloc*G1280+(1-p_beta_alloc)*H1280)*F1280^p_phi</f>
        <v>1.17516976088793E-005</v>
      </c>
      <c r="J1280" s="16" t="n">
        <f aca="false">INDEX(Sector_Params!$C$17:$E$17,MATCH(B1280,Sector_Params!$C$15:$E$15,0))*I1280/SUMIFS($I$5:$I$1369,$B$5:$B$1369,B1280,$C$5:$C$1369,C1280)</f>
        <v>0.0077941987601343</v>
      </c>
      <c r="K1280" s="28" t="n">
        <f aca="false">INDEX(Sector_Params!$F$6:$H$6,MATCH(B1280,Sector_Params!$C$15:$E$15,0))</f>
        <v>0.24</v>
      </c>
      <c r="L1280" s="16" t="n">
        <f aca="false">J1280*K1280</f>
        <v>0.00187060770243223</v>
      </c>
      <c r="M1280" s="44" t="n">
        <f aca="false">Country_Data!$DW$187+Sector_Params!$E$6</f>
        <v>0.105</v>
      </c>
      <c r="N1280" s="44" t="n">
        <f aca="false">Country_Data!$DX$187+Sector_Params!$E$6</f>
        <v>0.15</v>
      </c>
      <c r="O1280" s="11" t="n">
        <f aca="false">IF(p_use_ibrd=1,p_r_ibrd,p_r_wb)</f>
        <v>0.06</v>
      </c>
      <c r="P1280" s="45" t="n">
        <f aca="false">Sector_Params!$D$6</f>
        <v>40</v>
      </c>
      <c r="Q1280" s="46" t="n">
        <f aca="false">M1280/(1-(1+M1280)^-P1280)</f>
        <v>0.10697140835497</v>
      </c>
      <c r="R1280" s="46" t="n">
        <f aca="false">N1280/(1-(1+N1280)^-P1280)</f>
        <v>0.150562085013545</v>
      </c>
      <c r="S1280" s="46" t="n">
        <f aca="false">O1280/(1-(1+O1280)^-P1280)</f>
        <v>0.0664615359206755</v>
      </c>
      <c r="T1280" s="37" t="n">
        <f aca="false">p_grid_credit*IF(AND(p_eng=1,ISNUMBER(Country_Data!$CZ$187)),Country_Data!$CZ$187,Country_Data!$CM$187)*Sector_Params!$I$6</f>
        <v>0</v>
      </c>
      <c r="U1280" s="37" t="n">
        <f aca="false">p_grid_credit*IF(AND(p_eng=1,ISNUMBER(Country_Data!$DA$187)),Country_Data!$DA$187,Country_Data!$CN$187)*Sector_Params!$J$6</f>
        <v>0</v>
      </c>
      <c r="V1280" s="37" t="n">
        <f aca="false">p_grid_credit*IF(AND(p_eng=1,ISNUMBER(Country_Data!$DB$187)),Country_Data!$DB$187,p_a)</f>
        <v>0</v>
      </c>
      <c r="W1280" s="16" t="n">
        <f aca="false">T1280*L1280</f>
        <v>0</v>
      </c>
      <c r="X1280" s="16" t="n">
        <f aca="false">U1280*L1280</f>
        <v>0</v>
      </c>
      <c r="Y1280" s="16" t="n">
        <f aca="false">V1280*L1280</f>
        <v>0</v>
      </c>
      <c r="Z1280" s="16" t="n">
        <f aca="false">Q1280*L1280</f>
        <v>0.000200101540408831</v>
      </c>
      <c r="AA1280" s="16" t="n">
        <f aca="false">R1280*L1280</f>
        <v>0.000281642595920594</v>
      </c>
      <c r="AB1280" s="16" t="n">
        <f aca="false">S1280*L1280</f>
        <v>0.000124323461008692</v>
      </c>
      <c r="AC1280" s="16" t="n">
        <f aca="false">Z1280-W1280</f>
        <v>0.000200101540408831</v>
      </c>
      <c r="AD1280" s="16" t="n">
        <f aca="false">AA1280-W1280</f>
        <v>0.000281642595920594</v>
      </c>
      <c r="AE1280" s="16" t="n">
        <f aca="false">AB1280-W1280</f>
        <v>0.000124323461008692</v>
      </c>
      <c r="AF1280" s="16" t="n">
        <f aca="false">AE1280-X1280</f>
        <v>0.000124323461008692</v>
      </c>
      <c r="AG1280" s="16" t="n">
        <f aca="false">AF1280-p_spc_lo*Y1280/1000</f>
        <v>0.000124323461008692</v>
      </c>
      <c r="AH1280" s="16" t="n">
        <f aca="false">AF1280-p_spc_hi*Y1280/1000</f>
        <v>0.000124323461008692</v>
      </c>
      <c r="AI1280" s="16" t="n">
        <f aca="false">Q1280*J1280</f>
        <v>0.00083375641837013</v>
      </c>
      <c r="AJ1280" s="16" t="n">
        <f aca="false">S1280*J1280</f>
        <v>0.00051801442086955</v>
      </c>
      <c r="AK1280" s="16" t="n">
        <f aca="false">T1280*J1280</f>
        <v>0</v>
      </c>
      <c r="AL1280" s="16" t="n">
        <f aca="false">U1280*J1280</f>
        <v>0</v>
      </c>
      <c r="AM1280" s="16" t="n">
        <f aca="false">AI1280-AJ1280</f>
        <v>0.00031574199750058</v>
      </c>
      <c r="AN1280" s="16" t="n">
        <f aca="false">J1280*Country_Data!$EB$187</f>
        <v>0.00891826007792237</v>
      </c>
      <c r="AO1280" s="16" t="n">
        <f aca="false">L1280*Country_Data!$EB$187</f>
        <v>0.00214038241870137</v>
      </c>
    </row>
    <row r="1281" customFormat="false" ht="15" hidden="false" customHeight="false" outlineLevel="0" collapsed="false">
      <c r="A1281" s="14" t="str">
        <f aca="false">Country_Data!$A$187</f>
        <v>VUT</v>
      </c>
      <c r="B1281" s="14" t="str">
        <f aca="false">Country_Data!$E$187</f>
        <v>EMDC</v>
      </c>
      <c r="C1281" s="35" t="s">
        <v>473</v>
      </c>
      <c r="D1281" s="37" t="n">
        <f aca="false">IF(Country_Data!$CA$187="","",Country_Data!$CA$187)</f>
        <v>0.00275394855396894</v>
      </c>
      <c r="E1281" s="40" t="n">
        <f aca="false">Country_Data!$BW$187</f>
        <v>1.242</v>
      </c>
      <c r="F1281" s="41" t="n">
        <f aca="false">Country_Data!$BX$187</f>
        <v>1.01851851851852</v>
      </c>
      <c r="G1281" s="42" t="n">
        <f aca="false">IF(D1281="","",D1281/SUMIFS($D$5:$D$1369,$B$5:$B$1369,B1281,$C$5:$C$1369,C1281))</f>
        <v>6.36226192484684E-005</v>
      </c>
      <c r="H1281" s="42" t="n">
        <f aca="false">E1281/SUMIFS($E$5:$E$1369,$B$5:$B$1369,B1281,$C$5:$C$1369,C1281)</f>
        <v>1.53842552181053E-005</v>
      </c>
      <c r="I1281" s="43" t="n">
        <f aca="false">IF(G1281="",H1281,p_beta_alloc*G1281+(1-p_beta_alloc)*H1281)*F1281^p_phi</f>
        <v>3.9867531909143E-005</v>
      </c>
      <c r="J1281" s="16" t="n">
        <f aca="false">INDEX(Sector_Params!$C$18:$E$18,MATCH(B1281,Sector_Params!$C$15:$E$15,0))*I1281/SUMIFS($I$5:$I$1369,$B$5:$B$1369,B1281,$C$5:$C$1369,C1281)</f>
        <v>0.016324811002577</v>
      </c>
      <c r="K1281" s="28" t="n">
        <f aca="false">INDEX(Sector_Params!$F$7:$H$7,MATCH(B1281,Sector_Params!$C$15:$E$15,0))</f>
        <v>0.24</v>
      </c>
      <c r="L1281" s="16" t="n">
        <f aca="false">J1281*K1281</f>
        <v>0.00391795464061847</v>
      </c>
      <c r="M1281" s="44" t="n">
        <f aca="false">Country_Data!$DW$187+Sector_Params!$E$7</f>
        <v>0.105</v>
      </c>
      <c r="N1281" s="44" t="n">
        <f aca="false">Country_Data!$DX$187+Sector_Params!$E$7</f>
        <v>0.15</v>
      </c>
      <c r="O1281" s="11" t="n">
        <f aca="false">IF(p_use_ibrd=1,p_r_ibrd,p_r_wb)</f>
        <v>0.06</v>
      </c>
      <c r="P1281" s="45" t="n">
        <f aca="false">Sector_Params!$D$7</f>
        <v>12</v>
      </c>
      <c r="Q1281" s="46" t="n">
        <f aca="false">M1281/(1-(1+M1281)^-P1281)</f>
        <v>0.150376745634766</v>
      </c>
      <c r="R1281" s="46" t="n">
        <f aca="false">N1281/(1-(1+N1281)^-P1281)</f>
        <v>0.18448077613084</v>
      </c>
      <c r="S1281" s="46" t="n">
        <f aca="false">O1281/(1-(1+O1281)^-P1281)</f>
        <v>0.119277029380664</v>
      </c>
      <c r="T1281" s="37" t="n">
        <f aca="false">IF(AND(p_eng=1,ISNUMBER(Country_Data!$DE$187)),Country_Data!$DE$187,Country_Data!$CM$187)*Sector_Params!$I$7</f>
        <v>0.04500702</v>
      </c>
      <c r="U1281" s="37" t="n">
        <f aca="false">IF(AND(p_eng=1,ISNUMBER(Country_Data!$DF$187)),Country_Data!$DF$187,Country_Data!$CN$187)*Sector_Params!$J$7</f>
        <v>3.195E-005</v>
      </c>
      <c r="V1281" s="37" t="n">
        <f aca="false">IF(AND(p_eng=1,ISNUMBER(Country_Data!$DG$187)),Country_Data!$DG$187,p_a)</f>
        <v>0.20412</v>
      </c>
      <c r="W1281" s="16" t="n">
        <f aca="false">T1281*L1281</f>
        <v>0.000176335462869408</v>
      </c>
      <c r="X1281" s="16" t="n">
        <f aca="false">U1281*L1281</f>
        <v>1.2517865076776E-007</v>
      </c>
      <c r="Y1281" s="16" t="n">
        <f aca="false">V1281*L1281</f>
        <v>0.000799732901243042</v>
      </c>
      <c r="Z1281" s="16" t="n">
        <f aca="false">Q1281*L1281</f>
        <v>0.000589169268400834</v>
      </c>
      <c r="AA1281" s="16" t="n">
        <f aca="false">R1281*L1281</f>
        <v>0.00072278731294672</v>
      </c>
      <c r="AB1281" s="16" t="n">
        <f aca="false">S1281*L1281</f>
        <v>0.000467321990781157</v>
      </c>
      <c r="AC1281" s="16" t="n">
        <f aca="false">Z1281-W1281</f>
        <v>0.000412833805531425</v>
      </c>
      <c r="AD1281" s="16" t="n">
        <f aca="false">AA1281-W1281</f>
        <v>0.000546451850077312</v>
      </c>
      <c r="AE1281" s="16" t="n">
        <f aca="false">AB1281-W1281</f>
        <v>0.000290986527911748</v>
      </c>
      <c r="AF1281" s="16" t="n">
        <f aca="false">AE1281-X1281</f>
        <v>0.00029086134926098</v>
      </c>
      <c r="AG1281" s="16" t="n">
        <f aca="false">AF1281-p_spc_lo*Y1281/1000</f>
        <v>0.000250874704198828</v>
      </c>
      <c r="AH1281" s="16" t="n">
        <f aca="false">AF1281-p_spc_hi*Y1281/1000</f>
        <v>0.000210888059136676</v>
      </c>
      <c r="AI1281" s="16" t="n">
        <f aca="false">Q1281*J1281</f>
        <v>0.00245487195167014</v>
      </c>
      <c r="AJ1281" s="16" t="n">
        <f aca="false">S1281*J1281</f>
        <v>0.00194717496158815</v>
      </c>
      <c r="AK1281" s="16" t="n">
        <f aca="false">T1281*J1281</f>
        <v>0.000734731095289201</v>
      </c>
      <c r="AL1281" s="16" t="n">
        <f aca="false">U1281*J1281</f>
        <v>5.21577711532334E-007</v>
      </c>
      <c r="AM1281" s="16" t="n">
        <f aca="false">AI1281-AJ1281</f>
        <v>0.000507696990081989</v>
      </c>
      <c r="AN1281" s="16" t="n">
        <f aca="false">J1281*Country_Data!$EB$187</f>
        <v>0.0186791374873024</v>
      </c>
      <c r="AO1281" s="16" t="n">
        <f aca="false">L1281*Country_Data!$EB$187</f>
        <v>0.00448299299695256</v>
      </c>
    </row>
    <row r="1282" customFormat="false" ht="15" hidden="false" customHeight="false" outlineLevel="0" collapsed="false">
      <c r="A1282" s="14" t="str">
        <f aca="false">Country_Data!$A$187</f>
        <v>VUT</v>
      </c>
      <c r="B1282" s="14" t="str">
        <f aca="false">Country_Data!$E$187</f>
        <v>EMDC</v>
      </c>
      <c r="C1282" s="35" t="s">
        <v>477</v>
      </c>
      <c r="D1282" s="37" t="n">
        <f aca="false">IF(Country_Data!$CB$187="","",Country_Data!$CB$187)</f>
        <v>0.00020970415503256</v>
      </c>
      <c r="E1282" s="40" t="n">
        <f aca="false">Country_Data!$BW$187</f>
        <v>1.242</v>
      </c>
      <c r="F1282" s="41" t="n">
        <f aca="false">Country_Data!$BX$187</f>
        <v>1.01851851851852</v>
      </c>
      <c r="G1282" s="42" t="n">
        <f aca="false">IF(D1282="","",D1282/SUMIFS($D$5:$D$1369,$B$5:$B$1369,B1282,$C$5:$C$1369,C1282))</f>
        <v>6.61261055739505E-006</v>
      </c>
      <c r="H1282" s="42" t="n">
        <f aca="false">E1282/SUMIFS($E$5:$E$1369,$B$5:$B$1369,B1282,$C$5:$C$1369,C1282)</f>
        <v>1.53842552181053E-005</v>
      </c>
      <c r="I1282" s="43" t="n">
        <f aca="false">IF(G1282="",H1282,p_beta_alloc*G1282+(1-p_beta_alloc)*H1282)*F1282^p_phi</f>
        <v>1.10998030757048E-005</v>
      </c>
      <c r="J1282" s="16" t="n">
        <f aca="false">INDEX(Sector_Params!$C$19:$E$19,MATCH(B1282,Sector_Params!$C$15:$E$15,0))*I1282/SUMIFS($I$5:$I$1369,$B$5:$B$1369,B1282,$C$5:$C$1369,C1282)</f>
        <v>0.0035726114388679</v>
      </c>
      <c r="K1282" s="28" t="n">
        <f aca="false">INDEX(Sector_Params!$F$8:$H$8,MATCH(B1282,Sector_Params!$C$15:$E$15,0))</f>
        <v>0.24</v>
      </c>
      <c r="L1282" s="16" t="n">
        <f aca="false">J1282*K1282</f>
        <v>0.000857426745328297</v>
      </c>
      <c r="M1282" s="44" t="n">
        <f aca="false">Country_Data!$DW$187+Sector_Params!$E$8</f>
        <v>0.105</v>
      </c>
      <c r="N1282" s="44" t="n">
        <f aca="false">Country_Data!$DX$187+Sector_Params!$E$8</f>
        <v>0.15</v>
      </c>
      <c r="O1282" s="11" t="n">
        <f aca="false">IF(p_use_ibrd=1,p_r_ibrd,p_r_wb)</f>
        <v>0.06</v>
      </c>
      <c r="P1282" s="45" t="n">
        <f aca="false">Sector_Params!$D$8</f>
        <v>25</v>
      </c>
      <c r="Q1282" s="46" t="n">
        <f aca="false">M1282/(1-(1+M1282)^-P1282)</f>
        <v>0.114429319813103</v>
      </c>
      <c r="R1282" s="46" t="n">
        <f aca="false">N1282/(1-(1+N1282)^-P1282)</f>
        <v>0.154699402320206</v>
      </c>
      <c r="S1282" s="46" t="n">
        <f aca="false">O1282/(1-(1+O1282)^-P1282)</f>
        <v>0.078226718212274</v>
      </c>
      <c r="T1282" s="37" t="n">
        <f aca="false">Country_Data!$CM$187*Sector_Params!$I$8</f>
        <v>0.230562951420213</v>
      </c>
      <c r="U1282" s="37" t="n">
        <f aca="false">Country_Data!$CN$187*Sector_Params!$J$8</f>
        <v>0.03225</v>
      </c>
      <c r="V1282" s="37" t="n">
        <f aca="false">p_a</f>
        <v>0.35</v>
      </c>
      <c r="W1282" s="16" t="n">
        <f aca="false">T1282*L1282</f>
        <v>0.000197690841029519</v>
      </c>
      <c r="X1282" s="16" t="n">
        <f aca="false">U1282*L1282</f>
        <v>2.76520125368376E-005</v>
      </c>
      <c r="Y1282" s="16" t="n">
        <f aca="false">V1282*L1282</f>
        <v>0.000300099360864904</v>
      </c>
      <c r="Z1282" s="16" t="n">
        <f aca="false">Q1282*L1282</f>
        <v>9.811475925748E-005</v>
      </c>
      <c r="AA1282" s="16" t="n">
        <f aca="false">R1282*L1282</f>
        <v>0.000132643405035647</v>
      </c>
      <c r="AB1282" s="16" t="n">
        <f aca="false">S1282*L1282</f>
        <v>6.70736803944639E-005</v>
      </c>
      <c r="AC1282" s="16" t="n">
        <f aca="false">Z1282-W1282</f>
        <v>-9.95760817720393E-005</v>
      </c>
      <c r="AD1282" s="16" t="n">
        <f aca="false">AA1282-W1282</f>
        <v>-6.50474359938719E-005</v>
      </c>
      <c r="AE1282" s="16" t="n">
        <f aca="false">AB1282-W1282</f>
        <v>-0.000130617160635055</v>
      </c>
      <c r="AF1282" s="16" t="n">
        <f aca="false">AE1282-X1282</f>
        <v>-0.000158269173171893</v>
      </c>
      <c r="AG1282" s="16" t="n">
        <f aca="false">AF1282-p_spc_lo*Y1282/1000</f>
        <v>-0.000173274141215138</v>
      </c>
      <c r="AH1282" s="16" t="n">
        <f aca="false">AF1282-p_spc_hi*Y1282/1000</f>
        <v>-0.000188279109258383</v>
      </c>
      <c r="AI1282" s="16" t="n">
        <f aca="false">Q1282*J1282</f>
        <v>0.000408811496906167</v>
      </c>
      <c r="AJ1282" s="16" t="n">
        <f aca="false">S1282*J1282</f>
        <v>0.000279473668310266</v>
      </c>
      <c r="AK1282" s="16" t="n">
        <f aca="false">T1282*J1282</f>
        <v>0.000823711837622997</v>
      </c>
      <c r="AL1282" s="16" t="n">
        <f aca="false">U1282*J1282</f>
        <v>0.00011521671890349</v>
      </c>
      <c r="AM1282" s="16" t="n">
        <f aca="false">AI1282-AJ1282</f>
        <v>0.0001293378285959</v>
      </c>
      <c r="AN1282" s="16" t="n">
        <f aca="false">J1282*Country_Data!$EB$187</f>
        <v>0.00408784519739851</v>
      </c>
      <c r="AO1282" s="16" t="n">
        <f aca="false">L1282*Country_Data!$EB$187</f>
        <v>0.000981082847375643</v>
      </c>
    </row>
    <row r="1283" customFormat="false" ht="15" hidden="false" customHeight="false" outlineLevel="0" collapsed="false">
      <c r="A1283" s="14" t="str">
        <f aca="false">Country_Data!$A$187</f>
        <v>VUT</v>
      </c>
      <c r="B1283" s="14" t="str">
        <f aca="false">Country_Data!$E$187</f>
        <v>EMDC</v>
      </c>
      <c r="C1283" s="35" t="s">
        <v>481</v>
      </c>
      <c r="D1283" s="37" t="n">
        <f aca="false">IF(Country_Data!$CC$187="","",Country_Data!$CC$187)</f>
        <v>0.00060748295183822</v>
      </c>
      <c r="E1283" s="40" t="n">
        <f aca="false">Country_Data!$BW$187</f>
        <v>1.242</v>
      </c>
      <c r="F1283" s="41" t="n">
        <f aca="false">Country_Data!$BX$187</f>
        <v>1.01851851851852</v>
      </c>
      <c r="G1283" s="42" t="n">
        <f aca="false">IF(D1283="","",D1283/SUMIFS($D$5:$D$1369,$B$5:$B$1369,B1283,$C$5:$C$1369,C1283))</f>
        <v>8.67742821672661E-006</v>
      </c>
      <c r="H1283" s="42" t="n">
        <f aca="false">E1283/SUMIFS($E$5:$E$1369,$B$5:$B$1369,B1283,$C$5:$C$1369,C1283)</f>
        <v>1.53842552181053E-005</v>
      </c>
      <c r="I1283" s="43" t="n">
        <f aca="false">IF(G1283="",H1283,p_beta_alloc*G1283+(1-p_beta_alloc)*H1283)*F1283^p_phi</f>
        <v>1.21417273952751E-005</v>
      </c>
      <c r="J1283" s="16" t="n">
        <f aca="false">INDEX(Sector_Params!$C$20:$E$20,MATCH(B1283,Sector_Params!$C$15:$E$15,0))*I1283/SUMIFS($I$5:$I$1369,$B$5:$B$1369,B1283,$C$5:$C$1369,C1283)</f>
        <v>0.00221610975594363</v>
      </c>
      <c r="K1283" s="28" t="n">
        <f aca="false">INDEX(Sector_Params!$F$9:$H$9,MATCH(B1283,Sector_Params!$C$15:$E$15,0))</f>
        <v>0.24</v>
      </c>
      <c r="L1283" s="16" t="n">
        <f aca="false">J1283*K1283</f>
        <v>0.00053186634142647</v>
      </c>
      <c r="M1283" s="44" t="n">
        <f aca="false">Country_Data!$DW$187+Sector_Params!$E$9</f>
        <v>0.105</v>
      </c>
      <c r="N1283" s="44" t="n">
        <f aca="false">Country_Data!$DX$187+Sector_Params!$E$9</f>
        <v>0.15</v>
      </c>
      <c r="O1283" s="11" t="n">
        <f aca="false">IF(p_use_ibrd=1,p_r_ibrd,p_r_wb)</f>
        <v>0.06</v>
      </c>
      <c r="P1283" s="45" t="n">
        <f aca="false">Sector_Params!$D$9</f>
        <v>25</v>
      </c>
      <c r="Q1283" s="46" t="n">
        <f aca="false">M1283/(1-(1+M1283)^-P1283)</f>
        <v>0.114429319813103</v>
      </c>
      <c r="R1283" s="46" t="n">
        <f aca="false">N1283/(1-(1+N1283)^-P1283)</f>
        <v>0.154699402320206</v>
      </c>
      <c r="S1283" s="46" t="n">
        <f aca="false">O1283/(1-(1+O1283)^-P1283)</f>
        <v>0.078226718212274</v>
      </c>
      <c r="T1283" s="37" t="n">
        <f aca="false">Country_Data!$CM$187*Sector_Params!$I$9</f>
        <v>0.230562951420213</v>
      </c>
      <c r="U1283" s="37" t="n">
        <f aca="false">Country_Data!$CN$187*Sector_Params!$J$9</f>
        <v>0.03225</v>
      </c>
      <c r="V1283" s="37" t="n">
        <f aca="false">p_a</f>
        <v>0.35</v>
      </c>
      <c r="W1283" s="16" t="n">
        <f aca="false">T1283*L1283</f>
        <v>0.000122628673440358</v>
      </c>
      <c r="X1283" s="16" t="n">
        <f aca="false">U1283*L1283</f>
        <v>1.71526895110037E-005</v>
      </c>
      <c r="Y1283" s="16" t="n">
        <f aca="false">V1283*L1283</f>
        <v>0.000186153219499265</v>
      </c>
      <c r="Z1283" s="16" t="n">
        <f aca="false">Q1283*L1283</f>
        <v>6.08611036809148E-005</v>
      </c>
      <c r="AA1283" s="16" t="n">
        <f aca="false">R1283*L1283</f>
        <v>8.22794051329098E-005</v>
      </c>
      <c r="AB1283" s="16" t="n">
        <f aca="false">S1283*L1283</f>
        <v>4.16061584173616E-005</v>
      </c>
      <c r="AC1283" s="16" t="n">
        <f aca="false">Z1283-W1283</f>
        <v>-6.17675697594428E-005</v>
      </c>
      <c r="AD1283" s="16" t="n">
        <f aca="false">AA1283-W1283</f>
        <v>-4.03492683074478E-005</v>
      </c>
      <c r="AE1283" s="16" t="n">
        <f aca="false">AB1283-W1283</f>
        <v>-8.1022515022996E-005</v>
      </c>
      <c r="AF1283" s="16" t="n">
        <f aca="false">AE1283-X1283</f>
        <v>-9.81752045339997E-005</v>
      </c>
      <c r="AG1283" s="16" t="n">
        <f aca="false">AF1283-p_spc_lo*Y1283/1000</f>
        <v>-0.000107482865508963</v>
      </c>
      <c r="AH1283" s="16" t="n">
        <f aca="false">AF1283-p_spc_hi*Y1283/1000</f>
        <v>-0.000116790526483926</v>
      </c>
      <c r="AI1283" s="16" t="n">
        <f aca="false">Q1283*J1283</f>
        <v>0.000253587932003812</v>
      </c>
      <c r="AJ1283" s="16" t="n">
        <f aca="false">S1283*J1283</f>
        <v>0.000173358993405673</v>
      </c>
      <c r="AK1283" s="16" t="n">
        <f aca="false">T1283*J1283</f>
        <v>0.00051095280600149</v>
      </c>
      <c r="AL1283" s="16" t="n">
        <f aca="false">U1283*J1283</f>
        <v>7.14695396291819E-005</v>
      </c>
      <c r="AM1283" s="16" t="n">
        <f aca="false">AI1283-AJ1283</f>
        <v>8.02289385981383E-005</v>
      </c>
      <c r="AN1283" s="16" t="n">
        <f aca="false">J1283*Country_Data!$EB$187</f>
        <v>0.00253571197924978</v>
      </c>
      <c r="AO1283" s="16" t="n">
        <f aca="false">L1283*Country_Data!$EB$187</f>
        <v>0.000608570875019948</v>
      </c>
    </row>
    <row r="1284" customFormat="false" ht="15" hidden="false" customHeight="false" outlineLevel="0" collapsed="false">
      <c r="A1284" s="14" t="str">
        <f aca="false">Country_Data!$A$187</f>
        <v>VUT</v>
      </c>
      <c r="B1284" s="14" t="str">
        <f aca="false">Country_Data!$E$187</f>
        <v>EMDC</v>
      </c>
      <c r="C1284" s="35" t="s">
        <v>484</v>
      </c>
      <c r="D1284" s="37" t="n">
        <f aca="false">IF(Country_Data!$CD$187="","",Country_Data!$CD$187)</f>
        <v>0.00332187461344805</v>
      </c>
      <c r="E1284" s="40" t="n">
        <f aca="false">Country_Data!$BW$187</f>
        <v>1.242</v>
      </c>
      <c r="F1284" s="41" t="n">
        <f aca="false">Country_Data!$BX$187</f>
        <v>1.01851851851852</v>
      </c>
      <c r="G1284" s="42" t="n">
        <f aca="false">IF(D1284="","",D1284/SUMIFS($D$5:$D$1369,$B$5:$B$1369,B1284,$C$5:$C$1369,C1284))</f>
        <v>1.85505613864984E-005</v>
      </c>
      <c r="H1284" s="42" t="n">
        <f aca="false">E1284/SUMIFS($E$5:$E$1369,$B$5:$B$1369,B1284,$C$5:$C$1369,C1284)</f>
        <v>1.53842552181053E-005</v>
      </c>
      <c r="I1284" s="43" t="n">
        <f aca="false">IF(G1284="",H1284,p_beta_alloc*G1284+(1-p_beta_alloc)*H1284)*F1284^p_phi</f>
        <v>1.7123793251527E-005</v>
      </c>
      <c r="J1284" s="16" t="n">
        <f aca="false">INDEX(Sector_Params!$C$21:$E$21,MATCH(B1284,Sector_Params!$C$15:$E$15,0))*I1284/SUMIFS($I$5:$I$1369,$B$5:$B$1369,B1284,$C$5:$C$1369,C1284)</f>
        <v>0.00379788313012456</v>
      </c>
      <c r="K1284" s="28" t="n">
        <f aca="false">INDEX(Sector_Params!$F$10:$H$10,MATCH(B1284,Sector_Params!$C$15:$E$15,0))</f>
        <v>0.24</v>
      </c>
      <c r="L1284" s="16" t="n">
        <f aca="false">J1284*K1284</f>
        <v>0.000911491951229894</v>
      </c>
      <c r="M1284" s="44" t="n">
        <f aca="false">Country_Data!$DW$187+Sector_Params!$E$10</f>
        <v>0.105</v>
      </c>
      <c r="N1284" s="44" t="n">
        <f aca="false">Country_Data!$DX$187+Sector_Params!$E$10</f>
        <v>0.15</v>
      </c>
      <c r="O1284" s="11" t="n">
        <f aca="false">IF(p_use_ibrd=1,p_r_ibrd,p_r_wb)</f>
        <v>0.06</v>
      </c>
      <c r="P1284" s="45" t="n">
        <f aca="false">Sector_Params!$D$10</f>
        <v>20</v>
      </c>
      <c r="Q1284" s="46" t="n">
        <f aca="false">M1284/(1-(1+M1284)^-P1284)</f>
        <v>0.121493265267016</v>
      </c>
      <c r="R1284" s="46" t="n">
        <f aca="false">N1284/(1-(1+N1284)^-P1284)</f>
        <v>0.159761470405744</v>
      </c>
      <c r="S1284" s="46" t="n">
        <f aca="false">O1284/(1-(1+O1284)^-P1284)</f>
        <v>0.0871845569768514</v>
      </c>
      <c r="T1284" s="37" t="n">
        <f aca="false">0*Sector_Params!$I$10</f>
        <v>0</v>
      </c>
      <c r="U1284" s="37" t="n">
        <f aca="false">0*Sector_Params!$J$10</f>
        <v>0</v>
      </c>
      <c r="V1284" s="37" t="n">
        <f aca="false">1000*p_r_wb/(1-(1+p_r_wb)^-Sector_Params!$D$10)/p_cpt_fuel</f>
        <v>0.871845569768514</v>
      </c>
      <c r="W1284" s="16" t="n">
        <f aca="false">T1284*L1284</f>
        <v>0</v>
      </c>
      <c r="X1284" s="16" t="n">
        <f aca="false">U1284*L1284</f>
        <v>0</v>
      </c>
      <c r="Y1284" s="16" t="n">
        <f aca="false">V1284*L1284</f>
        <v>0.000794680219559442</v>
      </c>
      <c r="Z1284" s="16" t="n">
        <f aca="false">Q1284*L1284</f>
        <v>0.000110740133419524</v>
      </c>
      <c r="AA1284" s="16" t="n">
        <f aca="false">R1284*L1284</f>
        <v>0.000145621294391488</v>
      </c>
      <c r="AB1284" s="16" t="n">
        <f aca="false">S1284*L1284</f>
        <v>7.94680219559442E-005</v>
      </c>
      <c r="AC1284" s="16" t="n">
        <f aca="false">Z1284-W1284</f>
        <v>0.000110740133419524</v>
      </c>
      <c r="AD1284" s="16" t="n">
        <f aca="false">AA1284-W1284</f>
        <v>0.000145621294391488</v>
      </c>
      <c r="AE1284" s="16" t="n">
        <f aca="false">AB1284-W1284</f>
        <v>7.94680219559442E-005</v>
      </c>
      <c r="AF1284" s="16" t="n">
        <f aca="false">AE1284-X1284</f>
        <v>7.94680219559442E-005</v>
      </c>
      <c r="AG1284" s="16" t="n">
        <f aca="false">AF1284-p_spc_lo*Y1284/1000</f>
        <v>3.97340109779721E-005</v>
      </c>
      <c r="AH1284" s="16" t="n">
        <f aca="false">AF1284-p_spc_hi*Y1284/1000</f>
        <v>0</v>
      </c>
      <c r="AI1284" s="16" t="n">
        <f aca="false">Q1284*J1284</f>
        <v>0.000461417222581349</v>
      </c>
      <c r="AJ1284" s="16" t="n">
        <f aca="false">S1284*J1284</f>
        <v>0.000331116758149767</v>
      </c>
      <c r="AK1284" s="16" t="n">
        <f aca="false">T1284*J1284</f>
        <v>0</v>
      </c>
      <c r="AL1284" s="16" t="n">
        <f aca="false">U1284*J1284</f>
        <v>0</v>
      </c>
      <c r="AM1284" s="16" t="n">
        <f aca="false">AI1284-AJ1284</f>
        <v>0.000130300464431581</v>
      </c>
      <c r="AN1284" s="16" t="n">
        <f aca="false">J1284*Country_Data!$EB$187</f>
        <v>0.00434560505093164</v>
      </c>
      <c r="AO1284" s="16" t="n">
        <f aca="false">L1284*Country_Data!$EB$187</f>
        <v>0.00104294521222359</v>
      </c>
    </row>
    <row r="1285" customFormat="false" ht="15" hidden="false" customHeight="false" outlineLevel="0" collapsed="false">
      <c r="A1285" s="14" t="str">
        <f aca="false">Country_Data!$A$187</f>
        <v>VUT</v>
      </c>
      <c r="B1285" s="14" t="str">
        <f aca="false">Country_Data!$E$187</f>
        <v>EMDC</v>
      </c>
      <c r="C1285" s="35" t="s">
        <v>488</v>
      </c>
      <c r="D1285" s="37" t="n">
        <f aca="false">IF(Country_Data!$CE$187="","",Country_Data!$CE$187)</f>
        <v>0.421</v>
      </c>
      <c r="E1285" s="40" t="n">
        <f aca="false">Country_Data!$BW$187</f>
        <v>1.242</v>
      </c>
      <c r="F1285" s="41" t="n">
        <f aca="false">Country_Data!$BX$187</f>
        <v>1.01851851851852</v>
      </c>
      <c r="G1285" s="42" t="n">
        <f aca="false">IF(D1285="","",D1285/SUMIFS($D$5:$D$1369,$B$5:$B$1369,B1285,$C$5:$C$1369,C1285))</f>
        <v>3.44965753340473E-005</v>
      </c>
      <c r="H1285" s="42" t="n">
        <f aca="false">E1285/SUMIFS($E$5:$E$1369,$B$5:$B$1369,B1285,$C$5:$C$1369,C1285)</f>
        <v>1.53842552181053E-005</v>
      </c>
      <c r="I1285" s="43" t="n">
        <f aca="false">IF(G1285="",H1285,p_beta_alloc*G1285+(1-p_beta_alloc)*H1285)*F1285^p_phi</f>
        <v>2.51702857139836E-005</v>
      </c>
      <c r="J1285" s="16" t="n">
        <f aca="false">INDEX(Sector_Params!$C$22:$E$22,MATCH(B1285,Sector_Params!$C$15:$E$15,0))*I1285/SUMIFS($I$5:$I$1369,$B$5:$B$1369,B1285,$C$5:$C$1369,C1285)</f>
        <v>0.0151728593622556</v>
      </c>
      <c r="K1285" s="28" t="n">
        <f aca="false">INDEX(Sector_Params!$F$11:$H$11,MATCH(B1285,Sector_Params!$C$15:$E$15,0))</f>
        <v>0.24</v>
      </c>
      <c r="L1285" s="16" t="n">
        <f aca="false">J1285*K1285</f>
        <v>0.00364148624694135</v>
      </c>
      <c r="M1285" s="44" t="n">
        <f aca="false">Country_Data!$DW$187+Sector_Params!$E$11</f>
        <v>0.105</v>
      </c>
      <c r="N1285" s="44" t="n">
        <f aca="false">Country_Data!$DX$187+Sector_Params!$E$11</f>
        <v>0.15</v>
      </c>
      <c r="O1285" s="11" t="n">
        <f aca="false">IF(p_use_ibrd=1,p_r_ibrd,p_r_wb)</f>
        <v>0.06</v>
      </c>
      <c r="P1285" s="45" t="n">
        <f aca="false">Sector_Params!$D$11</f>
        <v>30</v>
      </c>
      <c r="Q1285" s="46" t="n">
        <f aca="false">M1285/(1-(1+M1285)^-P1285)</f>
        <v>0.110528481529605</v>
      </c>
      <c r="R1285" s="46" t="n">
        <f aca="false">N1285/(1-(1+N1285)^-P1285)</f>
        <v>0.152300198192734</v>
      </c>
      <c r="S1285" s="46" t="n">
        <f aca="false">O1285/(1-(1+O1285)^-P1285)</f>
        <v>0.0726489114900472</v>
      </c>
      <c r="T1285" s="37" t="n">
        <f aca="false">0*Sector_Params!$I$11</f>
        <v>0</v>
      </c>
      <c r="U1285" s="37" t="n">
        <f aca="false">p_c*Sector_Params!$J$11</f>
        <v>0.129</v>
      </c>
      <c r="V1285" s="37" t="n">
        <f aca="false">1000*p_r_wb/(1-(1+p_r_wb)^-Sector_Params!$D$11)/p_cpt_afolu</f>
        <v>1.45297822980094</v>
      </c>
      <c r="W1285" s="16" t="n">
        <f aca="false">T1285*L1285</f>
        <v>0</v>
      </c>
      <c r="X1285" s="16" t="n">
        <f aca="false">U1285*L1285</f>
        <v>0.000469751725855434</v>
      </c>
      <c r="Y1285" s="16" t="n">
        <f aca="false">V1285*L1285</f>
        <v>0.00529100024092532</v>
      </c>
      <c r="Z1285" s="16" t="n">
        <f aca="false">Q1285*L1285</f>
        <v>0.000402487945385368</v>
      </c>
      <c r="AA1285" s="16" t="n">
        <f aca="false">R1285*L1285</f>
        <v>0.000554599077125283</v>
      </c>
      <c r="AB1285" s="16" t="n">
        <f aca="false">S1285*L1285</f>
        <v>0.000264550012046266</v>
      </c>
      <c r="AC1285" s="16" t="n">
        <f aca="false">Z1285-W1285</f>
        <v>0.000402487945385368</v>
      </c>
      <c r="AD1285" s="16" t="n">
        <f aca="false">AA1285-W1285</f>
        <v>0.000554599077125283</v>
      </c>
      <c r="AE1285" s="16" t="n">
        <f aca="false">AB1285-W1285</f>
        <v>0.000264550012046266</v>
      </c>
      <c r="AF1285" s="16" t="n">
        <f aca="false">AE1285-X1285</f>
        <v>-0.000205201713809168</v>
      </c>
      <c r="AG1285" s="16" t="n">
        <f aca="false">AF1285-p_spc_lo*Y1285/1000</f>
        <v>-0.000469751725855434</v>
      </c>
      <c r="AH1285" s="16" t="n">
        <f aca="false">AF1285-p_spc_hi*Y1285/1000</f>
        <v>-0.0007343017379017</v>
      </c>
      <c r="AI1285" s="16" t="n">
        <f aca="false">Q1285*J1285</f>
        <v>0.00167703310577237</v>
      </c>
      <c r="AJ1285" s="16" t="n">
        <f aca="false">S1285*J1285</f>
        <v>0.00110229171685944</v>
      </c>
      <c r="AK1285" s="16" t="n">
        <f aca="false">T1285*J1285</f>
        <v>0</v>
      </c>
      <c r="AL1285" s="16" t="n">
        <f aca="false">U1285*J1285</f>
        <v>0.00195729885773097</v>
      </c>
      <c r="AM1285" s="16" t="n">
        <f aca="false">AI1285-AJ1285</f>
        <v>0.000574741388912924</v>
      </c>
      <c r="AN1285" s="16" t="n">
        <f aca="false">J1285*Country_Data!$EB$187</f>
        <v>0.0173610540457918</v>
      </c>
      <c r="AO1285" s="16" t="n">
        <f aca="false">L1285*Country_Data!$EB$187</f>
        <v>0.00416665297099003</v>
      </c>
    </row>
    <row r="1286" customFormat="false" ht="15" hidden="false" customHeight="false" outlineLevel="0" collapsed="false">
      <c r="A1286" s="14" t="str">
        <f aca="false">Country_Data!$A$188</f>
        <v>WSM</v>
      </c>
      <c r="B1286" s="14" t="str">
        <f aca="false">Country_Data!$E$188</f>
        <v>EMDC</v>
      </c>
      <c r="C1286" s="35" t="s">
        <v>466</v>
      </c>
      <c r="D1286" s="37" t="n">
        <f aca="false">IF(Country_Data!$BZ$188="","",Country_Data!$BZ$188)</f>
        <v>0.155653498788555</v>
      </c>
      <c r="E1286" s="40" t="n">
        <f aca="false">Country_Data!$BW$188</f>
        <v>1.667</v>
      </c>
      <c r="F1286" s="41" t="n">
        <f aca="false">Country_Data!$BX$188</f>
        <v>0.705458908218356</v>
      </c>
      <c r="G1286" s="42" t="n">
        <f aca="false">IF(D1286="","",D1286/SUMIFS($D$5:$D$1369,$B$5:$B$1369,B1286,$C$5:$C$1369,C1286))</f>
        <v>1.77697358087186E-005</v>
      </c>
      <c r="H1286" s="42" t="n">
        <f aca="false">E1286/SUMIFS($E$5:$E$1369,$B$5:$B$1369,B1286,$C$5:$C$1369,C1286)</f>
        <v>2.06485937589223E-005</v>
      </c>
      <c r="I1286" s="43" t="n">
        <f aca="false">IF(G1286="",H1286,p_beta_alloc*G1286+(1-p_beta_alloc)*H1286)*F1286^p_phi</f>
        <v>1.61340850905625E-005</v>
      </c>
      <c r="J1286" s="16" t="n">
        <f aca="false">INDEX(Sector_Params!$C$16:$E$16,MATCH(B1286,Sector_Params!$C$15:$E$15,0))*I1286/SUMIFS($I$5:$I$1369,$B$5:$B$1369,B1286,$C$5:$C$1369,C1286)</f>
        <v>0.0156052961339147</v>
      </c>
      <c r="K1286" s="28" t="n">
        <f aca="false">INDEX(Sector_Params!$F$5:$H$5,MATCH(B1286,Sector_Params!$C$15:$E$15,0))</f>
        <v>0.24</v>
      </c>
      <c r="L1286" s="16" t="n">
        <f aca="false">J1286*K1286</f>
        <v>0.00374527107213954</v>
      </c>
      <c r="M1286" s="44" t="n">
        <f aca="false">Country_Data!$DW$188+Sector_Params!$E$5</f>
        <v>0.105</v>
      </c>
      <c r="N1286" s="44" t="n">
        <f aca="false">Country_Data!$DX$188+Sector_Params!$E$5</f>
        <v>0.15</v>
      </c>
      <c r="O1286" s="11" t="n">
        <f aca="false">IF(p_use_ibrd=1,p_r_ibrd,p_r_wb)</f>
        <v>0.06</v>
      </c>
      <c r="P1286" s="45" t="n">
        <f aca="false">Sector_Params!$D$5</f>
        <v>25</v>
      </c>
      <c r="Q1286" s="46" t="n">
        <f aca="false">M1286/(1-(1+M1286)^-P1286)</f>
        <v>0.114429319813103</v>
      </c>
      <c r="R1286" s="46" t="n">
        <f aca="false">N1286/(1-(1+N1286)^-P1286)</f>
        <v>0.154699402320206</v>
      </c>
      <c r="S1286" s="46" t="n">
        <f aca="false">O1286/(1-(1+O1286)^-P1286)</f>
        <v>0.078226718212274</v>
      </c>
      <c r="T1286" s="37" t="n">
        <f aca="false">IF(AND(p_eng=1,ISNUMBER(Country_Data!$CZ$188)),Country_Data!$CZ$188,Country_Data!$CM$188)*Sector_Params!$I$5</f>
        <v>0.176324910275514</v>
      </c>
      <c r="U1286" s="37" t="n">
        <f aca="false">IF(AND(p_eng=1,ISNUMBER(Country_Data!$DA$188)),Country_Data!$DA$188,Country_Data!$CN$188)*Sector_Params!$J$5</f>
        <v>1.12194807282421E-006</v>
      </c>
      <c r="V1286" s="37" t="n">
        <f aca="false">IF(AND(p_eng=1,ISNUMBER(Country_Data!$DB$188)),Country_Data!$DB$188,p_a)</f>
        <v>1.05201968500454</v>
      </c>
      <c r="W1286" s="16" t="n">
        <f aca="false">T1286*L1286</f>
        <v>0.000660384585752482</v>
      </c>
      <c r="X1286" s="16" t="n">
        <f aca="false">U1286*L1286</f>
        <v>4.20199966159121E-009</v>
      </c>
      <c r="Y1286" s="16" t="n">
        <f aca="false">V1286*L1286</f>
        <v>0.00394009889356884</v>
      </c>
      <c r="Z1286" s="16" t="n">
        <f aca="false">Q1286*L1286</f>
        <v>0.00042856882130062</v>
      </c>
      <c r="AA1286" s="16" t="n">
        <f aca="false">R1286*L1286</f>
        <v>0.000579391196387145</v>
      </c>
      <c r="AB1286" s="16" t="n">
        <f aca="false">S1286*L1286</f>
        <v>0.000292980264788841</v>
      </c>
      <c r="AC1286" s="16" t="n">
        <f aca="false">Z1286-W1286</f>
        <v>-0.000231815764451862</v>
      </c>
      <c r="AD1286" s="16" t="n">
        <f aca="false">AA1286-W1286</f>
        <v>-8.09933893653365E-005</v>
      </c>
      <c r="AE1286" s="16" t="n">
        <f aca="false">AB1286-W1286</f>
        <v>-0.000367404320963641</v>
      </c>
      <c r="AF1286" s="16" t="n">
        <f aca="false">AE1286-X1286</f>
        <v>-0.000367408522963303</v>
      </c>
      <c r="AG1286" s="16" t="n">
        <f aca="false">AF1286-p_spc_lo*Y1286/1000</f>
        <v>-0.000564413467641745</v>
      </c>
      <c r="AH1286" s="16" t="n">
        <f aca="false">AF1286-p_spc_hi*Y1286/1000</f>
        <v>-0.000761418412320187</v>
      </c>
      <c r="AI1286" s="16" t="n">
        <f aca="false">Q1286*J1286</f>
        <v>0.00178570342208592</v>
      </c>
      <c r="AJ1286" s="16" t="n">
        <f aca="false">S1286*J1286</f>
        <v>0.00122075110328684</v>
      </c>
      <c r="AK1286" s="16" t="n">
        <f aca="false">T1286*J1286</f>
        <v>0.00275160244063534</v>
      </c>
      <c r="AL1286" s="16" t="n">
        <f aca="false">U1286*J1286</f>
        <v>1.75083319232967E-008</v>
      </c>
      <c r="AM1286" s="16" t="n">
        <f aca="false">AI1286-AJ1286</f>
        <v>0.000564952318799078</v>
      </c>
      <c r="AN1286" s="16" t="n">
        <f aca="false">J1286*Country_Data!$EB$188</f>
        <v>0.0179140248770145</v>
      </c>
      <c r="AO1286" s="16" t="n">
        <f aca="false">L1286*Country_Data!$EB$188</f>
        <v>0.00429936597048347</v>
      </c>
    </row>
    <row r="1287" customFormat="false" ht="15" hidden="false" customHeight="false" outlineLevel="0" collapsed="false">
      <c r="A1287" s="14" t="str">
        <f aca="false">Country_Data!$A$188</f>
        <v>WSM</v>
      </c>
      <c r="B1287" s="14" t="str">
        <f aca="false">Country_Data!$E$188</f>
        <v>EMDC</v>
      </c>
      <c r="C1287" s="35" t="s">
        <v>470</v>
      </c>
      <c r="D1287" s="37" t="n">
        <f aca="false">IF(Country_Data!$BZ$188="","",Country_Data!$BZ$188)</f>
        <v>0.155653498788555</v>
      </c>
      <c r="E1287" s="40" t="n">
        <f aca="false">Country_Data!$BW$188</f>
        <v>1.667</v>
      </c>
      <c r="F1287" s="41" t="n">
        <f aca="false">Country_Data!$BX$188</f>
        <v>0.705458908218356</v>
      </c>
      <c r="G1287" s="42" t="n">
        <f aca="false">IF(D1287="","",D1287/SUMIFS($D$5:$D$1369,$B$5:$B$1369,B1287,$C$5:$C$1369,C1287))</f>
        <v>1.77697358087186E-005</v>
      </c>
      <c r="H1287" s="42" t="n">
        <f aca="false">E1287/SUMIFS($E$5:$E$1369,$B$5:$B$1369,B1287,$C$5:$C$1369,C1287)</f>
        <v>2.06485937589223E-005</v>
      </c>
      <c r="I1287" s="43" t="n">
        <f aca="false">IF(G1287="",H1287,p_beta_alloc*G1287+(1-p_beta_alloc)*H1287)*F1287^p_phi</f>
        <v>1.61340850905625E-005</v>
      </c>
      <c r="J1287" s="16" t="n">
        <f aca="false">INDEX(Sector_Params!$C$17:$E$17,MATCH(B1287,Sector_Params!$C$15:$E$15,0))*I1287/SUMIFS($I$5:$I$1369,$B$5:$B$1369,B1287,$C$5:$C$1369,C1287)</f>
        <v>0.0107007744918273</v>
      </c>
      <c r="K1287" s="28" t="n">
        <f aca="false">INDEX(Sector_Params!$F$6:$H$6,MATCH(B1287,Sector_Params!$C$15:$E$15,0))</f>
        <v>0.24</v>
      </c>
      <c r="L1287" s="16" t="n">
        <f aca="false">J1287*K1287</f>
        <v>0.00256818587803854</v>
      </c>
      <c r="M1287" s="44" t="n">
        <f aca="false">Country_Data!$DW$188+Sector_Params!$E$6</f>
        <v>0.105</v>
      </c>
      <c r="N1287" s="44" t="n">
        <f aca="false">Country_Data!$DX$188+Sector_Params!$E$6</f>
        <v>0.15</v>
      </c>
      <c r="O1287" s="11" t="n">
        <f aca="false">IF(p_use_ibrd=1,p_r_ibrd,p_r_wb)</f>
        <v>0.06</v>
      </c>
      <c r="P1287" s="45" t="n">
        <f aca="false">Sector_Params!$D$6</f>
        <v>40</v>
      </c>
      <c r="Q1287" s="46" t="n">
        <f aca="false">M1287/(1-(1+M1287)^-P1287)</f>
        <v>0.10697140835497</v>
      </c>
      <c r="R1287" s="46" t="n">
        <f aca="false">N1287/(1-(1+N1287)^-P1287)</f>
        <v>0.150562085013545</v>
      </c>
      <c r="S1287" s="46" t="n">
        <f aca="false">O1287/(1-(1+O1287)^-P1287)</f>
        <v>0.0664615359206755</v>
      </c>
      <c r="T1287" s="37" t="n">
        <f aca="false">p_grid_credit*IF(AND(p_eng=1,ISNUMBER(Country_Data!$CZ$188)),Country_Data!$CZ$188,Country_Data!$CM$188)*Sector_Params!$I$6</f>
        <v>0</v>
      </c>
      <c r="U1287" s="37" t="n">
        <f aca="false">p_grid_credit*IF(AND(p_eng=1,ISNUMBER(Country_Data!$DA$188)),Country_Data!$DA$188,Country_Data!$CN$188)*Sector_Params!$J$6</f>
        <v>0</v>
      </c>
      <c r="V1287" s="37" t="n">
        <f aca="false">p_grid_credit*IF(AND(p_eng=1,ISNUMBER(Country_Data!$DB$188)),Country_Data!$DB$188,p_a)</f>
        <v>0</v>
      </c>
      <c r="W1287" s="16" t="n">
        <f aca="false">T1287*L1287</f>
        <v>0</v>
      </c>
      <c r="X1287" s="16" t="n">
        <f aca="false">U1287*L1287</f>
        <v>0</v>
      </c>
      <c r="Y1287" s="16" t="n">
        <f aca="false">V1287*L1287</f>
        <v>0</v>
      </c>
      <c r="Z1287" s="16" t="n">
        <f aca="false">Q1287*L1287</f>
        <v>0.000274722460291129</v>
      </c>
      <c r="AA1287" s="16" t="n">
        <f aca="false">R1287*L1287</f>
        <v>0.000386671420499824</v>
      </c>
      <c r="AB1287" s="16" t="n">
        <f aca="false">S1287*L1287</f>
        <v>0.00017068557798423</v>
      </c>
      <c r="AC1287" s="16" t="n">
        <f aca="false">Z1287-W1287</f>
        <v>0.000274722460291129</v>
      </c>
      <c r="AD1287" s="16" t="n">
        <f aca="false">AA1287-W1287</f>
        <v>0.000386671420499824</v>
      </c>
      <c r="AE1287" s="16" t="n">
        <f aca="false">AB1287-W1287</f>
        <v>0.00017068557798423</v>
      </c>
      <c r="AF1287" s="16" t="n">
        <f aca="false">AE1287-X1287</f>
        <v>0.00017068557798423</v>
      </c>
      <c r="AG1287" s="16" t="n">
        <f aca="false">AF1287-p_spc_lo*Y1287/1000</f>
        <v>0.00017068557798423</v>
      </c>
      <c r="AH1287" s="16" t="n">
        <f aca="false">AF1287-p_spc_hi*Y1287/1000</f>
        <v>0.00017068557798423</v>
      </c>
      <c r="AI1287" s="16" t="n">
        <f aca="false">Q1287*J1287</f>
        <v>0.0011446769178797</v>
      </c>
      <c r="AJ1287" s="16" t="n">
        <f aca="false">S1287*J1287</f>
        <v>0.000711189908267625</v>
      </c>
      <c r="AK1287" s="16" t="n">
        <f aca="false">T1287*J1287</f>
        <v>0</v>
      </c>
      <c r="AL1287" s="16" t="n">
        <f aca="false">U1287*J1287</f>
        <v>0</v>
      </c>
      <c r="AM1287" s="16" t="n">
        <f aca="false">AI1287-AJ1287</f>
        <v>0.000433487009612078</v>
      </c>
      <c r="AN1287" s="16" t="n">
        <f aca="false">J1287*Country_Data!$EB$188</f>
        <v>0.0122839027728099</v>
      </c>
      <c r="AO1287" s="16" t="n">
        <f aca="false">L1287*Country_Data!$EB$188</f>
        <v>0.00294813666547438</v>
      </c>
    </row>
    <row r="1288" customFormat="false" ht="15" hidden="false" customHeight="false" outlineLevel="0" collapsed="false">
      <c r="A1288" s="14" t="str">
        <f aca="false">Country_Data!$A$188</f>
        <v>WSM</v>
      </c>
      <c r="B1288" s="14" t="str">
        <f aca="false">Country_Data!$E$188</f>
        <v>EMDC</v>
      </c>
      <c r="C1288" s="35" t="s">
        <v>473</v>
      </c>
      <c r="D1288" s="37" t="n">
        <f aca="false">IF(Country_Data!$CA$188="","",Country_Data!$CA$188)</f>
        <v>0.0029468736872334</v>
      </c>
      <c r="E1288" s="40" t="n">
        <f aca="false">Country_Data!$BW$188</f>
        <v>1.667</v>
      </c>
      <c r="F1288" s="41" t="n">
        <f aca="false">Country_Data!$BX$188</f>
        <v>0.705458908218356</v>
      </c>
      <c r="G1288" s="42" t="n">
        <f aca="false">IF(D1288="","",D1288/SUMIFS($D$5:$D$1369,$B$5:$B$1369,B1288,$C$5:$C$1369,C1288))</f>
        <v>6.8079638708565E-005</v>
      </c>
      <c r="H1288" s="42" t="n">
        <f aca="false">E1288/SUMIFS($E$5:$E$1369,$B$5:$B$1369,B1288,$C$5:$C$1369,C1288)</f>
        <v>2.06485937589223E-005</v>
      </c>
      <c r="I1288" s="43" t="n">
        <f aca="false">IF(G1288="",H1288,p_beta_alloc*G1288+(1-p_beta_alloc)*H1288)*F1288^p_phi</f>
        <v>3.72621316094758E-005</v>
      </c>
      <c r="J1288" s="16" t="n">
        <f aca="false">INDEX(Sector_Params!$C$18:$E$18,MATCH(B1288,Sector_Params!$C$15:$E$15,0))*I1288/SUMIFS($I$5:$I$1369,$B$5:$B$1369,B1288,$C$5:$C$1369,C1288)</f>
        <v>0.0152579612267981</v>
      </c>
      <c r="K1288" s="28" t="n">
        <f aca="false">INDEX(Sector_Params!$F$7:$H$7,MATCH(B1288,Sector_Params!$C$15:$E$15,0))</f>
        <v>0.24</v>
      </c>
      <c r="L1288" s="16" t="n">
        <f aca="false">J1288*K1288</f>
        <v>0.00366191069443155</v>
      </c>
      <c r="M1288" s="44" t="n">
        <f aca="false">Country_Data!$DW$188+Sector_Params!$E$7</f>
        <v>0.105</v>
      </c>
      <c r="N1288" s="44" t="n">
        <f aca="false">Country_Data!$DX$188+Sector_Params!$E$7</f>
        <v>0.15</v>
      </c>
      <c r="O1288" s="11" t="n">
        <f aca="false">IF(p_use_ibrd=1,p_r_ibrd,p_r_wb)</f>
        <v>0.06</v>
      </c>
      <c r="P1288" s="45" t="n">
        <f aca="false">Sector_Params!$D$7</f>
        <v>12</v>
      </c>
      <c r="Q1288" s="46" t="n">
        <f aca="false">M1288/(1-(1+M1288)^-P1288)</f>
        <v>0.150376745634766</v>
      </c>
      <c r="R1288" s="46" t="n">
        <f aca="false">N1288/(1-(1+N1288)^-P1288)</f>
        <v>0.18448077613084</v>
      </c>
      <c r="S1288" s="46" t="n">
        <f aca="false">O1288/(1-(1+O1288)^-P1288)</f>
        <v>0.119277029380664</v>
      </c>
      <c r="T1288" s="37" t="n">
        <f aca="false">IF(AND(p_eng=1,ISNUMBER(Country_Data!$DE$188)),Country_Data!$DE$188,Country_Data!$CM$188)*Sector_Params!$I$7</f>
        <v>0.07797852</v>
      </c>
      <c r="U1288" s="37" t="n">
        <f aca="false">IF(AND(p_eng=1,ISNUMBER(Country_Data!$DF$188)),Country_Data!$DF$188,Country_Data!$CN$188)*Sector_Params!$J$7</f>
        <v>0.000299025</v>
      </c>
      <c r="V1288" s="37" t="n">
        <f aca="false">IF(AND(p_eng=1,ISNUMBER(Country_Data!$DG$188)),Country_Data!$DG$188,p_a)</f>
        <v>0.286405875</v>
      </c>
      <c r="W1288" s="16" t="n">
        <f aca="false">T1288*L1288</f>
        <v>0.000285550376323945</v>
      </c>
      <c r="X1288" s="16" t="n">
        <f aca="false">U1288*L1288</f>
        <v>1.09500284540239E-006</v>
      </c>
      <c r="Y1288" s="16" t="n">
        <f aca="false">V1288*L1288</f>
        <v>0.00104879273661053</v>
      </c>
      <c r="Z1288" s="16" t="n">
        <f aca="false">Q1288*L1288</f>
        <v>0.000550666213033762</v>
      </c>
      <c r="AA1288" s="16" t="n">
        <f aca="false">R1288*L1288</f>
        <v>0.000675552127030554</v>
      </c>
      <c r="AB1288" s="16" t="n">
        <f aca="false">S1288*L1288</f>
        <v>0.000436781829489078</v>
      </c>
      <c r="AC1288" s="16" t="n">
        <f aca="false">Z1288-W1288</f>
        <v>0.000265115836709817</v>
      </c>
      <c r="AD1288" s="16" t="n">
        <f aca="false">AA1288-W1288</f>
        <v>0.000390001750706609</v>
      </c>
      <c r="AE1288" s="16" t="n">
        <f aca="false">AB1288-W1288</f>
        <v>0.000151231453165134</v>
      </c>
      <c r="AF1288" s="16" t="n">
        <f aca="false">AE1288-X1288</f>
        <v>0.000150136450319731</v>
      </c>
      <c r="AG1288" s="16" t="n">
        <f aca="false">AF1288-p_spc_lo*Y1288/1000</f>
        <v>9.76968134892048E-005</v>
      </c>
      <c r="AH1288" s="16" t="n">
        <f aca="false">AF1288-p_spc_hi*Y1288/1000</f>
        <v>4.52571766586786E-005</v>
      </c>
      <c r="AI1288" s="16" t="n">
        <f aca="false">Q1288*J1288</f>
        <v>0.00229444255430734</v>
      </c>
      <c r="AJ1288" s="16" t="n">
        <f aca="false">S1288*J1288</f>
        <v>0.00181992428953783</v>
      </c>
      <c r="AK1288" s="16" t="n">
        <f aca="false">T1288*J1288</f>
        <v>0.0011897932346831</v>
      </c>
      <c r="AL1288" s="16" t="n">
        <f aca="false">U1288*J1288</f>
        <v>4.56251185584331E-006</v>
      </c>
      <c r="AM1288" s="16" t="n">
        <f aca="false">AI1288-AJ1288</f>
        <v>0.000474518264769514</v>
      </c>
      <c r="AN1288" s="16" t="n">
        <f aca="false">J1288*Country_Data!$EB$188</f>
        <v>0.0175153034356943</v>
      </c>
      <c r="AO1288" s="16" t="n">
        <f aca="false">L1288*Country_Data!$EB$188</f>
        <v>0.00420367282456663</v>
      </c>
    </row>
    <row r="1289" customFormat="false" ht="15" hidden="false" customHeight="false" outlineLevel="0" collapsed="false">
      <c r="A1289" s="14" t="str">
        <f aca="false">Country_Data!$A$188</f>
        <v>WSM</v>
      </c>
      <c r="B1289" s="14" t="str">
        <f aca="false">Country_Data!$E$188</f>
        <v>EMDC</v>
      </c>
      <c r="C1289" s="35" t="s">
        <v>477</v>
      </c>
      <c r="D1289" s="37" t="n">
        <f aca="false">IF(Country_Data!$CB$188="","",Country_Data!$CB$188)</f>
        <v>0.000398557021955127</v>
      </c>
      <c r="E1289" s="40" t="n">
        <f aca="false">Country_Data!$BW$188</f>
        <v>1.667</v>
      </c>
      <c r="F1289" s="41" t="n">
        <f aca="false">Country_Data!$BX$188</f>
        <v>0.705458908218356</v>
      </c>
      <c r="G1289" s="42" t="n">
        <f aca="false">IF(D1289="","",D1289/SUMIFS($D$5:$D$1369,$B$5:$B$1369,B1289,$C$5:$C$1369,C1289))</f>
        <v>1.25677165085031E-005</v>
      </c>
      <c r="H1289" s="42" t="n">
        <f aca="false">E1289/SUMIFS($E$5:$E$1369,$B$5:$B$1369,B1289,$C$5:$C$1369,C1289)</f>
        <v>2.06485937589223E-005</v>
      </c>
      <c r="I1289" s="43" t="n">
        <f aca="false">IF(G1289="",H1289,p_beta_alloc*G1289+(1-p_beta_alloc)*H1289)*F1289^p_phi</f>
        <v>1.39494554365153E-005</v>
      </c>
      <c r="J1289" s="16" t="n">
        <f aca="false">INDEX(Sector_Params!$C$19:$E$19,MATCH(B1289,Sector_Params!$C$15:$E$15,0))*I1289/SUMIFS($I$5:$I$1369,$B$5:$B$1369,B1289,$C$5:$C$1369,C1289)</f>
        <v>0.00448980794691337</v>
      </c>
      <c r="K1289" s="28" t="n">
        <f aca="false">INDEX(Sector_Params!$F$8:$H$8,MATCH(B1289,Sector_Params!$C$15:$E$15,0))</f>
        <v>0.24</v>
      </c>
      <c r="L1289" s="16" t="n">
        <f aca="false">J1289*K1289</f>
        <v>0.00107755390725921</v>
      </c>
      <c r="M1289" s="44" t="n">
        <f aca="false">Country_Data!$DW$188+Sector_Params!$E$8</f>
        <v>0.105</v>
      </c>
      <c r="N1289" s="44" t="n">
        <f aca="false">Country_Data!$DX$188+Sector_Params!$E$8</f>
        <v>0.15</v>
      </c>
      <c r="O1289" s="11" t="n">
        <f aca="false">IF(p_use_ibrd=1,p_r_ibrd,p_r_wb)</f>
        <v>0.06</v>
      </c>
      <c r="P1289" s="45" t="n">
        <f aca="false">Sector_Params!$D$8</f>
        <v>25</v>
      </c>
      <c r="Q1289" s="46" t="n">
        <f aca="false">M1289/(1-(1+M1289)^-P1289)</f>
        <v>0.114429319813103</v>
      </c>
      <c r="R1289" s="46" t="n">
        <f aca="false">N1289/(1-(1+N1289)^-P1289)</f>
        <v>0.154699402320206</v>
      </c>
      <c r="S1289" s="46" t="n">
        <f aca="false">O1289/(1-(1+O1289)^-P1289)</f>
        <v>0.078226718212274</v>
      </c>
      <c r="T1289" s="37" t="n">
        <f aca="false">Country_Data!$CM$188*Sector_Params!$I$8</f>
        <v>0.179580087688054</v>
      </c>
      <c r="U1289" s="37" t="n">
        <f aca="false">Country_Data!$CN$188*Sector_Params!$J$8</f>
        <v>0.03225</v>
      </c>
      <c r="V1289" s="37" t="n">
        <f aca="false">p_a</f>
        <v>0.35</v>
      </c>
      <c r="W1289" s="16" t="n">
        <f aca="false">T1289*L1289</f>
        <v>0.000193507225154214</v>
      </c>
      <c r="X1289" s="16" t="n">
        <f aca="false">U1289*L1289</f>
        <v>3.47511135091095E-005</v>
      </c>
      <c r="Y1289" s="16" t="n">
        <f aca="false">V1289*L1289</f>
        <v>0.000377143867540723</v>
      </c>
      <c r="Z1289" s="16" t="n">
        <f aca="false">Q1289*L1289</f>
        <v>0.000123303760669623</v>
      </c>
      <c r="AA1289" s="16" t="n">
        <f aca="false">R1289*L1289</f>
        <v>0.000166696945420803</v>
      </c>
      <c r="AB1289" s="16" t="n">
        <f aca="false">S1289*L1289</f>
        <v>8.4293505861701E-005</v>
      </c>
      <c r="AC1289" s="16" t="n">
        <f aca="false">Z1289-W1289</f>
        <v>-7.02034644845907E-005</v>
      </c>
      <c r="AD1289" s="16" t="n">
        <f aca="false">AA1289-W1289</f>
        <v>-2.68102797334109E-005</v>
      </c>
      <c r="AE1289" s="16" t="n">
        <f aca="false">AB1289-W1289</f>
        <v>-0.000109213719292513</v>
      </c>
      <c r="AF1289" s="16" t="n">
        <f aca="false">AE1289-X1289</f>
        <v>-0.000143964832801622</v>
      </c>
      <c r="AG1289" s="16" t="n">
        <f aca="false">AF1289-p_spc_lo*Y1289/1000</f>
        <v>-0.000162822026178659</v>
      </c>
      <c r="AH1289" s="16" t="n">
        <f aca="false">AF1289-p_spc_hi*Y1289/1000</f>
        <v>-0.000181679219555695</v>
      </c>
      <c r="AI1289" s="16" t="n">
        <f aca="false">Q1289*J1289</f>
        <v>0.000513765669456763</v>
      </c>
      <c r="AJ1289" s="16" t="n">
        <f aca="false">S1289*J1289</f>
        <v>0.000351222941090421</v>
      </c>
      <c r="AK1289" s="16" t="n">
        <f aca="false">T1289*J1289</f>
        <v>0.000806280104809225</v>
      </c>
      <c r="AL1289" s="16" t="n">
        <f aca="false">U1289*J1289</f>
        <v>0.000144796306287956</v>
      </c>
      <c r="AM1289" s="16" t="n">
        <f aca="false">AI1289-AJ1289</f>
        <v>0.000162542728366343</v>
      </c>
      <c r="AN1289" s="16" t="n">
        <f aca="false">J1289*Country_Data!$EB$188</f>
        <v>0.00515405350618275</v>
      </c>
      <c r="AO1289" s="16" t="n">
        <f aca="false">L1289*Country_Data!$EB$188</f>
        <v>0.00123697284148386</v>
      </c>
    </row>
    <row r="1290" customFormat="false" ht="15" hidden="false" customHeight="false" outlineLevel="0" collapsed="false">
      <c r="A1290" s="14" t="str">
        <f aca="false">Country_Data!$A$188</f>
        <v>WSM</v>
      </c>
      <c r="B1290" s="14" t="str">
        <f aca="false">Country_Data!$E$188</f>
        <v>EMDC</v>
      </c>
      <c r="C1290" s="35" t="s">
        <v>481</v>
      </c>
      <c r="D1290" s="37" t="n">
        <f aca="false">IF(Country_Data!$CC$188="","",Country_Data!$CC$188)</f>
        <v>0.00121136750146214</v>
      </c>
      <c r="E1290" s="40" t="n">
        <f aca="false">Country_Data!$BW$188</f>
        <v>1.667</v>
      </c>
      <c r="F1290" s="41" t="n">
        <f aca="false">Country_Data!$BX$188</f>
        <v>0.705458908218356</v>
      </c>
      <c r="G1290" s="42" t="n">
        <f aca="false">IF(D1290="","",D1290/SUMIFS($D$5:$D$1369,$B$5:$B$1369,B1290,$C$5:$C$1369,C1290))</f>
        <v>1.7303456016676E-005</v>
      </c>
      <c r="H1290" s="42" t="n">
        <f aca="false">E1290/SUMIFS($E$5:$E$1369,$B$5:$B$1369,B1290,$C$5:$C$1369,C1290)</f>
        <v>2.06485937589223E-005</v>
      </c>
      <c r="I1290" s="43" t="n">
        <f aca="false">IF(G1290="",H1290,p_beta_alloc*G1290+(1-p_beta_alloc)*H1290)*F1290^p_phi</f>
        <v>1.59382671587188E-005</v>
      </c>
      <c r="J1290" s="16" t="n">
        <f aca="false">INDEX(Sector_Params!$C$20:$E$20,MATCH(B1290,Sector_Params!$C$15:$E$15,0))*I1290/SUMIFS($I$5:$I$1369,$B$5:$B$1369,B1290,$C$5:$C$1369,C1290)</f>
        <v>0.00290905471630154</v>
      </c>
      <c r="K1290" s="28" t="n">
        <f aca="false">INDEX(Sector_Params!$F$9:$H$9,MATCH(B1290,Sector_Params!$C$15:$E$15,0))</f>
        <v>0.24</v>
      </c>
      <c r="L1290" s="16" t="n">
        <f aca="false">J1290*K1290</f>
        <v>0.00069817313191237</v>
      </c>
      <c r="M1290" s="44" t="n">
        <f aca="false">Country_Data!$DW$188+Sector_Params!$E$9</f>
        <v>0.105</v>
      </c>
      <c r="N1290" s="44" t="n">
        <f aca="false">Country_Data!$DX$188+Sector_Params!$E$9</f>
        <v>0.15</v>
      </c>
      <c r="O1290" s="11" t="n">
        <f aca="false">IF(p_use_ibrd=1,p_r_ibrd,p_r_wb)</f>
        <v>0.06</v>
      </c>
      <c r="P1290" s="45" t="n">
        <f aca="false">Sector_Params!$D$9</f>
        <v>25</v>
      </c>
      <c r="Q1290" s="46" t="n">
        <f aca="false">M1290/(1-(1+M1290)^-P1290)</f>
        <v>0.114429319813103</v>
      </c>
      <c r="R1290" s="46" t="n">
        <f aca="false">N1290/(1-(1+N1290)^-P1290)</f>
        <v>0.154699402320206</v>
      </c>
      <c r="S1290" s="46" t="n">
        <f aca="false">O1290/(1-(1+O1290)^-P1290)</f>
        <v>0.078226718212274</v>
      </c>
      <c r="T1290" s="37" t="n">
        <f aca="false">Country_Data!$CM$188*Sector_Params!$I$9</f>
        <v>0.179580087688054</v>
      </c>
      <c r="U1290" s="37" t="n">
        <f aca="false">Country_Data!$CN$188*Sector_Params!$J$9</f>
        <v>0.03225</v>
      </c>
      <c r="V1290" s="37" t="n">
        <f aca="false">p_a</f>
        <v>0.35</v>
      </c>
      <c r="W1290" s="16" t="n">
        <f aca="false">T1290*L1290</f>
        <v>0.000125377992250267</v>
      </c>
      <c r="X1290" s="16" t="n">
        <f aca="false">U1290*L1290</f>
        <v>2.25160835041739E-005</v>
      </c>
      <c r="Y1290" s="16" t="n">
        <f aca="false">V1290*L1290</f>
        <v>0.00024436059616933</v>
      </c>
      <c r="Z1290" s="16" t="n">
        <f aca="false">Q1290*L1290</f>
        <v>7.98914765965166E-005</v>
      </c>
      <c r="AA1290" s="16" t="n">
        <f aca="false">R1290*L1290</f>
        <v>0.00010800696622287</v>
      </c>
      <c r="AB1290" s="16" t="n">
        <f aca="false">S1290*L1290</f>
        <v>5.46157928534898E-005</v>
      </c>
      <c r="AC1290" s="16" t="n">
        <f aca="false">Z1290-W1290</f>
        <v>-4.548651565375E-005</v>
      </c>
      <c r="AD1290" s="16" t="n">
        <f aca="false">AA1290-W1290</f>
        <v>-1.73710260273962E-005</v>
      </c>
      <c r="AE1290" s="16" t="n">
        <f aca="false">AB1290-W1290</f>
        <v>-7.07621993967768E-005</v>
      </c>
      <c r="AF1290" s="16" t="n">
        <f aca="false">AE1290-X1290</f>
        <v>-9.32782829009508E-005</v>
      </c>
      <c r="AG1290" s="16" t="n">
        <f aca="false">AF1290-p_spc_lo*Y1290/1000</f>
        <v>-0.000105496312709417</v>
      </c>
      <c r="AH1290" s="16" t="n">
        <f aca="false">AF1290-p_spc_hi*Y1290/1000</f>
        <v>-0.000117714342517884</v>
      </c>
      <c r="AI1290" s="16" t="n">
        <f aca="false">Q1290*J1290</f>
        <v>0.000332881152485486</v>
      </c>
      <c r="AJ1290" s="16" t="n">
        <f aca="false">S1290*J1290</f>
        <v>0.000227565803556207</v>
      </c>
      <c r="AK1290" s="16" t="n">
        <f aca="false">T1290*J1290</f>
        <v>0.000522408301042777</v>
      </c>
      <c r="AL1290" s="16" t="n">
        <f aca="false">U1290*J1290</f>
        <v>9.38170146007248E-005</v>
      </c>
      <c r="AM1290" s="16" t="n">
        <f aca="false">AI1290-AJ1290</f>
        <v>0.000105315348929278</v>
      </c>
      <c r="AN1290" s="16" t="n">
        <f aca="false">J1290*Country_Data!$EB$188</f>
        <v>0.00333943541405574</v>
      </c>
      <c r="AO1290" s="16" t="n">
        <f aca="false">L1290*Country_Data!$EB$188</f>
        <v>0.000801464499373379</v>
      </c>
    </row>
    <row r="1291" customFormat="false" ht="15" hidden="false" customHeight="false" outlineLevel="0" collapsed="false">
      <c r="A1291" s="14" t="str">
        <f aca="false">Country_Data!$A$188</f>
        <v>WSM</v>
      </c>
      <c r="B1291" s="14" t="str">
        <f aca="false">Country_Data!$E$188</f>
        <v>EMDC</v>
      </c>
      <c r="C1291" s="35" t="s">
        <v>484</v>
      </c>
      <c r="D1291" s="37" t="n">
        <f aca="false">IF(Country_Data!$CD$188="","",Country_Data!$CD$188)</f>
        <v>0.00399644561501186</v>
      </c>
      <c r="E1291" s="40" t="n">
        <f aca="false">Country_Data!$BW$188</f>
        <v>1.667</v>
      </c>
      <c r="F1291" s="41" t="n">
        <f aca="false">Country_Data!$BX$188</f>
        <v>0.705458908218356</v>
      </c>
      <c r="G1291" s="42" t="n">
        <f aca="false">IF(D1291="","",D1291/SUMIFS($D$5:$D$1369,$B$5:$B$1369,B1291,$C$5:$C$1369,C1291))</f>
        <v>2.23176122930563E-005</v>
      </c>
      <c r="H1291" s="42" t="n">
        <f aca="false">E1291/SUMIFS($E$5:$E$1369,$B$5:$B$1369,B1291,$C$5:$C$1369,C1291)</f>
        <v>2.06485937589223E-005</v>
      </c>
      <c r="I1291" s="43" t="n">
        <f aca="false">IF(G1291="",H1291,p_beta_alloc*G1291+(1-p_beta_alloc)*H1291)*F1291^p_phi</f>
        <v>1.80440022318188E-005</v>
      </c>
      <c r="J1291" s="16" t="n">
        <f aca="false">INDEX(Sector_Params!$C$21:$E$21,MATCH(B1291,Sector_Params!$C$15:$E$15,0))*I1291/SUMIFS($I$5:$I$1369,$B$5:$B$1369,B1291,$C$5:$C$1369,C1291)</f>
        <v>0.00400197611998403</v>
      </c>
      <c r="K1291" s="28" t="n">
        <f aca="false">INDEX(Sector_Params!$F$10:$H$10,MATCH(B1291,Sector_Params!$C$15:$E$15,0))</f>
        <v>0.24</v>
      </c>
      <c r="L1291" s="16" t="n">
        <f aca="false">J1291*K1291</f>
        <v>0.000960474268796168</v>
      </c>
      <c r="M1291" s="44" t="n">
        <f aca="false">Country_Data!$DW$188+Sector_Params!$E$10</f>
        <v>0.105</v>
      </c>
      <c r="N1291" s="44" t="n">
        <f aca="false">Country_Data!$DX$188+Sector_Params!$E$10</f>
        <v>0.15</v>
      </c>
      <c r="O1291" s="11" t="n">
        <f aca="false">IF(p_use_ibrd=1,p_r_ibrd,p_r_wb)</f>
        <v>0.06</v>
      </c>
      <c r="P1291" s="45" t="n">
        <f aca="false">Sector_Params!$D$10</f>
        <v>20</v>
      </c>
      <c r="Q1291" s="46" t="n">
        <f aca="false">M1291/(1-(1+M1291)^-P1291)</f>
        <v>0.121493265267016</v>
      </c>
      <c r="R1291" s="46" t="n">
        <f aca="false">N1291/(1-(1+N1291)^-P1291)</f>
        <v>0.159761470405744</v>
      </c>
      <c r="S1291" s="46" t="n">
        <f aca="false">O1291/(1-(1+O1291)^-P1291)</f>
        <v>0.0871845569768514</v>
      </c>
      <c r="T1291" s="37" t="n">
        <f aca="false">0*Sector_Params!$I$10</f>
        <v>0</v>
      </c>
      <c r="U1291" s="37" t="n">
        <f aca="false">0*Sector_Params!$J$10</f>
        <v>0</v>
      </c>
      <c r="V1291" s="37" t="n">
        <f aca="false">1000*p_r_wb/(1-(1+p_r_wb)^-Sector_Params!$D$10)/p_cpt_fuel</f>
        <v>0.871845569768514</v>
      </c>
      <c r="W1291" s="16" t="n">
        <f aca="false">T1291*L1291</f>
        <v>0</v>
      </c>
      <c r="X1291" s="16" t="n">
        <f aca="false">U1291*L1291</f>
        <v>0</v>
      </c>
      <c r="Y1291" s="16" t="n">
        <f aca="false">V1291*L1291</f>
        <v>0.000837385236126592</v>
      </c>
      <c r="Z1291" s="16" t="n">
        <f aca="false">Q1291*L1291</f>
        <v>0.000116691155120996</v>
      </c>
      <c r="AA1291" s="16" t="n">
        <f aca="false">R1291*L1291</f>
        <v>0.000153446781469758</v>
      </c>
      <c r="AB1291" s="16" t="n">
        <f aca="false">S1291*L1291</f>
        <v>8.37385236126592E-005</v>
      </c>
      <c r="AC1291" s="16" t="n">
        <f aca="false">Z1291-W1291</f>
        <v>0.000116691155120996</v>
      </c>
      <c r="AD1291" s="16" t="n">
        <f aca="false">AA1291-W1291</f>
        <v>0.000153446781469758</v>
      </c>
      <c r="AE1291" s="16" t="n">
        <f aca="false">AB1291-W1291</f>
        <v>8.37385236126592E-005</v>
      </c>
      <c r="AF1291" s="16" t="n">
        <f aca="false">AE1291-X1291</f>
        <v>8.37385236126592E-005</v>
      </c>
      <c r="AG1291" s="16" t="n">
        <f aca="false">AF1291-p_spc_lo*Y1291/1000</f>
        <v>4.18692618063296E-005</v>
      </c>
      <c r="AH1291" s="16" t="n">
        <f aca="false">AF1291-p_spc_hi*Y1291/1000</f>
        <v>0</v>
      </c>
      <c r="AI1291" s="16" t="n">
        <f aca="false">Q1291*J1291</f>
        <v>0.000486213146337484</v>
      </c>
      <c r="AJ1291" s="16" t="n">
        <f aca="false">S1291*J1291</f>
        <v>0.000348910515052747</v>
      </c>
      <c r="AK1291" s="16" t="n">
        <f aca="false">T1291*J1291</f>
        <v>0</v>
      </c>
      <c r="AL1291" s="16" t="n">
        <f aca="false">U1291*J1291</f>
        <v>0</v>
      </c>
      <c r="AM1291" s="16" t="n">
        <f aca="false">AI1291-AJ1291</f>
        <v>0.000137302631284738</v>
      </c>
      <c r="AN1291" s="16" t="n">
        <f aca="false">J1291*Country_Data!$EB$188</f>
        <v>0.00459404929937893</v>
      </c>
      <c r="AO1291" s="16" t="n">
        <f aca="false">L1291*Country_Data!$EB$188</f>
        <v>0.00110257183185094</v>
      </c>
    </row>
    <row r="1292" customFormat="false" ht="15" hidden="false" customHeight="false" outlineLevel="0" collapsed="false">
      <c r="A1292" s="14" t="str">
        <f aca="false">Country_Data!$A$188</f>
        <v>WSM</v>
      </c>
      <c r="B1292" s="14" t="str">
        <f aca="false">Country_Data!$E$188</f>
        <v>EMDC</v>
      </c>
      <c r="C1292" s="35" t="s">
        <v>488</v>
      </c>
      <c r="D1292" s="37" t="n">
        <f aca="false">IF(Country_Data!$CE$188="","",Country_Data!$CE$188)</f>
        <v>0.311</v>
      </c>
      <c r="E1292" s="40" t="n">
        <f aca="false">Country_Data!$BW$188</f>
        <v>1.667</v>
      </c>
      <c r="F1292" s="41" t="n">
        <f aca="false">Country_Data!$BX$188</f>
        <v>0.705458908218356</v>
      </c>
      <c r="G1292" s="42" t="n">
        <f aca="false">IF(D1292="","",D1292/SUMIFS($D$5:$D$1369,$B$5:$B$1369,B1292,$C$5:$C$1369,C1292))</f>
        <v>2.54832183584055E-005</v>
      </c>
      <c r="H1292" s="42" t="n">
        <f aca="false">E1292/SUMIFS($E$5:$E$1369,$B$5:$B$1369,B1292,$C$5:$C$1369,C1292)</f>
        <v>2.06485937589223E-005</v>
      </c>
      <c r="I1292" s="43" t="n">
        <f aca="false">IF(G1292="",H1292,p_beta_alloc*G1292+(1-p_beta_alloc)*H1292)*F1292^p_phi</f>
        <v>1.93734238437507E-005</v>
      </c>
      <c r="J1292" s="16" t="n">
        <f aca="false">INDEX(Sector_Params!$C$22:$E$22,MATCH(B1292,Sector_Params!$C$15:$E$15,0))*I1292/SUMIFS($I$5:$I$1369,$B$5:$B$1369,B1292,$C$5:$C$1369,C1292)</f>
        <v>0.0116784624015329</v>
      </c>
      <c r="K1292" s="28" t="n">
        <f aca="false">INDEX(Sector_Params!$F$11:$H$11,MATCH(B1292,Sector_Params!$C$15:$E$15,0))</f>
        <v>0.24</v>
      </c>
      <c r="L1292" s="16" t="n">
        <f aca="false">J1292*K1292</f>
        <v>0.0028028309763679</v>
      </c>
      <c r="M1292" s="44" t="n">
        <f aca="false">Country_Data!$DW$188+Sector_Params!$E$11</f>
        <v>0.105</v>
      </c>
      <c r="N1292" s="44" t="n">
        <f aca="false">Country_Data!$DX$188+Sector_Params!$E$11</f>
        <v>0.15</v>
      </c>
      <c r="O1292" s="11" t="n">
        <f aca="false">IF(p_use_ibrd=1,p_r_ibrd,p_r_wb)</f>
        <v>0.06</v>
      </c>
      <c r="P1292" s="45" t="n">
        <f aca="false">Sector_Params!$D$11</f>
        <v>30</v>
      </c>
      <c r="Q1292" s="46" t="n">
        <f aca="false">M1292/(1-(1+M1292)^-P1292)</f>
        <v>0.110528481529605</v>
      </c>
      <c r="R1292" s="46" t="n">
        <f aca="false">N1292/(1-(1+N1292)^-P1292)</f>
        <v>0.152300198192734</v>
      </c>
      <c r="S1292" s="46" t="n">
        <f aca="false">O1292/(1-(1+O1292)^-P1292)</f>
        <v>0.0726489114900472</v>
      </c>
      <c r="T1292" s="37" t="n">
        <f aca="false">0*Sector_Params!$I$11</f>
        <v>0</v>
      </c>
      <c r="U1292" s="37" t="n">
        <f aca="false">p_c*Sector_Params!$J$11</f>
        <v>0.129</v>
      </c>
      <c r="V1292" s="37" t="n">
        <f aca="false">1000*p_r_wb/(1-(1+p_r_wb)^-Sector_Params!$D$11)/p_cpt_afolu</f>
        <v>1.45297822980094</v>
      </c>
      <c r="W1292" s="16" t="n">
        <f aca="false">T1292*L1292</f>
        <v>0</v>
      </c>
      <c r="X1292" s="16" t="n">
        <f aca="false">U1292*L1292</f>
        <v>0.00036156519595146</v>
      </c>
      <c r="Y1292" s="16" t="n">
        <f aca="false">V1292*L1292</f>
        <v>0.00407245239047429</v>
      </c>
      <c r="Z1292" s="16" t="n">
        <f aca="false">Q1292*L1292</f>
        <v>0.000309792651802085</v>
      </c>
      <c r="AA1292" s="16" t="n">
        <f aca="false">R1292*L1292</f>
        <v>0.000426871713201567</v>
      </c>
      <c r="AB1292" s="16" t="n">
        <f aca="false">S1292*L1292</f>
        <v>0.000203622619523714</v>
      </c>
      <c r="AC1292" s="16" t="n">
        <f aca="false">Z1292-W1292</f>
        <v>0.000309792651802085</v>
      </c>
      <c r="AD1292" s="16" t="n">
        <f aca="false">AA1292-W1292</f>
        <v>0.000426871713201567</v>
      </c>
      <c r="AE1292" s="16" t="n">
        <f aca="false">AB1292-W1292</f>
        <v>0.000203622619523714</v>
      </c>
      <c r="AF1292" s="16" t="n">
        <f aca="false">AE1292-X1292</f>
        <v>-0.000157942576427745</v>
      </c>
      <c r="AG1292" s="16" t="n">
        <f aca="false">AF1292-p_spc_lo*Y1292/1000</f>
        <v>-0.00036156519595146</v>
      </c>
      <c r="AH1292" s="16" t="n">
        <f aca="false">AF1292-p_spc_hi*Y1292/1000</f>
        <v>-0.000565187815475174</v>
      </c>
      <c r="AI1292" s="16" t="n">
        <f aca="false">Q1292*J1292</f>
        <v>0.00129080271584202</v>
      </c>
      <c r="AJ1292" s="16" t="n">
        <f aca="false">S1292*J1292</f>
        <v>0.000848427581348811</v>
      </c>
      <c r="AK1292" s="16" t="n">
        <f aca="false">T1292*J1292</f>
        <v>0</v>
      </c>
      <c r="AL1292" s="16" t="n">
        <f aca="false">U1292*J1292</f>
        <v>0.00150652164979775</v>
      </c>
      <c r="AM1292" s="16" t="n">
        <f aca="false">AI1292-AJ1292</f>
        <v>0.000442375134493211</v>
      </c>
      <c r="AN1292" s="16" t="n">
        <f aca="false">J1292*Country_Data!$EB$188</f>
        <v>0.0134062349212118</v>
      </c>
      <c r="AO1292" s="16" t="n">
        <f aca="false">L1292*Country_Data!$EB$188</f>
        <v>0.00321749638109083</v>
      </c>
    </row>
    <row r="1293" customFormat="false" ht="15" hidden="false" customHeight="false" outlineLevel="0" collapsed="false">
      <c r="A1293" s="14" t="str">
        <f aca="false">Country_Data!$A$189</f>
        <v>VCT</v>
      </c>
      <c r="B1293" s="14" t="str">
        <f aca="false">Country_Data!$E$189</f>
        <v>EMDC</v>
      </c>
      <c r="C1293" s="35" t="s">
        <v>466</v>
      </c>
      <c r="D1293" s="37" t="n">
        <f aca="false">IF(Country_Data!$BZ$189="","",Country_Data!$BZ$189)</f>
        <v>0.148610241898337</v>
      </c>
      <c r="E1293" s="40" t="n">
        <f aca="false">Country_Data!$BW$189</f>
        <v>2.174</v>
      </c>
      <c r="F1293" s="41" t="n">
        <f aca="false">Country_Data!$BX$189</f>
        <v>0.517939282428703</v>
      </c>
      <c r="G1293" s="42" t="n">
        <f aca="false">IF(D1293="","",D1293/SUMIFS($D$5:$D$1369,$B$5:$B$1369,B1293,$C$5:$C$1369,C1293))</f>
        <v>1.69656625617552E-005</v>
      </c>
      <c r="H1293" s="42" t="n">
        <f aca="false">E1293/SUMIFS($E$5:$E$1369,$B$5:$B$1369,B1293,$C$5:$C$1369,C1293)</f>
        <v>2.6928639971144E-005</v>
      </c>
      <c r="I1293" s="43" t="n">
        <f aca="false">IF(G1293="",H1293,p_beta_alloc*G1293+(1-p_beta_alloc)*H1293)*F1293^p_phi</f>
        <v>1.5794925518919E-005</v>
      </c>
      <c r="J1293" s="16" t="n">
        <f aca="false">INDEX(Sector_Params!$C$16:$E$16,MATCH(B1293,Sector_Params!$C$15:$E$15,0))*I1293/SUMIFS($I$5:$I$1369,$B$5:$B$1369,B1293,$C$5:$C$1369,C1293)</f>
        <v>0.0152772523977847</v>
      </c>
      <c r="K1293" s="28" t="n">
        <f aca="false">INDEX(Sector_Params!$F$5:$H$5,MATCH(B1293,Sector_Params!$C$15:$E$15,0))</f>
        <v>0.24</v>
      </c>
      <c r="L1293" s="16" t="n">
        <f aca="false">J1293*K1293</f>
        <v>0.00366654057546834</v>
      </c>
      <c r="M1293" s="44" t="n">
        <f aca="false">Country_Data!$DW$189+Sector_Params!$E$5</f>
        <v>0.105</v>
      </c>
      <c r="N1293" s="44" t="n">
        <f aca="false">Country_Data!$DX$189+Sector_Params!$E$5</f>
        <v>0.15</v>
      </c>
      <c r="O1293" s="11" t="n">
        <f aca="false">IF(p_use_ibrd=1,p_r_ibrd,p_r_wb)</f>
        <v>0.06</v>
      </c>
      <c r="P1293" s="45" t="n">
        <f aca="false">Sector_Params!$D$5</f>
        <v>25</v>
      </c>
      <c r="Q1293" s="46" t="n">
        <f aca="false">M1293/(1-(1+M1293)^-P1293)</f>
        <v>0.114429319813103</v>
      </c>
      <c r="R1293" s="46" t="n">
        <f aca="false">N1293/(1-(1+N1293)^-P1293)</f>
        <v>0.154699402320206</v>
      </c>
      <c r="S1293" s="46" t="n">
        <f aca="false">O1293/(1-(1+O1293)^-P1293)</f>
        <v>0.078226718212274</v>
      </c>
      <c r="T1293" s="37" t="n">
        <f aca="false">IF(AND(p_eng=1,ISNUMBER(Country_Data!$CZ$189)),Country_Data!$CZ$189,Country_Data!$CM$189)*Sector_Params!$I$5</f>
        <v>0.267816586386753</v>
      </c>
      <c r="U1293" s="37" t="n">
        <f aca="false">IF(AND(p_eng=1,ISNUMBER(Country_Data!$DA$189)),Country_Data!$DA$189,Country_Data!$CN$189)*Sector_Params!$J$5</f>
        <v>0.00680024467946199</v>
      </c>
      <c r="V1293" s="37" t="n">
        <f aca="false">IF(AND(p_eng=1,ISNUMBER(Country_Data!$DB$189)),Country_Data!$DB$189,p_a)</f>
        <v>1.62088958874773</v>
      </c>
      <c r="W1293" s="16" t="n">
        <f aca="false">T1293*L1293</f>
        <v>0.000981960380770451</v>
      </c>
      <c r="X1293" s="16" t="n">
        <f aca="false">U1293*L1293</f>
        <v>2.49333730403601E-005</v>
      </c>
      <c r="Y1293" s="16" t="n">
        <f aca="false">V1293*L1293</f>
        <v>0.00594305744549774</v>
      </c>
      <c r="Z1293" s="16" t="n">
        <f aca="false">Q1293*L1293</f>
        <v>0.000419559744117986</v>
      </c>
      <c r="AA1293" s="16" t="n">
        <f aca="false">R1293*L1293</f>
        <v>0.000567211635607738</v>
      </c>
      <c r="AB1293" s="16" t="n">
        <f aca="false">S1293*L1293</f>
        <v>0.00028682143641103</v>
      </c>
      <c r="AC1293" s="16" t="n">
        <f aca="false">Z1293-W1293</f>
        <v>-0.000562400636652464</v>
      </c>
      <c r="AD1293" s="16" t="n">
        <f aca="false">AA1293-W1293</f>
        <v>-0.000414748745162713</v>
      </c>
      <c r="AE1293" s="16" t="n">
        <f aca="false">AB1293-W1293</f>
        <v>-0.00069513894435942</v>
      </c>
      <c r="AF1293" s="16" t="n">
        <f aca="false">AE1293-X1293</f>
        <v>-0.00072007231739978</v>
      </c>
      <c r="AG1293" s="16" t="n">
        <f aca="false">AF1293-p_spc_lo*Y1293/1000</f>
        <v>-0.00101722518967467</v>
      </c>
      <c r="AH1293" s="16" t="n">
        <f aca="false">AF1293-p_spc_hi*Y1293/1000</f>
        <v>-0.00131437806194955</v>
      </c>
      <c r="AI1293" s="16" t="n">
        <f aca="false">Q1293*J1293</f>
        <v>0.00174816560049161</v>
      </c>
      <c r="AJ1293" s="16" t="n">
        <f aca="false">S1293*J1293</f>
        <v>0.00119508931837929</v>
      </c>
      <c r="AK1293" s="16" t="n">
        <f aca="false">T1293*J1293</f>
        <v>0.00409150158654355</v>
      </c>
      <c r="AL1293" s="16" t="n">
        <f aca="false">U1293*J1293</f>
        <v>0.000103889054334834</v>
      </c>
      <c r="AM1293" s="16" t="n">
        <f aca="false">AI1293-AJ1293</f>
        <v>0.000553076282112316</v>
      </c>
      <c r="AN1293" s="16" t="n">
        <f aca="false">J1293*Country_Data!$EB$189</f>
        <v>0.0175374486429365</v>
      </c>
      <c r="AO1293" s="16" t="n">
        <f aca="false">L1293*Country_Data!$EB$189</f>
        <v>0.00420898767430475</v>
      </c>
    </row>
    <row r="1294" customFormat="false" ht="15" hidden="false" customHeight="false" outlineLevel="0" collapsed="false">
      <c r="A1294" s="14" t="str">
        <f aca="false">Country_Data!$A$189</f>
        <v>VCT</v>
      </c>
      <c r="B1294" s="14" t="str">
        <f aca="false">Country_Data!$E$189</f>
        <v>EMDC</v>
      </c>
      <c r="C1294" s="35" t="s">
        <v>470</v>
      </c>
      <c r="D1294" s="37" t="n">
        <f aca="false">IF(Country_Data!$BZ$189="","",Country_Data!$BZ$189)</f>
        <v>0.148610241898337</v>
      </c>
      <c r="E1294" s="40" t="n">
        <f aca="false">Country_Data!$BW$189</f>
        <v>2.174</v>
      </c>
      <c r="F1294" s="41" t="n">
        <f aca="false">Country_Data!$BX$189</f>
        <v>0.517939282428703</v>
      </c>
      <c r="G1294" s="42" t="n">
        <f aca="false">IF(D1294="","",D1294/SUMIFS($D$5:$D$1369,$B$5:$B$1369,B1294,$C$5:$C$1369,C1294))</f>
        <v>1.69656625617552E-005</v>
      </c>
      <c r="H1294" s="42" t="n">
        <f aca="false">E1294/SUMIFS($E$5:$E$1369,$B$5:$B$1369,B1294,$C$5:$C$1369,C1294)</f>
        <v>2.6928639971144E-005</v>
      </c>
      <c r="I1294" s="43" t="n">
        <f aca="false">IF(G1294="",H1294,p_beta_alloc*G1294+(1-p_beta_alloc)*H1294)*F1294^p_phi</f>
        <v>1.5794925518919E-005</v>
      </c>
      <c r="J1294" s="16" t="n">
        <f aca="false">INDEX(Sector_Params!$C$17:$E$17,MATCH(B1294,Sector_Params!$C$15:$E$15,0))*I1294/SUMIFS($I$5:$I$1369,$B$5:$B$1369,B1294,$C$5:$C$1369,C1294)</f>
        <v>0.0104758302156238</v>
      </c>
      <c r="K1294" s="28" t="n">
        <f aca="false">INDEX(Sector_Params!$F$6:$H$6,MATCH(B1294,Sector_Params!$C$15:$E$15,0))</f>
        <v>0.24</v>
      </c>
      <c r="L1294" s="16" t="n">
        <f aca="false">J1294*K1294</f>
        <v>0.00251419925174972</v>
      </c>
      <c r="M1294" s="44" t="n">
        <f aca="false">Country_Data!$DW$189+Sector_Params!$E$6</f>
        <v>0.105</v>
      </c>
      <c r="N1294" s="44" t="n">
        <f aca="false">Country_Data!$DX$189+Sector_Params!$E$6</f>
        <v>0.15</v>
      </c>
      <c r="O1294" s="11" t="n">
        <f aca="false">IF(p_use_ibrd=1,p_r_ibrd,p_r_wb)</f>
        <v>0.06</v>
      </c>
      <c r="P1294" s="45" t="n">
        <f aca="false">Sector_Params!$D$6</f>
        <v>40</v>
      </c>
      <c r="Q1294" s="46" t="n">
        <f aca="false">M1294/(1-(1+M1294)^-P1294)</f>
        <v>0.10697140835497</v>
      </c>
      <c r="R1294" s="46" t="n">
        <f aca="false">N1294/(1-(1+N1294)^-P1294)</f>
        <v>0.150562085013545</v>
      </c>
      <c r="S1294" s="46" t="n">
        <f aca="false">O1294/(1-(1+O1294)^-P1294)</f>
        <v>0.0664615359206755</v>
      </c>
      <c r="T1294" s="37" t="n">
        <f aca="false">p_grid_credit*IF(AND(p_eng=1,ISNUMBER(Country_Data!$CZ$189)),Country_Data!$CZ$189,Country_Data!$CM$189)*Sector_Params!$I$6</f>
        <v>0</v>
      </c>
      <c r="U1294" s="37" t="n">
        <f aca="false">p_grid_credit*IF(AND(p_eng=1,ISNUMBER(Country_Data!$DA$189)),Country_Data!$DA$189,Country_Data!$CN$189)*Sector_Params!$J$6</f>
        <v>0</v>
      </c>
      <c r="V1294" s="37" t="n">
        <f aca="false">p_grid_credit*IF(AND(p_eng=1,ISNUMBER(Country_Data!$DB$189)),Country_Data!$DB$189,p_a)</f>
        <v>0</v>
      </c>
      <c r="W1294" s="16" t="n">
        <f aca="false">T1294*L1294</f>
        <v>0</v>
      </c>
      <c r="X1294" s="16" t="n">
        <f aca="false">U1294*L1294</f>
        <v>0</v>
      </c>
      <c r="Y1294" s="16" t="n">
        <f aca="false">V1294*L1294</f>
        <v>0</v>
      </c>
      <c r="Z1294" s="16" t="n">
        <f aca="false">Q1294*L1294</f>
        <v>0.00026894743484468</v>
      </c>
      <c r="AA1294" s="16" t="n">
        <f aca="false">R1294*L1294</f>
        <v>0.000378543081482932</v>
      </c>
      <c r="AB1294" s="16" t="n">
        <f aca="false">S1294*L1294</f>
        <v>0.000167097543881899</v>
      </c>
      <c r="AC1294" s="16" t="n">
        <f aca="false">Z1294-W1294</f>
        <v>0.00026894743484468</v>
      </c>
      <c r="AD1294" s="16" t="n">
        <f aca="false">AA1294-W1294</f>
        <v>0.000378543081482932</v>
      </c>
      <c r="AE1294" s="16" t="n">
        <f aca="false">AB1294-W1294</f>
        <v>0.000167097543881899</v>
      </c>
      <c r="AF1294" s="16" t="n">
        <f aca="false">AE1294-X1294</f>
        <v>0.000167097543881899</v>
      </c>
      <c r="AG1294" s="16" t="n">
        <f aca="false">AF1294-p_spc_lo*Y1294/1000</f>
        <v>0.000167097543881899</v>
      </c>
      <c r="AH1294" s="16" t="n">
        <f aca="false">AF1294-p_spc_hi*Y1294/1000</f>
        <v>0.000167097543881899</v>
      </c>
      <c r="AI1294" s="16" t="n">
        <f aca="false">Q1294*J1294</f>
        <v>0.00112061431185283</v>
      </c>
      <c r="AJ1294" s="16" t="n">
        <f aca="false">S1294*J1294</f>
        <v>0.00069623976617458</v>
      </c>
      <c r="AK1294" s="16" t="n">
        <f aca="false">T1294*J1294</f>
        <v>0</v>
      </c>
      <c r="AL1294" s="16" t="n">
        <f aca="false">U1294*J1294</f>
        <v>0</v>
      </c>
      <c r="AM1294" s="16" t="n">
        <f aca="false">AI1294-AJ1294</f>
        <v>0.000424374545678253</v>
      </c>
      <c r="AN1294" s="16" t="n">
        <f aca="false">J1294*Country_Data!$EB$189</f>
        <v>0.0120256790694421</v>
      </c>
      <c r="AO1294" s="16" t="n">
        <f aca="false">L1294*Country_Data!$EB$189</f>
        <v>0.00288616297666611</v>
      </c>
    </row>
    <row r="1295" customFormat="false" ht="15" hidden="false" customHeight="false" outlineLevel="0" collapsed="false">
      <c r="A1295" s="14" t="str">
        <f aca="false">Country_Data!$A$189</f>
        <v>VCT</v>
      </c>
      <c r="B1295" s="14" t="str">
        <f aca="false">Country_Data!$E$189</f>
        <v>EMDC</v>
      </c>
      <c r="C1295" s="35" t="s">
        <v>473</v>
      </c>
      <c r="D1295" s="37" t="n">
        <f aca="false">IF(Country_Data!$CA$189="","",Country_Data!$CA$189)</f>
        <v>0.00206100568836652</v>
      </c>
      <c r="E1295" s="40" t="n">
        <f aca="false">Country_Data!$BW$189</f>
        <v>2.174</v>
      </c>
      <c r="F1295" s="41" t="n">
        <f aca="false">Country_Data!$BX$189</f>
        <v>0.517939282428703</v>
      </c>
      <c r="G1295" s="42" t="n">
        <f aca="false">IF(D1295="","",D1295/SUMIFS($D$5:$D$1369,$B$5:$B$1369,B1295,$C$5:$C$1369,C1295))</f>
        <v>4.76140267729016E-005</v>
      </c>
      <c r="H1295" s="42" t="n">
        <f aca="false">E1295/SUMIFS($E$5:$E$1369,$B$5:$B$1369,B1295,$C$5:$C$1369,C1295)</f>
        <v>2.6928639971144E-005</v>
      </c>
      <c r="I1295" s="43" t="n">
        <f aca="false">IF(G1295="",H1295,p_beta_alloc*G1295+(1-p_beta_alloc)*H1295)*F1295^p_phi</f>
        <v>2.6823432684033E-005</v>
      </c>
      <c r="J1295" s="16" t="n">
        <f aca="false">INDEX(Sector_Params!$C$18:$E$18,MATCH(B1295,Sector_Params!$C$15:$E$15,0))*I1295/SUMIFS($I$5:$I$1369,$B$5:$B$1369,B1295,$C$5:$C$1369,C1295)</f>
        <v>0.0109835610091219</v>
      </c>
      <c r="K1295" s="28" t="n">
        <f aca="false">INDEX(Sector_Params!$F$7:$H$7,MATCH(B1295,Sector_Params!$C$15:$E$15,0))</f>
        <v>0.24</v>
      </c>
      <c r="L1295" s="16" t="n">
        <f aca="false">J1295*K1295</f>
        <v>0.00263605464218925</v>
      </c>
      <c r="M1295" s="44" t="n">
        <f aca="false">Country_Data!$DW$189+Sector_Params!$E$7</f>
        <v>0.105</v>
      </c>
      <c r="N1295" s="44" t="n">
        <f aca="false">Country_Data!$DX$189+Sector_Params!$E$7</f>
        <v>0.15</v>
      </c>
      <c r="O1295" s="11" t="n">
        <f aca="false">IF(p_use_ibrd=1,p_r_ibrd,p_r_wb)</f>
        <v>0.06</v>
      </c>
      <c r="P1295" s="45" t="n">
        <f aca="false">Sector_Params!$D$7</f>
        <v>12</v>
      </c>
      <c r="Q1295" s="46" t="n">
        <f aca="false">M1295/(1-(1+M1295)^-P1295)</f>
        <v>0.150376745634766</v>
      </c>
      <c r="R1295" s="46" t="n">
        <f aca="false">N1295/(1-(1+N1295)^-P1295)</f>
        <v>0.18448077613084</v>
      </c>
      <c r="S1295" s="46" t="n">
        <f aca="false">O1295/(1-(1+O1295)^-P1295)</f>
        <v>0.119277029380664</v>
      </c>
      <c r="T1295" s="37" t="n">
        <f aca="false">IF(AND(p_eng=1,ISNUMBER(Country_Data!$DE$189)),Country_Data!$DE$189,Country_Data!$CM$189)*Sector_Params!$I$7</f>
        <v>0.06809274</v>
      </c>
      <c r="U1295" s="37" t="n">
        <f aca="false">IF(AND(p_eng=1,ISNUMBER(Country_Data!$DF$189)),Country_Data!$DF$189,Country_Data!$CN$189)*Sector_Params!$J$7</f>
        <v>0.0013167</v>
      </c>
      <c r="V1295" s="37" t="n">
        <f aca="false">IF(AND(p_eng=1,ISNUMBER(Country_Data!$DG$189)),Country_Data!$DG$189,p_a)</f>
        <v>0.1529199</v>
      </c>
      <c r="W1295" s="16" t="n">
        <f aca="false">T1295*L1295</f>
        <v>0.000179496183376386</v>
      </c>
      <c r="X1295" s="16" t="n">
        <f aca="false">U1295*L1295</f>
        <v>3.47089314737058E-006</v>
      </c>
      <c r="Y1295" s="16" t="n">
        <f aca="false">V1295*L1295</f>
        <v>0.000403105212278116</v>
      </c>
      <c r="Z1295" s="16" t="n">
        <f aca="false">Q1295*L1295</f>
        <v>0.000396401318407836</v>
      </c>
      <c r="AA1295" s="16" t="n">
        <f aca="false">R1295*L1295</f>
        <v>0.000486301406314375</v>
      </c>
      <c r="AB1295" s="16" t="n">
        <f aca="false">S1295*L1295</f>
        <v>0.000314420767005442</v>
      </c>
      <c r="AC1295" s="16" t="n">
        <f aca="false">Z1295-W1295</f>
        <v>0.00021690513503145</v>
      </c>
      <c r="AD1295" s="16" t="n">
        <f aca="false">AA1295-W1295</f>
        <v>0.00030680522293799</v>
      </c>
      <c r="AE1295" s="16" t="n">
        <f aca="false">AB1295-W1295</f>
        <v>0.000134924583629056</v>
      </c>
      <c r="AF1295" s="16" t="n">
        <f aca="false">AE1295-X1295</f>
        <v>0.000131453690481685</v>
      </c>
      <c r="AG1295" s="16" t="n">
        <f aca="false">AF1295-p_spc_lo*Y1295/1000</f>
        <v>0.00011129842986778</v>
      </c>
      <c r="AH1295" s="16" t="n">
        <f aca="false">AF1295-p_spc_hi*Y1295/1000</f>
        <v>9.11431692538739E-005</v>
      </c>
      <c r="AI1295" s="16" t="n">
        <f aca="false">Q1295*J1295</f>
        <v>0.00165167216003265</v>
      </c>
      <c r="AJ1295" s="16" t="n">
        <f aca="false">S1295*J1295</f>
        <v>0.00131008652918934</v>
      </c>
      <c r="AK1295" s="16" t="n">
        <f aca="false">T1295*J1295</f>
        <v>0.000747900764068273</v>
      </c>
      <c r="AL1295" s="16" t="n">
        <f aca="false">U1295*J1295</f>
        <v>1.44620547807108E-005</v>
      </c>
      <c r="AM1295" s="16" t="n">
        <f aca="false">AI1295-AJ1295</f>
        <v>0.00034158563084331</v>
      </c>
      <c r="AN1295" s="16" t="n">
        <f aca="false">J1295*Country_Data!$EB$189</f>
        <v>0.0126085261995125</v>
      </c>
      <c r="AO1295" s="16" t="n">
        <f aca="false">L1295*Country_Data!$EB$189</f>
        <v>0.003026046287883</v>
      </c>
    </row>
    <row r="1296" customFormat="false" ht="15" hidden="false" customHeight="false" outlineLevel="0" collapsed="false">
      <c r="A1296" s="14" t="str">
        <f aca="false">Country_Data!$A$189</f>
        <v>VCT</v>
      </c>
      <c r="B1296" s="14" t="str">
        <f aca="false">Country_Data!$E$189</f>
        <v>EMDC</v>
      </c>
      <c r="C1296" s="35" t="s">
        <v>477</v>
      </c>
      <c r="D1296" s="37" t="n">
        <f aca="false">IF(Country_Data!$CB$189="","",Country_Data!$CB$189)</f>
        <v>0.000481626323304491</v>
      </c>
      <c r="E1296" s="40" t="n">
        <f aca="false">Country_Data!$BW$189</f>
        <v>2.174</v>
      </c>
      <c r="F1296" s="41" t="n">
        <f aca="false">Country_Data!$BX$189</f>
        <v>0.517939282428703</v>
      </c>
      <c r="G1296" s="42" t="n">
        <f aca="false">IF(D1296="","",D1296/SUMIFS($D$5:$D$1369,$B$5:$B$1369,B1296,$C$5:$C$1369,C1296))</f>
        <v>1.51871445260975E-005</v>
      </c>
      <c r="H1296" s="42" t="n">
        <f aca="false">E1296/SUMIFS($E$5:$E$1369,$B$5:$B$1369,B1296,$C$5:$C$1369,C1296)</f>
        <v>2.6928639971144E-005</v>
      </c>
      <c r="I1296" s="43" t="n">
        <f aca="false">IF(G1296="",H1296,p_beta_alloc*G1296+(1-p_beta_alloc)*H1296)*F1296^p_phi</f>
        <v>1.51549436013065E-005</v>
      </c>
      <c r="J1296" s="16" t="n">
        <f aca="false">INDEX(Sector_Params!$C$19:$E$19,MATCH(B1296,Sector_Params!$C$15:$E$15,0))*I1296/SUMIFS($I$5:$I$1369,$B$5:$B$1369,B1296,$C$5:$C$1369,C1296)</f>
        <v>0.00487780949771381</v>
      </c>
      <c r="K1296" s="28" t="n">
        <f aca="false">INDEX(Sector_Params!$F$8:$H$8,MATCH(B1296,Sector_Params!$C$15:$E$15,0))</f>
        <v>0.24</v>
      </c>
      <c r="L1296" s="16" t="n">
        <f aca="false">J1296*K1296</f>
        <v>0.00117067427945132</v>
      </c>
      <c r="M1296" s="44" t="n">
        <f aca="false">Country_Data!$DW$189+Sector_Params!$E$8</f>
        <v>0.105</v>
      </c>
      <c r="N1296" s="44" t="n">
        <f aca="false">Country_Data!$DX$189+Sector_Params!$E$8</f>
        <v>0.15</v>
      </c>
      <c r="O1296" s="11" t="n">
        <f aca="false">IF(p_use_ibrd=1,p_r_ibrd,p_r_wb)</f>
        <v>0.06</v>
      </c>
      <c r="P1296" s="45" t="n">
        <f aca="false">Sector_Params!$D$8</f>
        <v>25</v>
      </c>
      <c r="Q1296" s="46" t="n">
        <f aca="false">M1296/(1-(1+M1296)^-P1296)</f>
        <v>0.114429319813103</v>
      </c>
      <c r="R1296" s="46" t="n">
        <f aca="false">N1296/(1-(1+N1296)^-P1296)</f>
        <v>0.154699402320206</v>
      </c>
      <c r="S1296" s="46" t="n">
        <f aca="false">O1296/(1-(1+O1296)^-P1296)</f>
        <v>0.078226718212274</v>
      </c>
      <c r="T1296" s="37" t="n">
        <f aca="false">Country_Data!$CM$189*Sector_Params!$I$8</f>
        <v>0.532</v>
      </c>
      <c r="U1296" s="37" t="n">
        <f aca="false">Country_Data!$CN$189*Sector_Params!$J$8</f>
        <v>0.03225</v>
      </c>
      <c r="V1296" s="37" t="n">
        <f aca="false">p_a</f>
        <v>0.35</v>
      </c>
      <c r="W1296" s="16" t="n">
        <f aca="false">T1296*L1296</f>
        <v>0.0006227987166681</v>
      </c>
      <c r="X1296" s="16" t="n">
        <f aca="false">U1296*L1296</f>
        <v>3.77542455123049E-005</v>
      </c>
      <c r="Y1296" s="16" t="n">
        <f aca="false">V1296*L1296</f>
        <v>0.00040973599780796</v>
      </c>
      <c r="Z1296" s="16" t="n">
        <f aca="false">Q1296*L1296</f>
        <v>0.000133959461520309</v>
      </c>
      <c r="AA1296" s="16" t="n">
        <f aca="false">R1296*L1296</f>
        <v>0.000181102611342757</v>
      </c>
      <c r="AB1296" s="16" t="n">
        <f aca="false">S1296*L1296</f>
        <v>9.15780069769949E-005</v>
      </c>
      <c r="AC1296" s="16" t="n">
        <f aca="false">Z1296-W1296</f>
        <v>-0.000488839255147791</v>
      </c>
      <c r="AD1296" s="16" t="n">
        <f aca="false">AA1296-W1296</f>
        <v>-0.000441696105325343</v>
      </c>
      <c r="AE1296" s="16" t="n">
        <f aca="false">AB1296-W1296</f>
        <v>-0.000531220709691105</v>
      </c>
      <c r="AF1296" s="16" t="n">
        <f aca="false">AE1296-X1296</f>
        <v>-0.00056897495520341</v>
      </c>
      <c r="AG1296" s="16" t="n">
        <f aca="false">AF1296-p_spc_lo*Y1296/1000</f>
        <v>-0.000589461755093808</v>
      </c>
      <c r="AH1296" s="16" t="n">
        <f aca="false">AF1296-p_spc_hi*Y1296/1000</f>
        <v>-0.000609948554984206</v>
      </c>
      <c r="AI1296" s="16" t="n">
        <f aca="false">Q1296*J1296</f>
        <v>0.000558164423001287</v>
      </c>
      <c r="AJ1296" s="16" t="n">
        <f aca="false">S1296*J1296</f>
        <v>0.000381575029070812</v>
      </c>
      <c r="AK1296" s="16" t="n">
        <f aca="false">T1296*J1296</f>
        <v>0.00259499465278375</v>
      </c>
      <c r="AL1296" s="16" t="n">
        <f aca="false">U1296*J1296</f>
        <v>0.00015730935630127</v>
      </c>
      <c r="AM1296" s="16" t="n">
        <f aca="false">AI1296-AJ1296</f>
        <v>0.000176589393930475</v>
      </c>
      <c r="AN1296" s="16" t="n">
        <f aca="false">J1296*Country_Data!$EB$189</f>
        <v>0.00559945802614271</v>
      </c>
      <c r="AO1296" s="16" t="n">
        <f aca="false">L1296*Country_Data!$EB$189</f>
        <v>0.00134386992627425</v>
      </c>
    </row>
    <row r="1297" customFormat="false" ht="15" hidden="false" customHeight="false" outlineLevel="0" collapsed="false">
      <c r="A1297" s="14" t="str">
        <f aca="false">Country_Data!$A$189</f>
        <v>VCT</v>
      </c>
      <c r="B1297" s="14" t="str">
        <f aca="false">Country_Data!$E$189</f>
        <v>EMDC</v>
      </c>
      <c r="C1297" s="35" t="s">
        <v>481</v>
      </c>
      <c r="D1297" s="37" t="n">
        <f aca="false">IF(Country_Data!$CC$189="","",Country_Data!$CC$189)</f>
        <v>0.0013168022872047</v>
      </c>
      <c r="E1297" s="40" t="n">
        <f aca="false">Country_Data!$BW$189</f>
        <v>2.174</v>
      </c>
      <c r="F1297" s="41" t="n">
        <f aca="false">Country_Data!$BX$189</f>
        <v>0.517939282428703</v>
      </c>
      <c r="G1297" s="42" t="n">
        <f aca="false">IF(D1297="","",D1297/SUMIFS($D$5:$D$1369,$B$5:$B$1369,B1297,$C$5:$C$1369,C1297))</f>
        <v>1.88095110953553E-005</v>
      </c>
      <c r="H1297" s="42" t="n">
        <f aca="false">E1297/SUMIFS($E$5:$E$1369,$B$5:$B$1369,B1297,$C$5:$C$1369,C1297)</f>
        <v>2.6928639971144E-005</v>
      </c>
      <c r="I1297" s="43" t="n">
        <f aca="false">IF(G1297="",H1297,p_beta_alloc*G1297+(1-p_beta_alloc)*H1297)*F1297^p_phi</f>
        <v>1.64584159624579E-005</v>
      </c>
      <c r="J1297" s="16" t="n">
        <f aca="false">INDEX(Sector_Params!$C$20:$E$20,MATCH(B1297,Sector_Params!$C$15:$E$15,0))*I1297/SUMIFS($I$5:$I$1369,$B$5:$B$1369,B1297,$C$5:$C$1369,C1297)</f>
        <v>0.00300399234757773</v>
      </c>
      <c r="K1297" s="28" t="n">
        <f aca="false">INDEX(Sector_Params!$F$9:$H$9,MATCH(B1297,Sector_Params!$C$15:$E$15,0))</f>
        <v>0.24</v>
      </c>
      <c r="L1297" s="16" t="n">
        <f aca="false">J1297*K1297</f>
        <v>0.000720958163418655</v>
      </c>
      <c r="M1297" s="44" t="n">
        <f aca="false">Country_Data!$DW$189+Sector_Params!$E$9</f>
        <v>0.105</v>
      </c>
      <c r="N1297" s="44" t="n">
        <f aca="false">Country_Data!$DX$189+Sector_Params!$E$9</f>
        <v>0.15</v>
      </c>
      <c r="O1297" s="11" t="n">
        <f aca="false">IF(p_use_ibrd=1,p_r_ibrd,p_r_wb)</f>
        <v>0.06</v>
      </c>
      <c r="P1297" s="45" t="n">
        <f aca="false">Sector_Params!$D$9</f>
        <v>25</v>
      </c>
      <c r="Q1297" s="46" t="n">
        <f aca="false">M1297/(1-(1+M1297)^-P1297)</f>
        <v>0.114429319813103</v>
      </c>
      <c r="R1297" s="46" t="n">
        <f aca="false">N1297/(1-(1+N1297)^-P1297)</f>
        <v>0.154699402320206</v>
      </c>
      <c r="S1297" s="46" t="n">
        <f aca="false">O1297/(1-(1+O1297)^-P1297)</f>
        <v>0.078226718212274</v>
      </c>
      <c r="T1297" s="37" t="n">
        <f aca="false">Country_Data!$CM$189*Sector_Params!$I$9</f>
        <v>0.532</v>
      </c>
      <c r="U1297" s="37" t="n">
        <f aca="false">Country_Data!$CN$189*Sector_Params!$J$9</f>
        <v>0.03225</v>
      </c>
      <c r="V1297" s="37" t="n">
        <f aca="false">p_a</f>
        <v>0.35</v>
      </c>
      <c r="W1297" s="16" t="n">
        <f aca="false">T1297*L1297</f>
        <v>0.000383549742938724</v>
      </c>
      <c r="X1297" s="16" t="n">
        <f aca="false">U1297*L1297</f>
        <v>2.32509007702516E-005</v>
      </c>
      <c r="Y1297" s="16" t="n">
        <f aca="false">V1297*L1297</f>
        <v>0.000252335357196529</v>
      </c>
      <c r="Z1297" s="16" t="n">
        <f aca="false">Q1297*L1297</f>
        <v>8.24987522537008E-005</v>
      </c>
      <c r="AA1297" s="16" t="n">
        <f aca="false">R1297*L1297</f>
        <v>0.00011153179697874</v>
      </c>
      <c r="AB1297" s="16" t="n">
        <f aca="false">S1297*L1297</f>
        <v>5.63981910925896E-005</v>
      </c>
      <c r="AC1297" s="16" t="n">
        <f aca="false">Z1297-W1297</f>
        <v>-0.000301050990685023</v>
      </c>
      <c r="AD1297" s="16" t="n">
        <f aca="false">AA1297-W1297</f>
        <v>-0.000272017945959985</v>
      </c>
      <c r="AE1297" s="16" t="n">
        <f aca="false">AB1297-W1297</f>
        <v>-0.000327151551846135</v>
      </c>
      <c r="AF1297" s="16" t="n">
        <f aca="false">AE1297-X1297</f>
        <v>-0.000350402452616386</v>
      </c>
      <c r="AG1297" s="16" t="n">
        <f aca="false">AF1297-p_spc_lo*Y1297/1000</f>
        <v>-0.000363019220476213</v>
      </c>
      <c r="AH1297" s="16" t="n">
        <f aca="false">AF1297-p_spc_hi*Y1297/1000</f>
        <v>-0.000375635988336039</v>
      </c>
      <c r="AI1297" s="16" t="n">
        <f aca="false">Q1297*J1297</f>
        <v>0.000343744801057087</v>
      </c>
      <c r="AJ1297" s="16" t="n">
        <f aca="false">S1297*J1297</f>
        <v>0.00023499246288579</v>
      </c>
      <c r="AK1297" s="16" t="n">
        <f aca="false">T1297*J1297</f>
        <v>0.00159812392891135</v>
      </c>
      <c r="AL1297" s="16" t="n">
        <f aca="false">U1297*J1297</f>
        <v>9.68787532093817E-005</v>
      </c>
      <c r="AM1297" s="16" t="n">
        <f aca="false">AI1297-AJ1297</f>
        <v>0.000108752338171297</v>
      </c>
      <c r="AN1297" s="16" t="n">
        <f aca="false">J1297*Country_Data!$EB$189</f>
        <v>0.00344841861269882</v>
      </c>
      <c r="AO1297" s="16" t="n">
        <f aca="false">L1297*Country_Data!$EB$189</f>
        <v>0.000827620467047716</v>
      </c>
    </row>
    <row r="1298" customFormat="false" ht="15" hidden="false" customHeight="false" outlineLevel="0" collapsed="false">
      <c r="A1298" s="14" t="str">
        <f aca="false">Country_Data!$A$189</f>
        <v>VCT</v>
      </c>
      <c r="B1298" s="14" t="str">
        <f aca="false">Country_Data!$E$189</f>
        <v>EMDC</v>
      </c>
      <c r="C1298" s="35" t="s">
        <v>484</v>
      </c>
      <c r="D1298" s="37" t="n">
        <f aca="false">IF(Country_Data!$CD$189="","",Country_Data!$CD$189)</f>
        <v>0.0033244374280417</v>
      </c>
      <c r="E1298" s="40" t="n">
        <f aca="false">Country_Data!$BW$189</f>
        <v>2.174</v>
      </c>
      <c r="F1298" s="41" t="n">
        <f aca="false">Country_Data!$BX$189</f>
        <v>0.517939282428703</v>
      </c>
      <c r="G1298" s="42" t="n">
        <f aca="false">IF(D1298="","",D1298/SUMIFS($D$5:$D$1369,$B$5:$B$1369,B1298,$C$5:$C$1369,C1298))</f>
        <v>1.85648730794351E-005</v>
      </c>
      <c r="H1298" s="42" t="n">
        <f aca="false">E1298/SUMIFS($E$5:$E$1369,$B$5:$B$1369,B1298,$C$5:$C$1369,C1298)</f>
        <v>2.6928639971144E-005</v>
      </c>
      <c r="I1298" s="43" t="n">
        <f aca="false">IF(G1298="",H1298,p_beta_alloc*G1298+(1-p_beta_alloc)*H1298)*F1298^p_phi</f>
        <v>1.63703854205063E-005</v>
      </c>
      <c r="J1298" s="16" t="n">
        <f aca="false">INDEX(Sector_Params!$C$21:$E$21,MATCH(B1298,Sector_Params!$C$15:$E$15,0))*I1298/SUMIFS($I$5:$I$1369,$B$5:$B$1369,B1298,$C$5:$C$1369,C1298)</f>
        <v>0.0036307849381815</v>
      </c>
      <c r="K1298" s="28" t="n">
        <f aca="false">INDEX(Sector_Params!$F$10:$H$10,MATCH(B1298,Sector_Params!$C$15:$E$15,0))</f>
        <v>0.24</v>
      </c>
      <c r="L1298" s="16" t="n">
        <f aca="false">J1298*K1298</f>
        <v>0.000871388385163559</v>
      </c>
      <c r="M1298" s="44" t="n">
        <f aca="false">Country_Data!$DW$189+Sector_Params!$E$10</f>
        <v>0.105</v>
      </c>
      <c r="N1298" s="44" t="n">
        <f aca="false">Country_Data!$DX$189+Sector_Params!$E$10</f>
        <v>0.15</v>
      </c>
      <c r="O1298" s="11" t="n">
        <f aca="false">IF(p_use_ibrd=1,p_r_ibrd,p_r_wb)</f>
        <v>0.06</v>
      </c>
      <c r="P1298" s="45" t="n">
        <f aca="false">Sector_Params!$D$10</f>
        <v>20</v>
      </c>
      <c r="Q1298" s="46" t="n">
        <f aca="false">M1298/(1-(1+M1298)^-P1298)</f>
        <v>0.121493265267016</v>
      </c>
      <c r="R1298" s="46" t="n">
        <f aca="false">N1298/(1-(1+N1298)^-P1298)</f>
        <v>0.159761470405744</v>
      </c>
      <c r="S1298" s="46" t="n">
        <f aca="false">O1298/(1-(1+O1298)^-P1298)</f>
        <v>0.0871845569768514</v>
      </c>
      <c r="T1298" s="37" t="n">
        <f aca="false">0*Sector_Params!$I$10</f>
        <v>0</v>
      </c>
      <c r="U1298" s="37" t="n">
        <f aca="false">0*Sector_Params!$J$10</f>
        <v>0</v>
      </c>
      <c r="V1298" s="37" t="n">
        <f aca="false">1000*p_r_wb/(1-(1+p_r_wb)^-Sector_Params!$D$10)/p_cpt_fuel</f>
        <v>0.871845569768514</v>
      </c>
      <c r="W1298" s="16" t="n">
        <f aca="false">T1298*L1298</f>
        <v>0</v>
      </c>
      <c r="X1298" s="16" t="n">
        <f aca="false">U1298*L1298</f>
        <v>0</v>
      </c>
      <c r="Y1298" s="16" t="n">
        <f aca="false">V1298*L1298</f>
        <v>0.000759716103152588</v>
      </c>
      <c r="Z1298" s="16" t="n">
        <f aca="false">Q1298*L1298</f>
        <v>0.000105867820229273</v>
      </c>
      <c r="AA1298" s="16" t="n">
        <f aca="false">R1298*L1298</f>
        <v>0.000139214289708217</v>
      </c>
      <c r="AB1298" s="16" t="n">
        <f aca="false">S1298*L1298</f>
        <v>7.59716103152588E-005</v>
      </c>
      <c r="AC1298" s="16" t="n">
        <f aca="false">Z1298-W1298</f>
        <v>0.000105867820229273</v>
      </c>
      <c r="AD1298" s="16" t="n">
        <f aca="false">AA1298-W1298</f>
        <v>0.000139214289708217</v>
      </c>
      <c r="AE1298" s="16" t="n">
        <f aca="false">AB1298-W1298</f>
        <v>7.59716103152588E-005</v>
      </c>
      <c r="AF1298" s="16" t="n">
        <f aca="false">AE1298-X1298</f>
        <v>7.59716103152588E-005</v>
      </c>
      <c r="AG1298" s="16" t="n">
        <f aca="false">AF1298-p_spc_lo*Y1298/1000</f>
        <v>3.79858051576294E-005</v>
      </c>
      <c r="AH1298" s="16" t="n">
        <f aca="false">AF1298-p_spc_hi*Y1298/1000</f>
        <v>0</v>
      </c>
      <c r="AI1298" s="16" t="n">
        <f aca="false">Q1298*J1298</f>
        <v>0.000441115917621971</v>
      </c>
      <c r="AJ1298" s="16" t="n">
        <f aca="false">S1298*J1298</f>
        <v>0.000316548376313578</v>
      </c>
      <c r="AK1298" s="16" t="n">
        <f aca="false">T1298*J1298</f>
        <v>0</v>
      </c>
      <c r="AL1298" s="16" t="n">
        <f aca="false">U1298*J1298</f>
        <v>0</v>
      </c>
      <c r="AM1298" s="16" t="n">
        <f aca="false">AI1298-AJ1298</f>
        <v>0.000124567541308393</v>
      </c>
      <c r="AN1298" s="16" t="n">
        <f aca="false">J1298*Country_Data!$EB$189</f>
        <v>0.00416794216191246</v>
      </c>
      <c r="AO1298" s="16" t="n">
        <f aca="false">L1298*Country_Data!$EB$189</f>
        <v>0.00100030611885899</v>
      </c>
    </row>
    <row r="1299" customFormat="false" ht="15" hidden="false" customHeight="false" outlineLevel="0" collapsed="false">
      <c r="A1299" s="14" t="str">
        <f aca="false">Country_Data!$A$189</f>
        <v>VCT</v>
      </c>
      <c r="B1299" s="14" t="str">
        <f aca="false">Country_Data!$E$189</f>
        <v>EMDC</v>
      </c>
      <c r="C1299" s="35" t="s">
        <v>488</v>
      </c>
      <c r="D1299" s="37" t="n">
        <f aca="false">IF(Country_Data!$CE$189="","",Country_Data!$CE$189)</f>
        <v>0.069</v>
      </c>
      <c r="E1299" s="40" t="n">
        <f aca="false">Country_Data!$BW$189</f>
        <v>2.174</v>
      </c>
      <c r="F1299" s="41" t="n">
        <f aca="false">Country_Data!$BX$189</f>
        <v>0.517939282428703</v>
      </c>
      <c r="G1299" s="42" t="n">
        <f aca="false">IF(D1299="","",D1299/SUMIFS($D$5:$D$1369,$B$5:$B$1369,B1299,$C$5:$C$1369,C1299))</f>
        <v>5.6538330119935E-006</v>
      </c>
      <c r="H1299" s="42" t="n">
        <f aca="false">E1299/SUMIFS($E$5:$E$1369,$B$5:$B$1369,B1299,$C$5:$C$1369,C1299)</f>
        <v>2.6928639971144E-005</v>
      </c>
      <c r="I1299" s="43" t="n">
        <f aca="false">IF(G1299="",H1299,p_beta_alloc*G1299+(1-p_beta_alloc)*H1299)*F1299^p_phi</f>
        <v>1.17244768522093E-005</v>
      </c>
      <c r="J1299" s="16" t="n">
        <f aca="false">INDEX(Sector_Params!$C$22:$E$22,MATCH(B1299,Sector_Params!$C$15:$E$15,0))*I1299/SUMIFS($I$5:$I$1369,$B$5:$B$1369,B1299,$C$5:$C$1369,C1299)</f>
        <v>0.00706761299399005</v>
      </c>
      <c r="K1299" s="28" t="n">
        <f aca="false">INDEX(Sector_Params!$F$11:$H$11,MATCH(B1299,Sector_Params!$C$15:$E$15,0))</f>
        <v>0.24</v>
      </c>
      <c r="L1299" s="16" t="n">
        <f aca="false">J1299*K1299</f>
        <v>0.00169622711855761</v>
      </c>
      <c r="M1299" s="44" t="n">
        <f aca="false">Country_Data!$DW$189+Sector_Params!$E$11</f>
        <v>0.105</v>
      </c>
      <c r="N1299" s="44" t="n">
        <f aca="false">Country_Data!$DX$189+Sector_Params!$E$11</f>
        <v>0.15</v>
      </c>
      <c r="O1299" s="11" t="n">
        <f aca="false">IF(p_use_ibrd=1,p_r_ibrd,p_r_wb)</f>
        <v>0.06</v>
      </c>
      <c r="P1299" s="45" t="n">
        <f aca="false">Sector_Params!$D$11</f>
        <v>30</v>
      </c>
      <c r="Q1299" s="46" t="n">
        <f aca="false">M1299/(1-(1+M1299)^-P1299)</f>
        <v>0.110528481529605</v>
      </c>
      <c r="R1299" s="46" t="n">
        <f aca="false">N1299/(1-(1+N1299)^-P1299)</f>
        <v>0.152300198192734</v>
      </c>
      <c r="S1299" s="46" t="n">
        <f aca="false">O1299/(1-(1+O1299)^-P1299)</f>
        <v>0.0726489114900472</v>
      </c>
      <c r="T1299" s="37" t="n">
        <f aca="false">0*Sector_Params!$I$11</f>
        <v>0</v>
      </c>
      <c r="U1299" s="37" t="n">
        <f aca="false">p_c*Sector_Params!$J$11</f>
        <v>0.129</v>
      </c>
      <c r="V1299" s="37" t="n">
        <f aca="false">1000*p_r_wb/(1-(1+p_r_wb)^-Sector_Params!$D$11)/p_cpt_afolu</f>
        <v>1.45297822980094</v>
      </c>
      <c r="W1299" s="16" t="n">
        <f aca="false">T1299*L1299</f>
        <v>0</v>
      </c>
      <c r="X1299" s="16" t="n">
        <f aca="false">U1299*L1299</f>
        <v>0.000218813298293932</v>
      </c>
      <c r="Y1299" s="16" t="n">
        <f aca="false">V1299*L1299</f>
        <v>0.0024645810760622</v>
      </c>
      <c r="Z1299" s="16" t="n">
        <f aca="false">Q1299*L1299</f>
        <v>0.00018748140774351</v>
      </c>
      <c r="AA1299" s="16" t="n">
        <f aca="false">R1299*L1299</f>
        <v>0.000258335726336215</v>
      </c>
      <c r="AB1299" s="16" t="n">
        <f aca="false">S1299*L1299</f>
        <v>0.00012322905380311</v>
      </c>
      <c r="AC1299" s="16" t="n">
        <f aca="false">Z1299-W1299</f>
        <v>0.00018748140774351</v>
      </c>
      <c r="AD1299" s="16" t="n">
        <f aca="false">AA1299-W1299</f>
        <v>0.000258335726336215</v>
      </c>
      <c r="AE1299" s="16" t="n">
        <f aca="false">AB1299-W1299</f>
        <v>0.00012322905380311</v>
      </c>
      <c r="AF1299" s="16" t="n">
        <f aca="false">AE1299-X1299</f>
        <v>-9.55842444908222E-005</v>
      </c>
      <c r="AG1299" s="16" t="n">
        <f aca="false">AF1299-p_spc_lo*Y1299/1000</f>
        <v>-0.000218813298293932</v>
      </c>
      <c r="AH1299" s="16" t="n">
        <f aca="false">AF1299-p_spc_hi*Y1299/1000</f>
        <v>-0.000342042352097042</v>
      </c>
      <c r="AI1299" s="16" t="n">
        <f aca="false">Q1299*J1299</f>
        <v>0.000781172532264627</v>
      </c>
      <c r="AJ1299" s="16" t="n">
        <f aca="false">S1299*J1299</f>
        <v>0.000513454390846291</v>
      </c>
      <c r="AK1299" s="16" t="n">
        <f aca="false">T1299*J1299</f>
        <v>0</v>
      </c>
      <c r="AL1299" s="16" t="n">
        <f aca="false">U1299*J1299</f>
        <v>0.000911722076224717</v>
      </c>
      <c r="AM1299" s="16" t="n">
        <f aca="false">AI1299-AJ1299</f>
        <v>0.000267718141418336</v>
      </c>
      <c r="AN1299" s="16" t="n">
        <f aca="false">J1299*Country_Data!$EB$189</f>
        <v>0.00811323245063516</v>
      </c>
      <c r="AO1299" s="16" t="n">
        <f aca="false">L1299*Country_Data!$EB$189</f>
        <v>0.00194717578815244</v>
      </c>
    </row>
    <row r="1300" customFormat="false" ht="15" hidden="false" customHeight="false" outlineLevel="0" collapsed="false">
      <c r="A1300" s="14" t="str">
        <f aca="false">Country_Data!$A$190</f>
        <v>KNA</v>
      </c>
      <c r="B1300" s="14" t="str">
        <f aca="false">Country_Data!$E$190</f>
        <v>EMDC</v>
      </c>
      <c r="C1300" s="35" t="s">
        <v>466</v>
      </c>
      <c r="D1300" s="37" t="n">
        <f aca="false">IF(Country_Data!$BZ$190="","",Country_Data!$BZ$190)</f>
        <v>0.185229043998871</v>
      </c>
      <c r="E1300" s="40" t="n">
        <f aca="false">Country_Data!$BW$190</f>
        <v>1.654</v>
      </c>
      <c r="F1300" s="41" t="n">
        <f aca="false">Country_Data!$BX$190</f>
        <v>0.635429262394196</v>
      </c>
      <c r="G1300" s="42" t="n">
        <f aca="false">IF(D1300="","",D1300/SUMIFS($D$5:$D$1369,$B$5:$B$1369,B1300,$C$5:$C$1369,C1300))</f>
        <v>2.11461432064093E-005</v>
      </c>
      <c r="H1300" s="42" t="n">
        <f aca="false">E1300/SUMIFS($E$5:$E$1369,$B$5:$B$1369,B1300,$C$5:$C$1369,C1300)</f>
        <v>2.04875669329679E-005</v>
      </c>
      <c r="I1300" s="43" t="n">
        <f aca="false">IF(G1300="",H1300,p_beta_alloc*G1300+(1-p_beta_alloc)*H1300)*F1300^p_phi</f>
        <v>1.65939097596275E-005</v>
      </c>
      <c r="J1300" s="16" t="n">
        <f aca="false">INDEX(Sector_Params!$C$16:$E$16,MATCH(B1300,Sector_Params!$C$15:$E$15,0))*I1300/SUMIFS($I$5:$I$1369,$B$5:$B$1369,B1300,$C$5:$C$1369,C1300)</f>
        <v>0.0160500502113949</v>
      </c>
      <c r="K1300" s="28" t="n">
        <f aca="false">INDEX(Sector_Params!$F$5:$H$5,MATCH(B1300,Sector_Params!$C$15:$E$15,0))</f>
        <v>0.24</v>
      </c>
      <c r="L1300" s="16" t="n">
        <f aca="false">J1300*K1300</f>
        <v>0.00385201205073477</v>
      </c>
      <c r="M1300" s="44" t="n">
        <f aca="false">Country_Data!$DW$190+Sector_Params!$E$5</f>
        <v>0.105</v>
      </c>
      <c r="N1300" s="44" t="n">
        <f aca="false">Country_Data!$DX$190+Sector_Params!$E$5</f>
        <v>0.15</v>
      </c>
      <c r="O1300" s="11" t="n">
        <f aca="false">IF(p_use_ibrd=1,p_r_ibrd,p_r_wb)</f>
        <v>0.06</v>
      </c>
      <c r="P1300" s="45" t="n">
        <f aca="false">Sector_Params!$D$5</f>
        <v>25</v>
      </c>
      <c r="Q1300" s="46" t="n">
        <f aca="false">M1300/(1-(1+M1300)^-P1300)</f>
        <v>0.114429319813103</v>
      </c>
      <c r="R1300" s="46" t="n">
        <f aca="false">N1300/(1-(1+N1300)^-P1300)</f>
        <v>0.154699402320206</v>
      </c>
      <c r="S1300" s="46" t="n">
        <f aca="false">O1300/(1-(1+O1300)^-P1300)</f>
        <v>0.078226718212274</v>
      </c>
      <c r="T1300" s="37" t="n">
        <f aca="false">IF(AND(p_eng=1,ISNUMBER(Country_Data!$CZ$190)),Country_Data!$CZ$190,Country_Data!$CM$190)*Sector_Params!$I$5</f>
        <v>0.283249376226477</v>
      </c>
      <c r="U1300" s="37" t="n">
        <f aca="false">IF(AND(p_eng=1,ISNUMBER(Country_Data!$DA$190)),Country_Data!$DA$190,Country_Data!$CN$190)*Sector_Params!$J$5</f>
        <v>0</v>
      </c>
      <c r="V1300" s="37" t="n">
        <f aca="false">IF(AND(p_eng=1,ISNUMBER(Country_Data!$DB$190)),Country_Data!$DB$190,p_a)</f>
        <v>1.70762615536968</v>
      </c>
      <c r="W1300" s="16" t="n">
        <f aca="false">T1300*L1300</f>
        <v>0.0010910800105875</v>
      </c>
      <c r="X1300" s="16" t="n">
        <f aca="false">U1300*L1300</f>
        <v>0</v>
      </c>
      <c r="Y1300" s="16" t="n">
        <f aca="false">V1300*L1300</f>
        <v>0.00657779652863391</v>
      </c>
      <c r="Z1300" s="16" t="n">
        <f aca="false">Q1300*L1300</f>
        <v>0.000440783118877457</v>
      </c>
      <c r="AA1300" s="16" t="n">
        <f aca="false">R1300*L1300</f>
        <v>0.000595903961978902</v>
      </c>
      <c r="AB1300" s="16" t="n">
        <f aca="false">S1300*L1300</f>
        <v>0.000301330261243113</v>
      </c>
      <c r="AC1300" s="16" t="n">
        <f aca="false">Z1300-W1300</f>
        <v>-0.00065029689171004</v>
      </c>
      <c r="AD1300" s="16" t="n">
        <f aca="false">AA1300-W1300</f>
        <v>-0.000495176048608595</v>
      </c>
      <c r="AE1300" s="16" t="n">
        <f aca="false">AB1300-W1300</f>
        <v>-0.000789749749344384</v>
      </c>
      <c r="AF1300" s="16" t="n">
        <f aca="false">AE1300-X1300</f>
        <v>-0.000789749749344384</v>
      </c>
      <c r="AG1300" s="16" t="n">
        <f aca="false">AF1300-p_spc_lo*Y1300/1000</f>
        <v>-0.00111863957577608</v>
      </c>
      <c r="AH1300" s="16" t="n">
        <f aca="false">AF1300-p_spc_hi*Y1300/1000</f>
        <v>-0.00144752940220778</v>
      </c>
      <c r="AI1300" s="16" t="n">
        <f aca="false">Q1300*J1300</f>
        <v>0.00183659632865607</v>
      </c>
      <c r="AJ1300" s="16" t="n">
        <f aca="false">S1300*J1300</f>
        <v>0.00125554275517964</v>
      </c>
      <c r="AK1300" s="16" t="n">
        <f aca="false">T1300*J1300</f>
        <v>0.00454616671078124</v>
      </c>
      <c r="AL1300" s="16" t="n">
        <f aca="false">U1300*J1300</f>
        <v>0</v>
      </c>
      <c r="AM1300" s="16" t="n">
        <f aca="false">AI1300-AJ1300</f>
        <v>0.000581053573476436</v>
      </c>
      <c r="AN1300" s="16" t="n">
        <f aca="false">J1300*Country_Data!$EB$190</f>
        <v>0.0184245781878752</v>
      </c>
      <c r="AO1300" s="16" t="n">
        <f aca="false">L1300*Country_Data!$EB$190</f>
        <v>0.00442189876509005</v>
      </c>
    </row>
    <row r="1301" customFormat="false" ht="15" hidden="false" customHeight="false" outlineLevel="0" collapsed="false">
      <c r="A1301" s="14" t="str">
        <f aca="false">Country_Data!$A$190</f>
        <v>KNA</v>
      </c>
      <c r="B1301" s="14" t="str">
        <f aca="false">Country_Data!$E$190</f>
        <v>EMDC</v>
      </c>
      <c r="C1301" s="35" t="s">
        <v>470</v>
      </c>
      <c r="D1301" s="37" t="n">
        <f aca="false">IF(Country_Data!$BZ$190="","",Country_Data!$BZ$190)</f>
        <v>0.185229043998871</v>
      </c>
      <c r="E1301" s="40" t="n">
        <f aca="false">Country_Data!$BW$190</f>
        <v>1.654</v>
      </c>
      <c r="F1301" s="41" t="n">
        <f aca="false">Country_Data!$BX$190</f>
        <v>0.635429262394196</v>
      </c>
      <c r="G1301" s="42" t="n">
        <f aca="false">IF(D1301="","",D1301/SUMIFS($D$5:$D$1369,$B$5:$B$1369,B1301,$C$5:$C$1369,C1301))</f>
        <v>2.11461432064093E-005</v>
      </c>
      <c r="H1301" s="42" t="n">
        <f aca="false">E1301/SUMIFS($E$5:$E$1369,$B$5:$B$1369,B1301,$C$5:$C$1369,C1301)</f>
        <v>2.04875669329679E-005</v>
      </c>
      <c r="I1301" s="43" t="n">
        <f aca="false">IF(G1301="",H1301,p_beta_alloc*G1301+(1-p_beta_alloc)*H1301)*F1301^p_phi</f>
        <v>1.65939097596275E-005</v>
      </c>
      <c r="J1301" s="16" t="n">
        <f aca="false">INDEX(Sector_Params!$C$17:$E$17,MATCH(B1301,Sector_Params!$C$15:$E$15,0))*I1301/SUMIFS($I$5:$I$1369,$B$5:$B$1369,B1301,$C$5:$C$1369,C1301)</f>
        <v>0.0110057487163851</v>
      </c>
      <c r="K1301" s="28" t="n">
        <f aca="false">INDEX(Sector_Params!$F$6:$H$6,MATCH(B1301,Sector_Params!$C$15:$E$15,0))</f>
        <v>0.24</v>
      </c>
      <c r="L1301" s="16" t="n">
        <f aca="false">J1301*K1301</f>
        <v>0.00264137969193241</v>
      </c>
      <c r="M1301" s="44" t="n">
        <f aca="false">Country_Data!$DW$190+Sector_Params!$E$6</f>
        <v>0.105</v>
      </c>
      <c r="N1301" s="44" t="n">
        <f aca="false">Country_Data!$DX$190+Sector_Params!$E$6</f>
        <v>0.15</v>
      </c>
      <c r="O1301" s="11" t="n">
        <f aca="false">IF(p_use_ibrd=1,p_r_ibrd,p_r_wb)</f>
        <v>0.06</v>
      </c>
      <c r="P1301" s="45" t="n">
        <f aca="false">Sector_Params!$D$6</f>
        <v>40</v>
      </c>
      <c r="Q1301" s="46" t="n">
        <f aca="false">M1301/(1-(1+M1301)^-P1301)</f>
        <v>0.10697140835497</v>
      </c>
      <c r="R1301" s="46" t="n">
        <f aca="false">N1301/(1-(1+N1301)^-P1301)</f>
        <v>0.150562085013545</v>
      </c>
      <c r="S1301" s="46" t="n">
        <f aca="false">O1301/(1-(1+O1301)^-P1301)</f>
        <v>0.0664615359206755</v>
      </c>
      <c r="T1301" s="37" t="n">
        <f aca="false">p_grid_credit*IF(AND(p_eng=1,ISNUMBER(Country_Data!$CZ$190)),Country_Data!$CZ$190,Country_Data!$CM$190)*Sector_Params!$I$6</f>
        <v>0</v>
      </c>
      <c r="U1301" s="37" t="n">
        <f aca="false">p_grid_credit*IF(AND(p_eng=1,ISNUMBER(Country_Data!$DA$190)),Country_Data!$DA$190,Country_Data!$CN$190)*Sector_Params!$J$6</f>
        <v>0</v>
      </c>
      <c r="V1301" s="37" t="n">
        <f aca="false">p_grid_credit*IF(AND(p_eng=1,ISNUMBER(Country_Data!$DB$190)),Country_Data!$DB$190,p_a)</f>
        <v>0</v>
      </c>
      <c r="W1301" s="16" t="n">
        <f aca="false">T1301*L1301</f>
        <v>0</v>
      </c>
      <c r="X1301" s="16" t="n">
        <f aca="false">U1301*L1301</f>
        <v>0</v>
      </c>
      <c r="Y1301" s="16" t="n">
        <f aca="false">V1301*L1301</f>
        <v>0</v>
      </c>
      <c r="Z1301" s="16" t="n">
        <f aca="false">Q1301*L1301</f>
        <v>0.000282552105646228</v>
      </c>
      <c r="AA1301" s="16" t="n">
        <f aca="false">R1301*L1301</f>
        <v>0.000397691633729779</v>
      </c>
      <c r="AB1301" s="16" t="n">
        <f aca="false">S1301*L1301</f>
        <v>0.000175550151275509</v>
      </c>
      <c r="AC1301" s="16" t="n">
        <f aca="false">Z1301-W1301</f>
        <v>0.000282552105646228</v>
      </c>
      <c r="AD1301" s="16" t="n">
        <f aca="false">AA1301-W1301</f>
        <v>0.000397691633729779</v>
      </c>
      <c r="AE1301" s="16" t="n">
        <f aca="false">AB1301-W1301</f>
        <v>0.000175550151275509</v>
      </c>
      <c r="AF1301" s="16" t="n">
        <f aca="false">AE1301-X1301</f>
        <v>0.000175550151275509</v>
      </c>
      <c r="AG1301" s="16" t="n">
        <f aca="false">AF1301-p_spc_lo*Y1301/1000</f>
        <v>0.000175550151275509</v>
      </c>
      <c r="AH1301" s="16" t="n">
        <f aca="false">AF1301-p_spc_hi*Y1301/1000</f>
        <v>0.000175550151275509</v>
      </c>
      <c r="AI1301" s="16" t="n">
        <f aca="false">Q1301*J1301</f>
        <v>0.00117730044019262</v>
      </c>
      <c r="AJ1301" s="16" t="n">
        <f aca="false">S1301*J1301</f>
        <v>0.000731458963647954</v>
      </c>
      <c r="AK1301" s="16" t="n">
        <f aca="false">T1301*J1301</f>
        <v>0</v>
      </c>
      <c r="AL1301" s="16" t="n">
        <f aca="false">U1301*J1301</f>
        <v>0</v>
      </c>
      <c r="AM1301" s="16" t="n">
        <f aca="false">AI1301-AJ1301</f>
        <v>0.000445841476544663</v>
      </c>
      <c r="AN1301" s="16" t="n">
        <f aca="false">J1301*Country_Data!$EB$190</f>
        <v>0.0126339964716859</v>
      </c>
      <c r="AO1301" s="16" t="n">
        <f aca="false">L1301*Country_Data!$EB$190</f>
        <v>0.00303215915320461</v>
      </c>
    </row>
    <row r="1302" customFormat="false" ht="15" hidden="false" customHeight="false" outlineLevel="0" collapsed="false">
      <c r="A1302" s="14" t="str">
        <f aca="false">Country_Data!$A$190</f>
        <v>KNA</v>
      </c>
      <c r="B1302" s="14" t="str">
        <f aca="false">Country_Data!$E$190</f>
        <v>EMDC</v>
      </c>
      <c r="C1302" s="35" t="s">
        <v>473</v>
      </c>
      <c r="D1302" s="37" t="n">
        <f aca="false">IF(Country_Data!$CA$190="","",Country_Data!$CA$190)</f>
        <v>0.00332667498202574</v>
      </c>
      <c r="E1302" s="40" t="n">
        <f aca="false">Country_Data!$BW$190</f>
        <v>1.654</v>
      </c>
      <c r="F1302" s="41" t="n">
        <f aca="false">Country_Data!$BX$190</f>
        <v>0.635429262394196</v>
      </c>
      <c r="G1302" s="42" t="n">
        <f aca="false">IF(D1302="","",D1302/SUMIFS($D$5:$D$1369,$B$5:$B$1369,B1302,$C$5:$C$1369,C1302))</f>
        <v>7.68539323074137E-005</v>
      </c>
      <c r="H1302" s="42" t="n">
        <f aca="false">E1302/SUMIFS($E$5:$E$1369,$B$5:$B$1369,B1302,$C$5:$C$1369,C1302)</f>
        <v>2.04875669329679E-005</v>
      </c>
      <c r="I1302" s="43" t="n">
        <f aca="false">IF(G1302="",H1302,p_beta_alloc*G1302+(1-p_beta_alloc)*H1302)*F1302^p_phi</f>
        <v>3.87973122946353E-005</v>
      </c>
      <c r="J1302" s="16" t="n">
        <f aca="false">INDEX(Sector_Params!$C$18:$E$18,MATCH(B1302,Sector_Params!$C$15:$E$15,0))*I1302/SUMIFS($I$5:$I$1369,$B$5:$B$1369,B1302,$C$5:$C$1369,C1302)</f>
        <v>0.0158865813931317</v>
      </c>
      <c r="K1302" s="28" t="n">
        <f aca="false">INDEX(Sector_Params!$F$7:$H$7,MATCH(B1302,Sector_Params!$C$15:$E$15,0))</f>
        <v>0.24</v>
      </c>
      <c r="L1302" s="16" t="n">
        <f aca="false">J1302*K1302</f>
        <v>0.00381277953435162</v>
      </c>
      <c r="M1302" s="44" t="n">
        <f aca="false">Country_Data!$DW$190+Sector_Params!$E$7</f>
        <v>0.105</v>
      </c>
      <c r="N1302" s="44" t="n">
        <f aca="false">Country_Data!$DX$190+Sector_Params!$E$7</f>
        <v>0.15</v>
      </c>
      <c r="O1302" s="11" t="n">
        <f aca="false">IF(p_use_ibrd=1,p_r_ibrd,p_r_wb)</f>
        <v>0.06</v>
      </c>
      <c r="P1302" s="45" t="n">
        <f aca="false">Sector_Params!$D$7</f>
        <v>12</v>
      </c>
      <c r="Q1302" s="46" t="n">
        <f aca="false">M1302/(1-(1+M1302)^-P1302)</f>
        <v>0.150376745634766</v>
      </c>
      <c r="R1302" s="46" t="n">
        <f aca="false">N1302/(1-(1+N1302)^-P1302)</f>
        <v>0.18448077613084</v>
      </c>
      <c r="S1302" s="46" t="n">
        <f aca="false">O1302/(1-(1+O1302)^-P1302)</f>
        <v>0.119277029380664</v>
      </c>
      <c r="T1302" s="37" t="n">
        <f aca="false">IF(AND(p_eng=1,ISNUMBER(Country_Data!$DE$190)),Country_Data!$DE$190,Country_Data!$CM$190)*Sector_Params!$I$7</f>
        <v>0.0589599</v>
      </c>
      <c r="U1302" s="37" t="n">
        <f aca="false">IF(AND(p_eng=1,ISNUMBER(Country_Data!$DF$190)),Country_Data!$DF$190,Country_Data!$CN$190)*Sector_Params!$J$7</f>
        <v>0</v>
      </c>
      <c r="V1302" s="37" t="n">
        <f aca="false">IF(AND(p_eng=1,ISNUMBER(Country_Data!$DG$190)),Country_Data!$DG$190,p_a)</f>
        <v>0.132567065217391</v>
      </c>
      <c r="W1302" s="16" t="n">
        <f aca="false">T1302*L1302</f>
        <v>0.000224801100067418</v>
      </c>
      <c r="X1302" s="16" t="n">
        <f aca="false">U1302*L1302</f>
        <v>0</v>
      </c>
      <c r="Y1302" s="16" t="n">
        <f aca="false">V1302*L1302</f>
        <v>0.000505448993189926</v>
      </c>
      <c r="Z1302" s="16" t="n">
        <f aca="false">Q1302*L1302</f>
        <v>0.000573353378198634</v>
      </c>
      <c r="AA1302" s="16" t="n">
        <f aca="false">R1302*L1302</f>
        <v>0.000703384527712968</v>
      </c>
      <c r="AB1302" s="16" t="n">
        <f aca="false">S1302*L1302</f>
        <v>0.000454777016540851</v>
      </c>
      <c r="AC1302" s="16" t="n">
        <f aca="false">Z1302-W1302</f>
        <v>0.000348552278131216</v>
      </c>
      <c r="AD1302" s="16" t="n">
        <f aca="false">AA1302-W1302</f>
        <v>0.00047858342764555</v>
      </c>
      <c r="AE1302" s="16" t="n">
        <f aca="false">AB1302-W1302</f>
        <v>0.000229975916473433</v>
      </c>
      <c r="AF1302" s="16" t="n">
        <f aca="false">AE1302-X1302</f>
        <v>0.000229975916473433</v>
      </c>
      <c r="AG1302" s="16" t="n">
        <f aca="false">AF1302-p_spc_lo*Y1302/1000</f>
        <v>0.000204703466813936</v>
      </c>
      <c r="AH1302" s="16" t="n">
        <f aca="false">AF1302-p_spc_hi*Y1302/1000</f>
        <v>0.00017943101715444</v>
      </c>
      <c r="AI1302" s="16" t="n">
        <f aca="false">Q1302*J1302</f>
        <v>0.00238897240916097</v>
      </c>
      <c r="AJ1302" s="16" t="n">
        <f aca="false">S1302*J1302</f>
        <v>0.00189490423558688</v>
      </c>
      <c r="AK1302" s="16" t="n">
        <f aca="false">T1302*J1302</f>
        <v>0.000936671250280908</v>
      </c>
      <c r="AL1302" s="16" t="n">
        <f aca="false">U1302*J1302</f>
        <v>0</v>
      </c>
      <c r="AM1302" s="16" t="n">
        <f aca="false">AI1302-AJ1302</f>
        <v>0.000494068173574097</v>
      </c>
      <c r="AN1302" s="16" t="n">
        <f aca="false">J1302*Country_Data!$EB$190</f>
        <v>0.0182369249417047</v>
      </c>
      <c r="AO1302" s="16" t="n">
        <f aca="false">L1302*Country_Data!$EB$190</f>
        <v>0.00437686198600912</v>
      </c>
    </row>
    <row r="1303" customFormat="false" ht="15" hidden="false" customHeight="false" outlineLevel="0" collapsed="false">
      <c r="A1303" s="14" t="str">
        <f aca="false">Country_Data!$A$190</f>
        <v>KNA</v>
      </c>
      <c r="B1303" s="14" t="str">
        <f aca="false">Country_Data!$E$190</f>
        <v>EMDC</v>
      </c>
      <c r="C1303" s="35" t="s">
        <v>477</v>
      </c>
      <c r="D1303" s="37" t="n">
        <f aca="false">IF(Country_Data!$CB$190="","",Country_Data!$CB$190)</f>
        <v>0.000312762786275794</v>
      </c>
      <c r="E1303" s="40" t="n">
        <f aca="false">Country_Data!$BW$190</f>
        <v>1.654</v>
      </c>
      <c r="F1303" s="41" t="n">
        <f aca="false">Country_Data!$BX$190</f>
        <v>0.635429262394196</v>
      </c>
      <c r="G1303" s="42" t="n">
        <f aca="false">IF(D1303="","",D1303/SUMIFS($D$5:$D$1369,$B$5:$B$1369,B1303,$C$5:$C$1369,C1303))</f>
        <v>9.86236301405896E-006</v>
      </c>
      <c r="H1303" s="42" t="n">
        <f aca="false">E1303/SUMIFS($E$5:$E$1369,$B$5:$B$1369,B1303,$C$5:$C$1369,C1303)</f>
        <v>2.04875669329679E-005</v>
      </c>
      <c r="I1303" s="43" t="n">
        <f aca="false">IF(G1303="",H1303,p_beta_alloc*G1303+(1-p_beta_alloc)*H1303)*F1303^p_phi</f>
        <v>1.20965438118774E-005</v>
      </c>
      <c r="J1303" s="16" t="n">
        <f aca="false">INDEX(Sector_Params!$C$19:$E$19,MATCH(B1303,Sector_Params!$C$15:$E$15,0))*I1303/SUMIFS($I$5:$I$1369,$B$5:$B$1369,B1303,$C$5:$C$1369,C1303)</f>
        <v>0.00389342500027515</v>
      </c>
      <c r="K1303" s="28" t="n">
        <f aca="false">INDEX(Sector_Params!$F$8:$H$8,MATCH(B1303,Sector_Params!$C$15:$E$15,0))</f>
        <v>0.24</v>
      </c>
      <c r="L1303" s="16" t="n">
        <f aca="false">J1303*K1303</f>
        <v>0.000934422000066036</v>
      </c>
      <c r="M1303" s="44" t="n">
        <f aca="false">Country_Data!$DW$190+Sector_Params!$E$8</f>
        <v>0.105</v>
      </c>
      <c r="N1303" s="44" t="n">
        <f aca="false">Country_Data!$DX$190+Sector_Params!$E$8</f>
        <v>0.15</v>
      </c>
      <c r="O1303" s="11" t="n">
        <f aca="false">IF(p_use_ibrd=1,p_r_ibrd,p_r_wb)</f>
        <v>0.06</v>
      </c>
      <c r="P1303" s="45" t="n">
        <f aca="false">Sector_Params!$D$8</f>
        <v>25</v>
      </c>
      <c r="Q1303" s="46" t="n">
        <f aca="false">M1303/(1-(1+M1303)^-P1303)</f>
        <v>0.114429319813103</v>
      </c>
      <c r="R1303" s="46" t="n">
        <f aca="false">N1303/(1-(1+N1303)^-P1303)</f>
        <v>0.154699402320206</v>
      </c>
      <c r="S1303" s="46" t="n">
        <f aca="false">O1303/(1-(1+O1303)^-P1303)</f>
        <v>0.078226718212274</v>
      </c>
      <c r="T1303" s="37" t="n">
        <f aca="false">Country_Data!$CM$190*Sector_Params!$I$8</f>
        <v>0.532</v>
      </c>
      <c r="U1303" s="37" t="n">
        <f aca="false">Country_Data!$CN$190*Sector_Params!$J$8</f>
        <v>0.03225</v>
      </c>
      <c r="V1303" s="37" t="n">
        <f aca="false">p_a</f>
        <v>0.35</v>
      </c>
      <c r="W1303" s="16" t="n">
        <f aca="false">T1303*L1303</f>
        <v>0.000497112504035131</v>
      </c>
      <c r="X1303" s="16" t="n">
        <f aca="false">U1303*L1303</f>
        <v>3.01351095021297E-005</v>
      </c>
      <c r="Y1303" s="16" t="n">
        <f aca="false">V1303*L1303</f>
        <v>0.000327047700023113</v>
      </c>
      <c r="Z1303" s="16" t="n">
        <f aca="false">Q1303*L1303</f>
        <v>0.000106925273885956</v>
      </c>
      <c r="AA1303" s="16" t="n">
        <f aca="false">R1303*L1303</f>
        <v>0.000144554524925068</v>
      </c>
      <c r="AB1303" s="16" t="n">
        <f aca="false">S1303*L1303</f>
        <v>7.30967664905152E-005</v>
      </c>
      <c r="AC1303" s="16" t="n">
        <f aca="false">Z1303-W1303</f>
        <v>-0.000390187230149175</v>
      </c>
      <c r="AD1303" s="16" t="n">
        <f aca="false">AA1303-W1303</f>
        <v>-0.000352557979110064</v>
      </c>
      <c r="AE1303" s="16" t="n">
        <f aca="false">AB1303-W1303</f>
        <v>-0.000424015737544616</v>
      </c>
      <c r="AF1303" s="16" t="n">
        <f aca="false">AE1303-X1303</f>
        <v>-0.000454150847046746</v>
      </c>
      <c r="AG1303" s="16" t="n">
        <f aca="false">AF1303-p_spc_lo*Y1303/1000</f>
        <v>-0.000470503232047901</v>
      </c>
      <c r="AH1303" s="16" t="n">
        <f aca="false">AF1303-p_spc_hi*Y1303/1000</f>
        <v>-0.000486855617049057</v>
      </c>
      <c r="AI1303" s="16" t="n">
        <f aca="false">Q1303*J1303</f>
        <v>0.000445521974524817</v>
      </c>
      <c r="AJ1303" s="16" t="n">
        <f aca="false">S1303*J1303</f>
        <v>0.000304569860377147</v>
      </c>
      <c r="AK1303" s="16" t="n">
        <f aca="false">T1303*J1303</f>
        <v>0.00207130210014638</v>
      </c>
      <c r="AL1303" s="16" t="n">
        <f aca="false">U1303*J1303</f>
        <v>0.000125562956258874</v>
      </c>
      <c r="AM1303" s="16" t="n">
        <f aca="false">AI1303-AJ1303</f>
        <v>0.00014095211414767</v>
      </c>
      <c r="AN1303" s="16" t="n">
        <f aca="false">J1303*Country_Data!$EB$190</f>
        <v>0.00446943856195969</v>
      </c>
      <c r="AO1303" s="16" t="n">
        <f aca="false">L1303*Country_Data!$EB$190</f>
        <v>0.00107266525487033</v>
      </c>
    </row>
    <row r="1304" customFormat="false" ht="15" hidden="false" customHeight="false" outlineLevel="0" collapsed="false">
      <c r="A1304" s="14" t="str">
        <f aca="false">Country_Data!$A$190</f>
        <v>KNA</v>
      </c>
      <c r="B1304" s="14" t="str">
        <f aca="false">Country_Data!$E$190</f>
        <v>EMDC</v>
      </c>
      <c r="C1304" s="35" t="s">
        <v>481</v>
      </c>
      <c r="D1304" s="37" t="n">
        <f aca="false">IF(Country_Data!$CC$190="","",Country_Data!$CC$190)</f>
        <v>0.00347323200011574</v>
      </c>
      <c r="E1304" s="40" t="n">
        <f aca="false">Country_Data!$BW$190</f>
        <v>1.654</v>
      </c>
      <c r="F1304" s="41" t="n">
        <f aca="false">Country_Data!$BX$190</f>
        <v>0.635429262394196</v>
      </c>
      <c r="G1304" s="42" t="n">
        <f aca="false">IF(D1304="","",D1304/SUMIFS($D$5:$D$1369,$B$5:$B$1369,B1304,$C$5:$C$1369,C1304))</f>
        <v>4.96124562341108E-005</v>
      </c>
      <c r="H1304" s="42" t="n">
        <f aca="false">E1304/SUMIFS($E$5:$E$1369,$B$5:$B$1369,B1304,$C$5:$C$1369,C1304)</f>
        <v>2.04875669329679E-005</v>
      </c>
      <c r="I1304" s="43" t="n">
        <f aca="false">IF(G1304="",H1304,p_beta_alloc*G1304+(1-p_beta_alloc)*H1304)*F1304^p_phi</f>
        <v>2.79397020992879E-005</v>
      </c>
      <c r="J1304" s="16" t="n">
        <f aca="false">INDEX(Sector_Params!$C$20:$E$20,MATCH(B1304,Sector_Params!$C$15:$E$15,0))*I1304/SUMIFS($I$5:$I$1369,$B$5:$B$1369,B1304,$C$5:$C$1369,C1304)</f>
        <v>0.00509955827409579</v>
      </c>
      <c r="K1304" s="28" t="n">
        <f aca="false">INDEX(Sector_Params!$F$9:$H$9,MATCH(B1304,Sector_Params!$C$15:$E$15,0))</f>
        <v>0.24</v>
      </c>
      <c r="L1304" s="16" t="n">
        <f aca="false">J1304*K1304</f>
        <v>0.00122389398578299</v>
      </c>
      <c r="M1304" s="44" t="n">
        <f aca="false">Country_Data!$DW$190+Sector_Params!$E$9</f>
        <v>0.105</v>
      </c>
      <c r="N1304" s="44" t="n">
        <f aca="false">Country_Data!$DX$190+Sector_Params!$E$9</f>
        <v>0.15</v>
      </c>
      <c r="O1304" s="11" t="n">
        <f aca="false">IF(p_use_ibrd=1,p_r_ibrd,p_r_wb)</f>
        <v>0.06</v>
      </c>
      <c r="P1304" s="45" t="n">
        <f aca="false">Sector_Params!$D$9</f>
        <v>25</v>
      </c>
      <c r="Q1304" s="46" t="n">
        <f aca="false">M1304/(1-(1+M1304)^-P1304)</f>
        <v>0.114429319813103</v>
      </c>
      <c r="R1304" s="46" t="n">
        <f aca="false">N1304/(1-(1+N1304)^-P1304)</f>
        <v>0.154699402320206</v>
      </c>
      <c r="S1304" s="46" t="n">
        <f aca="false">O1304/(1-(1+O1304)^-P1304)</f>
        <v>0.078226718212274</v>
      </c>
      <c r="T1304" s="37" t="n">
        <f aca="false">Country_Data!$CM$190*Sector_Params!$I$9</f>
        <v>0.532</v>
      </c>
      <c r="U1304" s="37" t="n">
        <f aca="false">Country_Data!$CN$190*Sector_Params!$J$9</f>
        <v>0.03225</v>
      </c>
      <c r="V1304" s="37" t="n">
        <f aca="false">p_a</f>
        <v>0.35</v>
      </c>
      <c r="W1304" s="16" t="n">
        <f aca="false">T1304*L1304</f>
        <v>0.00065111160043655</v>
      </c>
      <c r="X1304" s="16" t="n">
        <f aca="false">U1304*L1304</f>
        <v>3.94705810415014E-005</v>
      </c>
      <c r="Y1304" s="16" t="n">
        <f aca="false">V1304*L1304</f>
        <v>0.000428362895024046</v>
      </c>
      <c r="Z1304" s="16" t="n">
        <f aca="false">Q1304*L1304</f>
        <v>0.000140049356316495</v>
      </c>
      <c r="AA1304" s="16" t="n">
        <f aca="false">R1304*L1304</f>
        <v>0.000189335668103924</v>
      </c>
      <c r="AB1304" s="16" t="n">
        <f aca="false">S1304*L1304</f>
        <v>9.57412099475427E-005</v>
      </c>
      <c r="AC1304" s="16" t="n">
        <f aca="false">Z1304-W1304</f>
        <v>-0.000511062244120055</v>
      </c>
      <c r="AD1304" s="16" t="n">
        <f aca="false">AA1304-W1304</f>
        <v>-0.000461775932332627</v>
      </c>
      <c r="AE1304" s="16" t="n">
        <f aca="false">AB1304-W1304</f>
        <v>-0.000555370390489008</v>
      </c>
      <c r="AF1304" s="16" t="n">
        <f aca="false">AE1304-X1304</f>
        <v>-0.000594840971530509</v>
      </c>
      <c r="AG1304" s="16" t="n">
        <f aca="false">AF1304-p_spc_lo*Y1304/1000</f>
        <v>-0.000616259116281711</v>
      </c>
      <c r="AH1304" s="16" t="n">
        <f aca="false">AF1304-p_spc_hi*Y1304/1000</f>
        <v>-0.000637677261032914</v>
      </c>
      <c r="AI1304" s="16" t="n">
        <f aca="false">Q1304*J1304</f>
        <v>0.000583538984652064</v>
      </c>
      <c r="AJ1304" s="16" t="n">
        <f aca="false">S1304*J1304</f>
        <v>0.000398921708114761</v>
      </c>
      <c r="AK1304" s="16" t="n">
        <f aca="false">T1304*J1304</f>
        <v>0.00271296500181896</v>
      </c>
      <c r="AL1304" s="16" t="n">
        <f aca="false">U1304*J1304</f>
        <v>0.000164460754339589</v>
      </c>
      <c r="AM1304" s="16" t="n">
        <f aca="false">AI1304-AJ1304</f>
        <v>0.000184617276537303</v>
      </c>
      <c r="AN1304" s="16" t="n">
        <f aca="false">J1304*Country_Data!$EB$190</f>
        <v>0.00585401347081133</v>
      </c>
      <c r="AO1304" s="16" t="n">
        <f aca="false">L1304*Country_Data!$EB$190</f>
        <v>0.00140496323299472</v>
      </c>
    </row>
    <row r="1305" customFormat="false" ht="15" hidden="false" customHeight="false" outlineLevel="0" collapsed="false">
      <c r="A1305" s="14" t="str">
        <f aca="false">Country_Data!$A$190</f>
        <v>KNA</v>
      </c>
      <c r="B1305" s="14" t="str">
        <f aca="false">Country_Data!$E$190</f>
        <v>EMDC</v>
      </c>
      <c r="C1305" s="35" t="s">
        <v>484</v>
      </c>
      <c r="D1305" s="37" t="n">
        <f aca="false">IF(Country_Data!$CD$190="","",Country_Data!$CD$190)</f>
        <v>0.00644584521002134</v>
      </c>
      <c r="E1305" s="40" t="n">
        <f aca="false">Country_Data!$BW$190</f>
        <v>1.654</v>
      </c>
      <c r="F1305" s="41" t="n">
        <f aca="false">Country_Data!$BX$190</f>
        <v>0.635429262394196</v>
      </c>
      <c r="G1305" s="42" t="n">
        <f aca="false">IF(D1305="","",D1305/SUMIFS($D$5:$D$1369,$B$5:$B$1369,B1305,$C$5:$C$1369,C1305))</f>
        <v>3.59959544446055E-005</v>
      </c>
      <c r="H1305" s="42" t="n">
        <f aca="false">E1305/SUMIFS($E$5:$E$1369,$B$5:$B$1369,B1305,$C$5:$C$1369,C1305)</f>
        <v>2.04875669329679E-005</v>
      </c>
      <c r="I1305" s="43" t="n">
        <f aca="false">IF(G1305="",H1305,p_beta_alloc*G1305+(1-p_beta_alloc)*H1305)*F1305^p_phi</f>
        <v>2.25125854387635E-005</v>
      </c>
      <c r="J1305" s="16" t="n">
        <f aca="false">INDEX(Sector_Params!$C$21:$E$21,MATCH(B1305,Sector_Params!$C$15:$E$15,0))*I1305/SUMIFS($I$5:$I$1369,$B$5:$B$1369,B1305,$C$5:$C$1369,C1305)</f>
        <v>0.00499306241306923</v>
      </c>
      <c r="K1305" s="28" t="n">
        <f aca="false">INDEX(Sector_Params!$F$10:$H$10,MATCH(B1305,Sector_Params!$C$15:$E$15,0))</f>
        <v>0.24</v>
      </c>
      <c r="L1305" s="16" t="n">
        <f aca="false">J1305*K1305</f>
        <v>0.00119833497913661</v>
      </c>
      <c r="M1305" s="44" t="n">
        <f aca="false">Country_Data!$DW$190+Sector_Params!$E$10</f>
        <v>0.105</v>
      </c>
      <c r="N1305" s="44" t="n">
        <f aca="false">Country_Data!$DX$190+Sector_Params!$E$10</f>
        <v>0.15</v>
      </c>
      <c r="O1305" s="11" t="n">
        <f aca="false">IF(p_use_ibrd=1,p_r_ibrd,p_r_wb)</f>
        <v>0.06</v>
      </c>
      <c r="P1305" s="45" t="n">
        <f aca="false">Sector_Params!$D$10</f>
        <v>20</v>
      </c>
      <c r="Q1305" s="46" t="n">
        <f aca="false">M1305/(1-(1+M1305)^-P1305)</f>
        <v>0.121493265267016</v>
      </c>
      <c r="R1305" s="46" t="n">
        <f aca="false">N1305/(1-(1+N1305)^-P1305)</f>
        <v>0.159761470405744</v>
      </c>
      <c r="S1305" s="46" t="n">
        <f aca="false">O1305/(1-(1+O1305)^-P1305)</f>
        <v>0.0871845569768514</v>
      </c>
      <c r="T1305" s="37" t="n">
        <f aca="false">0*Sector_Params!$I$10</f>
        <v>0</v>
      </c>
      <c r="U1305" s="37" t="n">
        <f aca="false">0*Sector_Params!$J$10</f>
        <v>0</v>
      </c>
      <c r="V1305" s="37" t="n">
        <f aca="false">1000*p_r_wb/(1-(1+p_r_wb)^-Sector_Params!$D$10)/p_cpt_fuel</f>
        <v>0.871845569768514</v>
      </c>
      <c r="W1305" s="16" t="n">
        <f aca="false">T1305*L1305</f>
        <v>0</v>
      </c>
      <c r="X1305" s="16" t="n">
        <f aca="false">U1305*L1305</f>
        <v>0</v>
      </c>
      <c r="Y1305" s="16" t="n">
        <f aca="false">V1305*L1305</f>
        <v>0.0010447630426589</v>
      </c>
      <c r="Z1305" s="16" t="n">
        <f aca="false">Q1305*L1305</f>
        <v>0.000145589629498989</v>
      </c>
      <c r="AA1305" s="16" t="n">
        <f aca="false">R1305*L1305</f>
        <v>0.000191447758305502</v>
      </c>
      <c r="AB1305" s="16" t="n">
        <f aca="false">S1305*L1305</f>
        <v>0.00010447630426589</v>
      </c>
      <c r="AC1305" s="16" t="n">
        <f aca="false">Z1305-W1305</f>
        <v>0.000145589629498989</v>
      </c>
      <c r="AD1305" s="16" t="n">
        <f aca="false">AA1305-W1305</f>
        <v>0.000191447758305502</v>
      </c>
      <c r="AE1305" s="16" t="n">
        <f aca="false">AB1305-W1305</f>
        <v>0.00010447630426589</v>
      </c>
      <c r="AF1305" s="16" t="n">
        <f aca="false">AE1305-X1305</f>
        <v>0.00010447630426589</v>
      </c>
      <c r="AG1305" s="16" t="n">
        <f aca="false">AF1305-p_spc_lo*Y1305/1000</f>
        <v>5.22381521329451E-005</v>
      </c>
      <c r="AH1305" s="16" t="n">
        <f aca="false">AF1305-p_spc_hi*Y1305/1000</f>
        <v>0</v>
      </c>
      <c r="AI1305" s="16" t="n">
        <f aca="false">Q1305*J1305</f>
        <v>0.000606623456245788</v>
      </c>
      <c r="AJ1305" s="16" t="n">
        <f aca="false">S1305*J1305</f>
        <v>0.000435317934441209</v>
      </c>
      <c r="AK1305" s="16" t="n">
        <f aca="false">T1305*J1305</f>
        <v>0</v>
      </c>
      <c r="AL1305" s="16" t="n">
        <f aca="false">U1305*J1305</f>
        <v>0</v>
      </c>
      <c r="AM1305" s="16" t="n">
        <f aca="false">AI1305-AJ1305</f>
        <v>0.000171305521804578</v>
      </c>
      <c r="AN1305" s="16" t="n">
        <f aca="false">J1305*Country_Data!$EB$190</f>
        <v>0.00573176205774248</v>
      </c>
      <c r="AO1305" s="16" t="n">
        <f aca="false">L1305*Country_Data!$EB$190</f>
        <v>0.0013756228938582</v>
      </c>
    </row>
    <row r="1306" customFormat="false" ht="15" hidden="false" customHeight="false" outlineLevel="0" collapsed="false">
      <c r="A1306" s="14" t="str">
        <f aca="false">Country_Data!$A$190</f>
        <v>KNA</v>
      </c>
      <c r="B1306" s="14" t="str">
        <f aca="false">Country_Data!$E$190</f>
        <v>EMDC</v>
      </c>
      <c r="C1306" s="35" t="s">
        <v>488</v>
      </c>
      <c r="D1306" s="37" t="n">
        <f aca="false">IF(Country_Data!$CE$190="","",Country_Data!$CE$190)</f>
        <v>0.05</v>
      </c>
      <c r="E1306" s="40" t="n">
        <f aca="false">Country_Data!$BW$190</f>
        <v>1.654</v>
      </c>
      <c r="F1306" s="41" t="n">
        <f aca="false">Country_Data!$BX$190</f>
        <v>0.635429262394196</v>
      </c>
      <c r="G1306" s="42" t="n">
        <f aca="false">IF(D1306="","",D1306/SUMIFS($D$5:$D$1369,$B$5:$B$1369,B1306,$C$5:$C$1369,C1306))</f>
        <v>4.09698044347355E-006</v>
      </c>
      <c r="H1306" s="42" t="n">
        <f aca="false">E1306/SUMIFS($E$5:$E$1369,$B$5:$B$1369,B1306,$C$5:$C$1369,C1306)</f>
        <v>2.04875669329679E-005</v>
      </c>
      <c r="I1306" s="43" t="n">
        <f aca="false">IF(G1306="",H1306,p_beta_alloc*G1306+(1-p_beta_alloc)*H1306)*F1306^p_phi</f>
        <v>9.79864055545973E-006</v>
      </c>
      <c r="J1306" s="16" t="n">
        <f aca="false">INDEX(Sector_Params!$C$22:$E$22,MATCH(B1306,Sector_Params!$C$15:$E$15,0))*I1306/SUMIFS($I$5:$I$1369,$B$5:$B$1369,B1306,$C$5:$C$1369,C1306)</f>
        <v>0.005906702719973</v>
      </c>
      <c r="K1306" s="28" t="n">
        <f aca="false">INDEX(Sector_Params!$F$11:$H$11,MATCH(B1306,Sector_Params!$C$15:$E$15,0))</f>
        <v>0.24</v>
      </c>
      <c r="L1306" s="16" t="n">
        <f aca="false">J1306*K1306</f>
        <v>0.00141760865279352</v>
      </c>
      <c r="M1306" s="44" t="n">
        <f aca="false">Country_Data!$DW$190+Sector_Params!$E$11</f>
        <v>0.105</v>
      </c>
      <c r="N1306" s="44" t="n">
        <f aca="false">Country_Data!$DX$190+Sector_Params!$E$11</f>
        <v>0.15</v>
      </c>
      <c r="O1306" s="11" t="n">
        <f aca="false">IF(p_use_ibrd=1,p_r_ibrd,p_r_wb)</f>
        <v>0.06</v>
      </c>
      <c r="P1306" s="45" t="n">
        <f aca="false">Sector_Params!$D$11</f>
        <v>30</v>
      </c>
      <c r="Q1306" s="46" t="n">
        <f aca="false">M1306/(1-(1+M1306)^-P1306)</f>
        <v>0.110528481529605</v>
      </c>
      <c r="R1306" s="46" t="n">
        <f aca="false">N1306/(1-(1+N1306)^-P1306)</f>
        <v>0.152300198192734</v>
      </c>
      <c r="S1306" s="46" t="n">
        <f aca="false">O1306/(1-(1+O1306)^-P1306)</f>
        <v>0.0726489114900472</v>
      </c>
      <c r="T1306" s="37" t="n">
        <f aca="false">0*Sector_Params!$I$11</f>
        <v>0</v>
      </c>
      <c r="U1306" s="37" t="n">
        <f aca="false">p_c*Sector_Params!$J$11</f>
        <v>0.129</v>
      </c>
      <c r="V1306" s="37" t="n">
        <f aca="false">1000*p_r_wb/(1-(1+p_r_wb)^-Sector_Params!$D$11)/p_cpt_afolu</f>
        <v>1.45297822980094</v>
      </c>
      <c r="W1306" s="16" t="n">
        <f aca="false">T1306*L1306</f>
        <v>0</v>
      </c>
      <c r="X1306" s="16" t="n">
        <f aca="false">U1306*L1306</f>
        <v>0.000182871516210364</v>
      </c>
      <c r="Y1306" s="16" t="n">
        <f aca="false">V1306*L1306</f>
        <v>0.00205975451088643</v>
      </c>
      <c r="Z1306" s="16" t="n">
        <f aca="false">Q1306*L1306</f>
        <v>0.000156686131796497</v>
      </c>
      <c r="AA1306" s="16" t="n">
        <f aca="false">R1306*L1306</f>
        <v>0.000215902078780188</v>
      </c>
      <c r="AB1306" s="16" t="n">
        <f aca="false">S1306*L1306</f>
        <v>0.000102987725544322</v>
      </c>
      <c r="AC1306" s="16" t="n">
        <f aca="false">Z1306-W1306</f>
        <v>0.000156686131796497</v>
      </c>
      <c r="AD1306" s="16" t="n">
        <f aca="false">AA1306-W1306</f>
        <v>0.000215902078780188</v>
      </c>
      <c r="AE1306" s="16" t="n">
        <f aca="false">AB1306-W1306</f>
        <v>0.000102987725544322</v>
      </c>
      <c r="AF1306" s="16" t="n">
        <f aca="false">AE1306-X1306</f>
        <v>-7.98837906660426E-005</v>
      </c>
      <c r="AG1306" s="16" t="n">
        <f aca="false">AF1306-p_spc_lo*Y1306/1000</f>
        <v>-0.000182871516210364</v>
      </c>
      <c r="AH1306" s="16" t="n">
        <f aca="false">AF1306-p_spc_hi*Y1306/1000</f>
        <v>-0.000285859241754686</v>
      </c>
      <c r="AI1306" s="16" t="n">
        <f aca="false">Q1306*J1306</f>
        <v>0.000652858882485405</v>
      </c>
      <c r="AJ1306" s="16" t="n">
        <f aca="false">S1306*J1306</f>
        <v>0.00042911552310134</v>
      </c>
      <c r="AK1306" s="16" t="n">
        <f aca="false">T1306*J1306</f>
        <v>0</v>
      </c>
      <c r="AL1306" s="16" t="n">
        <f aca="false">U1306*J1306</f>
        <v>0.000761964650876517</v>
      </c>
      <c r="AM1306" s="16" t="n">
        <f aca="false">AI1306-AJ1306</f>
        <v>0.000223743359384065</v>
      </c>
      <c r="AN1306" s="16" t="n">
        <f aca="false">J1306*Country_Data!$EB$190</f>
        <v>0.00678057106758545</v>
      </c>
      <c r="AO1306" s="16" t="n">
        <f aca="false">L1306*Country_Data!$EB$190</f>
        <v>0.00162733705622051</v>
      </c>
    </row>
    <row r="1307" customFormat="false" ht="15" hidden="false" customHeight="false" outlineLevel="0" collapsed="false">
      <c r="A1307" s="14" t="str">
        <f aca="false">Country_Data!$A$191</f>
        <v>STP</v>
      </c>
      <c r="B1307" s="14" t="str">
        <f aca="false">Country_Data!$E$191</f>
        <v>EMDC</v>
      </c>
      <c r="C1307" s="35" t="s">
        <v>466</v>
      </c>
      <c r="D1307" s="37" t="n">
        <f aca="false">IF(Country_Data!$BZ$191="","",Country_Data!$BZ$191)</f>
        <v>0.0594629786980933</v>
      </c>
      <c r="E1307" s="40" t="n">
        <f aca="false">Country_Data!$BW$191</f>
        <v>1.472</v>
      </c>
      <c r="F1307" s="41" t="n">
        <f aca="false">Country_Data!$BX$191</f>
        <v>0.5625</v>
      </c>
      <c r="G1307" s="42" t="n">
        <f aca="false">IF(D1307="","",D1307/SUMIFS($D$5:$D$1369,$B$5:$B$1369,B1307,$C$5:$C$1369,C1307))</f>
        <v>6.78842062715183E-006</v>
      </c>
      <c r="H1307" s="42" t="n">
        <f aca="false">E1307/SUMIFS($E$5:$E$1369,$B$5:$B$1369,B1307,$C$5:$C$1369,C1307)</f>
        <v>1.82331913696062E-005</v>
      </c>
      <c r="I1307" s="43" t="n">
        <f aca="false">IF(G1307="",H1307,p_beta_alloc*G1307+(1-p_beta_alloc)*H1307)*F1307^p_phi</f>
        <v>9.38310449878428E-006</v>
      </c>
      <c r="J1307" s="16" t="n">
        <f aca="false">INDEX(Sector_Params!$C$16:$E$16,MATCH(B1307,Sector_Params!$C$15:$E$15,0))*I1307/SUMIFS($I$5:$I$1369,$B$5:$B$1369,B1307,$C$5:$C$1369,C1307)</f>
        <v>0.00907557655343267</v>
      </c>
      <c r="K1307" s="28" t="n">
        <f aca="false">INDEX(Sector_Params!$F$5:$H$5,MATCH(B1307,Sector_Params!$C$15:$E$15,0))</f>
        <v>0.24</v>
      </c>
      <c r="L1307" s="16" t="n">
        <f aca="false">J1307*K1307</f>
        <v>0.00217813837282384</v>
      </c>
      <c r="M1307" s="44" t="n">
        <f aca="false">Country_Data!$DW$191+Sector_Params!$E$5</f>
        <v>0.105</v>
      </c>
      <c r="N1307" s="44" t="n">
        <f aca="false">Country_Data!$DX$191+Sector_Params!$E$5</f>
        <v>0.15</v>
      </c>
      <c r="O1307" s="11" t="n">
        <f aca="false">IF(p_use_ibrd=1,p_r_ibrd,p_r_wb)</f>
        <v>0.06</v>
      </c>
      <c r="P1307" s="45" t="n">
        <f aca="false">Sector_Params!$D$5</f>
        <v>25</v>
      </c>
      <c r="Q1307" s="46" t="n">
        <f aca="false">M1307/(1-(1+M1307)^-P1307)</f>
        <v>0.114429319813103</v>
      </c>
      <c r="R1307" s="46" t="n">
        <f aca="false">N1307/(1-(1+N1307)^-P1307)</f>
        <v>0.154699402320206</v>
      </c>
      <c r="S1307" s="46" t="n">
        <f aca="false">O1307/(1-(1+O1307)^-P1307)</f>
        <v>0.078226718212274</v>
      </c>
      <c r="T1307" s="37" t="n">
        <f aca="false">IF(AND(p_eng=1,ISNUMBER(Country_Data!$CZ$191)),Country_Data!$CZ$191,Country_Data!$CM$191)*Sector_Params!$I$5</f>
        <v>0.274051402285172</v>
      </c>
      <c r="U1307" s="37" t="n">
        <f aca="false">IF(AND(p_eng=1,ISNUMBER(Country_Data!$DA$191)),Country_Data!$DA$191,Country_Data!$CN$191)*Sector_Params!$J$5</f>
        <v>0</v>
      </c>
      <c r="V1307" s="37" t="n">
        <f aca="false">IF(AND(p_eng=1,ISNUMBER(Country_Data!$DB$191)),Country_Data!$DB$191,p_a)</f>
        <v>1.66245086025408</v>
      </c>
      <c r="W1307" s="16" t="n">
        <f aca="false">T1307*L1307</f>
        <v>0.000596921875443516</v>
      </c>
      <c r="X1307" s="16" t="n">
        <f aca="false">U1307*L1307</f>
        <v>0</v>
      </c>
      <c r="Y1307" s="16" t="n">
        <f aca="false">V1307*L1307</f>
        <v>0.00362104801165342</v>
      </c>
      <c r="Z1307" s="16" t="n">
        <f aca="false">Q1307*L1307</f>
        <v>0.000249242892461052</v>
      </c>
      <c r="AA1307" s="16" t="n">
        <f aca="false">R1307*L1307</f>
        <v>0.000336956704446555</v>
      </c>
      <c r="AB1307" s="16" t="n">
        <f aca="false">S1307*L1307</f>
        <v>0.000170388616718231</v>
      </c>
      <c r="AC1307" s="16" t="n">
        <f aca="false">Z1307-W1307</f>
        <v>-0.000347678982982464</v>
      </c>
      <c r="AD1307" s="16" t="n">
        <f aca="false">AA1307-W1307</f>
        <v>-0.000259965170996961</v>
      </c>
      <c r="AE1307" s="16" t="n">
        <f aca="false">AB1307-W1307</f>
        <v>-0.000426533258725284</v>
      </c>
      <c r="AF1307" s="16" t="n">
        <f aca="false">AE1307-X1307</f>
        <v>-0.000426533258725284</v>
      </c>
      <c r="AG1307" s="16" t="n">
        <f aca="false">AF1307-p_spc_lo*Y1307/1000</f>
        <v>-0.000607585659307955</v>
      </c>
      <c r="AH1307" s="16" t="n">
        <f aca="false">AF1307-p_spc_hi*Y1307/1000</f>
        <v>-0.000788638059890627</v>
      </c>
      <c r="AI1307" s="16" t="n">
        <f aca="false">Q1307*J1307</f>
        <v>0.00103851205192105</v>
      </c>
      <c r="AJ1307" s="16" t="n">
        <f aca="false">S1307*J1307</f>
        <v>0.000709952569659298</v>
      </c>
      <c r="AK1307" s="16" t="n">
        <f aca="false">T1307*J1307</f>
        <v>0.00248717448101465</v>
      </c>
      <c r="AL1307" s="16" t="n">
        <f aca="false">U1307*J1307</f>
        <v>0</v>
      </c>
      <c r="AM1307" s="16" t="n">
        <f aca="false">AI1307-AJ1307</f>
        <v>0.000328559482261751</v>
      </c>
      <c r="AN1307" s="16" t="n">
        <f aca="false">J1307*Country_Data!$EB$191</f>
        <v>0.0114957303010147</v>
      </c>
      <c r="AO1307" s="16" t="n">
        <f aca="false">L1307*Country_Data!$EB$191</f>
        <v>0.00275897527224353</v>
      </c>
    </row>
    <row r="1308" customFormat="false" ht="15" hidden="false" customHeight="false" outlineLevel="0" collapsed="false">
      <c r="A1308" s="14" t="str">
        <f aca="false">Country_Data!$A$191</f>
        <v>STP</v>
      </c>
      <c r="B1308" s="14" t="str">
        <f aca="false">Country_Data!$E$191</f>
        <v>EMDC</v>
      </c>
      <c r="C1308" s="35" t="s">
        <v>470</v>
      </c>
      <c r="D1308" s="37" t="n">
        <f aca="false">IF(Country_Data!$BZ$191="","",Country_Data!$BZ$191)</f>
        <v>0.0594629786980933</v>
      </c>
      <c r="E1308" s="40" t="n">
        <f aca="false">Country_Data!$BW$191</f>
        <v>1.472</v>
      </c>
      <c r="F1308" s="41" t="n">
        <f aca="false">Country_Data!$BX$191</f>
        <v>0.5625</v>
      </c>
      <c r="G1308" s="42" t="n">
        <f aca="false">IF(D1308="","",D1308/SUMIFS($D$5:$D$1369,$B$5:$B$1369,B1308,$C$5:$C$1369,C1308))</f>
        <v>6.78842062715183E-006</v>
      </c>
      <c r="H1308" s="42" t="n">
        <f aca="false">E1308/SUMIFS($E$5:$E$1369,$B$5:$B$1369,B1308,$C$5:$C$1369,C1308)</f>
        <v>1.82331913696062E-005</v>
      </c>
      <c r="I1308" s="43" t="n">
        <f aca="false">IF(G1308="",H1308,p_beta_alloc*G1308+(1-p_beta_alloc)*H1308)*F1308^p_phi</f>
        <v>9.38310449878428E-006</v>
      </c>
      <c r="J1308" s="16" t="n">
        <f aca="false">INDEX(Sector_Params!$C$17:$E$17,MATCH(B1308,Sector_Params!$C$15:$E$15,0))*I1308/SUMIFS($I$5:$I$1369,$B$5:$B$1369,B1308,$C$5:$C$1369,C1308)</f>
        <v>0.0062232524937824</v>
      </c>
      <c r="K1308" s="28" t="n">
        <f aca="false">INDEX(Sector_Params!$F$6:$H$6,MATCH(B1308,Sector_Params!$C$15:$E$15,0))</f>
        <v>0.24</v>
      </c>
      <c r="L1308" s="16" t="n">
        <f aca="false">J1308*K1308</f>
        <v>0.00149358059850778</v>
      </c>
      <c r="M1308" s="44" t="n">
        <f aca="false">Country_Data!$DW$191+Sector_Params!$E$6</f>
        <v>0.105</v>
      </c>
      <c r="N1308" s="44" t="n">
        <f aca="false">Country_Data!$DX$191+Sector_Params!$E$6</f>
        <v>0.15</v>
      </c>
      <c r="O1308" s="11" t="n">
        <f aca="false">IF(p_use_ibrd=1,p_r_ibrd,p_r_wb)</f>
        <v>0.06</v>
      </c>
      <c r="P1308" s="45" t="n">
        <f aca="false">Sector_Params!$D$6</f>
        <v>40</v>
      </c>
      <c r="Q1308" s="46" t="n">
        <f aca="false">M1308/(1-(1+M1308)^-P1308)</f>
        <v>0.10697140835497</v>
      </c>
      <c r="R1308" s="46" t="n">
        <f aca="false">N1308/(1-(1+N1308)^-P1308)</f>
        <v>0.150562085013545</v>
      </c>
      <c r="S1308" s="46" t="n">
        <f aca="false">O1308/(1-(1+O1308)^-P1308)</f>
        <v>0.0664615359206755</v>
      </c>
      <c r="T1308" s="37" t="n">
        <f aca="false">p_grid_credit*IF(AND(p_eng=1,ISNUMBER(Country_Data!$CZ$191)),Country_Data!$CZ$191,Country_Data!$CM$191)*Sector_Params!$I$6</f>
        <v>0</v>
      </c>
      <c r="U1308" s="37" t="n">
        <f aca="false">p_grid_credit*IF(AND(p_eng=1,ISNUMBER(Country_Data!$DA$191)),Country_Data!$DA$191,Country_Data!$CN$191)*Sector_Params!$J$6</f>
        <v>0</v>
      </c>
      <c r="V1308" s="37" t="n">
        <f aca="false">p_grid_credit*IF(AND(p_eng=1,ISNUMBER(Country_Data!$DB$191)),Country_Data!$DB$191,p_a)</f>
        <v>0</v>
      </c>
      <c r="W1308" s="16" t="n">
        <f aca="false">T1308*L1308</f>
        <v>0</v>
      </c>
      <c r="X1308" s="16" t="n">
        <f aca="false">U1308*L1308</f>
        <v>0</v>
      </c>
      <c r="Y1308" s="16" t="n">
        <f aca="false">V1308*L1308</f>
        <v>0</v>
      </c>
      <c r="Z1308" s="16" t="n">
        <f aca="false">Q1308*L1308</f>
        <v>0.000159770420114036</v>
      </c>
      <c r="AA1308" s="16" t="n">
        <f aca="false">R1308*L1308</f>
        <v>0.000224876609047109</v>
      </c>
      <c r="AB1308" s="16" t="n">
        <f aca="false">S1308*L1308</f>
        <v>9.92656605981485E-005</v>
      </c>
      <c r="AC1308" s="16" t="n">
        <f aca="false">Z1308-W1308</f>
        <v>0.000159770420114036</v>
      </c>
      <c r="AD1308" s="16" t="n">
        <f aca="false">AA1308-W1308</f>
        <v>0.000224876609047109</v>
      </c>
      <c r="AE1308" s="16" t="n">
        <f aca="false">AB1308-W1308</f>
        <v>9.92656605981485E-005</v>
      </c>
      <c r="AF1308" s="16" t="n">
        <f aca="false">AE1308-X1308</f>
        <v>9.92656605981485E-005</v>
      </c>
      <c r="AG1308" s="16" t="n">
        <f aca="false">AF1308-p_spc_lo*Y1308/1000</f>
        <v>9.92656605981485E-005</v>
      </c>
      <c r="AH1308" s="16" t="n">
        <f aca="false">AF1308-p_spc_hi*Y1308/1000</f>
        <v>9.92656605981485E-005</v>
      </c>
      <c r="AI1308" s="16" t="n">
        <f aca="false">Q1308*J1308</f>
        <v>0.000665710083808485</v>
      </c>
      <c r="AJ1308" s="16" t="n">
        <f aca="false">S1308*J1308</f>
        <v>0.000413606919158952</v>
      </c>
      <c r="AK1308" s="16" t="n">
        <f aca="false">T1308*J1308</f>
        <v>0</v>
      </c>
      <c r="AL1308" s="16" t="n">
        <f aca="false">U1308*J1308</f>
        <v>0</v>
      </c>
      <c r="AM1308" s="16" t="n">
        <f aca="false">AI1308-AJ1308</f>
        <v>0.000252103164649532</v>
      </c>
      <c r="AN1308" s="16" t="n">
        <f aca="false">J1308*Country_Data!$EB$191</f>
        <v>0.00788278649212437</v>
      </c>
      <c r="AO1308" s="16" t="n">
        <f aca="false">L1308*Country_Data!$EB$191</f>
        <v>0.00189186875810985</v>
      </c>
    </row>
    <row r="1309" customFormat="false" ht="15" hidden="false" customHeight="false" outlineLevel="0" collapsed="false">
      <c r="A1309" s="14" t="str">
        <f aca="false">Country_Data!$A$191</f>
        <v>STP</v>
      </c>
      <c r="B1309" s="14" t="str">
        <f aca="false">Country_Data!$E$191</f>
        <v>EMDC</v>
      </c>
      <c r="C1309" s="35" t="s">
        <v>473</v>
      </c>
      <c r="D1309" s="37" t="n">
        <f aca="false">IF(Country_Data!$CA$191="","",Country_Data!$CA$191)</f>
        <v>0.000542718758968593</v>
      </c>
      <c r="E1309" s="40" t="n">
        <f aca="false">Country_Data!$BW$191</f>
        <v>1.472</v>
      </c>
      <c r="F1309" s="41" t="n">
        <f aca="false">Country_Data!$BX$191</f>
        <v>0.5625</v>
      </c>
      <c r="G1309" s="42" t="n">
        <f aca="false">IF(D1309="","",D1309/SUMIFS($D$5:$D$1369,$B$5:$B$1369,B1309,$C$5:$C$1369,C1309))</f>
        <v>1.25380660837318E-005</v>
      </c>
      <c r="H1309" s="42" t="n">
        <f aca="false">E1309/SUMIFS($E$5:$E$1369,$B$5:$B$1369,B1309,$C$5:$C$1369,C1309)</f>
        <v>1.82331913696062E-005</v>
      </c>
      <c r="I1309" s="43" t="n">
        <f aca="false">IF(G1309="",H1309,p_beta_alloc*G1309+(1-p_beta_alloc)*H1309)*F1309^p_phi</f>
        <v>1.15392215450017E-005</v>
      </c>
      <c r="J1309" s="16" t="n">
        <f aca="false">INDEX(Sector_Params!$C$18:$E$18,MATCH(B1309,Sector_Params!$C$15:$E$15,0))*I1309/SUMIFS($I$5:$I$1369,$B$5:$B$1369,B1309,$C$5:$C$1369,C1309)</f>
        <v>0.0047250381906841</v>
      </c>
      <c r="K1309" s="28" t="n">
        <f aca="false">INDEX(Sector_Params!$F$7:$H$7,MATCH(B1309,Sector_Params!$C$15:$E$15,0))</f>
        <v>0.24</v>
      </c>
      <c r="L1309" s="16" t="n">
        <f aca="false">J1309*K1309</f>
        <v>0.00113400916576418</v>
      </c>
      <c r="M1309" s="44" t="n">
        <f aca="false">Country_Data!$DW$191+Sector_Params!$E$7</f>
        <v>0.105</v>
      </c>
      <c r="N1309" s="44" t="n">
        <f aca="false">Country_Data!$DX$191+Sector_Params!$E$7</f>
        <v>0.15</v>
      </c>
      <c r="O1309" s="11" t="n">
        <f aca="false">IF(p_use_ibrd=1,p_r_ibrd,p_r_wb)</f>
        <v>0.06</v>
      </c>
      <c r="P1309" s="45" t="n">
        <f aca="false">Sector_Params!$D$7</f>
        <v>12</v>
      </c>
      <c r="Q1309" s="46" t="n">
        <f aca="false">M1309/(1-(1+M1309)^-P1309)</f>
        <v>0.150376745634766</v>
      </c>
      <c r="R1309" s="46" t="n">
        <f aca="false">N1309/(1-(1+N1309)^-P1309)</f>
        <v>0.18448077613084</v>
      </c>
      <c r="S1309" s="46" t="n">
        <f aca="false">O1309/(1-(1+O1309)^-P1309)</f>
        <v>0.119277029380664</v>
      </c>
      <c r="T1309" s="37" t="n">
        <f aca="false">IF(AND(p_eng=1,ISNUMBER(Country_Data!$DE$191)),Country_Data!$DE$191,Country_Data!$CM$191)*Sector_Params!$I$7</f>
        <v>0.03356388</v>
      </c>
      <c r="U1309" s="37" t="n">
        <f aca="false">IF(AND(p_eng=1,ISNUMBER(Country_Data!$DF$191)),Country_Data!$DF$191,Country_Data!$CN$191)*Sector_Params!$J$7</f>
        <v>0</v>
      </c>
      <c r="V1309" s="37" t="n">
        <f aca="false">IF(AND(p_eng=1,ISNUMBER(Country_Data!$DG$191)),Country_Data!$DG$191,p_a)</f>
        <v>0.1431675</v>
      </c>
      <c r="W1309" s="16" t="n">
        <f aca="false">T1309*L1309</f>
        <v>3.80617475586092E-005</v>
      </c>
      <c r="X1309" s="16" t="n">
        <f aca="false">U1309*L1309</f>
        <v>0</v>
      </c>
      <c r="Y1309" s="16" t="n">
        <f aca="false">V1309*L1309</f>
        <v>0.000162353257239544</v>
      </c>
      <c r="Z1309" s="16" t="n">
        <f aca="false">Q1309*L1309</f>
        <v>0.000170528607867614</v>
      </c>
      <c r="AA1309" s="16" t="n">
        <f aca="false">R1309*L1309</f>
        <v>0.000209202891039663</v>
      </c>
      <c r="AB1309" s="16" t="n">
        <f aca="false">S1309*L1309</f>
        <v>0.000135261244582796</v>
      </c>
      <c r="AC1309" s="16" t="n">
        <f aca="false">Z1309-W1309</f>
        <v>0.000132466860309005</v>
      </c>
      <c r="AD1309" s="16" t="n">
        <f aca="false">AA1309-W1309</f>
        <v>0.000171141143481053</v>
      </c>
      <c r="AE1309" s="16" t="n">
        <f aca="false">AB1309-W1309</f>
        <v>9.71994970241872E-005</v>
      </c>
      <c r="AF1309" s="16" t="n">
        <f aca="false">AE1309-X1309</f>
        <v>9.71994970241872E-005</v>
      </c>
      <c r="AG1309" s="16" t="n">
        <f aca="false">AF1309-p_spc_lo*Y1309/1000</f>
        <v>8.908183416221E-005</v>
      </c>
      <c r="AH1309" s="16" t="n">
        <f aca="false">AF1309-p_spc_hi*Y1309/1000</f>
        <v>8.09641713002328E-005</v>
      </c>
      <c r="AI1309" s="16" t="n">
        <f aca="false">Q1309*J1309</f>
        <v>0.000710535866115057</v>
      </c>
      <c r="AJ1309" s="16" t="n">
        <f aca="false">S1309*J1309</f>
        <v>0.000563588519094985</v>
      </c>
      <c r="AK1309" s="16" t="n">
        <f aca="false">T1309*J1309</f>
        <v>0.000158590614827538</v>
      </c>
      <c r="AL1309" s="16" t="n">
        <f aca="false">U1309*J1309</f>
        <v>0</v>
      </c>
      <c r="AM1309" s="16" t="n">
        <f aca="false">AI1309-AJ1309</f>
        <v>0.000146947347020072</v>
      </c>
      <c r="AN1309" s="16" t="n">
        <f aca="false">J1309*Country_Data!$EB$191</f>
        <v>0.00598504837486653</v>
      </c>
      <c r="AO1309" s="16" t="n">
        <f aca="false">L1309*Country_Data!$EB$191</f>
        <v>0.00143641160996797</v>
      </c>
    </row>
    <row r="1310" customFormat="false" ht="15" hidden="false" customHeight="false" outlineLevel="0" collapsed="false">
      <c r="A1310" s="14" t="str">
        <f aca="false">Country_Data!$A$191</f>
        <v>STP</v>
      </c>
      <c r="B1310" s="14" t="str">
        <f aca="false">Country_Data!$E$191</f>
        <v>EMDC</v>
      </c>
      <c r="C1310" s="35" t="s">
        <v>477</v>
      </c>
      <c r="D1310" s="37" t="n">
        <f aca="false">IF(Country_Data!$CB$191="","",Country_Data!$CB$191)</f>
        <v>0.000298541464270893</v>
      </c>
      <c r="E1310" s="40" t="n">
        <f aca="false">Country_Data!$BW$191</f>
        <v>1.472</v>
      </c>
      <c r="F1310" s="41" t="n">
        <f aca="false">Country_Data!$BX$191</f>
        <v>0.5625</v>
      </c>
      <c r="G1310" s="42" t="n">
        <f aca="false">IF(D1310="","",D1310/SUMIFS($D$5:$D$1369,$B$5:$B$1369,B1310,$C$5:$C$1369,C1310))</f>
        <v>9.41392142731443E-006</v>
      </c>
      <c r="H1310" s="42" t="n">
        <f aca="false">E1310/SUMIFS($E$5:$E$1369,$B$5:$B$1369,B1310,$C$5:$C$1369,C1310)</f>
        <v>1.82331913696062E-005</v>
      </c>
      <c r="I1310" s="43" t="n">
        <f aca="false">IF(G1310="",H1310,p_beta_alloc*G1310+(1-p_beta_alloc)*H1310)*F1310^p_phi</f>
        <v>1.03676672988453E-005</v>
      </c>
      <c r="J1310" s="16" t="n">
        <f aca="false">INDEX(Sector_Params!$C$19:$E$19,MATCH(B1310,Sector_Params!$C$15:$E$15,0))*I1310/SUMIFS($I$5:$I$1369,$B$5:$B$1369,B1310,$C$5:$C$1369,C1310)</f>
        <v>0.0033369643167187</v>
      </c>
      <c r="K1310" s="28" t="n">
        <f aca="false">INDEX(Sector_Params!$F$8:$H$8,MATCH(B1310,Sector_Params!$C$15:$E$15,0))</f>
        <v>0.24</v>
      </c>
      <c r="L1310" s="16" t="n">
        <f aca="false">J1310*K1310</f>
        <v>0.000800871436012488</v>
      </c>
      <c r="M1310" s="44" t="n">
        <f aca="false">Country_Data!$DW$191+Sector_Params!$E$8</f>
        <v>0.105</v>
      </c>
      <c r="N1310" s="44" t="n">
        <f aca="false">Country_Data!$DX$191+Sector_Params!$E$8</f>
        <v>0.15</v>
      </c>
      <c r="O1310" s="11" t="n">
        <f aca="false">IF(p_use_ibrd=1,p_r_ibrd,p_r_wb)</f>
        <v>0.06</v>
      </c>
      <c r="P1310" s="45" t="n">
        <f aca="false">Sector_Params!$D$8</f>
        <v>25</v>
      </c>
      <c r="Q1310" s="46" t="n">
        <f aca="false">M1310/(1-(1+M1310)^-P1310)</f>
        <v>0.114429319813103</v>
      </c>
      <c r="R1310" s="46" t="n">
        <f aca="false">N1310/(1-(1+N1310)^-P1310)</f>
        <v>0.154699402320206</v>
      </c>
      <c r="S1310" s="46" t="n">
        <f aca="false">O1310/(1-(1+O1310)^-P1310)</f>
        <v>0.078226718212274</v>
      </c>
      <c r="T1310" s="37" t="n">
        <f aca="false">Country_Data!$CM$191*Sector_Params!$I$8</f>
        <v>0.156551104032423</v>
      </c>
      <c r="U1310" s="37" t="n">
        <f aca="false">Country_Data!$CN$191*Sector_Params!$J$8</f>
        <v>0.03225</v>
      </c>
      <c r="V1310" s="37" t="n">
        <f aca="false">p_a</f>
        <v>0.35</v>
      </c>
      <c r="W1310" s="16" t="n">
        <f aca="false">T1310*L1310</f>
        <v>0.000125377307495787</v>
      </c>
      <c r="X1310" s="16" t="n">
        <f aca="false">U1310*L1310</f>
        <v>2.58281038114027E-005</v>
      </c>
      <c r="Y1310" s="16" t="n">
        <f aca="false">V1310*L1310</f>
        <v>0.000280305002604371</v>
      </c>
      <c r="Z1310" s="16" t="n">
        <f aca="false">Q1310*L1310</f>
        <v>9.16431736806523E-005</v>
      </c>
      <c r="AA1310" s="16" t="n">
        <f aca="false">R1310*L1310</f>
        <v>0.000123894332486457</v>
      </c>
      <c r="AB1310" s="16" t="n">
        <f aca="false">S1310*L1310</f>
        <v>6.26495441492081E-005</v>
      </c>
      <c r="AC1310" s="16" t="n">
        <f aca="false">Z1310-W1310</f>
        <v>-3.37341338151349E-005</v>
      </c>
      <c r="AD1310" s="16" t="n">
        <f aca="false">AA1310-W1310</f>
        <v>-1.48297500932978E-006</v>
      </c>
      <c r="AE1310" s="16" t="n">
        <f aca="false">AB1310-W1310</f>
        <v>-6.27277633465791E-005</v>
      </c>
      <c r="AF1310" s="16" t="n">
        <f aca="false">AE1310-X1310</f>
        <v>-8.85558671579818E-005</v>
      </c>
      <c r="AG1310" s="16" t="n">
        <f aca="false">AF1310-p_spc_lo*Y1310/1000</f>
        <v>-0.0001025711172882</v>
      </c>
      <c r="AH1310" s="16" t="n">
        <f aca="false">AF1310-p_spc_hi*Y1310/1000</f>
        <v>-0.000116586367418419</v>
      </c>
      <c r="AI1310" s="16" t="n">
        <f aca="false">Q1310*J1310</f>
        <v>0.000381846557002718</v>
      </c>
      <c r="AJ1310" s="16" t="n">
        <f aca="false">S1310*J1310</f>
        <v>0.000261039767288367</v>
      </c>
      <c r="AK1310" s="16" t="n">
        <f aca="false">T1310*J1310</f>
        <v>0.000522405447899113</v>
      </c>
      <c r="AL1310" s="16" t="n">
        <f aca="false">U1310*J1310</f>
        <v>0.000107617099214178</v>
      </c>
      <c r="AM1310" s="16" t="n">
        <f aca="false">AI1310-AJ1310</f>
        <v>0.000120806789714351</v>
      </c>
      <c r="AN1310" s="16" t="n">
        <f aca="false">J1310*Country_Data!$EB$191</f>
        <v>0.00422682146784369</v>
      </c>
      <c r="AO1310" s="16" t="n">
        <f aca="false">L1310*Country_Data!$EB$191</f>
        <v>0.00101443715228248</v>
      </c>
    </row>
    <row r="1311" customFormat="false" ht="15" hidden="false" customHeight="false" outlineLevel="0" collapsed="false">
      <c r="A1311" s="14" t="str">
        <f aca="false">Country_Data!$A$191</f>
        <v>STP</v>
      </c>
      <c r="B1311" s="14" t="str">
        <f aca="false">Country_Data!$E$191</f>
        <v>EMDC</v>
      </c>
      <c r="C1311" s="35" t="s">
        <v>481</v>
      </c>
      <c r="D1311" s="37" t="n">
        <f aca="false">IF(Country_Data!$CC$191="","",Country_Data!$CC$191)</f>
        <v>0.00119377577299965</v>
      </c>
      <c r="E1311" s="40" t="n">
        <f aca="false">Country_Data!$BW$191</f>
        <v>1.472</v>
      </c>
      <c r="F1311" s="41" t="n">
        <f aca="false">Country_Data!$BX$191</f>
        <v>0.5625</v>
      </c>
      <c r="G1311" s="42" t="n">
        <f aca="false">IF(D1311="","",D1311/SUMIFS($D$5:$D$1369,$B$5:$B$1369,B1311,$C$5:$C$1369,C1311))</f>
        <v>1.70521716629679E-005</v>
      </c>
      <c r="H1311" s="42" t="n">
        <f aca="false">E1311/SUMIFS($E$5:$E$1369,$B$5:$B$1369,B1311,$C$5:$C$1369,C1311)</f>
        <v>1.82331913696062E-005</v>
      </c>
      <c r="I1311" s="43" t="n">
        <f aca="false">IF(G1311="",H1311,p_beta_alloc*G1311+(1-p_beta_alloc)*H1311)*F1311^p_phi</f>
        <v>1.32320111372153E-005</v>
      </c>
      <c r="J1311" s="16" t="n">
        <f aca="false">INDEX(Sector_Params!$C$20:$E$20,MATCH(B1311,Sector_Params!$C$15:$E$15,0))*I1311/SUMIFS($I$5:$I$1369,$B$5:$B$1369,B1311,$C$5:$C$1369,C1311)</f>
        <v>0.00241510849464045</v>
      </c>
      <c r="K1311" s="28" t="n">
        <f aca="false">INDEX(Sector_Params!$F$9:$H$9,MATCH(B1311,Sector_Params!$C$15:$E$15,0))</f>
        <v>0.24</v>
      </c>
      <c r="L1311" s="16" t="n">
        <f aca="false">J1311*K1311</f>
        <v>0.000579626038713708</v>
      </c>
      <c r="M1311" s="44" t="n">
        <f aca="false">Country_Data!$DW$191+Sector_Params!$E$9</f>
        <v>0.105</v>
      </c>
      <c r="N1311" s="44" t="n">
        <f aca="false">Country_Data!$DX$191+Sector_Params!$E$9</f>
        <v>0.15</v>
      </c>
      <c r="O1311" s="11" t="n">
        <f aca="false">IF(p_use_ibrd=1,p_r_ibrd,p_r_wb)</f>
        <v>0.06</v>
      </c>
      <c r="P1311" s="45" t="n">
        <f aca="false">Sector_Params!$D$9</f>
        <v>25</v>
      </c>
      <c r="Q1311" s="46" t="n">
        <f aca="false">M1311/(1-(1+M1311)^-P1311)</f>
        <v>0.114429319813103</v>
      </c>
      <c r="R1311" s="46" t="n">
        <f aca="false">N1311/(1-(1+N1311)^-P1311)</f>
        <v>0.154699402320206</v>
      </c>
      <c r="S1311" s="46" t="n">
        <f aca="false">O1311/(1-(1+O1311)^-P1311)</f>
        <v>0.078226718212274</v>
      </c>
      <c r="T1311" s="37" t="n">
        <f aca="false">Country_Data!$CM$191*Sector_Params!$I$9</f>
        <v>0.156551104032423</v>
      </c>
      <c r="U1311" s="37" t="n">
        <f aca="false">Country_Data!$CN$191*Sector_Params!$J$9</f>
        <v>0.03225</v>
      </c>
      <c r="V1311" s="37" t="n">
        <f aca="false">p_a</f>
        <v>0.35</v>
      </c>
      <c r="W1311" s="16" t="n">
        <f aca="false">T1311*L1311</f>
        <v>9.07410962865711E-005</v>
      </c>
      <c r="X1311" s="16" t="n">
        <f aca="false">U1311*L1311</f>
        <v>1.86929397485171E-005</v>
      </c>
      <c r="Y1311" s="16" t="n">
        <f aca="false">V1311*L1311</f>
        <v>0.000202869113549798</v>
      </c>
      <c r="Z1311" s="16" t="n">
        <f aca="false">Q1311*L1311</f>
        <v>6.63262133559731E-005</v>
      </c>
      <c r="AA1311" s="16" t="n">
        <f aca="false">R1311*L1311</f>
        <v>8.96678017582395E-005</v>
      </c>
      <c r="AB1311" s="16" t="n">
        <f aca="false">S1311*L1311</f>
        <v>4.53422427989538E-005</v>
      </c>
      <c r="AC1311" s="16" t="n">
        <f aca="false">Z1311-W1311</f>
        <v>-2.4414882930598E-005</v>
      </c>
      <c r="AD1311" s="16" t="n">
        <f aca="false">AA1311-W1311</f>
        <v>-1.07329452833158E-006</v>
      </c>
      <c r="AE1311" s="16" t="n">
        <f aca="false">AB1311-W1311</f>
        <v>-4.53988534876172E-005</v>
      </c>
      <c r="AF1311" s="16" t="n">
        <f aca="false">AE1311-X1311</f>
        <v>-6.40917932361343E-005</v>
      </c>
      <c r="AG1311" s="16" t="n">
        <f aca="false">AF1311-p_spc_lo*Y1311/1000</f>
        <v>-7.42352489136242E-005</v>
      </c>
      <c r="AH1311" s="16" t="n">
        <f aca="false">AF1311-p_spc_hi*Y1311/1000</f>
        <v>-8.43787045911141E-005</v>
      </c>
      <c r="AI1311" s="16" t="n">
        <f aca="false">Q1311*J1311</f>
        <v>0.000276359222316555</v>
      </c>
      <c r="AJ1311" s="16" t="n">
        <f aca="false">S1311*J1311</f>
        <v>0.000188926011662308</v>
      </c>
      <c r="AK1311" s="16" t="n">
        <f aca="false">T1311*J1311</f>
        <v>0.000378087901194046</v>
      </c>
      <c r="AL1311" s="16" t="n">
        <f aca="false">U1311*J1311</f>
        <v>7.78872489521545E-005</v>
      </c>
      <c r="AM1311" s="16" t="n">
        <f aca="false">AI1311-AJ1311</f>
        <v>8.7433210654247E-005</v>
      </c>
      <c r="AN1311" s="16" t="n">
        <f aca="false">J1311*Country_Data!$EB$191</f>
        <v>0.00305913742654457</v>
      </c>
      <c r="AO1311" s="16" t="n">
        <f aca="false">L1311*Country_Data!$EB$191</f>
        <v>0.000734192982370697</v>
      </c>
    </row>
    <row r="1312" customFormat="false" ht="15" hidden="false" customHeight="false" outlineLevel="0" collapsed="false">
      <c r="A1312" s="14" t="str">
        <f aca="false">Country_Data!$A$191</f>
        <v>STP</v>
      </c>
      <c r="B1312" s="14" t="str">
        <f aca="false">Country_Data!$E$191</f>
        <v>EMDC</v>
      </c>
      <c r="C1312" s="35" t="s">
        <v>484</v>
      </c>
      <c r="D1312" s="37" t="n">
        <f aca="false">IF(Country_Data!$CD$191="","",Country_Data!$CD$191)</f>
        <v>0.001820969272926</v>
      </c>
      <c r="E1312" s="40" t="n">
        <f aca="false">Country_Data!$BW$191</f>
        <v>1.472</v>
      </c>
      <c r="F1312" s="41" t="n">
        <f aca="false">Country_Data!$BX$191</f>
        <v>0.5625</v>
      </c>
      <c r="G1312" s="42" t="n">
        <f aca="false">IF(D1312="","",D1312/SUMIFS($D$5:$D$1369,$B$5:$B$1369,B1312,$C$5:$C$1369,C1312))</f>
        <v>1.01689576552915E-005</v>
      </c>
      <c r="H1312" s="42" t="n">
        <f aca="false">E1312/SUMIFS($E$5:$E$1369,$B$5:$B$1369,B1312,$C$5:$C$1369,C1312)</f>
        <v>1.82331913696062E-005</v>
      </c>
      <c r="I1312" s="43" t="n">
        <f aca="false">IF(G1312="",H1312,p_beta_alloc*G1312+(1-p_beta_alloc)*H1312)*F1312^p_phi</f>
        <v>1.06508058843367E-005</v>
      </c>
      <c r="J1312" s="16" t="n">
        <f aca="false">INDEX(Sector_Params!$C$21:$E$21,MATCH(B1312,Sector_Params!$C$15:$E$15,0))*I1312/SUMIFS($I$5:$I$1369,$B$5:$B$1369,B1312,$C$5:$C$1369,C1312)</f>
        <v>0.00236224038658879</v>
      </c>
      <c r="K1312" s="28" t="n">
        <f aca="false">INDEX(Sector_Params!$F$10:$H$10,MATCH(B1312,Sector_Params!$C$15:$E$15,0))</f>
        <v>0.24</v>
      </c>
      <c r="L1312" s="16" t="n">
        <f aca="false">J1312*K1312</f>
        <v>0.00056693769278131</v>
      </c>
      <c r="M1312" s="44" t="n">
        <f aca="false">Country_Data!$DW$191+Sector_Params!$E$10</f>
        <v>0.105</v>
      </c>
      <c r="N1312" s="44" t="n">
        <f aca="false">Country_Data!$DX$191+Sector_Params!$E$10</f>
        <v>0.15</v>
      </c>
      <c r="O1312" s="11" t="n">
        <f aca="false">IF(p_use_ibrd=1,p_r_ibrd,p_r_wb)</f>
        <v>0.06</v>
      </c>
      <c r="P1312" s="45" t="n">
        <f aca="false">Sector_Params!$D$10</f>
        <v>20</v>
      </c>
      <c r="Q1312" s="46" t="n">
        <f aca="false">M1312/(1-(1+M1312)^-P1312)</f>
        <v>0.121493265267016</v>
      </c>
      <c r="R1312" s="46" t="n">
        <f aca="false">N1312/(1-(1+N1312)^-P1312)</f>
        <v>0.159761470405744</v>
      </c>
      <c r="S1312" s="46" t="n">
        <f aca="false">O1312/(1-(1+O1312)^-P1312)</f>
        <v>0.0871845569768514</v>
      </c>
      <c r="T1312" s="37" t="n">
        <f aca="false">0*Sector_Params!$I$10</f>
        <v>0</v>
      </c>
      <c r="U1312" s="37" t="n">
        <f aca="false">0*Sector_Params!$J$10</f>
        <v>0</v>
      </c>
      <c r="V1312" s="37" t="n">
        <f aca="false">1000*p_r_wb/(1-(1+p_r_wb)^-Sector_Params!$D$10)/p_cpt_fuel</f>
        <v>0.871845569768514</v>
      </c>
      <c r="W1312" s="16" t="n">
        <f aca="false">T1312*L1312</f>
        <v>0</v>
      </c>
      <c r="X1312" s="16" t="n">
        <f aca="false">U1312*L1312</f>
        <v>0</v>
      </c>
      <c r="Y1312" s="16" t="n">
        <f aca="false">V1312*L1312</f>
        <v>0.000494282115786168</v>
      </c>
      <c r="Z1312" s="16" t="n">
        <f aca="false">Q1312*L1312</f>
        <v>6.88791114989498E-005</v>
      </c>
      <c r="AA1312" s="16" t="n">
        <f aca="false">R1312*L1312</f>
        <v>9.0574799427182E-005</v>
      </c>
      <c r="AB1312" s="16" t="n">
        <f aca="false">S1312*L1312</f>
        <v>4.94282115786168E-005</v>
      </c>
      <c r="AC1312" s="16" t="n">
        <f aca="false">Z1312-W1312</f>
        <v>6.88791114989498E-005</v>
      </c>
      <c r="AD1312" s="16" t="n">
        <f aca="false">AA1312-W1312</f>
        <v>9.0574799427182E-005</v>
      </c>
      <c r="AE1312" s="16" t="n">
        <f aca="false">AB1312-W1312</f>
        <v>4.94282115786168E-005</v>
      </c>
      <c r="AF1312" s="16" t="n">
        <f aca="false">AE1312-X1312</f>
        <v>4.94282115786168E-005</v>
      </c>
      <c r="AG1312" s="16" t="n">
        <f aca="false">AF1312-p_spc_lo*Y1312/1000</f>
        <v>2.47141057893084E-005</v>
      </c>
      <c r="AH1312" s="16" t="n">
        <f aca="false">AF1312-p_spc_hi*Y1312/1000</f>
        <v>0</v>
      </c>
      <c r="AI1312" s="16" t="n">
        <f aca="false">Q1312*J1312</f>
        <v>0.000286996297912291</v>
      </c>
      <c r="AJ1312" s="16" t="n">
        <f aca="false">S1312*J1312</f>
        <v>0.00020595088157757</v>
      </c>
      <c r="AK1312" s="16" t="n">
        <f aca="false">T1312*J1312</f>
        <v>0</v>
      </c>
      <c r="AL1312" s="16" t="n">
        <f aca="false">U1312*J1312</f>
        <v>0</v>
      </c>
      <c r="AM1312" s="16" t="n">
        <f aca="false">AI1312-AJ1312</f>
        <v>8.10454163347209E-005</v>
      </c>
      <c r="AN1312" s="16" t="n">
        <f aca="false">J1312*Country_Data!$EB$191</f>
        <v>0.0029921711563458</v>
      </c>
      <c r="AO1312" s="16" t="n">
        <f aca="false">L1312*Country_Data!$EB$191</f>
        <v>0.000718121077522993</v>
      </c>
    </row>
    <row r="1313" customFormat="false" ht="15" hidden="false" customHeight="false" outlineLevel="0" collapsed="false">
      <c r="A1313" s="14" t="str">
        <f aca="false">Country_Data!$A$191</f>
        <v>STP</v>
      </c>
      <c r="B1313" s="14" t="str">
        <f aca="false">Country_Data!$E$191</f>
        <v>EMDC</v>
      </c>
      <c r="C1313" s="35" t="s">
        <v>488</v>
      </c>
      <c r="D1313" s="37" t="n">
        <f aca="false">IF(Country_Data!$CE$191="","",Country_Data!$CE$191)</f>
        <v>0.308</v>
      </c>
      <c r="E1313" s="40" t="n">
        <f aca="false">Country_Data!$BW$191</f>
        <v>1.472</v>
      </c>
      <c r="F1313" s="41" t="n">
        <f aca="false">Country_Data!$BX$191</f>
        <v>0.5625</v>
      </c>
      <c r="G1313" s="42" t="n">
        <f aca="false">IF(D1313="","",D1313/SUMIFS($D$5:$D$1369,$B$5:$B$1369,B1313,$C$5:$C$1369,C1313))</f>
        <v>2.52373995317971E-005</v>
      </c>
      <c r="H1313" s="42" t="n">
        <f aca="false">E1313/SUMIFS($E$5:$E$1369,$B$5:$B$1369,B1313,$C$5:$C$1369,C1313)</f>
        <v>1.82331913696062E-005</v>
      </c>
      <c r="I1313" s="43" t="n">
        <f aca="false">IF(G1313="",H1313,p_beta_alloc*G1313+(1-p_beta_alloc)*H1313)*F1313^p_phi</f>
        <v>1.63014715880262E-005</v>
      </c>
      <c r="J1313" s="16" t="n">
        <f aca="false">INDEX(Sector_Params!$C$22:$E$22,MATCH(B1313,Sector_Params!$C$15:$E$15,0))*I1313/SUMIFS($I$5:$I$1369,$B$5:$B$1369,B1313,$C$5:$C$1369,C1313)</f>
        <v>0.00982666381357426</v>
      </c>
      <c r="K1313" s="28" t="n">
        <f aca="false">INDEX(Sector_Params!$F$11:$H$11,MATCH(B1313,Sector_Params!$C$15:$E$15,0))</f>
        <v>0.24</v>
      </c>
      <c r="L1313" s="16" t="n">
        <f aca="false">J1313*K1313</f>
        <v>0.00235839931525782</v>
      </c>
      <c r="M1313" s="44" t="n">
        <f aca="false">Country_Data!$DW$191+Sector_Params!$E$11</f>
        <v>0.105</v>
      </c>
      <c r="N1313" s="44" t="n">
        <f aca="false">Country_Data!$DX$191+Sector_Params!$E$11</f>
        <v>0.15</v>
      </c>
      <c r="O1313" s="11" t="n">
        <f aca="false">IF(p_use_ibrd=1,p_r_ibrd,p_r_wb)</f>
        <v>0.06</v>
      </c>
      <c r="P1313" s="45" t="n">
        <f aca="false">Sector_Params!$D$11</f>
        <v>30</v>
      </c>
      <c r="Q1313" s="46" t="n">
        <f aca="false">M1313/(1-(1+M1313)^-P1313)</f>
        <v>0.110528481529605</v>
      </c>
      <c r="R1313" s="46" t="n">
        <f aca="false">N1313/(1-(1+N1313)^-P1313)</f>
        <v>0.152300198192734</v>
      </c>
      <c r="S1313" s="46" t="n">
        <f aca="false">O1313/(1-(1+O1313)^-P1313)</f>
        <v>0.0726489114900472</v>
      </c>
      <c r="T1313" s="37" t="n">
        <f aca="false">0*Sector_Params!$I$11</f>
        <v>0</v>
      </c>
      <c r="U1313" s="37" t="n">
        <f aca="false">p_c*Sector_Params!$J$11</f>
        <v>0.129</v>
      </c>
      <c r="V1313" s="37" t="n">
        <f aca="false">1000*p_r_wb/(1-(1+p_r_wb)^-Sector_Params!$D$11)/p_cpt_afolu</f>
        <v>1.45297822980094</v>
      </c>
      <c r="W1313" s="16" t="n">
        <f aca="false">T1313*L1313</f>
        <v>0</v>
      </c>
      <c r="X1313" s="16" t="n">
        <f aca="false">U1313*L1313</f>
        <v>0.000304233511668259</v>
      </c>
      <c r="Y1313" s="16" t="n">
        <f aca="false">V1313*L1313</f>
        <v>0.00342670286224707</v>
      </c>
      <c r="Z1313" s="16" t="n">
        <f aca="false">Q1313*L1313</f>
        <v>0.000260670295155908</v>
      </c>
      <c r="AA1313" s="16" t="n">
        <f aca="false">R1313*L1313</f>
        <v>0.000359184683131375</v>
      </c>
      <c r="AB1313" s="16" t="n">
        <f aca="false">S1313*L1313</f>
        <v>0.000171335143112353</v>
      </c>
      <c r="AC1313" s="16" t="n">
        <f aca="false">Z1313-W1313</f>
        <v>0.000260670295155908</v>
      </c>
      <c r="AD1313" s="16" t="n">
        <f aca="false">AA1313-W1313</f>
        <v>0.000359184683131375</v>
      </c>
      <c r="AE1313" s="16" t="n">
        <f aca="false">AB1313-W1313</f>
        <v>0.000171335143112353</v>
      </c>
      <c r="AF1313" s="16" t="n">
        <f aca="false">AE1313-X1313</f>
        <v>-0.000132898368555906</v>
      </c>
      <c r="AG1313" s="16" t="n">
        <f aca="false">AF1313-p_spc_lo*Y1313/1000</f>
        <v>-0.000304233511668259</v>
      </c>
      <c r="AH1313" s="16" t="n">
        <f aca="false">AF1313-p_spc_hi*Y1313/1000</f>
        <v>-0.000475568654780612</v>
      </c>
      <c r="AI1313" s="16" t="n">
        <f aca="false">Q1313*J1313</f>
        <v>0.00108612622981628</v>
      </c>
      <c r="AJ1313" s="16" t="n">
        <f aca="false">S1313*J1313</f>
        <v>0.000713896429634806</v>
      </c>
      <c r="AK1313" s="16" t="n">
        <f aca="false">T1313*J1313</f>
        <v>0</v>
      </c>
      <c r="AL1313" s="16" t="n">
        <f aca="false">U1313*J1313</f>
        <v>0.00126763963195108</v>
      </c>
      <c r="AM1313" s="16" t="n">
        <f aca="false">AI1313-AJ1313</f>
        <v>0.000372229800181476</v>
      </c>
      <c r="AN1313" s="16" t="n">
        <f aca="false">J1313*Country_Data!$EB$191</f>
        <v>0.0124471074971941</v>
      </c>
      <c r="AO1313" s="16" t="n">
        <f aca="false">L1313*Country_Data!$EB$191</f>
        <v>0.00298730579932657</v>
      </c>
    </row>
    <row r="1314" customFormat="false" ht="15" hidden="false" customHeight="false" outlineLevel="0" collapsed="false">
      <c r="A1314" s="14" t="str">
        <f aca="false">Country_Data!$A$192</f>
        <v>DMA</v>
      </c>
      <c r="B1314" s="14" t="str">
        <f aca="false">Country_Data!$E$192</f>
        <v>EMDC</v>
      </c>
      <c r="C1314" s="35" t="s">
        <v>466</v>
      </c>
      <c r="D1314" s="37" t="n">
        <f aca="false">IF(Country_Data!$BZ$192="","",Country_Data!$BZ$192)</f>
        <v>0.156356275035165</v>
      </c>
      <c r="E1314" s="40" t="n">
        <f aca="false">Country_Data!$BW$192</f>
        <v>1.366</v>
      </c>
      <c r="F1314" s="41" t="n">
        <f aca="false">Country_Data!$BX$192</f>
        <v>0.504392386530015</v>
      </c>
      <c r="G1314" s="42" t="n">
        <f aca="false">IF(D1314="","",D1314/SUMIFS($D$5:$D$1369,$B$5:$B$1369,B1314,$C$5:$C$1369,C1314))</f>
        <v>1.78499662457605E-005</v>
      </c>
      <c r="H1314" s="42" t="n">
        <f aca="false">E1314/SUMIFS($E$5:$E$1369,$B$5:$B$1369,B1314,$C$5:$C$1369,C1314)</f>
        <v>1.69202034041319E-005</v>
      </c>
      <c r="I1314" s="43" t="n">
        <f aca="false">IF(G1314="",H1314,p_beta_alloc*G1314+(1-p_beta_alloc)*H1314)*F1314^p_phi</f>
        <v>1.23469894001901E-005</v>
      </c>
      <c r="J1314" s="16" t="n">
        <f aca="false">INDEX(Sector_Params!$C$16:$E$16,MATCH(B1314,Sector_Params!$C$15:$E$15,0))*I1314/SUMIFS($I$5:$I$1369,$B$5:$B$1369,B1314,$C$5:$C$1369,C1314)</f>
        <v>0.0119423211710331</v>
      </c>
      <c r="K1314" s="28" t="n">
        <f aca="false">INDEX(Sector_Params!$F$5:$H$5,MATCH(B1314,Sector_Params!$C$15:$E$15,0))</f>
        <v>0.24</v>
      </c>
      <c r="L1314" s="16" t="n">
        <f aca="false">J1314*K1314</f>
        <v>0.00286615708104794</v>
      </c>
      <c r="M1314" s="44" t="n">
        <f aca="false">Country_Data!$DW$192+Sector_Params!$E$5</f>
        <v>0.105</v>
      </c>
      <c r="N1314" s="44" t="n">
        <f aca="false">Country_Data!$DX$192+Sector_Params!$E$5</f>
        <v>0.15</v>
      </c>
      <c r="O1314" s="11" t="n">
        <f aca="false">IF(p_use_ibrd=1,p_r_ibrd,p_r_wb)</f>
        <v>0.06</v>
      </c>
      <c r="P1314" s="45" t="n">
        <f aca="false">Sector_Params!$D$5</f>
        <v>25</v>
      </c>
      <c r="Q1314" s="46" t="n">
        <f aca="false">M1314/(1-(1+M1314)^-P1314)</f>
        <v>0.114429319813103</v>
      </c>
      <c r="R1314" s="46" t="n">
        <f aca="false">N1314/(1-(1+N1314)^-P1314)</f>
        <v>0.154699402320206</v>
      </c>
      <c r="S1314" s="46" t="n">
        <f aca="false">O1314/(1-(1+O1314)^-P1314)</f>
        <v>0.078226718212274</v>
      </c>
      <c r="T1314" s="37" t="n">
        <f aca="false">IF(AND(p_eng=1,ISNUMBER(Country_Data!$CZ$192)),Country_Data!$CZ$192,Country_Data!$CM$192)*Sector_Params!$I$5</f>
        <v>0.267008903275767</v>
      </c>
      <c r="U1314" s="37" t="n">
        <f aca="false">IF(AND(p_eng=1,ISNUMBER(Country_Data!$DA$192)),Country_Data!$DA$192,Country_Data!$CN$192)*Sector_Params!$J$5</f>
        <v>0</v>
      </c>
      <c r="V1314" s="37" t="n">
        <f aca="false">IF(AND(p_eng=1,ISNUMBER(Country_Data!$DB$192)),Country_Data!$DB$192,p_a)</f>
        <v>1.62088958874773</v>
      </c>
      <c r="W1314" s="16" t="n">
        <f aca="false">T1314*L1314</f>
        <v>0.000765289458826686</v>
      </c>
      <c r="X1314" s="16" t="n">
        <f aca="false">U1314*L1314</f>
        <v>0</v>
      </c>
      <c r="Y1314" s="16" t="n">
        <f aca="false">V1314*L1314</f>
        <v>0.0046457241723862</v>
      </c>
      <c r="Z1314" s="16" t="n">
        <f aca="false">Q1314*L1314</f>
        <v>0.000327972405261826</v>
      </c>
      <c r="AA1314" s="16" t="n">
        <f aca="false">R1314*L1314</f>
        <v>0.000443392787393944</v>
      </c>
      <c r="AB1314" s="16" t="n">
        <f aca="false">S1314*L1314</f>
        <v>0.000224210062331251</v>
      </c>
      <c r="AC1314" s="16" t="n">
        <f aca="false">Z1314-W1314</f>
        <v>-0.00043731705356486</v>
      </c>
      <c r="AD1314" s="16" t="n">
        <f aca="false">AA1314-W1314</f>
        <v>-0.000321896671432742</v>
      </c>
      <c r="AE1314" s="16" t="n">
        <f aca="false">AB1314-W1314</f>
        <v>-0.000541079396495435</v>
      </c>
      <c r="AF1314" s="16" t="n">
        <f aca="false">AE1314-X1314</f>
        <v>-0.000541079396495435</v>
      </c>
      <c r="AG1314" s="16" t="n">
        <f aca="false">AF1314-p_spc_lo*Y1314/1000</f>
        <v>-0.000773365605114745</v>
      </c>
      <c r="AH1314" s="16" t="n">
        <f aca="false">AF1314-p_spc_hi*Y1314/1000</f>
        <v>-0.00100565181373405</v>
      </c>
      <c r="AI1314" s="16" t="n">
        <f aca="false">Q1314*J1314</f>
        <v>0.00136655168859094</v>
      </c>
      <c r="AJ1314" s="16" t="n">
        <f aca="false">S1314*J1314</f>
        <v>0.00093420859304688</v>
      </c>
      <c r="AK1314" s="16" t="n">
        <f aca="false">T1314*J1314</f>
        <v>0.00318870607844453</v>
      </c>
      <c r="AL1314" s="16" t="n">
        <f aca="false">U1314*J1314</f>
        <v>0</v>
      </c>
      <c r="AM1314" s="16" t="n">
        <f aca="false">AI1314-AJ1314</f>
        <v>0.000432343095544061</v>
      </c>
      <c r="AN1314" s="16" t="n">
        <f aca="false">J1314*Country_Data!$EB$192</f>
        <v>0.0137091303305832</v>
      </c>
      <c r="AO1314" s="16" t="n">
        <f aca="false">L1314*Country_Data!$EB$192</f>
        <v>0.00329019127933997</v>
      </c>
    </row>
    <row r="1315" customFormat="false" ht="15" hidden="false" customHeight="false" outlineLevel="0" collapsed="false">
      <c r="A1315" s="14" t="str">
        <f aca="false">Country_Data!$A$192</f>
        <v>DMA</v>
      </c>
      <c r="B1315" s="14" t="str">
        <f aca="false">Country_Data!$E$192</f>
        <v>EMDC</v>
      </c>
      <c r="C1315" s="35" t="s">
        <v>470</v>
      </c>
      <c r="D1315" s="37" t="n">
        <f aca="false">IF(Country_Data!$BZ$192="","",Country_Data!$BZ$192)</f>
        <v>0.156356275035165</v>
      </c>
      <c r="E1315" s="40" t="n">
        <f aca="false">Country_Data!$BW$192</f>
        <v>1.366</v>
      </c>
      <c r="F1315" s="41" t="n">
        <f aca="false">Country_Data!$BX$192</f>
        <v>0.504392386530015</v>
      </c>
      <c r="G1315" s="42" t="n">
        <f aca="false">IF(D1315="","",D1315/SUMIFS($D$5:$D$1369,$B$5:$B$1369,B1315,$C$5:$C$1369,C1315))</f>
        <v>1.78499662457605E-005</v>
      </c>
      <c r="H1315" s="42" t="n">
        <f aca="false">E1315/SUMIFS($E$5:$E$1369,$B$5:$B$1369,B1315,$C$5:$C$1369,C1315)</f>
        <v>1.69202034041319E-005</v>
      </c>
      <c r="I1315" s="43" t="n">
        <f aca="false">IF(G1315="",H1315,p_beta_alloc*G1315+(1-p_beta_alloc)*H1315)*F1315^p_phi</f>
        <v>1.23469894001901E-005</v>
      </c>
      <c r="J1315" s="16" t="n">
        <f aca="false">INDEX(Sector_Params!$C$17:$E$17,MATCH(B1315,Sector_Params!$C$15:$E$15,0))*I1315/SUMIFS($I$5:$I$1369,$B$5:$B$1369,B1315,$C$5:$C$1369,C1315)</f>
        <v>0.00818902023156555</v>
      </c>
      <c r="K1315" s="28" t="n">
        <f aca="false">INDEX(Sector_Params!$F$6:$H$6,MATCH(B1315,Sector_Params!$C$15:$E$15,0))</f>
        <v>0.24</v>
      </c>
      <c r="L1315" s="16" t="n">
        <f aca="false">J1315*K1315</f>
        <v>0.00196536485557573</v>
      </c>
      <c r="M1315" s="44" t="n">
        <f aca="false">Country_Data!$DW$192+Sector_Params!$E$6</f>
        <v>0.105</v>
      </c>
      <c r="N1315" s="44" t="n">
        <f aca="false">Country_Data!$DX$192+Sector_Params!$E$6</f>
        <v>0.15</v>
      </c>
      <c r="O1315" s="11" t="n">
        <f aca="false">IF(p_use_ibrd=1,p_r_ibrd,p_r_wb)</f>
        <v>0.06</v>
      </c>
      <c r="P1315" s="45" t="n">
        <f aca="false">Sector_Params!$D$6</f>
        <v>40</v>
      </c>
      <c r="Q1315" s="46" t="n">
        <f aca="false">M1315/(1-(1+M1315)^-P1315)</f>
        <v>0.10697140835497</v>
      </c>
      <c r="R1315" s="46" t="n">
        <f aca="false">N1315/(1-(1+N1315)^-P1315)</f>
        <v>0.150562085013545</v>
      </c>
      <c r="S1315" s="46" t="n">
        <f aca="false">O1315/(1-(1+O1315)^-P1315)</f>
        <v>0.0664615359206755</v>
      </c>
      <c r="T1315" s="37" t="n">
        <f aca="false">p_grid_credit*IF(AND(p_eng=1,ISNUMBER(Country_Data!$CZ$192)),Country_Data!$CZ$192,Country_Data!$CM$192)*Sector_Params!$I$6</f>
        <v>0</v>
      </c>
      <c r="U1315" s="37" t="n">
        <f aca="false">p_grid_credit*IF(AND(p_eng=1,ISNUMBER(Country_Data!$DA$192)),Country_Data!$DA$192,Country_Data!$CN$192)*Sector_Params!$J$6</f>
        <v>0</v>
      </c>
      <c r="V1315" s="37" t="n">
        <f aca="false">p_grid_credit*IF(AND(p_eng=1,ISNUMBER(Country_Data!$DB$192)),Country_Data!$DB$192,p_a)</f>
        <v>0</v>
      </c>
      <c r="W1315" s="16" t="n">
        <f aca="false">T1315*L1315</f>
        <v>0</v>
      </c>
      <c r="X1315" s="16" t="n">
        <f aca="false">U1315*L1315</f>
        <v>0</v>
      </c>
      <c r="Y1315" s="16" t="n">
        <f aca="false">V1315*L1315</f>
        <v>0</v>
      </c>
      <c r="Z1315" s="16" t="n">
        <f aca="false">Q1315*L1315</f>
        <v>0.000210237846532299</v>
      </c>
      <c r="AA1315" s="16" t="n">
        <f aca="false">R1315*L1315</f>
        <v>0.000295909430467827</v>
      </c>
      <c r="AB1315" s="16" t="n">
        <f aca="false">S1315*L1315</f>
        <v>0.00013062116694608</v>
      </c>
      <c r="AC1315" s="16" t="n">
        <f aca="false">Z1315-W1315</f>
        <v>0.000210237846532299</v>
      </c>
      <c r="AD1315" s="16" t="n">
        <f aca="false">AA1315-W1315</f>
        <v>0.000295909430467827</v>
      </c>
      <c r="AE1315" s="16" t="n">
        <f aca="false">AB1315-W1315</f>
        <v>0.00013062116694608</v>
      </c>
      <c r="AF1315" s="16" t="n">
        <f aca="false">AE1315-X1315</f>
        <v>0.00013062116694608</v>
      </c>
      <c r="AG1315" s="16" t="n">
        <f aca="false">AF1315-p_spc_lo*Y1315/1000</f>
        <v>0.00013062116694608</v>
      </c>
      <c r="AH1315" s="16" t="n">
        <f aca="false">AF1315-p_spc_hi*Y1315/1000</f>
        <v>0.00013062116694608</v>
      </c>
      <c r="AI1315" s="16" t="n">
        <f aca="false">Q1315*J1315</f>
        <v>0.000875991027217912</v>
      </c>
      <c r="AJ1315" s="16" t="n">
        <f aca="false">S1315*J1315</f>
        <v>0.000544254862275332</v>
      </c>
      <c r="AK1315" s="16" t="n">
        <f aca="false">T1315*J1315</f>
        <v>0</v>
      </c>
      <c r="AL1315" s="16" t="n">
        <f aca="false">U1315*J1315</f>
        <v>0</v>
      </c>
      <c r="AM1315" s="16" t="n">
        <f aca="false">AI1315-AJ1315</f>
        <v>0.00033173616494258</v>
      </c>
      <c r="AN1315" s="16" t="n">
        <f aca="false">J1315*Country_Data!$EB$192</f>
        <v>0.00940054651239991</v>
      </c>
      <c r="AO1315" s="16" t="n">
        <f aca="false">L1315*Country_Data!$EB$192</f>
        <v>0.00225613116297598</v>
      </c>
    </row>
    <row r="1316" customFormat="false" ht="15" hidden="false" customHeight="false" outlineLevel="0" collapsed="false">
      <c r="A1316" s="14" t="str">
        <f aca="false">Country_Data!$A$192</f>
        <v>DMA</v>
      </c>
      <c r="B1316" s="14" t="str">
        <f aca="false">Country_Data!$E$192</f>
        <v>EMDC</v>
      </c>
      <c r="C1316" s="35" t="s">
        <v>473</v>
      </c>
      <c r="D1316" s="37" t="n">
        <f aca="false">IF(Country_Data!$CA$192="","",Country_Data!$CA$192)</f>
        <v>0.000881454640569053</v>
      </c>
      <c r="E1316" s="40" t="n">
        <f aca="false">Country_Data!$BW$192</f>
        <v>1.366</v>
      </c>
      <c r="F1316" s="41" t="n">
        <f aca="false">Country_Data!$BX$192</f>
        <v>0.504392386530015</v>
      </c>
      <c r="G1316" s="42" t="n">
        <f aca="false">IF(D1316="","",D1316/SUMIFS($D$5:$D$1369,$B$5:$B$1369,B1316,$C$5:$C$1369,C1316))</f>
        <v>2.03636530903594E-005</v>
      </c>
      <c r="H1316" s="42" t="n">
        <f aca="false">E1316/SUMIFS($E$5:$E$1369,$B$5:$B$1369,B1316,$C$5:$C$1369,C1316)</f>
        <v>1.69202034041319E-005</v>
      </c>
      <c r="I1316" s="43" t="n">
        <f aca="false">IF(G1316="",H1316,p_beta_alloc*G1316+(1-p_beta_alloc)*H1316)*F1316^p_phi</f>
        <v>1.32396069841184E-005</v>
      </c>
      <c r="J1316" s="16" t="n">
        <f aca="false">INDEX(Sector_Params!$C$18:$E$18,MATCH(B1316,Sector_Params!$C$15:$E$15,0))*I1316/SUMIFS($I$5:$I$1369,$B$5:$B$1369,B1316,$C$5:$C$1369,C1316)</f>
        <v>0.00542130579481804</v>
      </c>
      <c r="K1316" s="28" t="n">
        <f aca="false">INDEX(Sector_Params!$F$7:$H$7,MATCH(B1316,Sector_Params!$C$15:$E$15,0))</f>
        <v>0.24</v>
      </c>
      <c r="L1316" s="16" t="n">
        <f aca="false">J1316*K1316</f>
        <v>0.00130111339075633</v>
      </c>
      <c r="M1316" s="44" t="n">
        <f aca="false">Country_Data!$DW$192+Sector_Params!$E$7</f>
        <v>0.105</v>
      </c>
      <c r="N1316" s="44" t="n">
        <f aca="false">Country_Data!$DX$192+Sector_Params!$E$7</f>
        <v>0.15</v>
      </c>
      <c r="O1316" s="11" t="n">
        <f aca="false">IF(p_use_ibrd=1,p_r_ibrd,p_r_wb)</f>
        <v>0.06</v>
      </c>
      <c r="P1316" s="45" t="n">
        <f aca="false">Sector_Params!$D$7</f>
        <v>12</v>
      </c>
      <c r="Q1316" s="46" t="n">
        <f aca="false">M1316/(1-(1+M1316)^-P1316)</f>
        <v>0.150376745634766</v>
      </c>
      <c r="R1316" s="46" t="n">
        <f aca="false">N1316/(1-(1+N1316)^-P1316)</f>
        <v>0.18448077613084</v>
      </c>
      <c r="S1316" s="46" t="n">
        <f aca="false">O1316/(1-(1+O1316)^-P1316)</f>
        <v>0.119277029380664</v>
      </c>
      <c r="T1316" s="37" t="n">
        <f aca="false">IF(AND(p_eng=1,ISNUMBER(Country_Data!$DE$192)),Country_Data!$DE$192,Country_Data!$CM$192)*Sector_Params!$I$7</f>
        <v>0.07255422</v>
      </c>
      <c r="U1316" s="37" t="n">
        <f aca="false">IF(AND(p_eng=1,ISNUMBER(Country_Data!$DF$192)),Country_Data!$DF$192,Country_Data!$CN$192)*Sector_Params!$J$7</f>
        <v>0</v>
      </c>
      <c r="V1316" s="37" t="n">
        <f aca="false">IF(AND(p_eng=1,ISNUMBER(Country_Data!$DG$192)),Country_Data!$DG$192,p_a)</f>
        <v>0.1529199</v>
      </c>
      <c r="W1316" s="16" t="n">
        <f aca="false">T1316*L1316</f>
        <v>9.44012671978807E-005</v>
      </c>
      <c r="X1316" s="16" t="n">
        <f aca="false">U1316*L1316</f>
        <v>0</v>
      </c>
      <c r="Y1316" s="16" t="n">
        <f aca="false">V1316*L1316</f>
        <v>0.000198966129603119</v>
      </c>
      <c r="Z1316" s="16" t="n">
        <f aca="false">Q1316*L1316</f>
        <v>0.000195657197403752</v>
      </c>
      <c r="AA1316" s="16" t="n">
        <f aca="false">R1316*L1316</f>
        <v>0.000240030408160956</v>
      </c>
      <c r="AB1316" s="16" t="n">
        <f aca="false">S1316*L1316</f>
        <v>0.000155192940136818</v>
      </c>
      <c r="AC1316" s="16" t="n">
        <f aca="false">Z1316-W1316</f>
        <v>0.000101255930205871</v>
      </c>
      <c r="AD1316" s="16" t="n">
        <f aca="false">AA1316-W1316</f>
        <v>0.000145629140963075</v>
      </c>
      <c r="AE1316" s="16" t="n">
        <f aca="false">AB1316-W1316</f>
        <v>6.07916729389368E-005</v>
      </c>
      <c r="AF1316" s="16" t="n">
        <f aca="false">AE1316-X1316</f>
        <v>6.07916729389368E-005</v>
      </c>
      <c r="AG1316" s="16" t="n">
        <f aca="false">AF1316-p_spc_lo*Y1316/1000</f>
        <v>5.08433664587809E-005</v>
      </c>
      <c r="AH1316" s="16" t="n">
        <f aca="false">AF1316-p_spc_hi*Y1316/1000</f>
        <v>4.08950599786249E-005</v>
      </c>
      <c r="AI1316" s="16" t="n">
        <f aca="false">Q1316*J1316</f>
        <v>0.000815238322515634</v>
      </c>
      <c r="AJ1316" s="16" t="n">
        <f aca="false">S1316*J1316</f>
        <v>0.000646637250570073</v>
      </c>
      <c r="AK1316" s="16" t="n">
        <f aca="false">T1316*J1316</f>
        <v>0.000393338613324503</v>
      </c>
      <c r="AL1316" s="16" t="n">
        <f aca="false">U1316*J1316</f>
        <v>0</v>
      </c>
      <c r="AM1316" s="16" t="n">
        <f aca="false">AI1316-AJ1316</f>
        <v>0.000168601071945561</v>
      </c>
      <c r="AN1316" s="16" t="n">
        <f aca="false">J1316*Country_Data!$EB$192</f>
        <v>0.00622336199459934</v>
      </c>
      <c r="AO1316" s="16" t="n">
        <f aca="false">L1316*Country_Data!$EB$192</f>
        <v>0.00149360687870384</v>
      </c>
    </row>
    <row r="1317" customFormat="false" ht="15" hidden="false" customHeight="false" outlineLevel="0" collapsed="false">
      <c r="A1317" s="14" t="str">
        <f aca="false">Country_Data!$A$192</f>
        <v>DMA</v>
      </c>
      <c r="B1317" s="14" t="str">
        <f aca="false">Country_Data!$E$192</f>
        <v>EMDC</v>
      </c>
      <c r="C1317" s="35" t="s">
        <v>477</v>
      </c>
      <c r="D1317" s="37" t="n">
        <f aca="false">IF(Country_Data!$CB$192="","",Country_Data!$CB$192)</f>
        <v>0.000324497569648438</v>
      </c>
      <c r="E1317" s="40" t="n">
        <f aca="false">Country_Data!$BW$192</f>
        <v>1.366</v>
      </c>
      <c r="F1317" s="41" t="n">
        <f aca="false">Country_Data!$BX$192</f>
        <v>0.504392386530015</v>
      </c>
      <c r="G1317" s="42" t="n">
        <f aca="false">IF(D1317="","",D1317/SUMIFS($D$5:$D$1369,$B$5:$B$1369,B1317,$C$5:$C$1369,C1317))</f>
        <v>1.02323964662175E-005</v>
      </c>
      <c r="H1317" s="42" t="n">
        <f aca="false">E1317/SUMIFS($E$5:$E$1369,$B$5:$B$1369,B1317,$C$5:$C$1369,C1317)</f>
        <v>1.69202034041319E-005</v>
      </c>
      <c r="I1317" s="43" t="n">
        <f aca="false">IF(G1317="",H1317,p_beta_alloc*G1317+(1-p_beta_alloc)*H1317)*F1317^p_phi</f>
        <v>9.64196799045088E-006</v>
      </c>
      <c r="J1317" s="16" t="n">
        <f aca="false">INDEX(Sector_Params!$C$19:$E$19,MATCH(B1317,Sector_Params!$C$15:$E$15,0))*I1317/SUMIFS($I$5:$I$1369,$B$5:$B$1369,B1317,$C$5:$C$1369,C1317)</f>
        <v>0.00310338885302214</v>
      </c>
      <c r="K1317" s="28" t="n">
        <f aca="false">INDEX(Sector_Params!$F$8:$H$8,MATCH(B1317,Sector_Params!$C$15:$E$15,0))</f>
        <v>0.24</v>
      </c>
      <c r="L1317" s="16" t="n">
        <f aca="false">J1317*K1317</f>
        <v>0.000744813324725313</v>
      </c>
      <c r="M1317" s="44" t="n">
        <f aca="false">Country_Data!$DW$192+Sector_Params!$E$8</f>
        <v>0.105</v>
      </c>
      <c r="N1317" s="44" t="n">
        <f aca="false">Country_Data!$DX$192+Sector_Params!$E$8</f>
        <v>0.15</v>
      </c>
      <c r="O1317" s="11" t="n">
        <f aca="false">IF(p_use_ibrd=1,p_r_ibrd,p_r_wb)</f>
        <v>0.06</v>
      </c>
      <c r="P1317" s="45" t="n">
        <f aca="false">Sector_Params!$D$8</f>
        <v>25</v>
      </c>
      <c r="Q1317" s="46" t="n">
        <f aca="false">M1317/(1-(1+M1317)^-P1317)</f>
        <v>0.114429319813103</v>
      </c>
      <c r="R1317" s="46" t="n">
        <f aca="false">N1317/(1-(1+N1317)^-P1317)</f>
        <v>0.154699402320206</v>
      </c>
      <c r="S1317" s="46" t="n">
        <f aca="false">O1317/(1-(1+O1317)^-P1317)</f>
        <v>0.078226718212274</v>
      </c>
      <c r="T1317" s="37" t="n">
        <f aca="false">Country_Data!$CM$192*Sector_Params!$I$8</f>
        <v>0.454037361830936</v>
      </c>
      <c r="U1317" s="37" t="n">
        <f aca="false">Country_Data!$CN$192*Sector_Params!$J$8</f>
        <v>0.03225</v>
      </c>
      <c r="V1317" s="37" t="n">
        <f aca="false">p_a</f>
        <v>0.35</v>
      </c>
      <c r="W1317" s="16" t="n">
        <f aca="false">T1317*L1317</f>
        <v>0.000338173077014809</v>
      </c>
      <c r="X1317" s="16" t="n">
        <f aca="false">U1317*L1317</f>
        <v>2.40202297223913E-005</v>
      </c>
      <c r="Y1317" s="16" t="n">
        <f aca="false">V1317*L1317</f>
        <v>0.00026068466365386</v>
      </c>
      <c r="Z1317" s="16" t="n">
        <f aca="false">Q1317*L1317</f>
        <v>8.52284821360536E-005</v>
      </c>
      <c r="AA1317" s="16" t="n">
        <f aca="false">R1317*L1317</f>
        <v>0.000115222176175132</v>
      </c>
      <c r="AB1317" s="16" t="n">
        <f aca="false">S1317*L1317</f>
        <v>5.8264302074034E-005</v>
      </c>
      <c r="AC1317" s="16" t="n">
        <f aca="false">Z1317-W1317</f>
        <v>-0.000252944594878756</v>
      </c>
      <c r="AD1317" s="16" t="n">
        <f aca="false">AA1317-W1317</f>
        <v>-0.000222950900839677</v>
      </c>
      <c r="AE1317" s="16" t="n">
        <f aca="false">AB1317-W1317</f>
        <v>-0.000279908774940775</v>
      </c>
      <c r="AF1317" s="16" t="n">
        <f aca="false">AE1317-X1317</f>
        <v>-0.000303929004663167</v>
      </c>
      <c r="AG1317" s="16" t="n">
        <f aca="false">AF1317-p_spc_lo*Y1317/1000</f>
        <v>-0.00031696323784586</v>
      </c>
      <c r="AH1317" s="16" t="n">
        <f aca="false">AF1317-p_spc_hi*Y1317/1000</f>
        <v>-0.000329997471028553</v>
      </c>
      <c r="AI1317" s="16" t="n">
        <f aca="false">Q1317*J1317</f>
        <v>0.00035511867556689</v>
      </c>
      <c r="AJ1317" s="16" t="n">
        <f aca="false">S1317*J1317</f>
        <v>0.000242767925308475</v>
      </c>
      <c r="AK1317" s="16" t="n">
        <f aca="false">T1317*J1317</f>
        <v>0.00140905448756171</v>
      </c>
      <c r="AL1317" s="16" t="n">
        <f aca="false">U1317*J1317</f>
        <v>0.000100084290509964</v>
      </c>
      <c r="AM1317" s="16" t="n">
        <f aca="false">AI1317-AJ1317</f>
        <v>0.000112350750258415</v>
      </c>
      <c r="AN1317" s="16" t="n">
        <f aca="false">J1317*Country_Data!$EB$192</f>
        <v>0.00356252035456514</v>
      </c>
      <c r="AO1317" s="16" t="n">
        <f aca="false">L1317*Country_Data!$EB$192</f>
        <v>0.000855004885095634</v>
      </c>
    </row>
    <row r="1318" customFormat="false" ht="15" hidden="false" customHeight="false" outlineLevel="0" collapsed="false">
      <c r="A1318" s="14" t="str">
        <f aca="false">Country_Data!$A$192</f>
        <v>DMA</v>
      </c>
      <c r="B1318" s="14" t="str">
        <f aca="false">Country_Data!$E$192</f>
        <v>EMDC</v>
      </c>
      <c r="C1318" s="35" t="s">
        <v>481</v>
      </c>
      <c r="D1318" s="37" t="n">
        <f aca="false">IF(Country_Data!$CC$192="","",Country_Data!$CC$192)</f>
        <v>0.00158401756152251</v>
      </c>
      <c r="E1318" s="40" t="n">
        <f aca="false">Country_Data!$BW$192</f>
        <v>1.366</v>
      </c>
      <c r="F1318" s="41" t="n">
        <f aca="false">Country_Data!$BX$192</f>
        <v>0.504392386530015</v>
      </c>
      <c r="G1318" s="42" t="n">
        <f aca="false">IF(D1318="","",D1318/SUMIFS($D$5:$D$1369,$B$5:$B$1369,B1318,$C$5:$C$1369,C1318))</f>
        <v>2.26264764180682E-005</v>
      </c>
      <c r="H1318" s="42" t="n">
        <f aca="false">E1318/SUMIFS($E$5:$E$1369,$B$5:$B$1369,B1318,$C$5:$C$1369,C1318)</f>
        <v>1.69202034041319E-005</v>
      </c>
      <c r="I1318" s="43" t="n">
        <f aca="false">IF(G1318="",H1318,p_beta_alloc*G1318+(1-p_beta_alloc)*H1318)*F1318^p_phi</f>
        <v>1.4043142196142E-005</v>
      </c>
      <c r="J1318" s="16" t="n">
        <f aca="false">INDEX(Sector_Params!$C$20:$E$20,MATCH(B1318,Sector_Params!$C$15:$E$15,0))*I1318/SUMIFS($I$5:$I$1369,$B$5:$B$1369,B1318,$C$5:$C$1369,C1318)</f>
        <v>0.00256315624719795</v>
      </c>
      <c r="K1318" s="28" t="n">
        <f aca="false">INDEX(Sector_Params!$F$9:$H$9,MATCH(B1318,Sector_Params!$C$15:$E$15,0))</f>
        <v>0.24</v>
      </c>
      <c r="L1318" s="16" t="n">
        <f aca="false">J1318*K1318</f>
        <v>0.000615157499327508</v>
      </c>
      <c r="M1318" s="44" t="n">
        <f aca="false">Country_Data!$DW$192+Sector_Params!$E$9</f>
        <v>0.105</v>
      </c>
      <c r="N1318" s="44" t="n">
        <f aca="false">Country_Data!$DX$192+Sector_Params!$E$9</f>
        <v>0.15</v>
      </c>
      <c r="O1318" s="11" t="n">
        <f aca="false">IF(p_use_ibrd=1,p_r_ibrd,p_r_wb)</f>
        <v>0.06</v>
      </c>
      <c r="P1318" s="45" t="n">
        <f aca="false">Sector_Params!$D$9</f>
        <v>25</v>
      </c>
      <c r="Q1318" s="46" t="n">
        <f aca="false">M1318/(1-(1+M1318)^-P1318)</f>
        <v>0.114429319813103</v>
      </c>
      <c r="R1318" s="46" t="n">
        <f aca="false">N1318/(1-(1+N1318)^-P1318)</f>
        <v>0.154699402320206</v>
      </c>
      <c r="S1318" s="46" t="n">
        <f aca="false">O1318/(1-(1+O1318)^-P1318)</f>
        <v>0.078226718212274</v>
      </c>
      <c r="T1318" s="37" t="n">
        <f aca="false">Country_Data!$CM$192*Sector_Params!$I$9</f>
        <v>0.454037361830936</v>
      </c>
      <c r="U1318" s="37" t="n">
        <f aca="false">Country_Data!$CN$192*Sector_Params!$J$9</f>
        <v>0.03225</v>
      </c>
      <c r="V1318" s="37" t="n">
        <f aca="false">p_a</f>
        <v>0.35</v>
      </c>
      <c r="W1318" s="16" t="n">
        <f aca="false">T1318*L1318</f>
        <v>0.000279304488105177</v>
      </c>
      <c r="X1318" s="16" t="n">
        <f aca="false">U1318*L1318</f>
        <v>1.98388293533121E-005</v>
      </c>
      <c r="Y1318" s="16" t="n">
        <f aca="false">V1318*L1318</f>
        <v>0.000215305124764628</v>
      </c>
      <c r="Z1318" s="16" t="n">
        <f aca="false">Q1318*L1318</f>
        <v>7.03920542259763E-005</v>
      </c>
      <c r="AA1318" s="16" t="n">
        <f aca="false">R1318*L1318</f>
        <v>9.51644974787582E-005</v>
      </c>
      <c r="AB1318" s="16" t="n">
        <f aca="false">S1318*L1318</f>
        <v>4.812175235606E-005</v>
      </c>
      <c r="AC1318" s="16" t="n">
        <f aca="false">Z1318-W1318</f>
        <v>-0.000208912433879201</v>
      </c>
      <c r="AD1318" s="16" t="n">
        <f aca="false">AA1318-W1318</f>
        <v>-0.000184139990626419</v>
      </c>
      <c r="AE1318" s="16" t="n">
        <f aca="false">AB1318-W1318</f>
        <v>-0.000231182735749117</v>
      </c>
      <c r="AF1318" s="16" t="n">
        <f aca="false">AE1318-X1318</f>
        <v>-0.000251021565102429</v>
      </c>
      <c r="AG1318" s="16" t="n">
        <f aca="false">AF1318-p_spc_lo*Y1318/1000</f>
        <v>-0.000261786821340661</v>
      </c>
      <c r="AH1318" s="16" t="n">
        <f aca="false">AF1318-p_spc_hi*Y1318/1000</f>
        <v>-0.000272552077578892</v>
      </c>
      <c r="AI1318" s="16" t="n">
        <f aca="false">Q1318*J1318</f>
        <v>0.000293300225941568</v>
      </c>
      <c r="AJ1318" s="16" t="n">
        <f aca="false">S1318*J1318</f>
        <v>0.000200507301483583</v>
      </c>
      <c r="AK1318" s="16" t="n">
        <f aca="false">T1318*J1318</f>
        <v>0.00116376870043824</v>
      </c>
      <c r="AL1318" s="16" t="n">
        <f aca="false">U1318*J1318</f>
        <v>8.26617889721338E-005</v>
      </c>
      <c r="AM1318" s="16" t="n">
        <f aca="false">AI1318-AJ1318</f>
        <v>9.27929244579842E-005</v>
      </c>
      <c r="AN1318" s="16" t="n">
        <f aca="false">J1318*Country_Data!$EB$192</f>
        <v>0.00294236292486559</v>
      </c>
      <c r="AO1318" s="16" t="n">
        <f aca="false">L1318*Country_Data!$EB$192</f>
        <v>0.000706167101967742</v>
      </c>
    </row>
    <row r="1319" customFormat="false" ht="15" hidden="false" customHeight="false" outlineLevel="0" collapsed="false">
      <c r="A1319" s="14" t="str">
        <f aca="false">Country_Data!$A$192</f>
        <v>DMA</v>
      </c>
      <c r="B1319" s="14" t="str">
        <f aca="false">Country_Data!$E$192</f>
        <v>EMDC</v>
      </c>
      <c r="C1319" s="35" t="s">
        <v>484</v>
      </c>
      <c r="D1319" s="37" t="n">
        <f aca="false">IF(Country_Data!$CD$192="","",Country_Data!$CD$192)</f>
        <v>0.00222708718161341</v>
      </c>
      <c r="E1319" s="40" t="n">
        <f aca="false">Country_Data!$BW$192</f>
        <v>1.366</v>
      </c>
      <c r="F1319" s="41" t="n">
        <f aca="false">Country_Data!$BX$192</f>
        <v>0.504392386530015</v>
      </c>
      <c r="G1319" s="42" t="n">
        <f aca="false">IF(D1319="","",D1319/SUMIFS($D$5:$D$1369,$B$5:$B$1369,B1319,$C$5:$C$1369,C1319))</f>
        <v>1.24368684201239E-005</v>
      </c>
      <c r="H1319" s="42" t="n">
        <f aca="false">E1319/SUMIFS($E$5:$E$1369,$B$5:$B$1369,B1319,$C$5:$C$1369,C1319)</f>
        <v>1.69202034041319E-005</v>
      </c>
      <c r="I1319" s="43" t="n">
        <f aca="false">IF(G1319="",H1319,p_beta_alloc*G1319+(1-p_beta_alloc)*H1319)*F1319^p_phi</f>
        <v>1.04247824581963E-005</v>
      </c>
      <c r="J1319" s="16" t="n">
        <f aca="false">INDEX(Sector_Params!$C$21:$E$21,MATCH(B1319,Sector_Params!$C$15:$E$15,0))*I1319/SUMIFS($I$5:$I$1369,$B$5:$B$1369,B1319,$C$5:$C$1369,C1319)</f>
        <v>0.00231211069017501</v>
      </c>
      <c r="K1319" s="28" t="n">
        <f aca="false">INDEX(Sector_Params!$F$10:$H$10,MATCH(B1319,Sector_Params!$C$15:$E$15,0))</f>
        <v>0.24</v>
      </c>
      <c r="L1319" s="16" t="n">
        <f aca="false">J1319*K1319</f>
        <v>0.000554906565642002</v>
      </c>
      <c r="M1319" s="44" t="n">
        <f aca="false">Country_Data!$DW$192+Sector_Params!$E$10</f>
        <v>0.105</v>
      </c>
      <c r="N1319" s="44" t="n">
        <f aca="false">Country_Data!$DX$192+Sector_Params!$E$10</f>
        <v>0.15</v>
      </c>
      <c r="O1319" s="11" t="n">
        <f aca="false">IF(p_use_ibrd=1,p_r_ibrd,p_r_wb)</f>
        <v>0.06</v>
      </c>
      <c r="P1319" s="45" t="n">
        <f aca="false">Sector_Params!$D$10</f>
        <v>20</v>
      </c>
      <c r="Q1319" s="46" t="n">
        <f aca="false">M1319/(1-(1+M1319)^-P1319)</f>
        <v>0.121493265267016</v>
      </c>
      <c r="R1319" s="46" t="n">
        <f aca="false">N1319/(1-(1+N1319)^-P1319)</f>
        <v>0.159761470405744</v>
      </c>
      <c r="S1319" s="46" t="n">
        <f aca="false">O1319/(1-(1+O1319)^-P1319)</f>
        <v>0.0871845569768514</v>
      </c>
      <c r="T1319" s="37" t="n">
        <f aca="false">0*Sector_Params!$I$10</f>
        <v>0</v>
      </c>
      <c r="U1319" s="37" t="n">
        <f aca="false">0*Sector_Params!$J$10</f>
        <v>0</v>
      </c>
      <c r="V1319" s="37" t="n">
        <f aca="false">1000*p_r_wb/(1-(1+p_r_wb)^-Sector_Params!$D$10)/p_cpt_fuel</f>
        <v>0.871845569768514</v>
      </c>
      <c r="W1319" s="16" t="n">
        <f aca="false">T1319*L1319</f>
        <v>0</v>
      </c>
      <c r="X1319" s="16" t="n">
        <f aca="false">U1319*L1319</f>
        <v>0</v>
      </c>
      <c r="Y1319" s="16" t="n">
        <f aca="false">V1319*L1319</f>
        <v>0.00048379283089044</v>
      </c>
      <c r="Z1319" s="16" t="n">
        <f aca="false">Q1319*L1319</f>
        <v>6.74174105779526E-005</v>
      </c>
      <c r="AA1319" s="16" t="n">
        <f aca="false">R1319*L1319</f>
        <v>8.86526888647676E-005</v>
      </c>
      <c r="AB1319" s="16" t="n">
        <f aca="false">S1319*L1319</f>
        <v>4.8379283089044E-005</v>
      </c>
      <c r="AC1319" s="16" t="n">
        <f aca="false">Z1319-W1319</f>
        <v>6.74174105779526E-005</v>
      </c>
      <c r="AD1319" s="16" t="n">
        <f aca="false">AA1319-W1319</f>
        <v>8.86526888647676E-005</v>
      </c>
      <c r="AE1319" s="16" t="n">
        <f aca="false">AB1319-W1319</f>
        <v>4.8379283089044E-005</v>
      </c>
      <c r="AF1319" s="16" t="n">
        <f aca="false">AE1319-X1319</f>
        <v>4.8379283089044E-005</v>
      </c>
      <c r="AG1319" s="16" t="n">
        <f aca="false">AF1319-p_spc_lo*Y1319/1000</f>
        <v>2.4189641544522E-005</v>
      </c>
      <c r="AH1319" s="16" t="n">
        <f aca="false">AF1319-p_spc_hi*Y1319/1000</f>
        <v>0</v>
      </c>
      <c r="AI1319" s="16" t="n">
        <f aca="false">Q1319*J1319</f>
        <v>0.000280905877408136</v>
      </c>
      <c r="AJ1319" s="16" t="n">
        <f aca="false">S1319*J1319</f>
        <v>0.00020158034620435</v>
      </c>
      <c r="AK1319" s="16" t="n">
        <f aca="false">T1319*J1319</f>
        <v>0</v>
      </c>
      <c r="AL1319" s="16" t="n">
        <f aca="false">U1319*J1319</f>
        <v>0</v>
      </c>
      <c r="AM1319" s="16" t="n">
        <f aca="false">AI1319-AJ1319</f>
        <v>7.93255312037859E-005</v>
      </c>
      <c r="AN1319" s="16" t="n">
        <f aca="false">J1319*Country_Data!$EB$192</f>
        <v>0.00265417638132419</v>
      </c>
      <c r="AO1319" s="16" t="n">
        <f aca="false">L1319*Country_Data!$EB$192</f>
        <v>0.000637002331517805</v>
      </c>
    </row>
    <row r="1320" customFormat="false" ht="15" hidden="false" customHeight="false" outlineLevel="0" collapsed="false">
      <c r="A1320" s="14" t="str">
        <f aca="false">Country_Data!$A$192</f>
        <v>DMA</v>
      </c>
      <c r="B1320" s="14" t="str">
        <f aca="false">Country_Data!$E$192</f>
        <v>EMDC</v>
      </c>
      <c r="C1320" s="35" t="s">
        <v>488</v>
      </c>
      <c r="D1320" s="37" t="n">
        <f aca="false">IF(Country_Data!$CE$192="","",Country_Data!$CE$192)</f>
        <v>0.077</v>
      </c>
      <c r="E1320" s="40" t="n">
        <f aca="false">Country_Data!$BW$192</f>
        <v>1.366</v>
      </c>
      <c r="F1320" s="41" t="n">
        <f aca="false">Country_Data!$BX$192</f>
        <v>0.504392386530015</v>
      </c>
      <c r="G1320" s="42" t="n">
        <f aca="false">IF(D1320="","",D1320/SUMIFS($D$5:$D$1369,$B$5:$B$1369,B1320,$C$5:$C$1369,C1320))</f>
        <v>6.30934988294927E-006</v>
      </c>
      <c r="H1320" s="42" t="n">
        <f aca="false">E1320/SUMIFS($E$5:$E$1369,$B$5:$B$1369,B1320,$C$5:$C$1369,C1320)</f>
        <v>1.69202034041319E-005</v>
      </c>
      <c r="I1320" s="43" t="n">
        <f aca="false">IF(G1320="",H1320,p_beta_alloc*G1320+(1-p_beta_alloc)*H1320)*F1320^p_phi</f>
        <v>8.24888262251062E-006</v>
      </c>
      <c r="J1320" s="16" t="n">
        <f aca="false">INDEX(Sector_Params!$C$22:$E$22,MATCH(B1320,Sector_Params!$C$15:$E$15,0))*I1320/SUMIFS($I$5:$I$1369,$B$5:$B$1369,B1320,$C$5:$C$1369,C1320)</f>
        <v>0.0049724956382825</v>
      </c>
      <c r="K1320" s="28" t="n">
        <f aca="false">INDEX(Sector_Params!$F$11:$H$11,MATCH(B1320,Sector_Params!$C$15:$E$15,0))</f>
        <v>0.24</v>
      </c>
      <c r="L1320" s="16" t="n">
        <f aca="false">J1320*K1320</f>
        <v>0.0011933989531878</v>
      </c>
      <c r="M1320" s="44" t="n">
        <f aca="false">Country_Data!$DW$192+Sector_Params!$E$11</f>
        <v>0.105</v>
      </c>
      <c r="N1320" s="44" t="n">
        <f aca="false">Country_Data!$DX$192+Sector_Params!$E$11</f>
        <v>0.15</v>
      </c>
      <c r="O1320" s="11" t="n">
        <f aca="false">IF(p_use_ibrd=1,p_r_ibrd,p_r_wb)</f>
        <v>0.06</v>
      </c>
      <c r="P1320" s="45" t="n">
        <f aca="false">Sector_Params!$D$11</f>
        <v>30</v>
      </c>
      <c r="Q1320" s="46" t="n">
        <f aca="false">M1320/(1-(1+M1320)^-P1320)</f>
        <v>0.110528481529605</v>
      </c>
      <c r="R1320" s="46" t="n">
        <f aca="false">N1320/(1-(1+N1320)^-P1320)</f>
        <v>0.152300198192734</v>
      </c>
      <c r="S1320" s="46" t="n">
        <f aca="false">O1320/(1-(1+O1320)^-P1320)</f>
        <v>0.0726489114900472</v>
      </c>
      <c r="T1320" s="37" t="n">
        <f aca="false">0*Sector_Params!$I$11</f>
        <v>0</v>
      </c>
      <c r="U1320" s="37" t="n">
        <f aca="false">p_c*Sector_Params!$J$11</f>
        <v>0.129</v>
      </c>
      <c r="V1320" s="37" t="n">
        <f aca="false">1000*p_r_wb/(1-(1+p_r_wb)^-Sector_Params!$D$11)/p_cpt_afolu</f>
        <v>1.45297822980094</v>
      </c>
      <c r="W1320" s="16" t="n">
        <f aca="false">T1320*L1320</f>
        <v>0</v>
      </c>
      <c r="X1320" s="16" t="n">
        <f aca="false">U1320*L1320</f>
        <v>0.000153948464961226</v>
      </c>
      <c r="Y1320" s="16" t="n">
        <f aca="false">V1320*L1320</f>
        <v>0.00173398269844911</v>
      </c>
      <c r="Z1320" s="16" t="n">
        <f aca="false">Q1320*L1320</f>
        <v>0.000131904574154868</v>
      </c>
      <c r="AA1320" s="16" t="n">
        <f aca="false">R1320*L1320</f>
        <v>0.000181754897093504</v>
      </c>
      <c r="AB1320" s="16" t="n">
        <f aca="false">S1320*L1320</f>
        <v>8.66991349224555E-005</v>
      </c>
      <c r="AC1320" s="16" t="n">
        <f aca="false">Z1320-W1320</f>
        <v>0.000131904574154868</v>
      </c>
      <c r="AD1320" s="16" t="n">
        <f aca="false">AA1320-W1320</f>
        <v>0.000181754897093504</v>
      </c>
      <c r="AE1320" s="16" t="n">
        <f aca="false">AB1320-W1320</f>
        <v>8.66991349224555E-005</v>
      </c>
      <c r="AF1320" s="16" t="n">
        <f aca="false">AE1320-X1320</f>
        <v>-6.72493300387708E-005</v>
      </c>
      <c r="AG1320" s="16" t="n">
        <f aca="false">AF1320-p_spc_lo*Y1320/1000</f>
        <v>-0.000153948464961226</v>
      </c>
      <c r="AH1320" s="16" t="n">
        <f aca="false">AF1320-p_spc_hi*Y1320/1000</f>
        <v>-0.000240647599883682</v>
      </c>
      <c r="AI1320" s="16" t="n">
        <f aca="false">Q1320*J1320</f>
        <v>0.00054960239231195</v>
      </c>
      <c r="AJ1320" s="16" t="n">
        <f aca="false">S1320*J1320</f>
        <v>0.000361246395510231</v>
      </c>
      <c r="AK1320" s="16" t="n">
        <f aca="false">T1320*J1320</f>
        <v>0</v>
      </c>
      <c r="AL1320" s="16" t="n">
        <f aca="false">U1320*J1320</f>
        <v>0.000641451937338443</v>
      </c>
      <c r="AM1320" s="16" t="n">
        <f aca="false">AI1320-AJ1320</f>
        <v>0.000188355996801718</v>
      </c>
      <c r="AN1320" s="16" t="n">
        <f aca="false">J1320*Country_Data!$EB$192</f>
        <v>0.00570815252723389</v>
      </c>
      <c r="AO1320" s="16" t="n">
        <f aca="false">L1320*Country_Data!$EB$192</f>
        <v>0.00136995660653613</v>
      </c>
    </row>
    <row r="1321" customFormat="false" ht="15" hidden="false" customHeight="false" outlineLevel="0" collapsed="false">
      <c r="A1321" s="14" t="str">
        <f aca="false">Country_Data!$A$193</f>
        <v>TON</v>
      </c>
      <c r="B1321" s="14" t="str">
        <f aca="false">Country_Data!$E$193</f>
        <v>EMDC</v>
      </c>
      <c r="C1321" s="35" t="s">
        <v>466</v>
      </c>
      <c r="D1321" s="37" t="n">
        <f aca="false">IF(Country_Data!$BZ$193="","",Country_Data!$BZ$193)</f>
        <v>0.0692438304693617</v>
      </c>
      <c r="E1321" s="40" t="n">
        <f aca="false">Country_Data!$BW$193</f>
        <v>0.755</v>
      </c>
      <c r="F1321" s="41" t="n">
        <f aca="false">Country_Data!$BX$193</f>
        <v>0.855629139072848</v>
      </c>
      <c r="G1321" s="42" t="n">
        <f aca="false">IF(D1321="","",D1321/SUMIFS($D$5:$D$1369,$B$5:$B$1369,B1321,$C$5:$C$1369,C1321))</f>
        <v>7.90502355167571E-006</v>
      </c>
      <c r="H1321" s="42" t="n">
        <f aca="false">E1321/SUMIFS($E$5:$E$1369,$B$5:$B$1369,B1321,$C$5:$C$1369,C1321)</f>
        <v>9.35194258427494E-006</v>
      </c>
      <c r="I1321" s="43" t="n">
        <f aca="false">IF(G1321="",H1321,p_beta_alloc*G1321+(1-p_beta_alloc)*H1321)*F1321^p_phi</f>
        <v>7.98136614267544E-006</v>
      </c>
      <c r="J1321" s="16" t="n">
        <f aca="false">INDEX(Sector_Params!$C$16:$E$16,MATCH(B1321,Sector_Params!$C$15:$E$15,0))*I1321/SUMIFS($I$5:$I$1369,$B$5:$B$1369,B1321,$C$5:$C$1369,C1321)</f>
        <v>0.00771977967827297</v>
      </c>
      <c r="K1321" s="28" t="n">
        <f aca="false">INDEX(Sector_Params!$F$5:$H$5,MATCH(B1321,Sector_Params!$C$15:$E$15,0))</f>
        <v>0.24</v>
      </c>
      <c r="L1321" s="16" t="n">
        <f aca="false">J1321*K1321</f>
        <v>0.00185274712278551</v>
      </c>
      <c r="M1321" s="44" t="n">
        <f aca="false">Country_Data!$DW$193+Sector_Params!$E$5</f>
        <v>0.105</v>
      </c>
      <c r="N1321" s="44" t="n">
        <f aca="false">Country_Data!$DX$193+Sector_Params!$E$5</f>
        <v>0.15</v>
      </c>
      <c r="O1321" s="11" t="n">
        <f aca="false">IF(p_use_ibrd=1,p_r_ibrd,p_r_wb)</f>
        <v>0.06</v>
      </c>
      <c r="P1321" s="45" t="n">
        <f aca="false">Sector_Params!$D$5</f>
        <v>25</v>
      </c>
      <c r="Q1321" s="46" t="n">
        <f aca="false">M1321/(1-(1+M1321)^-P1321)</f>
        <v>0.114429319813103</v>
      </c>
      <c r="R1321" s="46" t="n">
        <f aca="false">N1321/(1-(1+N1321)^-P1321)</f>
        <v>0.154699402320206</v>
      </c>
      <c r="S1321" s="46" t="n">
        <f aca="false">O1321/(1-(1+O1321)^-P1321)</f>
        <v>0.078226718212274</v>
      </c>
      <c r="T1321" s="37" t="n">
        <f aca="false">IF(AND(p_eng=1,ISNUMBER(Country_Data!$CZ$193)),Country_Data!$CZ$193,Country_Data!$CM$193)*Sector_Params!$I$5</f>
        <v>0.28111634883108</v>
      </c>
      <c r="U1321" s="37" t="n">
        <f aca="false">IF(AND(p_eng=1,ISNUMBER(Country_Data!$DA$193)),Country_Data!$DA$193,Country_Data!$CN$193)*Sector_Params!$J$5</f>
        <v>2.51461755497235E-006</v>
      </c>
      <c r="V1321" s="37" t="n">
        <f aca="false">IF(AND(p_eng=1,ISNUMBER(Country_Data!$DB$193)),Country_Data!$DB$193,p_a)</f>
        <v>1.60307761524501</v>
      </c>
      <c r="W1321" s="16" t="n">
        <f aca="false">T1321*L1321</f>
        <v>0.000520837506464753</v>
      </c>
      <c r="X1321" s="16" t="n">
        <f aca="false">U1321*L1321</f>
        <v>4.65895043988096E-009</v>
      </c>
      <c r="Y1321" s="16" t="n">
        <f aca="false">V1321*L1321</f>
        <v>0.00297009743924705</v>
      </c>
      <c r="Z1321" s="16" t="n">
        <f aca="false">Q1321*L1321</f>
        <v>0.000212008593046031</v>
      </c>
      <c r="AA1321" s="16" t="n">
        <f aca="false">R1321*L1321</f>
        <v>0.000286618872545401</v>
      </c>
      <c r="AB1321" s="16" t="n">
        <f aca="false">S1321*L1321</f>
        <v>0.000144934327092744</v>
      </c>
      <c r="AC1321" s="16" t="n">
        <f aca="false">Z1321-W1321</f>
        <v>-0.000308828913418722</v>
      </c>
      <c r="AD1321" s="16" t="n">
        <f aca="false">AA1321-W1321</f>
        <v>-0.000234218633919352</v>
      </c>
      <c r="AE1321" s="16" t="n">
        <f aca="false">AB1321-W1321</f>
        <v>-0.000375903179372009</v>
      </c>
      <c r="AF1321" s="16" t="n">
        <f aca="false">AE1321-X1321</f>
        <v>-0.000375907838322449</v>
      </c>
      <c r="AG1321" s="16" t="n">
        <f aca="false">AF1321-p_spc_lo*Y1321/1000</f>
        <v>-0.000524412710284802</v>
      </c>
      <c r="AH1321" s="16" t="n">
        <f aca="false">AF1321-p_spc_hi*Y1321/1000</f>
        <v>-0.000672917582247154</v>
      </c>
      <c r="AI1321" s="16" t="n">
        <f aca="false">Q1321*J1321</f>
        <v>0.000883369137691794</v>
      </c>
      <c r="AJ1321" s="16" t="n">
        <f aca="false">S1321*J1321</f>
        <v>0.000603893029553099</v>
      </c>
      <c r="AK1321" s="16" t="n">
        <f aca="false">T1321*J1321</f>
        <v>0.00217015627693647</v>
      </c>
      <c r="AL1321" s="16" t="n">
        <f aca="false">U1321*J1321</f>
        <v>1.9412293499504E-008</v>
      </c>
      <c r="AM1321" s="16" t="n">
        <f aca="false">AI1321-AJ1321</f>
        <v>0.000279476108138695</v>
      </c>
      <c r="AN1321" s="16" t="n">
        <f aca="false">J1321*Country_Data!$EB$193</f>
        <v>0.00883310844820078</v>
      </c>
      <c r="AO1321" s="16" t="n">
        <f aca="false">L1321*Country_Data!$EB$193</f>
        <v>0.00211994602756819</v>
      </c>
    </row>
    <row r="1322" customFormat="false" ht="15" hidden="false" customHeight="false" outlineLevel="0" collapsed="false">
      <c r="A1322" s="14" t="str">
        <f aca="false">Country_Data!$A$193</f>
        <v>TON</v>
      </c>
      <c r="B1322" s="14" t="str">
        <f aca="false">Country_Data!$E$193</f>
        <v>EMDC</v>
      </c>
      <c r="C1322" s="35" t="s">
        <v>470</v>
      </c>
      <c r="D1322" s="37" t="n">
        <f aca="false">IF(Country_Data!$BZ$193="","",Country_Data!$BZ$193)</f>
        <v>0.0692438304693617</v>
      </c>
      <c r="E1322" s="40" t="n">
        <f aca="false">Country_Data!$BW$193</f>
        <v>0.755</v>
      </c>
      <c r="F1322" s="41" t="n">
        <f aca="false">Country_Data!$BX$193</f>
        <v>0.855629139072848</v>
      </c>
      <c r="G1322" s="42" t="n">
        <f aca="false">IF(D1322="","",D1322/SUMIFS($D$5:$D$1369,$B$5:$B$1369,B1322,$C$5:$C$1369,C1322))</f>
        <v>7.90502355167571E-006</v>
      </c>
      <c r="H1322" s="42" t="n">
        <f aca="false">E1322/SUMIFS($E$5:$E$1369,$B$5:$B$1369,B1322,$C$5:$C$1369,C1322)</f>
        <v>9.35194258427494E-006</v>
      </c>
      <c r="I1322" s="43" t="n">
        <f aca="false">IF(G1322="",H1322,p_beta_alloc*G1322+(1-p_beta_alloc)*H1322)*F1322^p_phi</f>
        <v>7.98136614267544E-006</v>
      </c>
      <c r="J1322" s="16" t="n">
        <f aca="false">INDEX(Sector_Params!$C$17:$E$17,MATCH(B1322,Sector_Params!$C$15:$E$15,0))*I1322/SUMIFS($I$5:$I$1369,$B$5:$B$1369,B1322,$C$5:$C$1369,C1322)</f>
        <v>0.00529356320795861</v>
      </c>
      <c r="K1322" s="28" t="n">
        <f aca="false">INDEX(Sector_Params!$F$6:$H$6,MATCH(B1322,Sector_Params!$C$15:$E$15,0))</f>
        <v>0.24</v>
      </c>
      <c r="L1322" s="16" t="n">
        <f aca="false">J1322*K1322</f>
        <v>0.00127045516991007</v>
      </c>
      <c r="M1322" s="44" t="n">
        <f aca="false">Country_Data!$DW$193+Sector_Params!$E$6</f>
        <v>0.105</v>
      </c>
      <c r="N1322" s="44" t="n">
        <f aca="false">Country_Data!$DX$193+Sector_Params!$E$6</f>
        <v>0.15</v>
      </c>
      <c r="O1322" s="11" t="n">
        <f aca="false">IF(p_use_ibrd=1,p_r_ibrd,p_r_wb)</f>
        <v>0.06</v>
      </c>
      <c r="P1322" s="45" t="n">
        <f aca="false">Sector_Params!$D$6</f>
        <v>40</v>
      </c>
      <c r="Q1322" s="46" t="n">
        <f aca="false">M1322/(1-(1+M1322)^-P1322)</f>
        <v>0.10697140835497</v>
      </c>
      <c r="R1322" s="46" t="n">
        <f aca="false">N1322/(1-(1+N1322)^-P1322)</f>
        <v>0.150562085013545</v>
      </c>
      <c r="S1322" s="46" t="n">
        <f aca="false">O1322/(1-(1+O1322)^-P1322)</f>
        <v>0.0664615359206755</v>
      </c>
      <c r="T1322" s="37" t="n">
        <f aca="false">p_grid_credit*IF(AND(p_eng=1,ISNUMBER(Country_Data!$CZ$193)),Country_Data!$CZ$193,Country_Data!$CM$193)*Sector_Params!$I$6</f>
        <v>0</v>
      </c>
      <c r="U1322" s="37" t="n">
        <f aca="false">p_grid_credit*IF(AND(p_eng=1,ISNUMBER(Country_Data!$DA$193)),Country_Data!$DA$193,Country_Data!$CN$193)*Sector_Params!$J$6</f>
        <v>0</v>
      </c>
      <c r="V1322" s="37" t="n">
        <f aca="false">p_grid_credit*IF(AND(p_eng=1,ISNUMBER(Country_Data!$DB$193)),Country_Data!$DB$193,p_a)</f>
        <v>0</v>
      </c>
      <c r="W1322" s="16" t="n">
        <f aca="false">T1322*L1322</f>
        <v>0</v>
      </c>
      <c r="X1322" s="16" t="n">
        <f aca="false">U1322*L1322</f>
        <v>0</v>
      </c>
      <c r="Y1322" s="16" t="n">
        <f aca="false">V1322*L1322</f>
        <v>0</v>
      </c>
      <c r="Z1322" s="16" t="n">
        <f aca="false">Q1322*L1322</f>
        <v>0.000135902378777133</v>
      </c>
      <c r="AA1322" s="16" t="n">
        <f aca="false">R1322*L1322</f>
        <v>0.000191282379297897</v>
      </c>
      <c r="AB1322" s="16" t="n">
        <f aca="false">S1322*L1322</f>
        <v>8.44364019105858E-005</v>
      </c>
      <c r="AC1322" s="16" t="n">
        <f aca="false">Z1322-W1322</f>
        <v>0.000135902378777133</v>
      </c>
      <c r="AD1322" s="16" t="n">
        <f aca="false">AA1322-W1322</f>
        <v>0.000191282379297897</v>
      </c>
      <c r="AE1322" s="16" t="n">
        <f aca="false">AB1322-W1322</f>
        <v>8.44364019105858E-005</v>
      </c>
      <c r="AF1322" s="16" t="n">
        <f aca="false">AE1322-X1322</f>
        <v>8.44364019105858E-005</v>
      </c>
      <c r="AG1322" s="16" t="n">
        <f aca="false">AF1322-p_spc_lo*Y1322/1000</f>
        <v>8.44364019105858E-005</v>
      </c>
      <c r="AH1322" s="16" t="n">
        <f aca="false">AF1322-p_spc_hi*Y1322/1000</f>
        <v>8.44364019105858E-005</v>
      </c>
      <c r="AI1322" s="16" t="n">
        <f aca="false">Q1322*J1322</f>
        <v>0.000566259911571387</v>
      </c>
      <c r="AJ1322" s="16" t="n">
        <f aca="false">S1322*J1322</f>
        <v>0.000351818341294107</v>
      </c>
      <c r="AK1322" s="16" t="n">
        <f aca="false">T1322*J1322</f>
        <v>0</v>
      </c>
      <c r="AL1322" s="16" t="n">
        <f aca="false">U1322*J1322</f>
        <v>0</v>
      </c>
      <c r="AM1322" s="16" t="n">
        <f aca="false">AI1322-AJ1322</f>
        <v>0.00021444157027728</v>
      </c>
      <c r="AN1322" s="16" t="n">
        <f aca="false">J1322*Country_Data!$EB$193</f>
        <v>0.00605698865019482</v>
      </c>
      <c r="AO1322" s="16" t="n">
        <f aca="false">L1322*Country_Data!$EB$193</f>
        <v>0.00145367727604676</v>
      </c>
    </row>
    <row r="1323" customFormat="false" ht="15" hidden="false" customHeight="false" outlineLevel="0" collapsed="false">
      <c r="A1323" s="14" t="str">
        <f aca="false">Country_Data!$A$193</f>
        <v>TON</v>
      </c>
      <c r="B1323" s="14" t="str">
        <f aca="false">Country_Data!$E$193</f>
        <v>EMDC</v>
      </c>
      <c r="C1323" s="35" t="s">
        <v>473</v>
      </c>
      <c r="D1323" s="37" t="n">
        <f aca="false">IF(Country_Data!$CA$193="","",Country_Data!$CA$193)</f>
        <v>0.00144857002044638</v>
      </c>
      <c r="E1323" s="40" t="n">
        <f aca="false">Country_Data!$BW$193</f>
        <v>0.755</v>
      </c>
      <c r="F1323" s="41" t="n">
        <f aca="false">Country_Data!$BX$193</f>
        <v>0.855629139072848</v>
      </c>
      <c r="G1323" s="42" t="n">
        <f aca="false">IF(D1323="","",D1323/SUMIFS($D$5:$D$1369,$B$5:$B$1369,B1323,$C$5:$C$1369,C1323))</f>
        <v>3.34653378810525E-005</v>
      </c>
      <c r="H1323" s="42" t="n">
        <f aca="false">E1323/SUMIFS($E$5:$E$1369,$B$5:$B$1369,B1323,$C$5:$C$1369,C1323)</f>
        <v>9.35194258427494E-006</v>
      </c>
      <c r="I1323" s="43" t="n">
        <f aca="false">IF(G1323="",H1323,p_beta_alloc*G1323+(1-p_beta_alloc)*H1323)*F1323^p_phi</f>
        <v>1.98030401134919E-005</v>
      </c>
      <c r="J1323" s="16" t="n">
        <f aca="false">INDEX(Sector_Params!$C$18:$E$18,MATCH(B1323,Sector_Params!$C$15:$E$15,0))*I1323/SUMIFS($I$5:$I$1369,$B$5:$B$1369,B1323,$C$5:$C$1369,C1323)</f>
        <v>0.00810887636249855</v>
      </c>
      <c r="K1323" s="28" t="n">
        <f aca="false">INDEX(Sector_Params!$F$7:$H$7,MATCH(B1323,Sector_Params!$C$15:$E$15,0))</f>
        <v>0.24</v>
      </c>
      <c r="L1323" s="16" t="n">
        <f aca="false">J1323*K1323</f>
        <v>0.00194613032699965</v>
      </c>
      <c r="M1323" s="44" t="n">
        <f aca="false">Country_Data!$DW$193+Sector_Params!$E$7</f>
        <v>0.105</v>
      </c>
      <c r="N1323" s="44" t="n">
        <f aca="false">Country_Data!$DX$193+Sector_Params!$E$7</f>
        <v>0.15</v>
      </c>
      <c r="O1323" s="11" t="n">
        <f aca="false">IF(p_use_ibrd=1,p_r_ibrd,p_r_wb)</f>
        <v>0.06</v>
      </c>
      <c r="P1323" s="45" t="n">
        <f aca="false">Sector_Params!$D$7</f>
        <v>12</v>
      </c>
      <c r="Q1323" s="46" t="n">
        <f aca="false">M1323/(1-(1+M1323)^-P1323)</f>
        <v>0.150376745634766</v>
      </c>
      <c r="R1323" s="46" t="n">
        <f aca="false">N1323/(1-(1+N1323)^-P1323)</f>
        <v>0.18448077613084</v>
      </c>
      <c r="S1323" s="46" t="n">
        <f aca="false">O1323/(1-(1+O1323)^-P1323)</f>
        <v>0.119277029380664</v>
      </c>
      <c r="T1323" s="37" t="n">
        <f aca="false">IF(AND(p_eng=1,ISNUMBER(Country_Data!$DE$193)),Country_Data!$DE$193,Country_Data!$CM$193)*Sector_Params!$I$7</f>
        <v>0.0516978</v>
      </c>
      <c r="U1323" s="37" t="n">
        <f aca="false">IF(AND(p_eng=1,ISNUMBER(Country_Data!$DF$193)),Country_Data!$DF$193,Country_Data!$CN$193)*Sector_Params!$J$7</f>
        <v>0.000193725</v>
      </c>
      <c r="V1323" s="37" t="n">
        <f aca="false">IF(AND(p_eng=1,ISNUMBER(Country_Data!$DG$193)),Country_Data!$DG$193,p_a)</f>
        <v>0.1570995</v>
      </c>
      <c r="W1323" s="16" t="n">
        <f aca="false">T1323*L1323</f>
        <v>0.000100610656419163</v>
      </c>
      <c r="X1323" s="16" t="n">
        <f aca="false">U1323*L1323</f>
        <v>3.77014097598007E-007</v>
      </c>
      <c r="Y1323" s="16" t="n">
        <f aca="false">V1323*L1323</f>
        <v>0.000305736101306482</v>
      </c>
      <c r="Z1323" s="16" t="n">
        <f aca="false">Q1323*L1323</f>
        <v>0.00029265274515533</v>
      </c>
      <c r="AA1323" s="16" t="n">
        <f aca="false">R1323*L1323</f>
        <v>0.00035902363317666</v>
      </c>
      <c r="AB1323" s="16" t="n">
        <f aca="false">S1323*L1323</f>
        <v>0.000232128644192138</v>
      </c>
      <c r="AC1323" s="16" t="n">
        <f aca="false">Z1323-W1323</f>
        <v>0.000192042088736167</v>
      </c>
      <c r="AD1323" s="16" t="n">
        <f aca="false">AA1323-W1323</f>
        <v>0.000258412976757498</v>
      </c>
      <c r="AE1323" s="16" t="n">
        <f aca="false">AB1323-W1323</f>
        <v>0.000131517987772975</v>
      </c>
      <c r="AF1323" s="16" t="n">
        <f aca="false">AE1323-X1323</f>
        <v>0.000131140973675377</v>
      </c>
      <c r="AG1323" s="16" t="n">
        <f aca="false">AF1323-p_spc_lo*Y1323/1000</f>
        <v>0.000115854168610053</v>
      </c>
      <c r="AH1323" s="16" t="n">
        <f aca="false">AF1323-p_spc_hi*Y1323/1000</f>
        <v>0.000100567363544729</v>
      </c>
      <c r="AI1323" s="16" t="n">
        <f aca="false">Q1323*J1323</f>
        <v>0.00121938643814721</v>
      </c>
      <c r="AJ1323" s="16" t="n">
        <f aca="false">S1323*J1323</f>
        <v>0.000967202684133907</v>
      </c>
      <c r="AK1323" s="16" t="n">
        <f aca="false">T1323*J1323</f>
        <v>0.000419211068413177</v>
      </c>
      <c r="AL1323" s="16" t="n">
        <f aca="false">U1323*J1323</f>
        <v>1.57089207332503E-006</v>
      </c>
      <c r="AM1323" s="16" t="n">
        <f aca="false">AI1323-AJ1323</f>
        <v>0.000252183754013301</v>
      </c>
      <c r="AN1323" s="16" t="n">
        <f aca="false">J1323*Country_Data!$EB$193</f>
        <v>0.00927831975627385</v>
      </c>
      <c r="AO1323" s="16" t="n">
        <f aca="false">L1323*Country_Data!$EB$193</f>
        <v>0.00222679674150572</v>
      </c>
    </row>
    <row r="1324" customFormat="false" ht="15" hidden="false" customHeight="false" outlineLevel="0" collapsed="false">
      <c r="A1324" s="14" t="str">
        <f aca="false">Country_Data!$A$193</f>
        <v>TON</v>
      </c>
      <c r="B1324" s="14" t="str">
        <f aca="false">Country_Data!$E$193</f>
        <v>EMDC</v>
      </c>
      <c r="C1324" s="35" t="s">
        <v>477</v>
      </c>
      <c r="D1324" s="37" t="n">
        <f aca="false">IF(Country_Data!$CB$193="","",Country_Data!$CB$193)</f>
        <v>0.000332401299972661</v>
      </c>
      <c r="E1324" s="40" t="n">
        <f aca="false">Country_Data!$BW$193</f>
        <v>0.755</v>
      </c>
      <c r="F1324" s="41" t="n">
        <f aca="false">Country_Data!$BX$193</f>
        <v>0.855629139072848</v>
      </c>
      <c r="G1324" s="42" t="n">
        <f aca="false">IF(D1324="","",D1324/SUMIFS($D$5:$D$1369,$B$5:$B$1369,B1324,$C$5:$C$1369,C1324))</f>
        <v>1.04816251502016E-005</v>
      </c>
      <c r="H1324" s="42" t="n">
        <f aca="false">E1324/SUMIFS($E$5:$E$1369,$B$5:$B$1369,B1324,$C$5:$C$1369,C1324)</f>
        <v>9.35194258427494E-006</v>
      </c>
      <c r="I1324" s="43" t="n">
        <f aca="false">IF(G1324="",H1324,p_beta_alloc*G1324+(1-p_beta_alloc)*H1324)*F1324^p_phi</f>
        <v>9.17304726435281E-006</v>
      </c>
      <c r="J1324" s="16" t="n">
        <f aca="false">INDEX(Sector_Params!$C$19:$E$19,MATCH(B1324,Sector_Params!$C$15:$E$15,0))*I1324/SUMIFS($I$5:$I$1369,$B$5:$B$1369,B1324,$C$5:$C$1369,C1324)</f>
        <v>0.0029524608105556</v>
      </c>
      <c r="K1324" s="28" t="n">
        <f aca="false">INDEX(Sector_Params!$F$8:$H$8,MATCH(B1324,Sector_Params!$C$15:$E$15,0))</f>
        <v>0.24</v>
      </c>
      <c r="L1324" s="16" t="n">
        <f aca="false">J1324*K1324</f>
        <v>0.000708590594533344</v>
      </c>
      <c r="M1324" s="44" t="n">
        <f aca="false">Country_Data!$DW$193+Sector_Params!$E$8</f>
        <v>0.105</v>
      </c>
      <c r="N1324" s="44" t="n">
        <f aca="false">Country_Data!$DX$193+Sector_Params!$E$8</f>
        <v>0.15</v>
      </c>
      <c r="O1324" s="11" t="n">
        <f aca="false">IF(p_use_ibrd=1,p_r_ibrd,p_r_wb)</f>
        <v>0.06</v>
      </c>
      <c r="P1324" s="45" t="n">
        <f aca="false">Sector_Params!$D$8</f>
        <v>25</v>
      </c>
      <c r="Q1324" s="46" t="n">
        <f aca="false">M1324/(1-(1+M1324)^-P1324)</f>
        <v>0.114429319813103</v>
      </c>
      <c r="R1324" s="46" t="n">
        <f aca="false">N1324/(1-(1+N1324)^-P1324)</f>
        <v>0.154699402320206</v>
      </c>
      <c r="S1324" s="46" t="n">
        <f aca="false">O1324/(1-(1+O1324)^-P1324)</f>
        <v>0.078226718212274</v>
      </c>
      <c r="T1324" s="37" t="n">
        <f aca="false">Country_Data!$CM$193*Sector_Params!$I$8</f>
        <v>0.203013856133752</v>
      </c>
      <c r="U1324" s="37" t="n">
        <f aca="false">Country_Data!$CN$193*Sector_Params!$J$8</f>
        <v>0.03225</v>
      </c>
      <c r="V1324" s="37" t="n">
        <f aca="false">p_a</f>
        <v>0.35</v>
      </c>
      <c r="W1324" s="16" t="n">
        <f aca="false">T1324*L1324</f>
        <v>0.000143853709016322</v>
      </c>
      <c r="X1324" s="16" t="n">
        <f aca="false">U1324*L1324</f>
        <v>2.28520466737003E-005</v>
      </c>
      <c r="Y1324" s="16" t="n">
        <f aca="false">V1324*L1324</f>
        <v>0.00024800670808667</v>
      </c>
      <c r="Z1324" s="16" t="n">
        <f aca="false">Q1324*L1324</f>
        <v>8.1083539758413E-005</v>
      </c>
      <c r="AA1324" s="16" t="n">
        <f aca="false">R1324*L1324</f>
        <v>0.000109618541464028</v>
      </c>
      <c r="AB1324" s="16" t="n">
        <f aca="false">S1324*L1324</f>
        <v>5.54307167664275E-005</v>
      </c>
      <c r="AC1324" s="16" t="n">
        <f aca="false">Z1324-W1324</f>
        <v>-6.27701692579092E-005</v>
      </c>
      <c r="AD1324" s="16" t="n">
        <f aca="false">AA1324-W1324</f>
        <v>-3.42351675522941E-005</v>
      </c>
      <c r="AE1324" s="16" t="n">
        <f aca="false">AB1324-W1324</f>
        <v>-8.84229922498946E-005</v>
      </c>
      <c r="AF1324" s="16" t="n">
        <f aca="false">AE1324-X1324</f>
        <v>-0.000111275038923595</v>
      </c>
      <c r="AG1324" s="16" t="n">
        <f aca="false">AF1324-p_spc_lo*Y1324/1000</f>
        <v>-0.000123675374327928</v>
      </c>
      <c r="AH1324" s="16" t="n">
        <f aca="false">AF1324-p_spc_hi*Y1324/1000</f>
        <v>-0.000136075709732262</v>
      </c>
      <c r="AI1324" s="16" t="n">
        <f aca="false">Q1324*J1324</f>
        <v>0.000337848082326721</v>
      </c>
      <c r="AJ1324" s="16" t="n">
        <f aca="false">S1324*J1324</f>
        <v>0.000230961319860115</v>
      </c>
      <c r="AK1324" s="16" t="n">
        <f aca="false">T1324*J1324</f>
        <v>0.000599390454234676</v>
      </c>
      <c r="AL1324" s="16" t="n">
        <f aca="false">U1324*J1324</f>
        <v>9.52168611404181E-005</v>
      </c>
      <c r="AM1324" s="16" t="n">
        <f aca="false">AI1324-AJ1324</f>
        <v>0.000106886762466606</v>
      </c>
      <c r="AN1324" s="16" t="n">
        <f aca="false">J1324*Country_Data!$EB$193</f>
        <v>0.003378257879833</v>
      </c>
      <c r="AO1324" s="16" t="n">
        <f aca="false">L1324*Country_Data!$EB$193</f>
        <v>0.000810781891159921</v>
      </c>
    </row>
    <row r="1325" customFormat="false" ht="15" hidden="false" customHeight="false" outlineLevel="0" collapsed="false">
      <c r="A1325" s="14" t="str">
        <f aca="false">Country_Data!$A$193</f>
        <v>TON</v>
      </c>
      <c r="B1325" s="14" t="str">
        <f aca="false">Country_Data!$E$193</f>
        <v>EMDC</v>
      </c>
      <c r="C1325" s="35" t="s">
        <v>481</v>
      </c>
      <c r="D1325" s="37" t="n">
        <f aca="false">IF(Country_Data!$CC$193="","",Country_Data!$CC$193)</f>
        <v>0.000577025081746514</v>
      </c>
      <c r="E1325" s="40" t="n">
        <f aca="false">Country_Data!$BW$193</f>
        <v>0.755</v>
      </c>
      <c r="F1325" s="41" t="n">
        <f aca="false">Country_Data!$BX$193</f>
        <v>0.855629139072848</v>
      </c>
      <c r="G1325" s="42" t="n">
        <f aca="false">IF(D1325="","",D1325/SUMIFS($D$5:$D$1369,$B$5:$B$1369,B1325,$C$5:$C$1369,C1325))</f>
        <v>8.2423608941698E-006</v>
      </c>
      <c r="H1325" s="42" t="n">
        <f aca="false">E1325/SUMIFS($E$5:$E$1369,$B$5:$B$1369,B1325,$C$5:$C$1369,C1325)</f>
        <v>9.35194258427494E-006</v>
      </c>
      <c r="I1325" s="43" t="n">
        <f aca="false">IF(G1325="",H1325,p_beta_alloc*G1325+(1-p_beta_alloc)*H1325)*F1325^p_phi</f>
        <v>8.13738504094711E-006</v>
      </c>
      <c r="J1325" s="16" t="n">
        <f aca="false">INDEX(Sector_Params!$C$20:$E$20,MATCH(B1325,Sector_Params!$C$15:$E$15,0))*I1325/SUMIFS($I$5:$I$1369,$B$5:$B$1369,B1325,$C$5:$C$1369,C1325)</f>
        <v>0.0014852366380858</v>
      </c>
      <c r="K1325" s="28" t="n">
        <f aca="false">INDEX(Sector_Params!$F$9:$H$9,MATCH(B1325,Sector_Params!$C$15:$E$15,0))</f>
        <v>0.24</v>
      </c>
      <c r="L1325" s="16" t="n">
        <f aca="false">J1325*K1325</f>
        <v>0.000356456793140592</v>
      </c>
      <c r="M1325" s="44" t="n">
        <f aca="false">Country_Data!$DW$193+Sector_Params!$E$9</f>
        <v>0.105</v>
      </c>
      <c r="N1325" s="44" t="n">
        <f aca="false">Country_Data!$DX$193+Sector_Params!$E$9</f>
        <v>0.15</v>
      </c>
      <c r="O1325" s="11" t="n">
        <f aca="false">IF(p_use_ibrd=1,p_r_ibrd,p_r_wb)</f>
        <v>0.06</v>
      </c>
      <c r="P1325" s="45" t="n">
        <f aca="false">Sector_Params!$D$9</f>
        <v>25</v>
      </c>
      <c r="Q1325" s="46" t="n">
        <f aca="false">M1325/(1-(1+M1325)^-P1325)</f>
        <v>0.114429319813103</v>
      </c>
      <c r="R1325" s="46" t="n">
        <f aca="false">N1325/(1-(1+N1325)^-P1325)</f>
        <v>0.154699402320206</v>
      </c>
      <c r="S1325" s="46" t="n">
        <f aca="false">O1325/(1-(1+O1325)^-P1325)</f>
        <v>0.078226718212274</v>
      </c>
      <c r="T1325" s="37" t="n">
        <f aca="false">Country_Data!$CM$193*Sector_Params!$I$9</f>
        <v>0.203013856133752</v>
      </c>
      <c r="U1325" s="37" t="n">
        <f aca="false">Country_Data!$CN$193*Sector_Params!$J$9</f>
        <v>0.03225</v>
      </c>
      <c r="V1325" s="37" t="n">
        <f aca="false">p_a</f>
        <v>0.35</v>
      </c>
      <c r="W1325" s="16" t="n">
        <f aca="false">T1325*L1325</f>
        <v>7.23656681205428E-005</v>
      </c>
      <c r="X1325" s="16" t="n">
        <f aca="false">U1325*L1325</f>
        <v>1.14957315787841E-005</v>
      </c>
      <c r="Y1325" s="16" t="n">
        <f aca="false">V1325*L1325</f>
        <v>0.000124759877599207</v>
      </c>
      <c r="Z1325" s="16" t="n">
        <f aca="false">Q1325*L1325</f>
        <v>4.0789108381838E-005</v>
      </c>
      <c r="AA1325" s="16" t="n">
        <f aca="false">R1325*L1325</f>
        <v>5.5143652851827E-005</v>
      </c>
      <c r="AB1325" s="16" t="n">
        <f aca="false">S1325*L1325</f>
        <v>2.78844451118599E-005</v>
      </c>
      <c r="AC1325" s="16" t="n">
        <f aca="false">Z1325-W1325</f>
        <v>-3.15765597387048E-005</v>
      </c>
      <c r="AD1325" s="16" t="n">
        <f aca="false">AA1325-W1325</f>
        <v>-1.72220152687157E-005</v>
      </c>
      <c r="AE1325" s="16" t="n">
        <f aca="false">AB1325-W1325</f>
        <v>-4.44812230086829E-005</v>
      </c>
      <c r="AF1325" s="16" t="n">
        <f aca="false">AE1325-X1325</f>
        <v>-5.5976954587467E-005</v>
      </c>
      <c r="AG1325" s="16" t="n">
        <f aca="false">AF1325-p_spc_lo*Y1325/1000</f>
        <v>-6.22149484674273E-005</v>
      </c>
      <c r="AH1325" s="16" t="n">
        <f aca="false">AF1325-p_spc_hi*Y1325/1000</f>
        <v>-6.84529423473877E-005</v>
      </c>
      <c r="AI1325" s="16" t="n">
        <f aca="false">Q1325*J1325</f>
        <v>0.000169954618257658</v>
      </c>
      <c r="AJ1325" s="16" t="n">
        <f aca="false">S1325*J1325</f>
        <v>0.000116185187966083</v>
      </c>
      <c r="AK1325" s="16" t="n">
        <f aca="false">T1325*J1325</f>
        <v>0.000301523617168928</v>
      </c>
      <c r="AL1325" s="16" t="n">
        <f aca="false">U1325*J1325</f>
        <v>4.7898881578267E-005</v>
      </c>
      <c r="AM1325" s="16" t="n">
        <f aca="false">AI1325-AJ1325</f>
        <v>5.37694302915754E-005</v>
      </c>
      <c r="AN1325" s="16" t="n">
        <f aca="false">J1325*Country_Data!$EB$193</f>
        <v>0.00169943403078933</v>
      </c>
      <c r="AO1325" s="16" t="n">
        <f aca="false">L1325*Country_Data!$EB$193</f>
        <v>0.000407864167389439</v>
      </c>
    </row>
    <row r="1326" customFormat="false" ht="15" hidden="false" customHeight="false" outlineLevel="0" collapsed="false">
      <c r="A1326" s="14" t="str">
        <f aca="false">Country_Data!$A$193</f>
        <v>TON</v>
      </c>
      <c r="B1326" s="14" t="str">
        <f aca="false">Country_Data!$E$193</f>
        <v>EMDC</v>
      </c>
      <c r="C1326" s="35" t="s">
        <v>484</v>
      </c>
      <c r="D1326" s="37" t="n">
        <f aca="false">IF(Country_Data!$CD$193="","",Country_Data!$CD$193)</f>
        <v>0.00210871861247586</v>
      </c>
      <c r="E1326" s="40" t="n">
        <f aca="false">Country_Data!$BW$193</f>
        <v>0.755</v>
      </c>
      <c r="F1326" s="41" t="n">
        <f aca="false">Country_Data!$BX$193</f>
        <v>0.855629139072848</v>
      </c>
      <c r="G1326" s="42" t="n">
        <f aca="false">IF(D1326="","",D1326/SUMIFS($D$5:$D$1369,$B$5:$B$1369,B1326,$C$5:$C$1369,C1326))</f>
        <v>1.17758550877336E-005</v>
      </c>
      <c r="H1326" s="42" t="n">
        <f aca="false">E1326/SUMIFS($E$5:$E$1369,$B$5:$B$1369,B1326,$C$5:$C$1369,C1326)</f>
        <v>9.35194258427494E-006</v>
      </c>
      <c r="I1326" s="43" t="n">
        <f aca="false">IF(G1326="",H1326,p_beta_alloc*G1326+(1-p_beta_alloc)*H1326)*F1326^p_phi</f>
        <v>9.77163005827363E-006</v>
      </c>
      <c r="J1326" s="16" t="n">
        <f aca="false">INDEX(Sector_Params!$C$21:$E$21,MATCH(B1326,Sector_Params!$C$15:$E$15,0))*I1326/SUMIFS($I$5:$I$1369,$B$5:$B$1369,B1326,$C$5:$C$1369,C1326)</f>
        <v>0.00216724813287653</v>
      </c>
      <c r="K1326" s="28" t="n">
        <f aca="false">INDEX(Sector_Params!$F$10:$H$10,MATCH(B1326,Sector_Params!$C$15:$E$15,0))</f>
        <v>0.24</v>
      </c>
      <c r="L1326" s="16" t="n">
        <f aca="false">J1326*K1326</f>
        <v>0.000520139551890367</v>
      </c>
      <c r="M1326" s="44" t="n">
        <f aca="false">Country_Data!$DW$193+Sector_Params!$E$10</f>
        <v>0.105</v>
      </c>
      <c r="N1326" s="44" t="n">
        <f aca="false">Country_Data!$DX$193+Sector_Params!$E$10</f>
        <v>0.15</v>
      </c>
      <c r="O1326" s="11" t="n">
        <f aca="false">IF(p_use_ibrd=1,p_r_ibrd,p_r_wb)</f>
        <v>0.06</v>
      </c>
      <c r="P1326" s="45" t="n">
        <f aca="false">Sector_Params!$D$10</f>
        <v>20</v>
      </c>
      <c r="Q1326" s="46" t="n">
        <f aca="false">M1326/(1-(1+M1326)^-P1326)</f>
        <v>0.121493265267016</v>
      </c>
      <c r="R1326" s="46" t="n">
        <f aca="false">N1326/(1-(1+N1326)^-P1326)</f>
        <v>0.159761470405744</v>
      </c>
      <c r="S1326" s="46" t="n">
        <f aca="false">O1326/(1-(1+O1326)^-P1326)</f>
        <v>0.0871845569768514</v>
      </c>
      <c r="T1326" s="37" t="n">
        <f aca="false">0*Sector_Params!$I$10</f>
        <v>0</v>
      </c>
      <c r="U1326" s="37" t="n">
        <f aca="false">0*Sector_Params!$J$10</f>
        <v>0</v>
      </c>
      <c r="V1326" s="37" t="n">
        <f aca="false">1000*p_r_wb/(1-(1+p_r_wb)^-Sector_Params!$D$10)/p_cpt_fuel</f>
        <v>0.871845569768514</v>
      </c>
      <c r="W1326" s="16" t="n">
        <f aca="false">T1326*L1326</f>
        <v>0</v>
      </c>
      <c r="X1326" s="16" t="n">
        <f aca="false">U1326*L1326</f>
        <v>0</v>
      </c>
      <c r="Y1326" s="16" t="n">
        <f aca="false">V1326*L1326</f>
        <v>0.000453481363976997</v>
      </c>
      <c r="Z1326" s="16" t="n">
        <f aca="false">Q1326*L1326</f>
        <v>6.31934525536833E-005</v>
      </c>
      <c r="AA1326" s="16" t="n">
        <f aca="false">R1326*L1326</f>
        <v>8.30982596261897E-005</v>
      </c>
      <c r="AB1326" s="16" t="n">
        <f aca="false">S1326*L1326</f>
        <v>4.53481363976997E-005</v>
      </c>
      <c r="AC1326" s="16" t="n">
        <f aca="false">Z1326-W1326</f>
        <v>6.31934525536833E-005</v>
      </c>
      <c r="AD1326" s="16" t="n">
        <f aca="false">AA1326-W1326</f>
        <v>8.30982596261897E-005</v>
      </c>
      <c r="AE1326" s="16" t="n">
        <f aca="false">AB1326-W1326</f>
        <v>4.53481363976997E-005</v>
      </c>
      <c r="AF1326" s="16" t="n">
        <f aca="false">AE1326-X1326</f>
        <v>4.53481363976997E-005</v>
      </c>
      <c r="AG1326" s="16" t="n">
        <f aca="false">AF1326-p_spc_lo*Y1326/1000</f>
        <v>2.26740681988498E-005</v>
      </c>
      <c r="AH1326" s="16" t="n">
        <f aca="false">AF1326-p_spc_hi*Y1326/1000</f>
        <v>0</v>
      </c>
      <c r="AI1326" s="16" t="n">
        <f aca="false">Q1326*J1326</f>
        <v>0.000263306052307014</v>
      </c>
      <c r="AJ1326" s="16" t="n">
        <f aca="false">S1326*J1326</f>
        <v>0.000188950568323749</v>
      </c>
      <c r="AK1326" s="16" t="n">
        <f aca="false">T1326*J1326</f>
        <v>0</v>
      </c>
      <c r="AL1326" s="16" t="n">
        <f aca="false">U1326*J1326</f>
        <v>0</v>
      </c>
      <c r="AM1326" s="16" t="n">
        <f aca="false">AI1326-AJ1326</f>
        <v>7.43554839832651E-005</v>
      </c>
      <c r="AN1326" s="16" t="n">
        <f aca="false">J1326*Country_Data!$EB$193</f>
        <v>0.00247980364591723</v>
      </c>
      <c r="AO1326" s="16" t="n">
        <f aca="false">L1326*Country_Data!$EB$193</f>
        <v>0.000595152875020134</v>
      </c>
    </row>
    <row r="1327" customFormat="false" ht="15" hidden="false" customHeight="false" outlineLevel="0" collapsed="false">
      <c r="A1327" s="14" t="str">
        <f aca="false">Country_Data!$A$193</f>
        <v>TON</v>
      </c>
      <c r="B1327" s="14" t="str">
        <f aca="false">Country_Data!$E$193</f>
        <v>EMDC</v>
      </c>
      <c r="C1327" s="35" t="s">
        <v>488</v>
      </c>
      <c r="D1327" s="37" t="n">
        <f aca="false">IF(Country_Data!$CE$193="","",Country_Data!$CE$193)</f>
        <v>0.115</v>
      </c>
      <c r="E1327" s="40" t="n">
        <f aca="false">Country_Data!$BW$193</f>
        <v>0.755</v>
      </c>
      <c r="F1327" s="41" t="n">
        <f aca="false">Country_Data!$BX$193</f>
        <v>0.855629139072848</v>
      </c>
      <c r="G1327" s="42" t="n">
        <f aca="false">IF(D1327="","",D1327/SUMIFS($D$5:$D$1369,$B$5:$B$1369,B1327,$C$5:$C$1369,C1327))</f>
        <v>9.42305501998917E-006</v>
      </c>
      <c r="H1327" s="42" t="n">
        <f aca="false">E1327/SUMIFS($E$5:$E$1369,$B$5:$B$1369,B1327,$C$5:$C$1369,C1327)</f>
        <v>9.35194258427494E-006</v>
      </c>
      <c r="I1327" s="43" t="n">
        <f aca="false">IF(G1327="",H1327,p_beta_alloc*G1327+(1-p_beta_alloc)*H1327)*F1327^p_phi</f>
        <v>8.6834573949421E-006</v>
      </c>
      <c r="J1327" s="16" t="n">
        <f aca="false">INDEX(Sector_Params!$C$22:$E$22,MATCH(B1327,Sector_Params!$C$15:$E$15,0))*I1327/SUMIFS($I$5:$I$1369,$B$5:$B$1369,B1327,$C$5:$C$1369,C1327)</f>
        <v>0.00523446095641252</v>
      </c>
      <c r="K1327" s="28" t="n">
        <f aca="false">INDEX(Sector_Params!$F$11:$H$11,MATCH(B1327,Sector_Params!$C$15:$E$15,0))</f>
        <v>0.24</v>
      </c>
      <c r="L1327" s="16" t="n">
        <f aca="false">J1327*K1327</f>
        <v>0.001256270629539</v>
      </c>
      <c r="M1327" s="44" t="n">
        <f aca="false">Country_Data!$DW$193+Sector_Params!$E$11</f>
        <v>0.105</v>
      </c>
      <c r="N1327" s="44" t="n">
        <f aca="false">Country_Data!$DX$193+Sector_Params!$E$11</f>
        <v>0.15</v>
      </c>
      <c r="O1327" s="11" t="n">
        <f aca="false">IF(p_use_ibrd=1,p_r_ibrd,p_r_wb)</f>
        <v>0.06</v>
      </c>
      <c r="P1327" s="45" t="n">
        <f aca="false">Sector_Params!$D$11</f>
        <v>30</v>
      </c>
      <c r="Q1327" s="46" t="n">
        <f aca="false">M1327/(1-(1+M1327)^-P1327)</f>
        <v>0.110528481529605</v>
      </c>
      <c r="R1327" s="46" t="n">
        <f aca="false">N1327/(1-(1+N1327)^-P1327)</f>
        <v>0.152300198192734</v>
      </c>
      <c r="S1327" s="46" t="n">
        <f aca="false">O1327/(1-(1+O1327)^-P1327)</f>
        <v>0.0726489114900472</v>
      </c>
      <c r="T1327" s="37" t="n">
        <f aca="false">0*Sector_Params!$I$11</f>
        <v>0</v>
      </c>
      <c r="U1327" s="37" t="n">
        <f aca="false">p_c*Sector_Params!$J$11</f>
        <v>0.129</v>
      </c>
      <c r="V1327" s="37" t="n">
        <f aca="false">1000*p_r_wb/(1-(1+p_r_wb)^-Sector_Params!$D$11)/p_cpt_afolu</f>
        <v>1.45297822980094</v>
      </c>
      <c r="W1327" s="16" t="n">
        <f aca="false">T1327*L1327</f>
        <v>0</v>
      </c>
      <c r="X1327" s="16" t="n">
        <f aca="false">U1327*L1327</f>
        <v>0.000162058911210531</v>
      </c>
      <c r="Y1327" s="16" t="n">
        <f aca="false">V1327*L1327</f>
        <v>0.0018253338754585</v>
      </c>
      <c r="Z1327" s="16" t="n">
        <f aca="false">Q1327*L1327</f>
        <v>0.000138853685073187</v>
      </c>
      <c r="AA1327" s="16" t="n">
        <f aca="false">R1327*L1327</f>
        <v>0.000191330265862501</v>
      </c>
      <c r="AB1327" s="16" t="n">
        <f aca="false">S1327*L1327</f>
        <v>9.1266693772925E-005</v>
      </c>
      <c r="AC1327" s="16" t="n">
        <f aca="false">Z1327-W1327</f>
        <v>0.000138853685073187</v>
      </c>
      <c r="AD1327" s="16" t="n">
        <f aca="false">AA1327-W1327</f>
        <v>0.000191330265862501</v>
      </c>
      <c r="AE1327" s="16" t="n">
        <f aca="false">AB1327-W1327</f>
        <v>9.1266693772925E-005</v>
      </c>
      <c r="AF1327" s="16" t="n">
        <f aca="false">AE1327-X1327</f>
        <v>-7.07922174376065E-005</v>
      </c>
      <c r="AG1327" s="16" t="n">
        <f aca="false">AF1327-p_spc_lo*Y1327/1000</f>
        <v>-0.000162058911210531</v>
      </c>
      <c r="AH1327" s="16" t="n">
        <f aca="false">AF1327-p_spc_hi*Y1327/1000</f>
        <v>-0.000253325604983456</v>
      </c>
      <c r="AI1327" s="16" t="n">
        <f aca="false">Q1327*J1327</f>
        <v>0.00057855702113828</v>
      </c>
      <c r="AJ1327" s="16" t="n">
        <f aca="false">S1327*J1327</f>
        <v>0.000380277890720521</v>
      </c>
      <c r="AK1327" s="16" t="n">
        <f aca="false">T1327*J1327</f>
        <v>0</v>
      </c>
      <c r="AL1327" s="16" t="n">
        <f aca="false">U1327*J1327</f>
        <v>0.000675245463377214</v>
      </c>
      <c r="AM1327" s="16" t="n">
        <f aca="false">AI1327-AJ1327</f>
        <v>0.000198279130417759</v>
      </c>
      <c r="AN1327" s="16" t="n">
        <f aca="false">J1327*Country_Data!$EB$193</f>
        <v>0.00598936280862983</v>
      </c>
      <c r="AO1327" s="16" t="n">
        <f aca="false">L1327*Country_Data!$EB$193</f>
        <v>0.00143744707407116</v>
      </c>
    </row>
    <row r="1328" customFormat="false" ht="15" hidden="false" customHeight="false" outlineLevel="0" collapsed="false">
      <c r="A1328" s="14" t="str">
        <f aca="false">Country_Data!$A$194</f>
        <v>FSM</v>
      </c>
      <c r="B1328" s="14" t="str">
        <f aca="false">Country_Data!$E$194</f>
        <v>EMDC</v>
      </c>
      <c r="C1328" s="35" t="s">
        <v>466</v>
      </c>
      <c r="D1328" s="37" t="str">
        <f aca="false">IF(Country_Data!$BZ$194="","",Country_Data!$BZ$194)</f>
        <v/>
      </c>
      <c r="E1328" s="40" t="n">
        <f aca="false">Country_Data!$BW$194</f>
        <v>0.444</v>
      </c>
      <c r="F1328" s="41" t="n">
        <f aca="false">Country_Data!$BX$194</f>
        <v>1.08333333333333</v>
      </c>
      <c r="G1328" s="42" t="str">
        <f aca="false">IF(D1328="","",D1328/SUMIFS($D$5:$D$1369,$B$5:$B$1369,B1328,$C$5:$C$1369,C1328))</f>
        <v/>
      </c>
      <c r="H1328" s="42" t="n">
        <f aca="false">E1328/SUMIFS($E$5:$E$1369,$B$5:$B$1369,B1328,$C$5:$C$1369,C1328)</f>
        <v>5.49968544028884E-006</v>
      </c>
      <c r="I1328" s="43" t="n">
        <f aca="false">IF(G1328="",H1328,p_beta_alloc*G1328+(1-p_beta_alloc)*H1328)*F1328^p_phi</f>
        <v>5.7242540944041E-006</v>
      </c>
      <c r="J1328" s="16" t="n">
        <f aca="false">INDEX(Sector_Params!$C$16:$E$16,MATCH(B1328,Sector_Params!$C$15:$E$15,0))*I1328/SUMIFS($I$5:$I$1369,$B$5:$B$1369,B1328,$C$5:$C$1369,C1328)</f>
        <v>0.00553664368246094</v>
      </c>
      <c r="K1328" s="28" t="n">
        <f aca="false">INDEX(Sector_Params!$F$5:$H$5,MATCH(B1328,Sector_Params!$C$15:$E$15,0))</f>
        <v>0.24</v>
      </c>
      <c r="L1328" s="16" t="n">
        <f aca="false">J1328*K1328</f>
        <v>0.00132879448379063</v>
      </c>
      <c r="M1328" s="44" t="n">
        <f aca="false">Country_Data!$DW$194+Sector_Params!$E$5</f>
        <v>0.105</v>
      </c>
      <c r="N1328" s="44" t="n">
        <f aca="false">Country_Data!$DX$194+Sector_Params!$E$5</f>
        <v>0.15</v>
      </c>
      <c r="O1328" s="11" t="n">
        <f aca="false">IF(p_use_ibrd=1,p_r_ibrd,p_r_wb)</f>
        <v>0.06</v>
      </c>
      <c r="P1328" s="45" t="n">
        <f aca="false">Sector_Params!$D$5</f>
        <v>25</v>
      </c>
      <c r="Q1328" s="46" t="n">
        <f aca="false">M1328/(1-(1+M1328)^-P1328)</f>
        <v>0.114429319813103</v>
      </c>
      <c r="R1328" s="46" t="n">
        <f aca="false">N1328/(1-(1+N1328)^-P1328)</f>
        <v>0.154699402320206</v>
      </c>
      <c r="S1328" s="46" t="n">
        <f aca="false">O1328/(1-(1+O1328)^-P1328)</f>
        <v>0.078226718212274</v>
      </c>
      <c r="T1328" s="37" t="n">
        <f aca="false">IF(AND(p_eng=1,ISNUMBER(Country_Data!$CZ$194)),Country_Data!$CZ$194,Country_Data!$CM$194)*Sector_Params!$I$5</f>
        <v>0.133</v>
      </c>
      <c r="U1328" s="37" t="n">
        <f aca="false">IF(AND(p_eng=1,ISNUMBER(Country_Data!$DA$194)),Country_Data!$DA$194,Country_Data!$CN$194)*Sector_Params!$J$5</f>
        <v>0.129</v>
      </c>
      <c r="V1328" s="37" t="n">
        <f aca="false">IF(AND(p_eng=1,ISNUMBER(Country_Data!$DB$194)),Country_Data!$DB$194,p_a)</f>
        <v>0.35</v>
      </c>
      <c r="W1328" s="16" t="n">
        <f aca="false">T1328*L1328</f>
        <v>0.000176729666344153</v>
      </c>
      <c r="X1328" s="16" t="n">
        <f aca="false">U1328*L1328</f>
        <v>0.000171414488408991</v>
      </c>
      <c r="Y1328" s="16" t="n">
        <f aca="false">V1328*L1328</f>
        <v>0.000465078069326719</v>
      </c>
      <c r="Z1328" s="16" t="n">
        <f aca="false">Q1328*L1328</f>
        <v>0.000152053048951565</v>
      </c>
      <c r="AA1328" s="16" t="n">
        <f aca="false">R1328*L1328</f>
        <v>0.000205563712448797</v>
      </c>
      <c r="AB1328" s="16" t="n">
        <f aca="false">S1328*L1328</f>
        <v>0.000103947231645513</v>
      </c>
      <c r="AC1328" s="16" t="n">
        <f aca="false">Z1328-W1328</f>
        <v>-2.46766173925882E-005</v>
      </c>
      <c r="AD1328" s="16" t="n">
        <f aca="false">AA1328-W1328</f>
        <v>2.88340461046438E-005</v>
      </c>
      <c r="AE1328" s="16" t="n">
        <f aca="false">AB1328-W1328</f>
        <v>-7.27824346986399E-005</v>
      </c>
      <c r="AF1328" s="16" t="n">
        <f aca="false">AE1328-X1328</f>
        <v>-0.000244196923107631</v>
      </c>
      <c r="AG1328" s="16" t="n">
        <f aca="false">AF1328-p_spc_lo*Y1328/1000</f>
        <v>-0.000267450826573967</v>
      </c>
      <c r="AH1328" s="16" t="n">
        <f aca="false">AF1328-p_spc_hi*Y1328/1000</f>
        <v>-0.000290704730040303</v>
      </c>
      <c r="AI1328" s="16" t="n">
        <f aca="false">Q1328*J1328</f>
        <v>0.000633554370631521</v>
      </c>
      <c r="AJ1328" s="16" t="n">
        <f aca="false">S1328*J1328</f>
        <v>0.000433113465189639</v>
      </c>
      <c r="AK1328" s="16" t="n">
        <f aca="false">T1328*J1328</f>
        <v>0.000736373609767305</v>
      </c>
      <c r="AL1328" s="16" t="n">
        <f aca="false">U1328*J1328</f>
        <v>0.000714227035037461</v>
      </c>
      <c r="AM1328" s="16" t="n">
        <f aca="false">AI1328-AJ1328</f>
        <v>0.000200440905441882</v>
      </c>
      <c r="AN1328" s="16" t="n">
        <f aca="false">J1328*Country_Data!$EB$194</f>
        <v>0.00635576356972914</v>
      </c>
      <c r="AO1328" s="16" t="n">
        <f aca="false">L1328*Country_Data!$EB$194</f>
        <v>0.00152538325673499</v>
      </c>
    </row>
    <row r="1329" customFormat="false" ht="15" hidden="false" customHeight="false" outlineLevel="0" collapsed="false">
      <c r="A1329" s="14" t="str">
        <f aca="false">Country_Data!$A$194</f>
        <v>FSM</v>
      </c>
      <c r="B1329" s="14" t="str">
        <f aca="false">Country_Data!$E$194</f>
        <v>EMDC</v>
      </c>
      <c r="C1329" s="35" t="s">
        <v>470</v>
      </c>
      <c r="D1329" s="37" t="str">
        <f aca="false">IF(Country_Data!$BZ$194="","",Country_Data!$BZ$194)</f>
        <v/>
      </c>
      <c r="E1329" s="40" t="n">
        <f aca="false">Country_Data!$BW$194</f>
        <v>0.444</v>
      </c>
      <c r="F1329" s="41" t="n">
        <f aca="false">Country_Data!$BX$194</f>
        <v>1.08333333333333</v>
      </c>
      <c r="G1329" s="42" t="str">
        <f aca="false">IF(D1329="","",D1329/SUMIFS($D$5:$D$1369,$B$5:$B$1369,B1329,$C$5:$C$1369,C1329))</f>
        <v/>
      </c>
      <c r="H1329" s="42" t="n">
        <f aca="false">E1329/SUMIFS($E$5:$E$1369,$B$5:$B$1369,B1329,$C$5:$C$1369,C1329)</f>
        <v>5.49968544028884E-006</v>
      </c>
      <c r="I1329" s="43" t="n">
        <f aca="false">IF(G1329="",H1329,p_beta_alloc*G1329+(1-p_beta_alloc)*H1329)*F1329^p_phi</f>
        <v>5.7242540944041E-006</v>
      </c>
      <c r="J1329" s="16" t="n">
        <f aca="false">INDEX(Sector_Params!$C$17:$E$17,MATCH(B1329,Sector_Params!$C$15:$E$15,0))*I1329/SUMIFS($I$5:$I$1369,$B$5:$B$1369,B1329,$C$5:$C$1369,C1329)</f>
        <v>0.00379655566797322</v>
      </c>
      <c r="K1329" s="28" t="n">
        <f aca="false">INDEX(Sector_Params!$F$6:$H$6,MATCH(B1329,Sector_Params!$C$15:$E$15,0))</f>
        <v>0.24</v>
      </c>
      <c r="L1329" s="16" t="n">
        <f aca="false">J1329*K1329</f>
        <v>0.000911173360313572</v>
      </c>
      <c r="M1329" s="44" t="n">
        <f aca="false">Country_Data!$DW$194+Sector_Params!$E$6</f>
        <v>0.105</v>
      </c>
      <c r="N1329" s="44" t="n">
        <f aca="false">Country_Data!$DX$194+Sector_Params!$E$6</f>
        <v>0.15</v>
      </c>
      <c r="O1329" s="11" t="n">
        <f aca="false">IF(p_use_ibrd=1,p_r_ibrd,p_r_wb)</f>
        <v>0.06</v>
      </c>
      <c r="P1329" s="45" t="n">
        <f aca="false">Sector_Params!$D$6</f>
        <v>40</v>
      </c>
      <c r="Q1329" s="46" t="n">
        <f aca="false">M1329/(1-(1+M1329)^-P1329)</f>
        <v>0.10697140835497</v>
      </c>
      <c r="R1329" s="46" t="n">
        <f aca="false">N1329/(1-(1+N1329)^-P1329)</f>
        <v>0.150562085013545</v>
      </c>
      <c r="S1329" s="46" t="n">
        <f aca="false">O1329/(1-(1+O1329)^-P1329)</f>
        <v>0.0664615359206755</v>
      </c>
      <c r="T1329" s="37" t="n">
        <f aca="false">p_grid_credit*IF(AND(p_eng=1,ISNUMBER(Country_Data!$CZ$194)),Country_Data!$CZ$194,Country_Data!$CM$194)*Sector_Params!$I$6</f>
        <v>0</v>
      </c>
      <c r="U1329" s="37" t="n">
        <f aca="false">p_grid_credit*IF(AND(p_eng=1,ISNUMBER(Country_Data!$DA$194)),Country_Data!$DA$194,Country_Data!$CN$194)*Sector_Params!$J$6</f>
        <v>0</v>
      </c>
      <c r="V1329" s="37" t="n">
        <f aca="false">p_grid_credit*IF(AND(p_eng=1,ISNUMBER(Country_Data!$DB$194)),Country_Data!$DB$194,p_a)</f>
        <v>0</v>
      </c>
      <c r="W1329" s="16" t="n">
        <f aca="false">T1329*L1329</f>
        <v>0</v>
      </c>
      <c r="X1329" s="16" t="n">
        <f aca="false">U1329*L1329</f>
        <v>0</v>
      </c>
      <c r="Y1329" s="16" t="n">
        <f aca="false">V1329*L1329</f>
        <v>0</v>
      </c>
      <c r="Z1329" s="16" t="n">
        <f aca="false">Q1329*L1329</f>
        <v>9.74694976082737E-005</v>
      </c>
      <c r="AA1329" s="16" t="n">
        <f aca="false">R1329*L1329</f>
        <v>0.00013718816093761</v>
      </c>
      <c r="AB1329" s="16" t="n">
        <f aca="false">S1329*L1329</f>
        <v>6.05579810164431E-005</v>
      </c>
      <c r="AC1329" s="16" t="n">
        <f aca="false">Z1329-W1329</f>
        <v>9.74694976082737E-005</v>
      </c>
      <c r="AD1329" s="16" t="n">
        <f aca="false">AA1329-W1329</f>
        <v>0.00013718816093761</v>
      </c>
      <c r="AE1329" s="16" t="n">
        <f aca="false">AB1329-W1329</f>
        <v>6.05579810164431E-005</v>
      </c>
      <c r="AF1329" s="16" t="n">
        <f aca="false">AE1329-X1329</f>
        <v>6.05579810164431E-005</v>
      </c>
      <c r="AG1329" s="16" t="n">
        <f aca="false">AF1329-p_spc_lo*Y1329/1000</f>
        <v>6.05579810164431E-005</v>
      </c>
      <c r="AH1329" s="16" t="n">
        <f aca="false">AF1329-p_spc_hi*Y1329/1000</f>
        <v>6.05579810164431E-005</v>
      </c>
      <c r="AI1329" s="16" t="n">
        <f aca="false">Q1329*J1329</f>
        <v>0.00040612290670114</v>
      </c>
      <c r="AJ1329" s="16" t="n">
        <f aca="false">S1329*J1329</f>
        <v>0.000252324920901846</v>
      </c>
      <c r="AK1329" s="16" t="n">
        <f aca="false">T1329*J1329</f>
        <v>0</v>
      </c>
      <c r="AL1329" s="16" t="n">
        <f aca="false">U1329*J1329</f>
        <v>0</v>
      </c>
      <c r="AM1329" s="16" t="n">
        <f aca="false">AI1329-AJ1329</f>
        <v>0.000153797985799294</v>
      </c>
      <c r="AN1329" s="16" t="n">
        <f aca="false">J1329*Country_Data!$EB$194</f>
        <v>0.00435823787638569</v>
      </c>
      <c r="AO1329" s="16" t="n">
        <f aca="false">L1329*Country_Data!$EB$194</f>
        <v>0.00104597709033257</v>
      </c>
    </row>
    <row r="1330" customFormat="false" ht="15" hidden="false" customHeight="false" outlineLevel="0" collapsed="false">
      <c r="A1330" s="14" t="str">
        <f aca="false">Country_Data!$A$194</f>
        <v>FSM</v>
      </c>
      <c r="B1330" s="14" t="str">
        <f aca="false">Country_Data!$E$194</f>
        <v>EMDC</v>
      </c>
      <c r="C1330" s="35" t="s">
        <v>473</v>
      </c>
      <c r="D1330" s="37" t="str">
        <f aca="false">IF(Country_Data!$CA$194="","",Country_Data!$CA$194)</f>
        <v/>
      </c>
      <c r="E1330" s="40" t="n">
        <f aca="false">Country_Data!$BW$194</f>
        <v>0.444</v>
      </c>
      <c r="F1330" s="41" t="n">
        <f aca="false">Country_Data!$BX$194</f>
        <v>1.08333333333333</v>
      </c>
      <c r="G1330" s="42" t="str">
        <f aca="false">IF(D1330="","",D1330/SUMIFS($D$5:$D$1369,$B$5:$B$1369,B1330,$C$5:$C$1369,C1330))</f>
        <v/>
      </c>
      <c r="H1330" s="42" t="n">
        <f aca="false">E1330/SUMIFS($E$5:$E$1369,$B$5:$B$1369,B1330,$C$5:$C$1369,C1330)</f>
        <v>5.49968544028884E-006</v>
      </c>
      <c r="I1330" s="43" t="n">
        <f aca="false">IF(G1330="",H1330,p_beta_alloc*G1330+(1-p_beta_alloc)*H1330)*F1330^p_phi</f>
        <v>5.7242540944041E-006</v>
      </c>
      <c r="J1330" s="16" t="n">
        <f aca="false">INDEX(Sector_Params!$C$18:$E$18,MATCH(B1330,Sector_Params!$C$15:$E$15,0))*I1330/SUMIFS($I$5:$I$1369,$B$5:$B$1369,B1330,$C$5:$C$1369,C1330)</f>
        <v>0.0023439466088555</v>
      </c>
      <c r="K1330" s="28" t="n">
        <f aca="false">INDEX(Sector_Params!$F$7:$H$7,MATCH(B1330,Sector_Params!$C$15:$E$15,0))</f>
        <v>0.24</v>
      </c>
      <c r="L1330" s="16" t="n">
        <f aca="false">J1330*K1330</f>
        <v>0.000562547186125321</v>
      </c>
      <c r="M1330" s="44" t="n">
        <f aca="false">Country_Data!$DW$194+Sector_Params!$E$7</f>
        <v>0.105</v>
      </c>
      <c r="N1330" s="44" t="n">
        <f aca="false">Country_Data!$DX$194+Sector_Params!$E$7</f>
        <v>0.15</v>
      </c>
      <c r="O1330" s="11" t="n">
        <f aca="false">IF(p_use_ibrd=1,p_r_ibrd,p_r_wb)</f>
        <v>0.06</v>
      </c>
      <c r="P1330" s="45" t="n">
        <f aca="false">Sector_Params!$D$7</f>
        <v>12</v>
      </c>
      <c r="Q1330" s="46" t="n">
        <f aca="false">M1330/(1-(1+M1330)^-P1330)</f>
        <v>0.150376745634766</v>
      </c>
      <c r="R1330" s="46" t="n">
        <f aca="false">N1330/(1-(1+N1330)^-P1330)</f>
        <v>0.18448077613084</v>
      </c>
      <c r="S1330" s="46" t="n">
        <f aca="false">O1330/(1-(1+O1330)^-P1330)</f>
        <v>0.119277029380664</v>
      </c>
      <c r="T1330" s="37" t="n">
        <f aca="false">IF(AND(p_eng=1,ISNUMBER(Country_Data!$DE$194)),Country_Data!$DE$194,Country_Data!$CM$194)*Sector_Params!$I$7</f>
        <v>0.133</v>
      </c>
      <c r="U1330" s="37" t="n">
        <f aca="false">IF(AND(p_eng=1,ISNUMBER(Country_Data!$DF$194)),Country_Data!$DF$194,Country_Data!$CN$194)*Sector_Params!$J$7</f>
        <v>0.129</v>
      </c>
      <c r="V1330" s="37" t="n">
        <f aca="false">IF(AND(p_eng=1,ISNUMBER(Country_Data!$DG$194)),Country_Data!$DG$194,p_a)</f>
        <v>0.35</v>
      </c>
      <c r="W1330" s="16" t="n">
        <f aca="false">T1330*L1330</f>
        <v>7.48187757546677E-005</v>
      </c>
      <c r="X1330" s="16" t="n">
        <f aca="false">U1330*L1330</f>
        <v>7.25685870101664E-005</v>
      </c>
      <c r="Y1330" s="16" t="n">
        <f aca="false">V1330*L1330</f>
        <v>0.000196891515143862</v>
      </c>
      <c r="Z1330" s="16" t="n">
        <f aca="false">Q1330*L1330</f>
        <v>8.45940151155206E-005</v>
      </c>
      <c r="AA1330" s="16" t="n">
        <f aca="false">R1330*L1330</f>
        <v>0.000103779141506619</v>
      </c>
      <c r="AB1330" s="16" t="n">
        <f aca="false">S1330*L1330</f>
        <v>6.70989572474795E-005</v>
      </c>
      <c r="AC1330" s="16" t="n">
        <f aca="false">Z1330-W1330</f>
        <v>9.77523936085291E-006</v>
      </c>
      <c r="AD1330" s="16" t="n">
        <f aca="false">AA1330-W1330</f>
        <v>2.89603657519514E-005</v>
      </c>
      <c r="AE1330" s="16" t="n">
        <f aca="false">AB1330-W1330</f>
        <v>-7.71981850718817E-006</v>
      </c>
      <c r="AF1330" s="16" t="n">
        <f aca="false">AE1330-X1330</f>
        <v>-8.02884055173546E-005</v>
      </c>
      <c r="AG1330" s="16" t="n">
        <f aca="false">AF1330-p_spc_lo*Y1330/1000</f>
        <v>-9.01329812745477E-005</v>
      </c>
      <c r="AH1330" s="16" t="n">
        <f aca="false">AF1330-p_spc_hi*Y1330/1000</f>
        <v>-9.99775570317408E-005</v>
      </c>
      <c r="AI1330" s="16" t="n">
        <f aca="false">Q1330*J1330</f>
        <v>0.000352475062981336</v>
      </c>
      <c r="AJ1330" s="16" t="n">
        <f aca="false">S1330*J1330</f>
        <v>0.000279578988531165</v>
      </c>
      <c r="AK1330" s="16" t="n">
        <f aca="false">T1330*J1330</f>
        <v>0.000311744898977782</v>
      </c>
      <c r="AL1330" s="16" t="n">
        <f aca="false">U1330*J1330</f>
        <v>0.00030236911254236</v>
      </c>
      <c r="AM1330" s="16" t="n">
        <f aca="false">AI1330-AJ1330</f>
        <v>7.28960744501712E-005</v>
      </c>
      <c r="AN1330" s="16" t="n">
        <f aca="false">J1330*Country_Data!$EB$194</f>
        <v>0.0026907222715355</v>
      </c>
      <c r="AO1330" s="16" t="n">
        <f aca="false">L1330*Country_Data!$EB$194</f>
        <v>0.000645773345168519</v>
      </c>
    </row>
    <row r="1331" customFormat="false" ht="15" hidden="false" customHeight="false" outlineLevel="0" collapsed="false">
      <c r="A1331" s="14" t="str">
        <f aca="false">Country_Data!$A$194</f>
        <v>FSM</v>
      </c>
      <c r="B1331" s="14" t="str">
        <f aca="false">Country_Data!$E$194</f>
        <v>EMDC</v>
      </c>
      <c r="C1331" s="35" t="s">
        <v>477</v>
      </c>
      <c r="D1331" s="37" t="str">
        <f aca="false">IF(Country_Data!$CB$194="","",Country_Data!$CB$194)</f>
        <v/>
      </c>
      <c r="E1331" s="40" t="n">
        <f aca="false">Country_Data!$BW$194</f>
        <v>0.444</v>
      </c>
      <c r="F1331" s="41" t="n">
        <f aca="false">Country_Data!$BX$194</f>
        <v>1.08333333333333</v>
      </c>
      <c r="G1331" s="42" t="str">
        <f aca="false">IF(D1331="","",D1331/SUMIFS($D$5:$D$1369,$B$5:$B$1369,B1331,$C$5:$C$1369,C1331))</f>
        <v/>
      </c>
      <c r="H1331" s="42" t="n">
        <f aca="false">E1331/SUMIFS($E$5:$E$1369,$B$5:$B$1369,B1331,$C$5:$C$1369,C1331)</f>
        <v>5.49968544028884E-006</v>
      </c>
      <c r="I1331" s="43" t="n">
        <f aca="false">IF(G1331="",H1331,p_beta_alloc*G1331+(1-p_beta_alloc)*H1331)*F1331^p_phi</f>
        <v>5.7242540944041E-006</v>
      </c>
      <c r="J1331" s="16" t="n">
        <f aca="false">INDEX(Sector_Params!$C$19:$E$19,MATCH(B1331,Sector_Params!$C$15:$E$15,0))*I1331/SUMIFS($I$5:$I$1369,$B$5:$B$1369,B1331,$C$5:$C$1369,C1331)</f>
        <v>0.00184242328599655</v>
      </c>
      <c r="K1331" s="28" t="n">
        <f aca="false">INDEX(Sector_Params!$F$8:$H$8,MATCH(B1331,Sector_Params!$C$15:$E$15,0))</f>
        <v>0.24</v>
      </c>
      <c r="L1331" s="16" t="n">
        <f aca="false">J1331*K1331</f>
        <v>0.000442181588639171</v>
      </c>
      <c r="M1331" s="44" t="n">
        <f aca="false">Country_Data!$DW$194+Sector_Params!$E$8</f>
        <v>0.105</v>
      </c>
      <c r="N1331" s="44" t="n">
        <f aca="false">Country_Data!$DX$194+Sector_Params!$E$8</f>
        <v>0.15</v>
      </c>
      <c r="O1331" s="11" t="n">
        <f aca="false">IF(p_use_ibrd=1,p_r_ibrd,p_r_wb)</f>
        <v>0.06</v>
      </c>
      <c r="P1331" s="45" t="n">
        <f aca="false">Sector_Params!$D$8</f>
        <v>25</v>
      </c>
      <c r="Q1331" s="46" t="n">
        <f aca="false">M1331/(1-(1+M1331)^-P1331)</f>
        <v>0.114429319813103</v>
      </c>
      <c r="R1331" s="46" t="n">
        <f aca="false">N1331/(1-(1+N1331)^-P1331)</f>
        <v>0.154699402320206</v>
      </c>
      <c r="S1331" s="46" t="n">
        <f aca="false">O1331/(1-(1+O1331)^-P1331)</f>
        <v>0.078226718212274</v>
      </c>
      <c r="T1331" s="37" t="n">
        <f aca="false">Country_Data!$CM$194*Sector_Params!$I$8</f>
        <v>0.133</v>
      </c>
      <c r="U1331" s="37" t="n">
        <f aca="false">Country_Data!$CN$194*Sector_Params!$J$8</f>
        <v>0.129</v>
      </c>
      <c r="V1331" s="37" t="n">
        <f aca="false">p_a</f>
        <v>0.35</v>
      </c>
      <c r="W1331" s="16" t="n">
        <f aca="false">T1331*L1331</f>
        <v>5.88101512890098E-005</v>
      </c>
      <c r="X1331" s="16" t="n">
        <f aca="false">U1331*L1331</f>
        <v>5.70414249344531E-005</v>
      </c>
      <c r="Y1331" s="16" t="n">
        <f aca="false">V1331*L1331</f>
        <v>0.00015476355602371</v>
      </c>
      <c r="Z1331" s="16" t="n">
        <f aca="false">Q1331*L1331</f>
        <v>5.05985384218578E-005</v>
      </c>
      <c r="AA1331" s="16" t="n">
        <f aca="false">R1331*L1331</f>
        <v>6.84052274794792E-005</v>
      </c>
      <c r="AB1331" s="16" t="n">
        <f aca="false">S1331*L1331</f>
        <v>3.45904145331321E-005</v>
      </c>
      <c r="AC1331" s="16" t="n">
        <f aca="false">Z1331-W1331</f>
        <v>-8.21161286715195E-006</v>
      </c>
      <c r="AD1331" s="16" t="n">
        <f aca="false">AA1331-W1331</f>
        <v>9.59507619046941E-006</v>
      </c>
      <c r="AE1331" s="16" t="n">
        <f aca="false">AB1331-W1331</f>
        <v>-2.42197367558777E-005</v>
      </c>
      <c r="AF1331" s="16" t="n">
        <f aca="false">AE1331-X1331</f>
        <v>-8.12611616903308E-005</v>
      </c>
      <c r="AG1331" s="16" t="n">
        <f aca="false">AF1331-p_spc_lo*Y1331/1000</f>
        <v>-8.89993394915163E-005</v>
      </c>
      <c r="AH1331" s="16" t="n">
        <f aca="false">AF1331-p_spc_hi*Y1331/1000</f>
        <v>-9.67375172927018E-005</v>
      </c>
      <c r="AI1331" s="16" t="n">
        <f aca="false">Q1331*J1331</f>
        <v>0.000210827243424408</v>
      </c>
      <c r="AJ1331" s="16" t="n">
        <f aca="false">S1331*J1331</f>
        <v>0.000144126727221384</v>
      </c>
      <c r="AK1331" s="16" t="n">
        <f aca="false">T1331*J1331</f>
        <v>0.000245042297037541</v>
      </c>
      <c r="AL1331" s="16" t="n">
        <f aca="false">U1331*J1331</f>
        <v>0.000237672603893555</v>
      </c>
      <c r="AM1331" s="16" t="n">
        <f aca="false">AI1331-AJ1331</f>
        <v>6.67005162030239E-005</v>
      </c>
      <c r="AN1331" s="16" t="n">
        <f aca="false">J1331*Country_Data!$EB$194</f>
        <v>0.00211500097762343</v>
      </c>
      <c r="AO1331" s="16" t="n">
        <f aca="false">L1331*Country_Data!$EB$194</f>
        <v>0.000507600234629624</v>
      </c>
    </row>
    <row r="1332" customFormat="false" ht="15" hidden="false" customHeight="false" outlineLevel="0" collapsed="false">
      <c r="A1332" s="14" t="str">
        <f aca="false">Country_Data!$A$194</f>
        <v>FSM</v>
      </c>
      <c r="B1332" s="14" t="str">
        <f aca="false">Country_Data!$E$194</f>
        <v>EMDC</v>
      </c>
      <c r="C1332" s="35" t="s">
        <v>481</v>
      </c>
      <c r="D1332" s="37" t="str">
        <f aca="false">IF(Country_Data!$CC$194="","",Country_Data!$CC$194)</f>
        <v/>
      </c>
      <c r="E1332" s="40" t="n">
        <f aca="false">Country_Data!$BW$194</f>
        <v>0.444</v>
      </c>
      <c r="F1332" s="41" t="n">
        <f aca="false">Country_Data!$BX$194</f>
        <v>1.08333333333333</v>
      </c>
      <c r="G1332" s="42" t="str">
        <f aca="false">IF(D1332="","",D1332/SUMIFS($D$5:$D$1369,$B$5:$B$1369,B1332,$C$5:$C$1369,C1332))</f>
        <v/>
      </c>
      <c r="H1332" s="42" t="n">
        <f aca="false">E1332/SUMIFS($E$5:$E$1369,$B$5:$B$1369,B1332,$C$5:$C$1369,C1332)</f>
        <v>5.49968544028884E-006</v>
      </c>
      <c r="I1332" s="43" t="n">
        <f aca="false">IF(G1332="",H1332,p_beta_alloc*G1332+(1-p_beta_alloc)*H1332)*F1332^p_phi</f>
        <v>5.7242540944041E-006</v>
      </c>
      <c r="J1332" s="16" t="n">
        <f aca="false">INDEX(Sector_Params!$C$20:$E$20,MATCH(B1332,Sector_Params!$C$15:$E$15,0))*I1332/SUMIFS($I$5:$I$1369,$B$5:$B$1369,B1332,$C$5:$C$1369,C1332)</f>
        <v>0.00104479164546601</v>
      </c>
      <c r="K1332" s="28" t="n">
        <f aca="false">INDEX(Sector_Params!$F$9:$H$9,MATCH(B1332,Sector_Params!$C$15:$E$15,0))</f>
        <v>0.24</v>
      </c>
      <c r="L1332" s="16" t="n">
        <f aca="false">J1332*K1332</f>
        <v>0.000250749994911842</v>
      </c>
      <c r="M1332" s="44" t="n">
        <f aca="false">Country_Data!$DW$194+Sector_Params!$E$9</f>
        <v>0.105</v>
      </c>
      <c r="N1332" s="44" t="n">
        <f aca="false">Country_Data!$DX$194+Sector_Params!$E$9</f>
        <v>0.15</v>
      </c>
      <c r="O1332" s="11" t="n">
        <f aca="false">IF(p_use_ibrd=1,p_r_ibrd,p_r_wb)</f>
        <v>0.06</v>
      </c>
      <c r="P1332" s="45" t="n">
        <f aca="false">Sector_Params!$D$9</f>
        <v>25</v>
      </c>
      <c r="Q1332" s="46" t="n">
        <f aca="false">M1332/(1-(1+M1332)^-P1332)</f>
        <v>0.114429319813103</v>
      </c>
      <c r="R1332" s="46" t="n">
        <f aca="false">N1332/(1-(1+N1332)^-P1332)</f>
        <v>0.154699402320206</v>
      </c>
      <c r="S1332" s="46" t="n">
        <f aca="false">O1332/(1-(1+O1332)^-P1332)</f>
        <v>0.078226718212274</v>
      </c>
      <c r="T1332" s="37" t="n">
        <f aca="false">Country_Data!$CM$194*Sector_Params!$I$9</f>
        <v>0.133</v>
      </c>
      <c r="U1332" s="37" t="n">
        <f aca="false">Country_Data!$CN$194*Sector_Params!$J$9</f>
        <v>0.129</v>
      </c>
      <c r="V1332" s="37" t="n">
        <f aca="false">p_a</f>
        <v>0.35</v>
      </c>
      <c r="W1332" s="16" t="n">
        <f aca="false">T1332*L1332</f>
        <v>3.3349749323275E-005</v>
      </c>
      <c r="X1332" s="16" t="n">
        <f aca="false">U1332*L1332</f>
        <v>3.23467493436277E-005</v>
      </c>
      <c r="Y1332" s="16" t="n">
        <f aca="false">V1332*L1332</f>
        <v>8.77624982191448E-005</v>
      </c>
      <c r="Z1332" s="16" t="n">
        <f aca="false">Q1332*L1332</f>
        <v>2.86931513609012E-005</v>
      </c>
      <c r="AA1332" s="16" t="n">
        <f aca="false">R1332*L1332</f>
        <v>3.87908743446568E-005</v>
      </c>
      <c r="AB1332" s="16" t="n">
        <f aca="false">S1332*L1332</f>
        <v>1.96153491936978E-005</v>
      </c>
      <c r="AC1332" s="16" t="n">
        <f aca="false">Z1332-W1332</f>
        <v>-4.6565979623738E-006</v>
      </c>
      <c r="AD1332" s="16" t="n">
        <f aca="false">AA1332-W1332</f>
        <v>5.44112502138179E-006</v>
      </c>
      <c r="AE1332" s="16" t="n">
        <f aca="false">AB1332-W1332</f>
        <v>-1.37344001295772E-005</v>
      </c>
      <c r="AF1332" s="16" t="n">
        <f aca="false">AE1332-X1332</f>
        <v>-4.60811494732049E-005</v>
      </c>
      <c r="AG1332" s="16" t="n">
        <f aca="false">AF1332-p_spc_lo*Y1332/1000</f>
        <v>-5.04692743841621E-005</v>
      </c>
      <c r="AH1332" s="16" t="n">
        <f aca="false">AF1332-p_spc_hi*Y1332/1000</f>
        <v>-5.48573992951194E-005</v>
      </c>
      <c r="AI1332" s="16" t="n">
        <f aca="false">Q1332*J1332</f>
        <v>0.000119554797337088</v>
      </c>
      <c r="AJ1332" s="16" t="n">
        <f aca="false">S1332*J1332</f>
        <v>8.17306216404076E-005</v>
      </c>
      <c r="AK1332" s="16" t="n">
        <f aca="false">T1332*J1332</f>
        <v>0.000138957288846979</v>
      </c>
      <c r="AL1332" s="16" t="n">
        <f aca="false">U1332*J1332</f>
        <v>0.000134778122265115</v>
      </c>
      <c r="AM1332" s="16" t="n">
        <f aca="false">AI1332-AJ1332</f>
        <v>3.78241756966809E-005</v>
      </c>
      <c r="AN1332" s="16" t="n">
        <f aca="false">J1332*Country_Data!$EB$194</f>
        <v>0.00119936356013769</v>
      </c>
      <c r="AO1332" s="16" t="n">
        <f aca="false">L1332*Country_Data!$EB$194</f>
        <v>0.000287847254433046</v>
      </c>
    </row>
    <row r="1333" customFormat="false" ht="15" hidden="false" customHeight="false" outlineLevel="0" collapsed="false">
      <c r="A1333" s="14" t="str">
        <f aca="false">Country_Data!$A$194</f>
        <v>FSM</v>
      </c>
      <c r="B1333" s="14" t="str">
        <f aca="false">Country_Data!$E$194</f>
        <v>EMDC</v>
      </c>
      <c r="C1333" s="35" t="s">
        <v>484</v>
      </c>
      <c r="D1333" s="37" t="str">
        <f aca="false">IF(Country_Data!$CD$194="","",Country_Data!$CD$194)</f>
        <v/>
      </c>
      <c r="E1333" s="40" t="n">
        <f aca="false">Country_Data!$BW$194</f>
        <v>0.444</v>
      </c>
      <c r="F1333" s="41" t="n">
        <f aca="false">Country_Data!$BX$194</f>
        <v>1.08333333333333</v>
      </c>
      <c r="G1333" s="42" t="str">
        <f aca="false">IF(D1333="","",D1333/SUMIFS($D$5:$D$1369,$B$5:$B$1369,B1333,$C$5:$C$1369,C1333))</f>
        <v/>
      </c>
      <c r="H1333" s="42" t="n">
        <f aca="false">E1333/SUMIFS($E$5:$E$1369,$B$5:$B$1369,B1333,$C$5:$C$1369,C1333)</f>
        <v>5.49968544028884E-006</v>
      </c>
      <c r="I1333" s="43" t="n">
        <f aca="false">IF(G1333="",H1333,p_beta_alloc*G1333+(1-p_beta_alloc)*H1333)*F1333^p_phi</f>
        <v>5.7242540944041E-006</v>
      </c>
      <c r="J1333" s="16" t="n">
        <f aca="false">INDEX(Sector_Params!$C$21:$E$21,MATCH(B1333,Sector_Params!$C$15:$E$15,0))*I1333/SUMIFS($I$5:$I$1369,$B$5:$B$1369,B1333,$C$5:$C$1369,C1333)</f>
        <v>0.00126958132105135</v>
      </c>
      <c r="K1333" s="28" t="n">
        <f aca="false">INDEX(Sector_Params!$F$10:$H$10,MATCH(B1333,Sector_Params!$C$15:$E$15,0))</f>
        <v>0.24</v>
      </c>
      <c r="L1333" s="16" t="n">
        <f aca="false">J1333*K1333</f>
        <v>0.000304699517052324</v>
      </c>
      <c r="M1333" s="44" t="n">
        <f aca="false">Country_Data!$DW$194+Sector_Params!$E$10</f>
        <v>0.105</v>
      </c>
      <c r="N1333" s="44" t="n">
        <f aca="false">Country_Data!$DX$194+Sector_Params!$E$10</f>
        <v>0.15</v>
      </c>
      <c r="O1333" s="11" t="n">
        <f aca="false">IF(p_use_ibrd=1,p_r_ibrd,p_r_wb)</f>
        <v>0.06</v>
      </c>
      <c r="P1333" s="45" t="n">
        <f aca="false">Sector_Params!$D$10</f>
        <v>20</v>
      </c>
      <c r="Q1333" s="46" t="n">
        <f aca="false">M1333/(1-(1+M1333)^-P1333)</f>
        <v>0.121493265267016</v>
      </c>
      <c r="R1333" s="46" t="n">
        <f aca="false">N1333/(1-(1+N1333)^-P1333)</f>
        <v>0.159761470405744</v>
      </c>
      <c r="S1333" s="46" t="n">
        <f aca="false">O1333/(1-(1+O1333)^-P1333)</f>
        <v>0.0871845569768514</v>
      </c>
      <c r="T1333" s="37" t="n">
        <f aca="false">0*Sector_Params!$I$10</f>
        <v>0</v>
      </c>
      <c r="U1333" s="37" t="n">
        <f aca="false">0*Sector_Params!$J$10</f>
        <v>0</v>
      </c>
      <c r="V1333" s="37" t="n">
        <f aca="false">1000*p_r_wb/(1-(1+p_r_wb)^-Sector_Params!$D$10)/p_cpt_fuel</f>
        <v>0.871845569768514</v>
      </c>
      <c r="W1333" s="16" t="n">
        <f aca="false">T1333*L1333</f>
        <v>0</v>
      </c>
      <c r="X1333" s="16" t="n">
        <f aca="false">U1333*L1333</f>
        <v>0</v>
      </c>
      <c r="Y1333" s="16" t="n">
        <f aca="false">V1333*L1333</f>
        <v>0.000265650924052674</v>
      </c>
      <c r="Z1333" s="16" t="n">
        <f aca="false">Q1333*L1333</f>
        <v>3.70189392519697E-005</v>
      </c>
      <c r="AA1333" s="16" t="n">
        <f aca="false">R1333*L1333</f>
        <v>4.86792428761993E-005</v>
      </c>
      <c r="AB1333" s="16" t="n">
        <f aca="false">S1333*L1333</f>
        <v>2.65650924052674E-005</v>
      </c>
      <c r="AC1333" s="16" t="n">
        <f aca="false">Z1333-W1333</f>
        <v>3.70189392519697E-005</v>
      </c>
      <c r="AD1333" s="16" t="n">
        <f aca="false">AA1333-W1333</f>
        <v>4.86792428761993E-005</v>
      </c>
      <c r="AE1333" s="16" t="n">
        <f aca="false">AB1333-W1333</f>
        <v>2.65650924052674E-005</v>
      </c>
      <c r="AF1333" s="16" t="n">
        <f aca="false">AE1333-X1333</f>
        <v>2.65650924052674E-005</v>
      </c>
      <c r="AG1333" s="16" t="n">
        <f aca="false">AF1333-p_spc_lo*Y1333/1000</f>
        <v>1.32825462026337E-005</v>
      </c>
      <c r="AH1333" s="16" t="n">
        <f aca="false">AF1333-p_spc_hi*Y1333/1000</f>
        <v>0</v>
      </c>
      <c r="AI1333" s="16" t="n">
        <f aca="false">Q1333*J1333</f>
        <v>0.00015424558021654</v>
      </c>
      <c r="AJ1333" s="16" t="n">
        <f aca="false">S1333*J1333</f>
        <v>0.000110687885021948</v>
      </c>
      <c r="AK1333" s="16" t="n">
        <f aca="false">T1333*J1333</f>
        <v>0</v>
      </c>
      <c r="AL1333" s="16" t="n">
        <f aca="false">U1333*J1333</f>
        <v>0</v>
      </c>
      <c r="AM1333" s="16" t="n">
        <f aca="false">AI1333-AJ1333</f>
        <v>4.35576951945928E-005</v>
      </c>
      <c r="AN1333" s="16" t="n">
        <f aca="false">J1333*Country_Data!$EB$194</f>
        <v>0.00145740979046717</v>
      </c>
      <c r="AO1333" s="16" t="n">
        <f aca="false">L1333*Country_Data!$EB$194</f>
        <v>0.00034977834971212</v>
      </c>
    </row>
    <row r="1334" customFormat="false" ht="15" hidden="false" customHeight="false" outlineLevel="0" collapsed="false">
      <c r="A1334" s="14" t="str">
        <f aca="false">Country_Data!$A$194</f>
        <v>FSM</v>
      </c>
      <c r="B1334" s="14" t="str">
        <f aca="false">Country_Data!$E$194</f>
        <v>EMDC</v>
      </c>
      <c r="C1334" s="35" t="s">
        <v>488</v>
      </c>
      <c r="D1334" s="37" t="str">
        <f aca="false">IF(Country_Data!$CE$194="","",Country_Data!$CE$194)</f>
        <v/>
      </c>
      <c r="E1334" s="40" t="n">
        <f aca="false">Country_Data!$BW$194</f>
        <v>0.444</v>
      </c>
      <c r="F1334" s="41" t="n">
        <f aca="false">Country_Data!$BX$194</f>
        <v>1.08333333333333</v>
      </c>
      <c r="G1334" s="42" t="str">
        <f aca="false">IF(D1334="","",D1334/SUMIFS($D$5:$D$1369,$B$5:$B$1369,B1334,$C$5:$C$1369,C1334))</f>
        <v/>
      </c>
      <c r="H1334" s="42" t="n">
        <f aca="false">E1334/SUMIFS($E$5:$E$1369,$B$5:$B$1369,B1334,$C$5:$C$1369,C1334)</f>
        <v>5.49968544028884E-006</v>
      </c>
      <c r="I1334" s="43" t="n">
        <f aca="false">IF(G1334="",H1334,p_beta_alloc*G1334+(1-p_beta_alloc)*H1334)*F1334^p_phi</f>
        <v>5.7242540944041E-006</v>
      </c>
      <c r="J1334" s="16" t="n">
        <f aca="false">INDEX(Sector_Params!$C$22:$E$22,MATCH(B1334,Sector_Params!$C$15:$E$15,0))*I1334/SUMIFS($I$5:$I$1369,$B$5:$B$1369,B1334,$C$5:$C$1369,C1334)</f>
        <v>0.00345062838440316</v>
      </c>
      <c r="K1334" s="28" t="n">
        <f aca="false">INDEX(Sector_Params!$F$11:$H$11,MATCH(B1334,Sector_Params!$C$15:$E$15,0))</f>
        <v>0.24</v>
      </c>
      <c r="L1334" s="16" t="n">
        <f aca="false">J1334*K1334</f>
        <v>0.000828150812256759</v>
      </c>
      <c r="M1334" s="44" t="n">
        <f aca="false">Country_Data!$DW$194+Sector_Params!$E$11</f>
        <v>0.105</v>
      </c>
      <c r="N1334" s="44" t="n">
        <f aca="false">Country_Data!$DX$194+Sector_Params!$E$11</f>
        <v>0.15</v>
      </c>
      <c r="O1334" s="11" t="n">
        <f aca="false">IF(p_use_ibrd=1,p_r_ibrd,p_r_wb)</f>
        <v>0.06</v>
      </c>
      <c r="P1334" s="45" t="n">
        <f aca="false">Sector_Params!$D$11</f>
        <v>30</v>
      </c>
      <c r="Q1334" s="46" t="n">
        <f aca="false">M1334/(1-(1+M1334)^-P1334)</f>
        <v>0.110528481529605</v>
      </c>
      <c r="R1334" s="46" t="n">
        <f aca="false">N1334/(1-(1+N1334)^-P1334)</f>
        <v>0.152300198192734</v>
      </c>
      <c r="S1334" s="46" t="n">
        <f aca="false">O1334/(1-(1+O1334)^-P1334)</f>
        <v>0.0726489114900472</v>
      </c>
      <c r="T1334" s="37" t="n">
        <f aca="false">0*Sector_Params!$I$11</f>
        <v>0</v>
      </c>
      <c r="U1334" s="37" t="n">
        <f aca="false">p_c*Sector_Params!$J$11</f>
        <v>0.129</v>
      </c>
      <c r="V1334" s="37" t="n">
        <f aca="false">1000*p_r_wb/(1-(1+p_r_wb)^-Sector_Params!$D$11)/p_cpt_afolu</f>
        <v>1.45297822980094</v>
      </c>
      <c r="W1334" s="16" t="n">
        <f aca="false">T1334*L1334</f>
        <v>0</v>
      </c>
      <c r="X1334" s="16" t="n">
        <f aca="false">U1334*L1334</f>
        <v>0.000106831454781122</v>
      </c>
      <c r="Y1334" s="16" t="n">
        <f aca="false">V1334*L1334</f>
        <v>0.00120328510120104</v>
      </c>
      <c r="Z1334" s="16" t="n">
        <f aca="false">Q1334*L1334</f>
        <v>9.15342517562487E-005</v>
      </c>
      <c r="AA1334" s="16" t="n">
        <f aca="false">R1334*L1334</f>
        <v>0.000126127532840178</v>
      </c>
      <c r="AB1334" s="16" t="n">
        <f aca="false">S1334*L1334</f>
        <v>6.0164255060052E-005</v>
      </c>
      <c r="AC1334" s="16" t="n">
        <f aca="false">Z1334-W1334</f>
        <v>9.15342517562487E-005</v>
      </c>
      <c r="AD1334" s="16" t="n">
        <f aca="false">AA1334-W1334</f>
        <v>0.000126127532840178</v>
      </c>
      <c r="AE1334" s="16" t="n">
        <f aca="false">AB1334-W1334</f>
        <v>6.0164255060052E-005</v>
      </c>
      <c r="AF1334" s="16" t="n">
        <f aca="false">AE1334-X1334</f>
        <v>-4.66671997210699E-005</v>
      </c>
      <c r="AG1334" s="16" t="n">
        <f aca="false">AF1334-p_spc_lo*Y1334/1000</f>
        <v>-0.000106831454781122</v>
      </c>
      <c r="AH1334" s="16" t="n">
        <f aca="false">AF1334-p_spc_hi*Y1334/1000</f>
        <v>-0.000166995709841174</v>
      </c>
      <c r="AI1334" s="16" t="n">
        <f aca="false">Q1334*J1334</f>
        <v>0.000381392715651036</v>
      </c>
      <c r="AJ1334" s="16" t="n">
        <f aca="false">S1334*J1334</f>
        <v>0.00025068439608355</v>
      </c>
      <c r="AK1334" s="16" t="n">
        <f aca="false">T1334*J1334</f>
        <v>0</v>
      </c>
      <c r="AL1334" s="16" t="n">
        <f aca="false">U1334*J1334</f>
        <v>0.000445131061588008</v>
      </c>
      <c r="AM1334" s="16" t="n">
        <f aca="false">AI1334-AJ1334</f>
        <v>0.000130708319567486</v>
      </c>
      <c r="AN1334" s="16" t="n">
        <f aca="false">J1334*Country_Data!$EB$194</f>
        <v>0.00396113230976692</v>
      </c>
      <c r="AO1334" s="16" t="n">
        <f aca="false">L1334*Country_Data!$EB$194</f>
        <v>0.00095067175434406</v>
      </c>
    </row>
    <row r="1335" customFormat="false" ht="15" hidden="false" customHeight="false" outlineLevel="0" collapsed="false">
      <c r="A1335" s="14" t="str">
        <f aca="false">Country_Data!$A$195</f>
        <v>KIR</v>
      </c>
      <c r="B1335" s="14" t="str">
        <f aca="false">Country_Data!$E$195</f>
        <v>EMDC</v>
      </c>
      <c r="C1335" s="35" t="s">
        <v>466</v>
      </c>
      <c r="D1335" s="37" t="str">
        <f aca="false">IF(Country_Data!$BZ$195="","",Country_Data!$BZ$195)</f>
        <v/>
      </c>
      <c r="E1335" s="40" t="n">
        <f aca="false">Country_Data!$BW$195</f>
        <v>0.453</v>
      </c>
      <c r="F1335" s="41" t="n">
        <f aca="false">Country_Data!$BX$195</f>
        <v>0.757174392935982</v>
      </c>
      <c r="G1335" s="42" t="str">
        <f aca="false">IF(D1335="","",D1335/SUMIFS($D$5:$D$1369,$B$5:$B$1369,B1335,$C$5:$C$1369,C1335))</f>
        <v/>
      </c>
      <c r="H1335" s="42" t="n">
        <f aca="false">E1335/SUMIFS($E$5:$E$1369,$B$5:$B$1369,B1335,$C$5:$C$1369,C1335)</f>
        <v>5.61116555056496E-006</v>
      </c>
      <c r="I1335" s="43" t="n">
        <f aca="false">IF(G1335="",H1335,p_beta_alloc*G1335+(1-p_beta_alloc)*H1335)*F1335^p_phi</f>
        <v>4.88259881328717E-006</v>
      </c>
      <c r="J1335" s="16" t="n">
        <f aca="false">INDEX(Sector_Params!$C$16:$E$16,MATCH(B1335,Sector_Params!$C$15:$E$15,0))*I1335/SUMIFS($I$5:$I$1369,$B$5:$B$1369,B1335,$C$5:$C$1369,C1335)</f>
        <v>0.00472257335676359</v>
      </c>
      <c r="K1335" s="28" t="n">
        <f aca="false">INDEX(Sector_Params!$F$5:$H$5,MATCH(B1335,Sector_Params!$C$15:$E$15,0))</f>
        <v>0.24</v>
      </c>
      <c r="L1335" s="16" t="n">
        <f aca="false">J1335*K1335</f>
        <v>0.00113341760562326</v>
      </c>
      <c r="M1335" s="44" t="n">
        <f aca="false">Country_Data!$DW$195+Sector_Params!$E$5</f>
        <v>0.105</v>
      </c>
      <c r="N1335" s="44" t="n">
        <f aca="false">Country_Data!$DX$195+Sector_Params!$E$5</f>
        <v>0.15</v>
      </c>
      <c r="O1335" s="11" t="n">
        <f aca="false">IF(p_use_ibrd=1,p_r_ibrd,p_r_wb)</f>
        <v>0.06</v>
      </c>
      <c r="P1335" s="45" t="n">
        <f aca="false">Sector_Params!$D$5</f>
        <v>25</v>
      </c>
      <c r="Q1335" s="46" t="n">
        <f aca="false">M1335/(1-(1+M1335)^-P1335)</f>
        <v>0.114429319813103</v>
      </c>
      <c r="R1335" s="46" t="n">
        <f aca="false">N1335/(1-(1+N1335)^-P1335)</f>
        <v>0.154699402320206</v>
      </c>
      <c r="S1335" s="46" t="n">
        <f aca="false">O1335/(1-(1+O1335)^-P1335)</f>
        <v>0.078226718212274</v>
      </c>
      <c r="T1335" s="37" t="n">
        <f aca="false">IF(AND(p_eng=1,ISNUMBER(Country_Data!$CZ$195)),Country_Data!$CZ$195,Country_Data!$CM$195)*Sector_Params!$I$5</f>
        <v>0.133</v>
      </c>
      <c r="U1335" s="37" t="n">
        <f aca="false">IF(AND(p_eng=1,ISNUMBER(Country_Data!$DA$195)),Country_Data!$DA$195,Country_Data!$CN$195)*Sector_Params!$J$5</f>
        <v>0.129</v>
      </c>
      <c r="V1335" s="37" t="n">
        <f aca="false">IF(AND(p_eng=1,ISNUMBER(Country_Data!$DB$195)),Country_Data!$DB$195,p_a)</f>
        <v>0.35</v>
      </c>
      <c r="W1335" s="16" t="n">
        <f aca="false">T1335*L1335</f>
        <v>0.000150744541547894</v>
      </c>
      <c r="X1335" s="16" t="n">
        <f aca="false">U1335*L1335</f>
        <v>0.000146210871125401</v>
      </c>
      <c r="Y1335" s="16" t="n">
        <f aca="false">V1335*L1335</f>
        <v>0.000396696161968142</v>
      </c>
      <c r="Z1335" s="16" t="n">
        <f aca="false">Q1335*L1335</f>
        <v>0.000129696205675666</v>
      </c>
      <c r="AA1335" s="16" t="n">
        <f aca="false">R1335*L1335</f>
        <v>0.000175339026169118</v>
      </c>
      <c r="AB1335" s="16" t="n">
        <f aca="false">S1335*L1335</f>
        <v>8.86635396519212E-005</v>
      </c>
      <c r="AC1335" s="16" t="n">
        <f aca="false">Z1335-W1335</f>
        <v>-2.10483358722278E-005</v>
      </c>
      <c r="AD1335" s="16" t="n">
        <f aca="false">AA1335-W1335</f>
        <v>2.45944846212242E-005</v>
      </c>
      <c r="AE1335" s="16" t="n">
        <f aca="false">AB1335-W1335</f>
        <v>-6.20810018959727E-005</v>
      </c>
      <c r="AF1335" s="16" t="n">
        <f aca="false">AE1335-X1335</f>
        <v>-0.000208291873021374</v>
      </c>
      <c r="AG1335" s="16" t="n">
        <f aca="false">AF1335-p_spc_lo*Y1335/1000</f>
        <v>-0.000228126681119781</v>
      </c>
      <c r="AH1335" s="16" t="n">
        <f aca="false">AF1335-p_spc_hi*Y1335/1000</f>
        <v>-0.000247961489218188</v>
      </c>
      <c r="AI1335" s="16" t="n">
        <f aca="false">Q1335*J1335</f>
        <v>0.000540400856981942</v>
      </c>
      <c r="AJ1335" s="16" t="n">
        <f aca="false">S1335*J1335</f>
        <v>0.000369431415216338</v>
      </c>
      <c r="AK1335" s="16" t="n">
        <f aca="false">T1335*J1335</f>
        <v>0.000628102256449558</v>
      </c>
      <c r="AL1335" s="16" t="n">
        <f aca="false">U1335*J1335</f>
        <v>0.000609211963022503</v>
      </c>
      <c r="AM1335" s="16" t="n">
        <f aca="false">AI1335-AJ1335</f>
        <v>0.000170969441765604</v>
      </c>
      <c r="AN1335" s="16" t="n">
        <f aca="false">J1335*Country_Data!$EB$195</f>
        <v>0.00542125544242177</v>
      </c>
      <c r="AO1335" s="16" t="n">
        <f aca="false">L1335*Country_Data!$EB$195</f>
        <v>0.00130110130618122</v>
      </c>
    </row>
    <row r="1336" customFormat="false" ht="15" hidden="false" customHeight="false" outlineLevel="0" collapsed="false">
      <c r="A1336" s="14" t="str">
        <f aca="false">Country_Data!$A$195</f>
        <v>KIR</v>
      </c>
      <c r="B1336" s="14" t="str">
        <f aca="false">Country_Data!$E$195</f>
        <v>EMDC</v>
      </c>
      <c r="C1336" s="35" t="s">
        <v>470</v>
      </c>
      <c r="D1336" s="37" t="str">
        <f aca="false">IF(Country_Data!$BZ$195="","",Country_Data!$BZ$195)</f>
        <v/>
      </c>
      <c r="E1336" s="40" t="n">
        <f aca="false">Country_Data!$BW$195</f>
        <v>0.453</v>
      </c>
      <c r="F1336" s="41" t="n">
        <f aca="false">Country_Data!$BX$195</f>
        <v>0.757174392935982</v>
      </c>
      <c r="G1336" s="42" t="str">
        <f aca="false">IF(D1336="","",D1336/SUMIFS($D$5:$D$1369,$B$5:$B$1369,B1336,$C$5:$C$1369,C1336))</f>
        <v/>
      </c>
      <c r="H1336" s="42" t="n">
        <f aca="false">E1336/SUMIFS($E$5:$E$1369,$B$5:$B$1369,B1336,$C$5:$C$1369,C1336)</f>
        <v>5.61116555056496E-006</v>
      </c>
      <c r="I1336" s="43" t="n">
        <f aca="false">IF(G1336="",H1336,p_beta_alloc*G1336+(1-p_beta_alloc)*H1336)*F1336^p_phi</f>
        <v>4.88259881328717E-006</v>
      </c>
      <c r="J1336" s="16" t="n">
        <f aca="false">INDEX(Sector_Params!$C$17:$E$17,MATCH(B1336,Sector_Params!$C$15:$E$15,0))*I1336/SUMIFS($I$5:$I$1369,$B$5:$B$1369,B1336,$C$5:$C$1369,C1336)</f>
        <v>0.00323833601606646</v>
      </c>
      <c r="K1336" s="28" t="n">
        <f aca="false">INDEX(Sector_Params!$F$6:$H$6,MATCH(B1336,Sector_Params!$C$15:$E$15,0))</f>
        <v>0.24</v>
      </c>
      <c r="L1336" s="16" t="n">
        <f aca="false">J1336*K1336</f>
        <v>0.000777200643855951</v>
      </c>
      <c r="M1336" s="44" t="n">
        <f aca="false">Country_Data!$DW$195+Sector_Params!$E$6</f>
        <v>0.105</v>
      </c>
      <c r="N1336" s="44" t="n">
        <f aca="false">Country_Data!$DX$195+Sector_Params!$E$6</f>
        <v>0.15</v>
      </c>
      <c r="O1336" s="11" t="n">
        <f aca="false">IF(p_use_ibrd=1,p_r_ibrd,p_r_wb)</f>
        <v>0.06</v>
      </c>
      <c r="P1336" s="45" t="n">
        <f aca="false">Sector_Params!$D$6</f>
        <v>40</v>
      </c>
      <c r="Q1336" s="46" t="n">
        <f aca="false">M1336/(1-(1+M1336)^-P1336)</f>
        <v>0.10697140835497</v>
      </c>
      <c r="R1336" s="46" t="n">
        <f aca="false">N1336/(1-(1+N1336)^-P1336)</f>
        <v>0.150562085013545</v>
      </c>
      <c r="S1336" s="46" t="n">
        <f aca="false">O1336/(1-(1+O1336)^-P1336)</f>
        <v>0.0664615359206755</v>
      </c>
      <c r="T1336" s="37" t="n">
        <f aca="false">p_grid_credit*IF(AND(p_eng=1,ISNUMBER(Country_Data!$CZ$195)),Country_Data!$CZ$195,Country_Data!$CM$195)*Sector_Params!$I$6</f>
        <v>0</v>
      </c>
      <c r="U1336" s="37" t="n">
        <f aca="false">p_grid_credit*IF(AND(p_eng=1,ISNUMBER(Country_Data!$DA$195)),Country_Data!$DA$195,Country_Data!$CN$195)*Sector_Params!$J$6</f>
        <v>0</v>
      </c>
      <c r="V1336" s="37" t="n">
        <f aca="false">p_grid_credit*IF(AND(p_eng=1,ISNUMBER(Country_Data!$DB$195)),Country_Data!$DB$195,p_a)</f>
        <v>0</v>
      </c>
      <c r="W1336" s="16" t="n">
        <f aca="false">T1336*L1336</f>
        <v>0</v>
      </c>
      <c r="X1336" s="16" t="n">
        <f aca="false">U1336*L1336</f>
        <v>0</v>
      </c>
      <c r="Y1336" s="16" t="n">
        <f aca="false">V1336*L1336</f>
        <v>0</v>
      </c>
      <c r="Z1336" s="16" t="n">
        <f aca="false">Q1336*L1336</f>
        <v>8.31382474476608E-005</v>
      </c>
      <c r="AA1336" s="16" t="n">
        <f aca="false">R1336*L1336</f>
        <v>0.000117016949412822</v>
      </c>
      <c r="AB1336" s="16" t="n">
        <f aca="false">S1336*L1336</f>
        <v>5.16539485092044E-005</v>
      </c>
      <c r="AC1336" s="16" t="n">
        <f aca="false">Z1336-W1336</f>
        <v>8.31382474476608E-005</v>
      </c>
      <c r="AD1336" s="16" t="n">
        <f aca="false">AA1336-W1336</f>
        <v>0.000117016949412822</v>
      </c>
      <c r="AE1336" s="16" t="n">
        <f aca="false">AB1336-W1336</f>
        <v>5.16539485092044E-005</v>
      </c>
      <c r="AF1336" s="16" t="n">
        <f aca="false">AE1336-X1336</f>
        <v>5.16539485092044E-005</v>
      </c>
      <c r="AG1336" s="16" t="n">
        <f aca="false">AF1336-p_spc_lo*Y1336/1000</f>
        <v>5.16539485092044E-005</v>
      </c>
      <c r="AH1336" s="16" t="n">
        <f aca="false">AF1336-p_spc_hi*Y1336/1000</f>
        <v>5.16539485092044E-005</v>
      </c>
      <c r="AI1336" s="16" t="n">
        <f aca="false">Q1336*J1336</f>
        <v>0.000346409364365253</v>
      </c>
      <c r="AJ1336" s="16" t="n">
        <f aca="false">S1336*J1336</f>
        <v>0.000215224785455018</v>
      </c>
      <c r="AK1336" s="16" t="n">
        <f aca="false">T1336*J1336</f>
        <v>0</v>
      </c>
      <c r="AL1336" s="16" t="n">
        <f aca="false">U1336*J1336</f>
        <v>0</v>
      </c>
      <c r="AM1336" s="16" t="n">
        <f aca="false">AI1336-AJ1336</f>
        <v>0.000131184578910235</v>
      </c>
      <c r="AN1336" s="16" t="n">
        <f aca="false">J1336*Country_Data!$EB$195</f>
        <v>0.00371743230337493</v>
      </c>
      <c r="AO1336" s="16" t="n">
        <f aca="false">L1336*Country_Data!$EB$195</f>
        <v>0.000892183752809982</v>
      </c>
    </row>
    <row r="1337" customFormat="false" ht="15" hidden="false" customHeight="false" outlineLevel="0" collapsed="false">
      <c r="A1337" s="14" t="str">
        <f aca="false">Country_Data!$A$195</f>
        <v>KIR</v>
      </c>
      <c r="B1337" s="14" t="str">
        <f aca="false">Country_Data!$E$195</f>
        <v>EMDC</v>
      </c>
      <c r="C1337" s="35" t="s">
        <v>473</v>
      </c>
      <c r="D1337" s="37" t="str">
        <f aca="false">IF(Country_Data!$CA$195="","",Country_Data!$CA$195)</f>
        <v/>
      </c>
      <c r="E1337" s="40" t="n">
        <f aca="false">Country_Data!$BW$195</f>
        <v>0.453</v>
      </c>
      <c r="F1337" s="41" t="n">
        <f aca="false">Country_Data!$BX$195</f>
        <v>0.757174392935982</v>
      </c>
      <c r="G1337" s="42" t="str">
        <f aca="false">IF(D1337="","",D1337/SUMIFS($D$5:$D$1369,$B$5:$B$1369,B1337,$C$5:$C$1369,C1337))</f>
        <v/>
      </c>
      <c r="H1337" s="42" t="n">
        <f aca="false">E1337/SUMIFS($E$5:$E$1369,$B$5:$B$1369,B1337,$C$5:$C$1369,C1337)</f>
        <v>5.61116555056496E-006</v>
      </c>
      <c r="I1337" s="43" t="n">
        <f aca="false">IF(G1337="",H1337,p_beta_alloc*G1337+(1-p_beta_alloc)*H1337)*F1337^p_phi</f>
        <v>4.88259881328717E-006</v>
      </c>
      <c r="J1337" s="16" t="n">
        <f aca="false">INDEX(Sector_Params!$C$18:$E$18,MATCH(B1337,Sector_Params!$C$15:$E$15,0))*I1337/SUMIFS($I$5:$I$1369,$B$5:$B$1369,B1337,$C$5:$C$1369,C1337)</f>
        <v>0.00199930868582412</v>
      </c>
      <c r="K1337" s="28" t="n">
        <f aca="false">INDEX(Sector_Params!$F$7:$H$7,MATCH(B1337,Sector_Params!$C$15:$E$15,0))</f>
        <v>0.24</v>
      </c>
      <c r="L1337" s="16" t="n">
        <f aca="false">J1337*K1337</f>
        <v>0.000479834084597788</v>
      </c>
      <c r="M1337" s="44" t="n">
        <f aca="false">Country_Data!$DW$195+Sector_Params!$E$7</f>
        <v>0.105</v>
      </c>
      <c r="N1337" s="44" t="n">
        <f aca="false">Country_Data!$DX$195+Sector_Params!$E$7</f>
        <v>0.15</v>
      </c>
      <c r="O1337" s="11" t="n">
        <f aca="false">IF(p_use_ibrd=1,p_r_ibrd,p_r_wb)</f>
        <v>0.06</v>
      </c>
      <c r="P1337" s="45" t="n">
        <f aca="false">Sector_Params!$D$7</f>
        <v>12</v>
      </c>
      <c r="Q1337" s="46" t="n">
        <f aca="false">M1337/(1-(1+M1337)^-P1337)</f>
        <v>0.150376745634766</v>
      </c>
      <c r="R1337" s="46" t="n">
        <f aca="false">N1337/(1-(1+N1337)^-P1337)</f>
        <v>0.18448077613084</v>
      </c>
      <c r="S1337" s="46" t="n">
        <f aca="false">O1337/(1-(1+O1337)^-P1337)</f>
        <v>0.119277029380664</v>
      </c>
      <c r="T1337" s="37" t="n">
        <f aca="false">IF(AND(p_eng=1,ISNUMBER(Country_Data!$DE$195)),Country_Data!$DE$195,Country_Data!$CM$195)*Sector_Params!$I$7</f>
        <v>0.133</v>
      </c>
      <c r="U1337" s="37" t="n">
        <f aca="false">IF(AND(p_eng=1,ISNUMBER(Country_Data!$DF$195)),Country_Data!$DF$195,Country_Data!$CN$195)*Sector_Params!$J$7</f>
        <v>0.129</v>
      </c>
      <c r="V1337" s="37" t="n">
        <f aca="false">IF(AND(p_eng=1,ISNUMBER(Country_Data!$DG$195)),Country_Data!$DG$195,p_a)</f>
        <v>0.35</v>
      </c>
      <c r="W1337" s="16" t="n">
        <f aca="false">T1337*L1337</f>
        <v>6.38179332515058E-005</v>
      </c>
      <c r="X1337" s="16" t="n">
        <f aca="false">U1337*L1337</f>
        <v>6.18985969131146E-005</v>
      </c>
      <c r="Y1337" s="16" t="n">
        <f aca="false">V1337*L1337</f>
        <v>0.000167941929609226</v>
      </c>
      <c r="Z1337" s="16" t="n">
        <f aca="false">Q1337*L1337</f>
        <v>7.21558880864522E-005</v>
      </c>
      <c r="AA1337" s="16" t="n">
        <f aca="false">R1337*L1337</f>
        <v>8.85201643406308E-005</v>
      </c>
      <c r="AB1337" s="16" t="n">
        <f aca="false">S1337*L1337</f>
        <v>5.72331842064141E-005</v>
      </c>
      <c r="AC1337" s="16" t="n">
        <f aca="false">Z1337-W1337</f>
        <v>8.33795483494641E-006</v>
      </c>
      <c r="AD1337" s="16" t="n">
        <f aca="false">AA1337-W1337</f>
        <v>2.4702231089125E-005</v>
      </c>
      <c r="AE1337" s="16" t="n">
        <f aca="false">AB1337-W1337</f>
        <v>-6.58474904509165E-006</v>
      </c>
      <c r="AF1337" s="16" t="n">
        <f aca="false">AE1337-X1337</f>
        <v>-6.84833459582063E-005</v>
      </c>
      <c r="AG1337" s="16" t="n">
        <f aca="false">AF1337-p_spc_lo*Y1337/1000</f>
        <v>-7.68804424386675E-005</v>
      </c>
      <c r="AH1337" s="16" t="n">
        <f aca="false">AF1337-p_spc_hi*Y1337/1000</f>
        <v>-8.52775389191288E-005</v>
      </c>
      <c r="AI1337" s="16" t="n">
        <f aca="false">Q1337*J1337</f>
        <v>0.000300649533693551</v>
      </c>
      <c r="AJ1337" s="16" t="n">
        <f aca="false">S1337*J1337</f>
        <v>0.000238471600860059</v>
      </c>
      <c r="AK1337" s="16" t="n">
        <f aca="false">T1337*J1337</f>
        <v>0.000265908055214607</v>
      </c>
      <c r="AL1337" s="16" t="n">
        <f aca="false">U1337*J1337</f>
        <v>0.000257910820471311</v>
      </c>
      <c r="AM1337" s="16" t="n">
        <f aca="false">AI1337-AJ1337</f>
        <v>6.21779328334919E-005</v>
      </c>
      <c r="AN1337" s="16" t="n">
        <f aca="false">J1337*Country_Data!$EB$195</f>
        <v>0.00229509682016522</v>
      </c>
      <c r="AO1337" s="16" t="n">
        <f aca="false">L1337*Country_Data!$EB$195</f>
        <v>0.000550823236839652</v>
      </c>
    </row>
    <row r="1338" customFormat="false" ht="15" hidden="false" customHeight="false" outlineLevel="0" collapsed="false">
      <c r="A1338" s="14" t="str">
        <f aca="false">Country_Data!$A$195</f>
        <v>KIR</v>
      </c>
      <c r="B1338" s="14" t="str">
        <f aca="false">Country_Data!$E$195</f>
        <v>EMDC</v>
      </c>
      <c r="C1338" s="35" t="s">
        <v>477</v>
      </c>
      <c r="D1338" s="37" t="str">
        <f aca="false">IF(Country_Data!$CB$195="","",Country_Data!$CB$195)</f>
        <v/>
      </c>
      <c r="E1338" s="40" t="n">
        <f aca="false">Country_Data!$BW$195</f>
        <v>0.453</v>
      </c>
      <c r="F1338" s="41" t="n">
        <f aca="false">Country_Data!$BX$195</f>
        <v>0.757174392935982</v>
      </c>
      <c r="G1338" s="42" t="str">
        <f aca="false">IF(D1338="","",D1338/SUMIFS($D$5:$D$1369,$B$5:$B$1369,B1338,$C$5:$C$1369,C1338))</f>
        <v/>
      </c>
      <c r="H1338" s="42" t="n">
        <f aca="false">E1338/SUMIFS($E$5:$E$1369,$B$5:$B$1369,B1338,$C$5:$C$1369,C1338)</f>
        <v>5.61116555056496E-006</v>
      </c>
      <c r="I1338" s="43" t="n">
        <f aca="false">IF(G1338="",H1338,p_beta_alloc*G1338+(1-p_beta_alloc)*H1338)*F1338^p_phi</f>
        <v>4.88259881328717E-006</v>
      </c>
      <c r="J1338" s="16" t="n">
        <f aca="false">INDEX(Sector_Params!$C$19:$E$19,MATCH(B1338,Sector_Params!$C$15:$E$15,0))*I1338/SUMIFS($I$5:$I$1369,$B$5:$B$1369,B1338,$C$5:$C$1369,C1338)</f>
        <v>0.00157152593183686</v>
      </c>
      <c r="K1338" s="28" t="n">
        <f aca="false">INDEX(Sector_Params!$F$8:$H$8,MATCH(B1338,Sector_Params!$C$15:$E$15,0))</f>
        <v>0.24</v>
      </c>
      <c r="L1338" s="16" t="n">
        <f aca="false">J1338*K1338</f>
        <v>0.000377166223640847</v>
      </c>
      <c r="M1338" s="44" t="n">
        <f aca="false">Country_Data!$DW$195+Sector_Params!$E$8</f>
        <v>0.105</v>
      </c>
      <c r="N1338" s="44" t="n">
        <f aca="false">Country_Data!$DX$195+Sector_Params!$E$8</f>
        <v>0.15</v>
      </c>
      <c r="O1338" s="11" t="n">
        <f aca="false">IF(p_use_ibrd=1,p_r_ibrd,p_r_wb)</f>
        <v>0.06</v>
      </c>
      <c r="P1338" s="45" t="n">
        <f aca="false">Sector_Params!$D$8</f>
        <v>25</v>
      </c>
      <c r="Q1338" s="46" t="n">
        <f aca="false">M1338/(1-(1+M1338)^-P1338)</f>
        <v>0.114429319813103</v>
      </c>
      <c r="R1338" s="46" t="n">
        <f aca="false">N1338/(1-(1+N1338)^-P1338)</f>
        <v>0.154699402320206</v>
      </c>
      <c r="S1338" s="46" t="n">
        <f aca="false">O1338/(1-(1+O1338)^-P1338)</f>
        <v>0.078226718212274</v>
      </c>
      <c r="T1338" s="37" t="n">
        <f aca="false">Country_Data!$CM$195*Sector_Params!$I$8</f>
        <v>0.133</v>
      </c>
      <c r="U1338" s="37" t="n">
        <f aca="false">Country_Data!$CN$195*Sector_Params!$J$8</f>
        <v>0.129</v>
      </c>
      <c r="V1338" s="37" t="n">
        <f aca="false">p_a</f>
        <v>0.35</v>
      </c>
      <c r="W1338" s="16" t="n">
        <f aca="false">T1338*L1338</f>
        <v>5.01631077442327E-005</v>
      </c>
      <c r="X1338" s="16" t="n">
        <f aca="false">U1338*L1338</f>
        <v>4.86544428496693E-005</v>
      </c>
      <c r="Y1338" s="16" t="n">
        <f aca="false">V1338*L1338</f>
        <v>0.000132008178274297</v>
      </c>
      <c r="Z1338" s="16" t="n">
        <f aca="false">Q1338*L1338</f>
        <v>4.3158874427699E-005</v>
      </c>
      <c r="AA1338" s="16" t="n">
        <f aca="false">R1338*L1338</f>
        <v>5.83473893726084E-005</v>
      </c>
      <c r="AB1338" s="16" t="n">
        <f aca="false">S1338*L1338</f>
        <v>2.95044758959401E-005</v>
      </c>
      <c r="AC1338" s="16" t="n">
        <f aca="false">Z1338-W1338</f>
        <v>-7.00423331653373E-006</v>
      </c>
      <c r="AD1338" s="16" t="n">
        <f aca="false">AA1338-W1338</f>
        <v>8.18428162837571E-006</v>
      </c>
      <c r="AE1338" s="16" t="n">
        <f aca="false">AB1338-W1338</f>
        <v>-2.06586318482926E-005</v>
      </c>
      <c r="AF1338" s="16" t="n">
        <f aca="false">AE1338-X1338</f>
        <v>-6.9313074697962E-005</v>
      </c>
      <c r="AG1338" s="16" t="n">
        <f aca="false">AF1338-p_spc_lo*Y1338/1000</f>
        <v>-7.59134836116768E-005</v>
      </c>
      <c r="AH1338" s="16" t="n">
        <f aca="false">AF1338-p_spc_hi*Y1338/1000</f>
        <v>-8.25138925253916E-005</v>
      </c>
      <c r="AI1338" s="16" t="n">
        <f aca="false">Q1338*J1338</f>
        <v>0.000179828643448746</v>
      </c>
      <c r="AJ1338" s="16" t="n">
        <f aca="false">S1338*J1338</f>
        <v>0.000122935316233084</v>
      </c>
      <c r="AK1338" s="16" t="n">
        <f aca="false">T1338*J1338</f>
        <v>0.000209012948934303</v>
      </c>
      <c r="AL1338" s="16" t="n">
        <f aca="false">U1338*J1338</f>
        <v>0.000202726845206955</v>
      </c>
      <c r="AM1338" s="16" t="n">
        <f aca="false">AI1338-AJ1338</f>
        <v>5.68933272156621E-005</v>
      </c>
      <c r="AN1338" s="16" t="n">
        <f aca="false">J1338*Country_Data!$EB$195</f>
        <v>0.00180402565873876</v>
      </c>
      <c r="AO1338" s="16" t="n">
        <f aca="false">L1338*Country_Data!$EB$195</f>
        <v>0.000432966158097302</v>
      </c>
    </row>
    <row r="1339" customFormat="false" ht="15" hidden="false" customHeight="false" outlineLevel="0" collapsed="false">
      <c r="A1339" s="14" t="str">
        <f aca="false">Country_Data!$A$195</f>
        <v>KIR</v>
      </c>
      <c r="B1339" s="14" t="str">
        <f aca="false">Country_Data!$E$195</f>
        <v>EMDC</v>
      </c>
      <c r="C1339" s="35" t="s">
        <v>481</v>
      </c>
      <c r="D1339" s="37" t="str">
        <f aca="false">IF(Country_Data!$CC$195="","",Country_Data!$CC$195)</f>
        <v/>
      </c>
      <c r="E1339" s="40" t="n">
        <f aca="false">Country_Data!$BW$195</f>
        <v>0.453</v>
      </c>
      <c r="F1339" s="41" t="n">
        <f aca="false">Country_Data!$BX$195</f>
        <v>0.757174392935982</v>
      </c>
      <c r="G1339" s="42" t="str">
        <f aca="false">IF(D1339="","",D1339/SUMIFS($D$5:$D$1369,$B$5:$B$1369,B1339,$C$5:$C$1369,C1339))</f>
        <v/>
      </c>
      <c r="H1339" s="42" t="n">
        <f aca="false">E1339/SUMIFS($E$5:$E$1369,$B$5:$B$1369,B1339,$C$5:$C$1369,C1339)</f>
        <v>5.61116555056496E-006</v>
      </c>
      <c r="I1339" s="43" t="n">
        <f aca="false">IF(G1339="",H1339,p_beta_alloc*G1339+(1-p_beta_alloc)*H1339)*F1339^p_phi</f>
        <v>4.88259881328717E-006</v>
      </c>
      <c r="J1339" s="16" t="n">
        <f aca="false">INDEX(Sector_Params!$C$20:$E$20,MATCH(B1339,Sector_Params!$C$15:$E$15,0))*I1339/SUMIFS($I$5:$I$1369,$B$5:$B$1369,B1339,$C$5:$C$1369,C1339)</f>
        <v>0.000891172607671557</v>
      </c>
      <c r="K1339" s="28" t="n">
        <f aca="false">INDEX(Sector_Params!$F$9:$H$9,MATCH(B1339,Sector_Params!$C$15:$E$15,0))</f>
        <v>0.24</v>
      </c>
      <c r="L1339" s="16" t="n">
        <f aca="false">J1339*K1339</f>
        <v>0.000213881425841174</v>
      </c>
      <c r="M1339" s="44" t="n">
        <f aca="false">Country_Data!$DW$195+Sector_Params!$E$9</f>
        <v>0.105</v>
      </c>
      <c r="N1339" s="44" t="n">
        <f aca="false">Country_Data!$DX$195+Sector_Params!$E$9</f>
        <v>0.15</v>
      </c>
      <c r="O1339" s="11" t="n">
        <f aca="false">IF(p_use_ibrd=1,p_r_ibrd,p_r_wb)</f>
        <v>0.06</v>
      </c>
      <c r="P1339" s="45" t="n">
        <f aca="false">Sector_Params!$D$9</f>
        <v>25</v>
      </c>
      <c r="Q1339" s="46" t="n">
        <f aca="false">M1339/(1-(1+M1339)^-P1339)</f>
        <v>0.114429319813103</v>
      </c>
      <c r="R1339" s="46" t="n">
        <f aca="false">N1339/(1-(1+N1339)^-P1339)</f>
        <v>0.154699402320206</v>
      </c>
      <c r="S1339" s="46" t="n">
        <f aca="false">O1339/(1-(1+O1339)^-P1339)</f>
        <v>0.078226718212274</v>
      </c>
      <c r="T1339" s="37" t="n">
        <f aca="false">Country_Data!$CM$195*Sector_Params!$I$9</f>
        <v>0.133</v>
      </c>
      <c r="U1339" s="37" t="n">
        <f aca="false">Country_Data!$CN$195*Sector_Params!$J$9</f>
        <v>0.129</v>
      </c>
      <c r="V1339" s="37" t="n">
        <f aca="false">p_a</f>
        <v>0.35</v>
      </c>
      <c r="W1339" s="16" t="n">
        <f aca="false">T1339*L1339</f>
        <v>2.84462296368761E-005</v>
      </c>
      <c r="X1339" s="16" t="n">
        <f aca="false">U1339*L1339</f>
        <v>2.75907039335114E-005</v>
      </c>
      <c r="Y1339" s="16" t="n">
        <f aca="false">V1339*L1339</f>
        <v>7.48584990444108E-005</v>
      </c>
      <c r="Z1339" s="16" t="n">
        <f aca="false">Q1339*L1339</f>
        <v>2.44743060796622E-005</v>
      </c>
      <c r="AA1339" s="16" t="n">
        <f aca="false">R1339*L1339</f>
        <v>3.30873287450231E-005</v>
      </c>
      <c r="AB1339" s="16" t="n">
        <f aca="false">S1339*L1339</f>
        <v>1.67312420301169E-005</v>
      </c>
      <c r="AC1339" s="16" t="n">
        <f aca="false">Z1339-W1339</f>
        <v>-3.97192355721389E-006</v>
      </c>
      <c r="AD1339" s="16" t="n">
        <f aca="false">AA1339-W1339</f>
        <v>4.64109910814703E-006</v>
      </c>
      <c r="AE1339" s="16" t="n">
        <f aca="false">AB1339-W1339</f>
        <v>-1.17149876067592E-005</v>
      </c>
      <c r="AF1339" s="16" t="n">
        <f aca="false">AE1339-X1339</f>
        <v>-3.93056915402706E-005</v>
      </c>
      <c r="AG1339" s="16" t="n">
        <f aca="false">AF1339-p_spc_lo*Y1339/1000</f>
        <v>-4.30486164924912E-005</v>
      </c>
      <c r="AH1339" s="16" t="n">
        <f aca="false">AF1339-p_spc_hi*Y1339/1000</f>
        <v>-4.67915414447117E-005</v>
      </c>
      <c r="AI1339" s="16" t="n">
        <f aca="false">Q1339*J1339</f>
        <v>0.000101976275331926</v>
      </c>
      <c r="AJ1339" s="16" t="n">
        <f aca="false">S1339*J1339</f>
        <v>6.97135084588202E-005</v>
      </c>
      <c r="AK1339" s="16" t="n">
        <f aca="false">T1339*J1339</f>
        <v>0.000118525956820317</v>
      </c>
      <c r="AL1339" s="16" t="n">
        <f aca="false">U1339*J1339</f>
        <v>0.000114961266389631</v>
      </c>
      <c r="AM1339" s="16" t="n">
        <f aca="false">AI1339-AJ1339</f>
        <v>3.22627668731056E-005</v>
      </c>
      <c r="AN1339" s="16" t="n">
        <f aca="false">J1339*Country_Data!$EB$195</f>
        <v>0.00102301732223118</v>
      </c>
      <c r="AO1339" s="16" t="n">
        <f aca="false">L1339*Country_Data!$EB$195</f>
        <v>0.000245524157335484</v>
      </c>
    </row>
    <row r="1340" customFormat="false" ht="15" hidden="false" customHeight="false" outlineLevel="0" collapsed="false">
      <c r="A1340" s="14" t="str">
        <f aca="false">Country_Data!$A$195</f>
        <v>KIR</v>
      </c>
      <c r="B1340" s="14" t="str">
        <f aca="false">Country_Data!$E$195</f>
        <v>EMDC</v>
      </c>
      <c r="C1340" s="35" t="s">
        <v>484</v>
      </c>
      <c r="D1340" s="37" t="str">
        <f aca="false">IF(Country_Data!$CD$195="","",Country_Data!$CD$195)</f>
        <v/>
      </c>
      <c r="E1340" s="40" t="n">
        <f aca="false">Country_Data!$BW$195</f>
        <v>0.453</v>
      </c>
      <c r="F1340" s="41" t="n">
        <f aca="false">Country_Data!$BX$195</f>
        <v>0.757174392935982</v>
      </c>
      <c r="G1340" s="42" t="str">
        <f aca="false">IF(D1340="","",D1340/SUMIFS($D$5:$D$1369,$B$5:$B$1369,B1340,$C$5:$C$1369,C1340))</f>
        <v/>
      </c>
      <c r="H1340" s="42" t="n">
        <f aca="false">E1340/SUMIFS($E$5:$E$1369,$B$5:$B$1369,B1340,$C$5:$C$1369,C1340)</f>
        <v>5.61116555056496E-006</v>
      </c>
      <c r="I1340" s="43" t="n">
        <f aca="false">IF(G1340="",H1340,p_beta_alloc*G1340+(1-p_beta_alloc)*H1340)*F1340^p_phi</f>
        <v>4.88259881328717E-006</v>
      </c>
      <c r="J1340" s="16" t="n">
        <f aca="false">INDEX(Sector_Params!$C$21:$E$21,MATCH(B1340,Sector_Params!$C$15:$E$15,0))*I1340/SUMIFS($I$5:$I$1369,$B$5:$B$1369,B1340,$C$5:$C$1369,C1340)</f>
        <v>0.00108291074248377</v>
      </c>
      <c r="K1340" s="28" t="n">
        <f aca="false">INDEX(Sector_Params!$F$10:$H$10,MATCH(B1340,Sector_Params!$C$15:$E$15,0))</f>
        <v>0.24</v>
      </c>
      <c r="L1340" s="16" t="n">
        <f aca="false">J1340*K1340</f>
        <v>0.000259898578196104</v>
      </c>
      <c r="M1340" s="44" t="n">
        <f aca="false">Country_Data!$DW$195+Sector_Params!$E$10</f>
        <v>0.105</v>
      </c>
      <c r="N1340" s="44" t="n">
        <f aca="false">Country_Data!$DX$195+Sector_Params!$E$10</f>
        <v>0.15</v>
      </c>
      <c r="O1340" s="11" t="n">
        <f aca="false">IF(p_use_ibrd=1,p_r_ibrd,p_r_wb)</f>
        <v>0.06</v>
      </c>
      <c r="P1340" s="45" t="n">
        <f aca="false">Sector_Params!$D$10</f>
        <v>20</v>
      </c>
      <c r="Q1340" s="46" t="n">
        <f aca="false">M1340/(1-(1+M1340)^-P1340)</f>
        <v>0.121493265267016</v>
      </c>
      <c r="R1340" s="46" t="n">
        <f aca="false">N1340/(1-(1+N1340)^-P1340)</f>
        <v>0.159761470405744</v>
      </c>
      <c r="S1340" s="46" t="n">
        <f aca="false">O1340/(1-(1+O1340)^-P1340)</f>
        <v>0.0871845569768514</v>
      </c>
      <c r="T1340" s="37" t="n">
        <f aca="false">0*Sector_Params!$I$10</f>
        <v>0</v>
      </c>
      <c r="U1340" s="37" t="n">
        <f aca="false">0*Sector_Params!$J$10</f>
        <v>0</v>
      </c>
      <c r="V1340" s="37" t="n">
        <f aca="false">1000*p_r_wb/(1-(1+p_r_wb)^-Sector_Params!$D$10)/p_cpt_fuel</f>
        <v>0.871845569768514</v>
      </c>
      <c r="W1340" s="16" t="n">
        <f aca="false">T1340*L1340</f>
        <v>0</v>
      </c>
      <c r="X1340" s="16" t="n">
        <f aca="false">U1340*L1340</f>
        <v>0</v>
      </c>
      <c r="Y1340" s="16" t="n">
        <f aca="false">V1340*L1340</f>
        <v>0.000226591423989409</v>
      </c>
      <c r="Z1340" s="16" t="n">
        <f aca="false">Q1340*L1340</f>
        <v>3.15759269032996E-005</v>
      </c>
      <c r="AA1340" s="16" t="n">
        <f aca="false">R1340*L1340</f>
        <v>4.15217790089717E-005</v>
      </c>
      <c r="AB1340" s="16" t="n">
        <f aca="false">S1340*L1340</f>
        <v>2.26591423989409E-005</v>
      </c>
      <c r="AC1340" s="16" t="n">
        <f aca="false">Z1340-W1340</f>
        <v>3.15759269032996E-005</v>
      </c>
      <c r="AD1340" s="16" t="n">
        <f aca="false">AA1340-W1340</f>
        <v>4.15217790089717E-005</v>
      </c>
      <c r="AE1340" s="16" t="n">
        <f aca="false">AB1340-W1340</f>
        <v>2.26591423989409E-005</v>
      </c>
      <c r="AF1340" s="16" t="n">
        <f aca="false">AE1340-X1340</f>
        <v>2.26591423989409E-005</v>
      </c>
      <c r="AG1340" s="16" t="n">
        <f aca="false">AF1340-p_spc_lo*Y1340/1000</f>
        <v>1.13295711994704E-005</v>
      </c>
      <c r="AH1340" s="16" t="n">
        <f aca="false">AF1340-p_spc_hi*Y1340/1000</f>
        <v>0</v>
      </c>
      <c r="AI1340" s="16" t="n">
        <f aca="false">Q1340*J1340</f>
        <v>0.000131566362097082</v>
      </c>
      <c r="AJ1340" s="16" t="n">
        <f aca="false">S1340*J1340</f>
        <v>9.44130933289203E-005</v>
      </c>
      <c r="AK1340" s="16" t="n">
        <f aca="false">T1340*J1340</f>
        <v>0</v>
      </c>
      <c r="AL1340" s="16" t="n">
        <f aca="false">U1340*J1340</f>
        <v>0</v>
      </c>
      <c r="AM1340" s="16" t="n">
        <f aca="false">AI1340-AJ1340</f>
        <v>3.71532687681613E-005</v>
      </c>
      <c r="AN1340" s="16" t="n">
        <f aca="false">J1340*Country_Data!$EB$195</f>
        <v>0.00124312219479643</v>
      </c>
      <c r="AO1340" s="16" t="n">
        <f aca="false">L1340*Country_Data!$EB$195</f>
        <v>0.000298349326751144</v>
      </c>
    </row>
    <row r="1341" customFormat="false" ht="15" hidden="false" customHeight="false" outlineLevel="0" collapsed="false">
      <c r="A1341" s="14" t="str">
        <f aca="false">Country_Data!$A$195</f>
        <v>KIR</v>
      </c>
      <c r="B1341" s="14" t="str">
        <f aca="false">Country_Data!$E$195</f>
        <v>EMDC</v>
      </c>
      <c r="C1341" s="35" t="s">
        <v>488</v>
      </c>
      <c r="D1341" s="37" t="str">
        <f aca="false">IF(Country_Data!$CE$195="","",Country_Data!$CE$195)</f>
        <v/>
      </c>
      <c r="E1341" s="40" t="n">
        <f aca="false">Country_Data!$BW$195</f>
        <v>0.453</v>
      </c>
      <c r="F1341" s="41" t="n">
        <f aca="false">Country_Data!$BX$195</f>
        <v>0.757174392935982</v>
      </c>
      <c r="G1341" s="42" t="str">
        <f aca="false">IF(D1341="","",D1341/SUMIFS($D$5:$D$1369,$B$5:$B$1369,B1341,$C$5:$C$1369,C1341))</f>
        <v/>
      </c>
      <c r="H1341" s="42" t="n">
        <f aca="false">E1341/SUMIFS($E$5:$E$1369,$B$5:$B$1369,B1341,$C$5:$C$1369,C1341)</f>
        <v>5.61116555056496E-006</v>
      </c>
      <c r="I1341" s="43" t="n">
        <f aca="false">IF(G1341="",H1341,p_beta_alloc*G1341+(1-p_beta_alloc)*H1341)*F1341^p_phi</f>
        <v>4.88259881328717E-006</v>
      </c>
      <c r="J1341" s="16" t="n">
        <f aca="false">INDEX(Sector_Params!$C$22:$E$22,MATCH(B1341,Sector_Params!$C$15:$E$15,0))*I1341/SUMIFS($I$5:$I$1369,$B$5:$B$1369,B1341,$C$5:$C$1369,C1341)</f>
        <v>0.00294327152095714</v>
      </c>
      <c r="K1341" s="28" t="n">
        <f aca="false">INDEX(Sector_Params!$F$11:$H$11,MATCH(B1341,Sector_Params!$C$15:$E$15,0))</f>
        <v>0.24</v>
      </c>
      <c r="L1341" s="16" t="n">
        <f aca="false">J1341*K1341</f>
        <v>0.000706385165029714</v>
      </c>
      <c r="M1341" s="44" t="n">
        <f aca="false">Country_Data!$DW$195+Sector_Params!$E$11</f>
        <v>0.105</v>
      </c>
      <c r="N1341" s="44" t="n">
        <f aca="false">Country_Data!$DX$195+Sector_Params!$E$11</f>
        <v>0.15</v>
      </c>
      <c r="O1341" s="11" t="n">
        <f aca="false">IF(p_use_ibrd=1,p_r_ibrd,p_r_wb)</f>
        <v>0.06</v>
      </c>
      <c r="P1341" s="45" t="n">
        <f aca="false">Sector_Params!$D$11</f>
        <v>30</v>
      </c>
      <c r="Q1341" s="46" t="n">
        <f aca="false">M1341/(1-(1+M1341)^-P1341)</f>
        <v>0.110528481529605</v>
      </c>
      <c r="R1341" s="46" t="n">
        <f aca="false">N1341/(1-(1+N1341)^-P1341)</f>
        <v>0.152300198192734</v>
      </c>
      <c r="S1341" s="46" t="n">
        <f aca="false">O1341/(1-(1+O1341)^-P1341)</f>
        <v>0.0726489114900472</v>
      </c>
      <c r="T1341" s="37" t="n">
        <f aca="false">0*Sector_Params!$I$11</f>
        <v>0</v>
      </c>
      <c r="U1341" s="37" t="n">
        <f aca="false">p_c*Sector_Params!$J$11</f>
        <v>0.129</v>
      </c>
      <c r="V1341" s="37" t="n">
        <f aca="false">1000*p_r_wb/(1-(1+p_r_wb)^-Sector_Params!$D$11)/p_cpt_afolu</f>
        <v>1.45297822980094</v>
      </c>
      <c r="W1341" s="16" t="n">
        <f aca="false">T1341*L1341</f>
        <v>0</v>
      </c>
      <c r="X1341" s="16" t="n">
        <f aca="false">U1341*L1341</f>
        <v>9.11236862888332E-005</v>
      </c>
      <c r="Y1341" s="16" t="n">
        <f aca="false">V1341*L1341</f>
        <v>0.00102636226664252</v>
      </c>
      <c r="Z1341" s="16" t="n">
        <f aca="false">Q1341*L1341</f>
        <v>7.80756796657739E-005</v>
      </c>
      <c r="AA1341" s="16" t="n">
        <f aca="false">R1341*L1341</f>
        <v>0.000107582600634433</v>
      </c>
      <c r="AB1341" s="16" t="n">
        <f aca="false">S1341*L1341</f>
        <v>5.13181133321261E-005</v>
      </c>
      <c r="AC1341" s="16" t="n">
        <f aca="false">Z1341-W1341</f>
        <v>7.80756796657739E-005</v>
      </c>
      <c r="AD1341" s="16" t="n">
        <f aca="false">AA1341-W1341</f>
        <v>0.000107582600634433</v>
      </c>
      <c r="AE1341" s="16" t="n">
        <f aca="false">AB1341-W1341</f>
        <v>5.13181133321261E-005</v>
      </c>
      <c r="AF1341" s="16" t="n">
        <f aca="false">AE1341-X1341</f>
        <v>-3.9805572956707E-005</v>
      </c>
      <c r="AG1341" s="16" t="n">
        <f aca="false">AF1341-p_spc_lo*Y1341/1000</f>
        <v>-9.11236862888331E-005</v>
      </c>
      <c r="AH1341" s="16" t="n">
        <f aca="false">AF1341-p_spc_hi*Y1341/1000</f>
        <v>-0.000142441799620959</v>
      </c>
      <c r="AI1341" s="16" t="n">
        <f aca="false">Q1341*J1341</f>
        <v>0.000325315331940725</v>
      </c>
      <c r="AJ1341" s="16" t="n">
        <f aca="false">S1341*J1341</f>
        <v>0.000213825472217192</v>
      </c>
      <c r="AK1341" s="16" t="n">
        <f aca="false">T1341*J1341</f>
        <v>0</v>
      </c>
      <c r="AL1341" s="16" t="n">
        <f aca="false">U1341*J1341</f>
        <v>0.000379682026203471</v>
      </c>
      <c r="AM1341" s="16" t="n">
        <f aca="false">AI1341-AJ1341</f>
        <v>0.000111489859723532</v>
      </c>
      <c r="AN1341" s="16" t="n">
        <f aca="false">J1341*Country_Data!$EB$195</f>
        <v>0.00337871443090697</v>
      </c>
      <c r="AO1341" s="16" t="n">
        <f aca="false">L1341*Country_Data!$EB$195</f>
        <v>0.000810891463417672</v>
      </c>
    </row>
    <row r="1342" customFormat="false" ht="15" hidden="false" customHeight="false" outlineLevel="0" collapsed="false">
      <c r="A1342" s="14" t="str">
        <f aca="false">Country_Data!$A$196</f>
        <v>PLW</v>
      </c>
      <c r="B1342" s="14" t="str">
        <f aca="false">Country_Data!$E$196</f>
        <v>EMDC</v>
      </c>
      <c r="C1342" s="35" t="s">
        <v>466</v>
      </c>
      <c r="D1342" s="37" t="n">
        <f aca="false">IF(Country_Data!$BZ$196="","",Country_Data!$BZ$196)</f>
        <v>0.0914069511463869</v>
      </c>
      <c r="E1342" s="40" t="n">
        <f aca="false">Country_Data!$BW$196</f>
        <v>0.311</v>
      </c>
      <c r="F1342" s="41" t="n">
        <f aca="false">Country_Data!$BX$196</f>
        <v>1.03536977491961</v>
      </c>
      <c r="G1342" s="42" t="n">
        <f aca="false">IF(D1342="","",D1342/SUMIFS($D$5:$D$1369,$B$5:$B$1369,B1342,$C$5:$C$1369,C1342))</f>
        <v>1.04352127359387E-005</v>
      </c>
      <c r="H1342" s="42" t="n">
        <f aca="false">E1342/SUMIFS($E$5:$E$1369,$B$5:$B$1369,B1342,$C$5:$C$1369,C1342)</f>
        <v>3.8522571439861E-006</v>
      </c>
      <c r="I1342" s="43" t="n">
        <f aca="false">IF(G1342="",H1342,p_beta_alloc*G1342+(1-p_beta_alloc)*H1342)*F1342^p_phi</f>
        <v>7.26897329808337E-006</v>
      </c>
      <c r="J1342" s="16" t="n">
        <f aca="false">INDEX(Sector_Params!$C$16:$E$16,MATCH(B1342,Sector_Params!$C$15:$E$15,0))*I1342/SUMIFS($I$5:$I$1369,$B$5:$B$1369,B1342,$C$5:$C$1369,C1342)</f>
        <v>0.00703073525826777</v>
      </c>
      <c r="K1342" s="28" t="n">
        <f aca="false">INDEX(Sector_Params!$F$5:$H$5,MATCH(B1342,Sector_Params!$C$15:$E$15,0))</f>
        <v>0.24</v>
      </c>
      <c r="L1342" s="16" t="n">
        <f aca="false">J1342*K1342</f>
        <v>0.00168737646198426</v>
      </c>
      <c r="M1342" s="44" t="n">
        <f aca="false">Country_Data!$DW$196+Sector_Params!$E$5</f>
        <v>0.105</v>
      </c>
      <c r="N1342" s="44" t="n">
        <f aca="false">Country_Data!$DX$196+Sector_Params!$E$5</f>
        <v>0.15</v>
      </c>
      <c r="O1342" s="11" t="n">
        <f aca="false">IF(p_use_ibrd=1,p_r_ibrd,p_r_wb)</f>
        <v>0.06</v>
      </c>
      <c r="P1342" s="45" t="n">
        <f aca="false">Sector_Params!$D$5</f>
        <v>25</v>
      </c>
      <c r="Q1342" s="46" t="n">
        <f aca="false">M1342/(1-(1+M1342)^-P1342)</f>
        <v>0.114429319813103</v>
      </c>
      <c r="R1342" s="46" t="n">
        <f aca="false">N1342/(1-(1+N1342)^-P1342)</f>
        <v>0.154699402320206</v>
      </c>
      <c r="S1342" s="46" t="n">
        <f aca="false">O1342/(1-(1+O1342)^-P1342)</f>
        <v>0.078226718212274</v>
      </c>
      <c r="T1342" s="37" t="n">
        <f aca="false">IF(AND(p_eng=1,ISNUMBER(Country_Data!$CZ$196)),Country_Data!$CZ$196,Country_Data!$CM$196)*Sector_Params!$I$5</f>
        <v>0.03325</v>
      </c>
      <c r="U1342" s="37" t="n">
        <f aca="false">IF(AND(p_eng=1,ISNUMBER(Country_Data!$DA$196)),Country_Data!$DA$196,Country_Data!$CN$196)*Sector_Params!$J$5</f>
        <v>0.03225</v>
      </c>
      <c r="V1342" s="37" t="n">
        <f aca="false">IF(AND(p_eng=1,ISNUMBER(Country_Data!$DB$196)),Country_Data!$DB$196,p_a)</f>
        <v>0.35</v>
      </c>
      <c r="W1342" s="16" t="n">
        <f aca="false">T1342*L1342</f>
        <v>5.61052673609768E-005</v>
      </c>
      <c r="X1342" s="16" t="n">
        <f aca="false">U1342*L1342</f>
        <v>5.44178908989925E-005</v>
      </c>
      <c r="Y1342" s="16" t="n">
        <f aca="false">V1342*L1342</f>
        <v>0.000590581761694492</v>
      </c>
      <c r="Z1342" s="16" t="n">
        <f aca="false">Q1342*L1342</f>
        <v>0.0001930853408135</v>
      </c>
      <c r="AA1342" s="16" t="n">
        <f aca="false">R1342*L1342</f>
        <v>0.00026103613015815</v>
      </c>
      <c r="AB1342" s="16" t="n">
        <f aca="false">S1342*L1342</f>
        <v>0.000131997923009667</v>
      </c>
      <c r="AC1342" s="16" t="n">
        <f aca="false">Z1342-W1342</f>
        <v>0.000136980073452523</v>
      </c>
      <c r="AD1342" s="16" t="n">
        <f aca="false">AA1342-W1342</f>
        <v>0.000204930862797173</v>
      </c>
      <c r="AE1342" s="16" t="n">
        <f aca="false">AB1342-W1342</f>
        <v>7.589265564869E-005</v>
      </c>
      <c r="AF1342" s="16" t="n">
        <f aca="false">AE1342-X1342</f>
        <v>2.14747647496975E-005</v>
      </c>
      <c r="AG1342" s="16" t="n">
        <f aca="false">AF1342-p_spc_lo*Y1342/1000</f>
        <v>-8.05432333502711E-006</v>
      </c>
      <c r="AH1342" s="16" t="n">
        <f aca="false">AF1342-p_spc_hi*Y1342/1000</f>
        <v>-3.75834114197517E-005</v>
      </c>
      <c r="AI1342" s="16" t="n">
        <f aca="false">Q1342*J1342</f>
        <v>0.000804522253389584</v>
      </c>
      <c r="AJ1342" s="16" t="n">
        <f aca="false">S1342*J1342</f>
        <v>0.000549991345873612</v>
      </c>
      <c r="AK1342" s="16" t="n">
        <f aca="false">T1342*J1342</f>
        <v>0.000233771947337403</v>
      </c>
      <c r="AL1342" s="16" t="n">
        <f aca="false">U1342*J1342</f>
        <v>0.000226741212079136</v>
      </c>
      <c r="AM1342" s="16" t="n">
        <f aca="false">AI1342-AJ1342</f>
        <v>0.000254530907515972</v>
      </c>
      <c r="AN1342" s="16" t="n">
        <f aca="false">J1342*Country_Data!$EB$196</f>
        <v>0.0080446916356506</v>
      </c>
      <c r="AO1342" s="16" t="n">
        <f aca="false">L1342*Country_Data!$EB$196</f>
        <v>0.00193072599255614</v>
      </c>
    </row>
    <row r="1343" customFormat="false" ht="15" hidden="false" customHeight="false" outlineLevel="0" collapsed="false">
      <c r="A1343" s="14" t="str">
        <f aca="false">Country_Data!$A$196</f>
        <v>PLW</v>
      </c>
      <c r="B1343" s="14" t="str">
        <f aca="false">Country_Data!$E$196</f>
        <v>EMDC</v>
      </c>
      <c r="C1343" s="35" t="s">
        <v>470</v>
      </c>
      <c r="D1343" s="37" t="n">
        <f aca="false">IF(Country_Data!$BZ$196="","",Country_Data!$BZ$196)</f>
        <v>0.0914069511463869</v>
      </c>
      <c r="E1343" s="40" t="n">
        <f aca="false">Country_Data!$BW$196</f>
        <v>0.311</v>
      </c>
      <c r="F1343" s="41" t="n">
        <f aca="false">Country_Data!$BX$196</f>
        <v>1.03536977491961</v>
      </c>
      <c r="G1343" s="42" t="n">
        <f aca="false">IF(D1343="","",D1343/SUMIFS($D$5:$D$1369,$B$5:$B$1369,B1343,$C$5:$C$1369,C1343))</f>
        <v>1.04352127359387E-005</v>
      </c>
      <c r="H1343" s="42" t="n">
        <f aca="false">E1343/SUMIFS($E$5:$E$1369,$B$5:$B$1369,B1343,$C$5:$C$1369,C1343)</f>
        <v>3.8522571439861E-006</v>
      </c>
      <c r="I1343" s="43" t="n">
        <f aca="false">IF(G1343="",H1343,p_beta_alloc*G1343+(1-p_beta_alloc)*H1343)*F1343^p_phi</f>
        <v>7.26897329808337E-006</v>
      </c>
      <c r="J1343" s="16" t="n">
        <f aca="false">INDEX(Sector_Params!$C$17:$E$17,MATCH(B1343,Sector_Params!$C$15:$E$15,0))*I1343/SUMIFS($I$5:$I$1369,$B$5:$B$1369,B1343,$C$5:$C$1369,C1343)</f>
        <v>0.00482107560566933</v>
      </c>
      <c r="K1343" s="28" t="n">
        <f aca="false">INDEX(Sector_Params!$F$6:$H$6,MATCH(B1343,Sector_Params!$C$15:$E$15,0))</f>
        <v>0.24</v>
      </c>
      <c r="L1343" s="16" t="n">
        <f aca="false">J1343*K1343</f>
        <v>0.00115705814536064</v>
      </c>
      <c r="M1343" s="44" t="n">
        <f aca="false">Country_Data!$DW$196+Sector_Params!$E$6</f>
        <v>0.105</v>
      </c>
      <c r="N1343" s="44" t="n">
        <f aca="false">Country_Data!$DX$196+Sector_Params!$E$6</f>
        <v>0.15</v>
      </c>
      <c r="O1343" s="11" t="n">
        <f aca="false">IF(p_use_ibrd=1,p_r_ibrd,p_r_wb)</f>
        <v>0.06</v>
      </c>
      <c r="P1343" s="45" t="n">
        <f aca="false">Sector_Params!$D$6</f>
        <v>40</v>
      </c>
      <c r="Q1343" s="46" t="n">
        <f aca="false">M1343/(1-(1+M1343)^-P1343)</f>
        <v>0.10697140835497</v>
      </c>
      <c r="R1343" s="46" t="n">
        <f aca="false">N1343/(1-(1+N1343)^-P1343)</f>
        <v>0.150562085013545</v>
      </c>
      <c r="S1343" s="46" t="n">
        <f aca="false">O1343/(1-(1+O1343)^-P1343)</f>
        <v>0.0664615359206755</v>
      </c>
      <c r="T1343" s="37" t="n">
        <f aca="false">p_grid_credit*IF(AND(p_eng=1,ISNUMBER(Country_Data!$CZ$196)),Country_Data!$CZ$196,Country_Data!$CM$196)*Sector_Params!$I$6</f>
        <v>0</v>
      </c>
      <c r="U1343" s="37" t="n">
        <f aca="false">p_grid_credit*IF(AND(p_eng=1,ISNUMBER(Country_Data!$DA$196)),Country_Data!$DA$196,Country_Data!$CN$196)*Sector_Params!$J$6</f>
        <v>0</v>
      </c>
      <c r="V1343" s="37" t="n">
        <f aca="false">p_grid_credit*IF(AND(p_eng=1,ISNUMBER(Country_Data!$DB$196)),Country_Data!$DB$196,p_a)</f>
        <v>0</v>
      </c>
      <c r="W1343" s="16" t="n">
        <f aca="false">T1343*L1343</f>
        <v>0</v>
      </c>
      <c r="X1343" s="16" t="n">
        <f aca="false">U1343*L1343</f>
        <v>0</v>
      </c>
      <c r="Y1343" s="16" t="n">
        <f aca="false">V1343*L1343</f>
        <v>0</v>
      </c>
      <c r="Z1343" s="16" t="n">
        <f aca="false">Q1343*L1343</f>
        <v>0.000123772139357818</v>
      </c>
      <c r="AA1343" s="16" t="n">
        <f aca="false">R1343*L1343</f>
        <v>0.000174209086847403</v>
      </c>
      <c r="AB1343" s="16" t="n">
        <f aca="false">S1343*L1343</f>
        <v>7.68998614901963E-005</v>
      </c>
      <c r="AC1343" s="16" t="n">
        <f aca="false">Z1343-W1343</f>
        <v>0.000123772139357818</v>
      </c>
      <c r="AD1343" s="16" t="n">
        <f aca="false">AA1343-W1343</f>
        <v>0.000174209086847403</v>
      </c>
      <c r="AE1343" s="16" t="n">
        <f aca="false">AB1343-W1343</f>
        <v>7.68998614901963E-005</v>
      </c>
      <c r="AF1343" s="16" t="n">
        <f aca="false">AE1343-X1343</f>
        <v>7.68998614901963E-005</v>
      </c>
      <c r="AG1343" s="16" t="n">
        <f aca="false">AF1343-p_spc_lo*Y1343/1000</f>
        <v>7.68998614901963E-005</v>
      </c>
      <c r="AH1343" s="16" t="n">
        <f aca="false">AF1343-p_spc_hi*Y1343/1000</f>
        <v>7.68998614901963E-005</v>
      </c>
      <c r="AI1343" s="16" t="n">
        <f aca="false">Q1343*J1343</f>
        <v>0.00051571724732424</v>
      </c>
      <c r="AJ1343" s="16" t="n">
        <f aca="false">S1343*J1343</f>
        <v>0.000320416089542484</v>
      </c>
      <c r="AK1343" s="16" t="n">
        <f aca="false">T1343*J1343</f>
        <v>0</v>
      </c>
      <c r="AL1343" s="16" t="n">
        <f aca="false">U1343*J1343</f>
        <v>0</v>
      </c>
      <c r="AM1343" s="16" t="n">
        <f aca="false">AI1343-AJ1343</f>
        <v>0.000195301157781755</v>
      </c>
      <c r="AN1343" s="16" t="n">
        <f aca="false">J1343*Country_Data!$EB$196</f>
        <v>0.00551635997873184</v>
      </c>
      <c r="AO1343" s="16" t="n">
        <f aca="false">L1343*Country_Data!$EB$196</f>
        <v>0.00132392639489564</v>
      </c>
    </row>
    <row r="1344" customFormat="false" ht="15" hidden="false" customHeight="false" outlineLevel="0" collapsed="false">
      <c r="A1344" s="14" t="str">
        <f aca="false">Country_Data!$A$196</f>
        <v>PLW</v>
      </c>
      <c r="B1344" s="14" t="str">
        <f aca="false">Country_Data!$E$196</f>
        <v>EMDC</v>
      </c>
      <c r="C1344" s="35" t="s">
        <v>473</v>
      </c>
      <c r="D1344" s="37" t="n">
        <f aca="false">IF(Country_Data!$CA$196="","",Country_Data!$CA$196)</f>
        <v>0.00167721514155218</v>
      </c>
      <c r="E1344" s="40" t="n">
        <f aca="false">Country_Data!$BW$196</f>
        <v>0.311</v>
      </c>
      <c r="F1344" s="41" t="n">
        <f aca="false">Country_Data!$BX$196</f>
        <v>1.03536977491961</v>
      </c>
      <c r="G1344" s="42" t="n">
        <f aca="false">IF(D1344="","",D1344/SUMIFS($D$5:$D$1369,$B$5:$B$1369,B1344,$C$5:$C$1369,C1344))</f>
        <v>3.87475721704944E-005</v>
      </c>
      <c r="H1344" s="42" t="n">
        <f aca="false">E1344/SUMIFS($E$5:$E$1369,$B$5:$B$1369,B1344,$C$5:$C$1369,C1344)</f>
        <v>3.8522571439861E-006</v>
      </c>
      <c r="I1344" s="43" t="n">
        <f aca="false">IF(G1344="",H1344,p_beta_alloc*G1344+(1-p_beta_alloc)*H1344)*F1344^p_phi</f>
        <v>2.16733280554429E-005</v>
      </c>
      <c r="J1344" s="16" t="n">
        <f aca="false">INDEX(Sector_Params!$C$18:$E$18,MATCH(B1344,Sector_Params!$C$15:$E$15,0))*I1344/SUMIFS($I$5:$I$1369,$B$5:$B$1369,B1344,$C$5:$C$1369,C1344)</f>
        <v>0.00887471502144361</v>
      </c>
      <c r="K1344" s="28" t="n">
        <f aca="false">INDEX(Sector_Params!$F$7:$H$7,MATCH(B1344,Sector_Params!$C$15:$E$15,0))</f>
        <v>0.24</v>
      </c>
      <c r="L1344" s="16" t="n">
        <f aca="false">J1344*K1344</f>
        <v>0.00212993160514647</v>
      </c>
      <c r="M1344" s="44" t="n">
        <f aca="false">Country_Data!$DW$196+Sector_Params!$E$7</f>
        <v>0.105</v>
      </c>
      <c r="N1344" s="44" t="n">
        <f aca="false">Country_Data!$DX$196+Sector_Params!$E$7</f>
        <v>0.15</v>
      </c>
      <c r="O1344" s="11" t="n">
        <f aca="false">IF(p_use_ibrd=1,p_r_ibrd,p_r_wb)</f>
        <v>0.06</v>
      </c>
      <c r="P1344" s="45" t="n">
        <f aca="false">Sector_Params!$D$7</f>
        <v>12</v>
      </c>
      <c r="Q1344" s="46" t="n">
        <f aca="false">M1344/(1-(1+M1344)^-P1344)</f>
        <v>0.150376745634766</v>
      </c>
      <c r="R1344" s="46" t="n">
        <f aca="false">N1344/(1-(1+N1344)^-P1344)</f>
        <v>0.18448077613084</v>
      </c>
      <c r="S1344" s="46" t="n">
        <f aca="false">O1344/(1-(1+O1344)^-P1344)</f>
        <v>0.119277029380664</v>
      </c>
      <c r="T1344" s="37" t="n">
        <f aca="false">IF(AND(p_eng=1,ISNUMBER(Country_Data!$DE$196)),Country_Data!$DE$196,Country_Data!$CM$196)*Sector_Params!$I$7</f>
        <v>0.03325</v>
      </c>
      <c r="U1344" s="37" t="n">
        <f aca="false">IF(AND(p_eng=1,ISNUMBER(Country_Data!$DF$196)),Country_Data!$DF$196,Country_Data!$CN$196)*Sector_Params!$J$7</f>
        <v>0.03225</v>
      </c>
      <c r="V1344" s="37" t="n">
        <f aca="false">IF(AND(p_eng=1,ISNUMBER(Country_Data!$DG$196)),Country_Data!$DG$196,p_a)</f>
        <v>0.35</v>
      </c>
      <c r="W1344" s="16" t="n">
        <f aca="false">T1344*L1344</f>
        <v>7.082022587112E-005</v>
      </c>
      <c r="X1344" s="16" t="n">
        <f aca="false">U1344*L1344</f>
        <v>6.86902942659735E-005</v>
      </c>
      <c r="Y1344" s="16" t="n">
        <f aca="false">V1344*L1344</f>
        <v>0.000745476061801263</v>
      </c>
      <c r="Z1344" s="16" t="n">
        <f aca="false">Q1344*L1344</f>
        <v>0.000320292183206558</v>
      </c>
      <c r="AA1344" s="16" t="n">
        <f aca="false">R1344*L1344</f>
        <v>0.000392931435623025</v>
      </c>
      <c r="AB1344" s="16" t="n">
        <f aca="false">S1344*L1344</f>
        <v>0.000254051914645859</v>
      </c>
      <c r="AC1344" s="16" t="n">
        <f aca="false">Z1344-W1344</f>
        <v>0.000249471957335438</v>
      </c>
      <c r="AD1344" s="16" t="n">
        <f aca="false">AA1344-W1344</f>
        <v>0.000322111209751905</v>
      </c>
      <c r="AE1344" s="16" t="n">
        <f aca="false">AB1344-W1344</f>
        <v>0.000183231688774739</v>
      </c>
      <c r="AF1344" s="16" t="n">
        <f aca="false">AE1344-X1344</f>
        <v>0.000114541394508765</v>
      </c>
      <c r="AG1344" s="16" t="n">
        <f aca="false">AF1344-p_spc_lo*Y1344/1000</f>
        <v>7.72675914187022E-005</v>
      </c>
      <c r="AH1344" s="16" t="n">
        <f aca="false">AF1344-p_spc_hi*Y1344/1000</f>
        <v>3.99937883286391E-005</v>
      </c>
      <c r="AI1344" s="16" t="n">
        <f aca="false">Q1344*J1344</f>
        <v>0.00133455076336066</v>
      </c>
      <c r="AJ1344" s="16" t="n">
        <f aca="false">S1344*J1344</f>
        <v>0.00105854964435775</v>
      </c>
      <c r="AK1344" s="16" t="n">
        <f aca="false">T1344*J1344</f>
        <v>0.000295084274463</v>
      </c>
      <c r="AL1344" s="16" t="n">
        <f aca="false">U1344*J1344</f>
        <v>0.000286209559441556</v>
      </c>
      <c r="AM1344" s="16" t="n">
        <f aca="false">AI1344-AJ1344</f>
        <v>0.000276001119002914</v>
      </c>
      <c r="AN1344" s="16" t="n">
        <f aca="false">J1344*Country_Data!$EB$196</f>
        <v>0.0101546058952845</v>
      </c>
      <c r="AO1344" s="16" t="n">
        <f aca="false">L1344*Country_Data!$EB$196</f>
        <v>0.00243710541486827</v>
      </c>
    </row>
    <row r="1345" customFormat="false" ht="15" hidden="false" customHeight="false" outlineLevel="0" collapsed="false">
      <c r="A1345" s="14" t="str">
        <f aca="false">Country_Data!$A$196</f>
        <v>PLW</v>
      </c>
      <c r="B1345" s="14" t="str">
        <f aca="false">Country_Data!$E$196</f>
        <v>EMDC</v>
      </c>
      <c r="C1345" s="35" t="s">
        <v>477</v>
      </c>
      <c r="D1345" s="37" t="n">
        <f aca="false">IF(Country_Data!$CB$196="","",Country_Data!$CB$196)</f>
        <v>0.000169396533480162</v>
      </c>
      <c r="E1345" s="40" t="n">
        <f aca="false">Country_Data!$BW$196</f>
        <v>0.311</v>
      </c>
      <c r="F1345" s="41" t="n">
        <f aca="false">Country_Data!$BX$196</f>
        <v>1.03536977491961</v>
      </c>
      <c r="G1345" s="42" t="n">
        <f aca="false">IF(D1345="","",D1345/SUMIFS($D$5:$D$1369,$B$5:$B$1369,B1345,$C$5:$C$1369,C1345))</f>
        <v>5.34158851312756E-006</v>
      </c>
      <c r="H1345" s="42" t="n">
        <f aca="false">E1345/SUMIFS($E$5:$E$1369,$B$5:$B$1369,B1345,$C$5:$C$1369,C1345)</f>
        <v>3.8522571439861E-006</v>
      </c>
      <c r="I1345" s="43" t="n">
        <f aca="false">IF(G1345="",H1345,p_beta_alloc*G1345+(1-p_beta_alloc)*H1345)*F1345^p_phi</f>
        <v>4.67751247421079E-006</v>
      </c>
      <c r="J1345" s="16" t="n">
        <f aca="false">INDEX(Sector_Params!$C$19:$E$19,MATCH(B1345,Sector_Params!$C$15:$E$15,0))*I1345/SUMIFS($I$5:$I$1369,$B$5:$B$1369,B1345,$C$5:$C$1369,C1345)</f>
        <v>0.00150551631022983</v>
      </c>
      <c r="K1345" s="28" t="n">
        <f aca="false">INDEX(Sector_Params!$F$8:$H$8,MATCH(B1345,Sector_Params!$C$15:$E$15,0))</f>
        <v>0.24</v>
      </c>
      <c r="L1345" s="16" t="n">
        <f aca="false">J1345*K1345</f>
        <v>0.00036132391445516</v>
      </c>
      <c r="M1345" s="44" t="n">
        <f aca="false">Country_Data!$DW$196+Sector_Params!$E$8</f>
        <v>0.105</v>
      </c>
      <c r="N1345" s="44" t="n">
        <f aca="false">Country_Data!$DX$196+Sector_Params!$E$8</f>
        <v>0.15</v>
      </c>
      <c r="O1345" s="11" t="n">
        <f aca="false">IF(p_use_ibrd=1,p_r_ibrd,p_r_wb)</f>
        <v>0.06</v>
      </c>
      <c r="P1345" s="45" t="n">
        <f aca="false">Sector_Params!$D$8</f>
        <v>25</v>
      </c>
      <c r="Q1345" s="46" t="n">
        <f aca="false">M1345/(1-(1+M1345)^-P1345)</f>
        <v>0.114429319813103</v>
      </c>
      <c r="R1345" s="46" t="n">
        <f aca="false">N1345/(1-(1+N1345)^-P1345)</f>
        <v>0.154699402320206</v>
      </c>
      <c r="S1345" s="46" t="n">
        <f aca="false">O1345/(1-(1+O1345)^-P1345)</f>
        <v>0.078226718212274</v>
      </c>
      <c r="T1345" s="37" t="n">
        <f aca="false">Country_Data!$CM$196*Sector_Params!$I$8</f>
        <v>0.03325</v>
      </c>
      <c r="U1345" s="37" t="n">
        <f aca="false">Country_Data!$CN$196*Sector_Params!$J$8</f>
        <v>0.03225</v>
      </c>
      <c r="V1345" s="37" t="n">
        <f aca="false">p_a</f>
        <v>0.35</v>
      </c>
      <c r="W1345" s="16" t="n">
        <f aca="false">T1345*L1345</f>
        <v>1.20140201556341E-005</v>
      </c>
      <c r="X1345" s="16" t="n">
        <f aca="false">U1345*L1345</f>
        <v>1.16526962411789E-005</v>
      </c>
      <c r="Y1345" s="16" t="n">
        <f aca="false">V1345*L1345</f>
        <v>0.000126463370059306</v>
      </c>
      <c r="Z1345" s="16" t="n">
        <f aca="false">Q1345*L1345</f>
        <v>4.13460497633119E-005</v>
      </c>
      <c r="AA1345" s="16" t="n">
        <f aca="false">R1345*L1345</f>
        <v>5.58965936102106E-005</v>
      </c>
      <c r="AB1345" s="16" t="n">
        <f aca="false">S1345*L1345</f>
        <v>2.82651840394396E-005</v>
      </c>
      <c r="AC1345" s="16" t="n">
        <f aca="false">Z1345-W1345</f>
        <v>2.93320296076778E-005</v>
      </c>
      <c r="AD1345" s="16" t="n">
        <f aca="false">AA1345-W1345</f>
        <v>4.38825734545766E-005</v>
      </c>
      <c r="AE1345" s="16" t="n">
        <f aca="false">AB1345-W1345</f>
        <v>1.62511638838055E-005</v>
      </c>
      <c r="AF1345" s="16" t="n">
        <f aca="false">AE1345-X1345</f>
        <v>4.59846764262659E-006</v>
      </c>
      <c r="AG1345" s="16" t="n">
        <f aca="false">AF1345-p_spc_lo*Y1345/1000</f>
        <v>-1.7247008603387E-006</v>
      </c>
      <c r="AH1345" s="16" t="n">
        <f aca="false">AF1345-p_spc_hi*Y1345/1000</f>
        <v>-8.047869363304E-006</v>
      </c>
      <c r="AI1345" s="16" t="n">
        <f aca="false">Q1345*J1345</f>
        <v>0.000172275207347133</v>
      </c>
      <c r="AJ1345" s="16" t="n">
        <f aca="false">S1345*J1345</f>
        <v>0.000117771600164332</v>
      </c>
      <c r="AK1345" s="16" t="n">
        <f aca="false">T1345*J1345</f>
        <v>5.00584173151419E-005</v>
      </c>
      <c r="AL1345" s="16" t="n">
        <f aca="false">U1345*J1345</f>
        <v>4.85529010049121E-005</v>
      </c>
      <c r="AM1345" s="16" t="n">
        <f aca="false">AI1345-AJ1345</f>
        <v>5.45036071828013E-005</v>
      </c>
      <c r="AN1345" s="16" t="n">
        <f aca="false">J1345*Country_Data!$EB$196</f>
        <v>0.00172263839034461</v>
      </c>
      <c r="AO1345" s="16" t="n">
        <f aca="false">L1345*Country_Data!$EB$196</f>
        <v>0.000413433213682707</v>
      </c>
    </row>
    <row r="1346" customFormat="false" ht="15" hidden="false" customHeight="false" outlineLevel="0" collapsed="false">
      <c r="A1346" s="14" t="str">
        <f aca="false">Country_Data!$A$196</f>
        <v>PLW</v>
      </c>
      <c r="B1346" s="14" t="str">
        <f aca="false">Country_Data!$E$196</f>
        <v>EMDC</v>
      </c>
      <c r="C1346" s="35" t="s">
        <v>481</v>
      </c>
      <c r="D1346" s="37" t="n">
        <f aca="false">IF(Country_Data!$CC$196="","",Country_Data!$CC$196)</f>
        <v>0.00131012672758637</v>
      </c>
      <c r="E1346" s="40" t="n">
        <f aca="false">Country_Data!$BW$196</f>
        <v>0.311</v>
      </c>
      <c r="F1346" s="41" t="n">
        <f aca="false">Country_Data!$BX$196</f>
        <v>1.03536977491961</v>
      </c>
      <c r="G1346" s="42" t="n">
        <f aca="false">IF(D1346="","",D1346/SUMIFS($D$5:$D$1369,$B$5:$B$1369,B1346,$C$5:$C$1369,C1346))</f>
        <v>1.87141558442833E-005</v>
      </c>
      <c r="H1346" s="42" t="n">
        <f aca="false">E1346/SUMIFS($E$5:$E$1369,$B$5:$B$1369,B1346,$C$5:$C$1369,C1346)</f>
        <v>3.8522571439861E-006</v>
      </c>
      <c r="I1346" s="43" t="n">
        <f aca="false">IF(G1346="",H1346,p_beta_alloc*G1346+(1-p_beta_alloc)*H1346)*F1346^p_phi</f>
        <v>1.14810148209471E-005</v>
      </c>
      <c r="J1346" s="16" t="n">
        <f aca="false">INDEX(Sector_Params!$C$20:$E$20,MATCH(B1346,Sector_Params!$C$15:$E$15,0))*I1346/SUMIFS($I$5:$I$1369,$B$5:$B$1369,B1346,$C$5:$C$1369,C1346)</f>
        <v>0.00209551640590576</v>
      </c>
      <c r="K1346" s="28" t="n">
        <f aca="false">INDEX(Sector_Params!$F$9:$H$9,MATCH(B1346,Sector_Params!$C$15:$E$15,0))</f>
        <v>0.24</v>
      </c>
      <c r="L1346" s="16" t="n">
        <f aca="false">J1346*K1346</f>
        <v>0.000502923937417381</v>
      </c>
      <c r="M1346" s="44" t="n">
        <f aca="false">Country_Data!$DW$196+Sector_Params!$E$9</f>
        <v>0.105</v>
      </c>
      <c r="N1346" s="44" t="n">
        <f aca="false">Country_Data!$DX$196+Sector_Params!$E$9</f>
        <v>0.15</v>
      </c>
      <c r="O1346" s="11" t="n">
        <f aca="false">IF(p_use_ibrd=1,p_r_ibrd,p_r_wb)</f>
        <v>0.06</v>
      </c>
      <c r="P1346" s="45" t="n">
        <f aca="false">Sector_Params!$D$9</f>
        <v>25</v>
      </c>
      <c r="Q1346" s="46" t="n">
        <f aca="false">M1346/(1-(1+M1346)^-P1346)</f>
        <v>0.114429319813103</v>
      </c>
      <c r="R1346" s="46" t="n">
        <f aca="false">N1346/(1-(1+N1346)^-P1346)</f>
        <v>0.154699402320206</v>
      </c>
      <c r="S1346" s="46" t="n">
        <f aca="false">O1346/(1-(1+O1346)^-P1346)</f>
        <v>0.078226718212274</v>
      </c>
      <c r="T1346" s="37" t="n">
        <f aca="false">Country_Data!$CM$196*Sector_Params!$I$9</f>
        <v>0.03325</v>
      </c>
      <c r="U1346" s="37" t="n">
        <f aca="false">Country_Data!$CN$196*Sector_Params!$J$9</f>
        <v>0.03225</v>
      </c>
      <c r="V1346" s="37" t="n">
        <f aca="false">p_a</f>
        <v>0.35</v>
      </c>
      <c r="W1346" s="16" t="n">
        <f aca="false">T1346*L1346</f>
        <v>1.67222209191279E-005</v>
      </c>
      <c r="X1346" s="16" t="n">
        <f aca="false">U1346*L1346</f>
        <v>1.62192969817106E-005</v>
      </c>
      <c r="Y1346" s="16" t="n">
        <f aca="false">V1346*L1346</f>
        <v>0.000176023378096083</v>
      </c>
      <c r="Z1346" s="16" t="n">
        <f aca="false">Q1346*L1346</f>
        <v>5.75492440763987E-005</v>
      </c>
      <c r="AA1346" s="16" t="n">
        <f aca="false">R1346*L1346</f>
        <v>7.78020325309938E-005</v>
      </c>
      <c r="AB1346" s="16" t="n">
        <f aca="false">S1346*L1346</f>
        <v>3.93420891345568E-005</v>
      </c>
      <c r="AC1346" s="16" t="n">
        <f aca="false">Z1346-W1346</f>
        <v>4.08270231572708E-005</v>
      </c>
      <c r="AD1346" s="16" t="n">
        <f aca="false">AA1346-W1346</f>
        <v>6.10798116118659E-005</v>
      </c>
      <c r="AE1346" s="16" t="n">
        <f aca="false">AB1346-W1346</f>
        <v>2.26198682154289E-005</v>
      </c>
      <c r="AF1346" s="16" t="n">
        <f aca="false">AE1346-X1346</f>
        <v>6.40057123371831E-006</v>
      </c>
      <c r="AG1346" s="16" t="n">
        <f aca="false">AF1346-p_spc_lo*Y1346/1000</f>
        <v>-2.40059767108586E-006</v>
      </c>
      <c r="AH1346" s="16" t="n">
        <f aca="false">AF1346-p_spc_hi*Y1346/1000</f>
        <v>-1.120176657589E-005</v>
      </c>
      <c r="AI1346" s="16" t="n">
        <f aca="false">Q1346*J1346</f>
        <v>0.000239788516984995</v>
      </c>
      <c r="AJ1346" s="16" t="n">
        <f aca="false">S1346*J1346</f>
        <v>0.000163925371393987</v>
      </c>
      <c r="AK1346" s="16" t="n">
        <f aca="false">T1346*J1346</f>
        <v>6.96759204963664E-005</v>
      </c>
      <c r="AL1346" s="16" t="n">
        <f aca="false">U1346*J1346</f>
        <v>6.75804040904606E-005</v>
      </c>
      <c r="AM1346" s="16" t="n">
        <f aca="false">AI1346-AJ1346</f>
        <v>7.58631455910079E-005</v>
      </c>
      <c r="AN1346" s="16" t="n">
        <f aca="false">J1346*Country_Data!$EB$196</f>
        <v>0.00239772693519285</v>
      </c>
      <c r="AO1346" s="16" t="n">
        <f aca="false">L1346*Country_Data!$EB$196</f>
        <v>0.000575454464446283</v>
      </c>
    </row>
    <row r="1347" customFormat="false" ht="15" hidden="false" customHeight="false" outlineLevel="0" collapsed="false">
      <c r="A1347" s="14" t="str">
        <f aca="false">Country_Data!$A$196</f>
        <v>PLW</v>
      </c>
      <c r="B1347" s="14" t="str">
        <f aca="false">Country_Data!$E$196</f>
        <v>EMDC</v>
      </c>
      <c r="C1347" s="35" t="s">
        <v>484</v>
      </c>
      <c r="D1347" s="37" t="n">
        <f aca="false">IF(Country_Data!$CD$196="","",Country_Data!$CD$196)</f>
        <v>0.00286176659534602</v>
      </c>
      <c r="E1347" s="40" t="n">
        <f aca="false">Country_Data!$BW$196</f>
        <v>0.311</v>
      </c>
      <c r="F1347" s="41" t="n">
        <f aca="false">Country_Data!$BX$196</f>
        <v>1.03536977491961</v>
      </c>
      <c r="G1347" s="42" t="n">
        <f aca="false">IF(D1347="","",D1347/SUMIFS($D$5:$D$1369,$B$5:$B$1369,B1347,$C$5:$C$1369,C1347))</f>
        <v>1.59811501270643E-005</v>
      </c>
      <c r="H1347" s="42" t="n">
        <f aca="false">E1347/SUMIFS($E$5:$E$1369,$B$5:$B$1369,B1347,$C$5:$C$1369,C1347)</f>
        <v>3.8522571439861E-006</v>
      </c>
      <c r="I1347" s="43" t="n">
        <f aca="false">IF(G1347="",H1347,p_beta_alloc*G1347+(1-p_beta_alloc)*H1347)*F1347^p_phi</f>
        <v>1.00905555059716E-005</v>
      </c>
      <c r="J1347" s="16" t="n">
        <f aca="false">INDEX(Sector_Params!$C$21:$E$21,MATCH(B1347,Sector_Params!$C$15:$E$15,0))*I1347/SUMIFS($I$5:$I$1369,$B$5:$B$1369,B1347,$C$5:$C$1369,C1347)</f>
        <v>0.00223798255251053</v>
      </c>
      <c r="K1347" s="28" t="n">
        <f aca="false">INDEX(Sector_Params!$F$10:$H$10,MATCH(B1347,Sector_Params!$C$15:$E$15,0))</f>
        <v>0.24</v>
      </c>
      <c r="L1347" s="16" t="n">
        <f aca="false">J1347*K1347</f>
        <v>0.000537115812602528</v>
      </c>
      <c r="M1347" s="44" t="n">
        <f aca="false">Country_Data!$DW$196+Sector_Params!$E$10</f>
        <v>0.105</v>
      </c>
      <c r="N1347" s="44" t="n">
        <f aca="false">Country_Data!$DX$196+Sector_Params!$E$10</f>
        <v>0.15</v>
      </c>
      <c r="O1347" s="11" t="n">
        <f aca="false">IF(p_use_ibrd=1,p_r_ibrd,p_r_wb)</f>
        <v>0.06</v>
      </c>
      <c r="P1347" s="45" t="n">
        <f aca="false">Sector_Params!$D$10</f>
        <v>20</v>
      </c>
      <c r="Q1347" s="46" t="n">
        <f aca="false">M1347/(1-(1+M1347)^-P1347)</f>
        <v>0.121493265267016</v>
      </c>
      <c r="R1347" s="46" t="n">
        <f aca="false">N1347/(1-(1+N1347)^-P1347)</f>
        <v>0.159761470405744</v>
      </c>
      <c r="S1347" s="46" t="n">
        <f aca="false">O1347/(1-(1+O1347)^-P1347)</f>
        <v>0.0871845569768514</v>
      </c>
      <c r="T1347" s="37" t="n">
        <f aca="false">0*Sector_Params!$I$10</f>
        <v>0</v>
      </c>
      <c r="U1347" s="37" t="n">
        <f aca="false">0*Sector_Params!$J$10</f>
        <v>0</v>
      </c>
      <c r="V1347" s="37" t="n">
        <f aca="false">1000*p_r_wb/(1-(1+p_r_wb)^-Sector_Params!$D$10)/p_cpt_fuel</f>
        <v>0.871845569768514</v>
      </c>
      <c r="W1347" s="16" t="n">
        <f aca="false">T1347*L1347</f>
        <v>0</v>
      </c>
      <c r="X1347" s="16" t="n">
        <f aca="false">U1347*L1347</f>
        <v>0</v>
      </c>
      <c r="Y1347" s="16" t="n">
        <f aca="false">V1347*L1347</f>
        <v>0.00046828204167013</v>
      </c>
      <c r="Z1347" s="16" t="n">
        <f aca="false">Q1347*L1347</f>
        <v>6.52559538996279E-005</v>
      </c>
      <c r="AA1347" s="16" t="n">
        <f aca="false">R1347*L1347</f>
        <v>8.58104119995559E-005</v>
      </c>
      <c r="AB1347" s="16" t="n">
        <f aca="false">S1347*L1347</f>
        <v>4.68282041670129E-005</v>
      </c>
      <c r="AC1347" s="16" t="n">
        <f aca="false">Z1347-W1347</f>
        <v>6.52559538996279E-005</v>
      </c>
      <c r="AD1347" s="16" t="n">
        <f aca="false">AA1347-W1347</f>
        <v>8.58104119995559E-005</v>
      </c>
      <c r="AE1347" s="16" t="n">
        <f aca="false">AB1347-W1347</f>
        <v>4.68282041670129E-005</v>
      </c>
      <c r="AF1347" s="16" t="n">
        <f aca="false">AE1347-X1347</f>
        <v>4.68282041670129E-005</v>
      </c>
      <c r="AG1347" s="16" t="n">
        <f aca="false">AF1347-p_spc_lo*Y1347/1000</f>
        <v>2.34141020835065E-005</v>
      </c>
      <c r="AH1347" s="16" t="n">
        <f aca="false">AF1347-p_spc_hi*Y1347/1000</f>
        <v>0</v>
      </c>
      <c r="AI1347" s="16" t="n">
        <f aca="false">Q1347*J1347</f>
        <v>0.000271899807915116</v>
      </c>
      <c r="AJ1347" s="16" t="n">
        <f aca="false">S1347*J1347</f>
        <v>0.000195117517362554</v>
      </c>
      <c r="AK1347" s="16" t="n">
        <f aca="false">T1347*J1347</f>
        <v>0</v>
      </c>
      <c r="AL1347" s="16" t="n">
        <f aca="false">U1347*J1347</f>
        <v>0</v>
      </c>
      <c r="AM1347" s="16" t="n">
        <f aca="false">AI1347-AJ1347</f>
        <v>7.67822905525623E-005</v>
      </c>
      <c r="AN1347" s="16" t="n">
        <f aca="false">J1347*Country_Data!$EB$196</f>
        <v>0.00256073921994743</v>
      </c>
      <c r="AO1347" s="16" t="n">
        <f aca="false">L1347*Country_Data!$EB$196</f>
        <v>0.000614577412787382</v>
      </c>
    </row>
    <row r="1348" customFormat="false" ht="15" hidden="false" customHeight="false" outlineLevel="0" collapsed="false">
      <c r="A1348" s="14" t="str">
        <f aca="false">Country_Data!$A$196</f>
        <v>PLW</v>
      </c>
      <c r="B1348" s="14" t="str">
        <f aca="false">Country_Data!$E$196</f>
        <v>EMDC</v>
      </c>
      <c r="C1348" s="35" t="s">
        <v>488</v>
      </c>
      <c r="D1348" s="37" t="n">
        <f aca="false">IF(Country_Data!$CE$196="","",Country_Data!$CE$196)</f>
        <v>0.0620000000000001</v>
      </c>
      <c r="E1348" s="40" t="n">
        <f aca="false">Country_Data!$BW$196</f>
        <v>0.311</v>
      </c>
      <c r="F1348" s="41" t="n">
        <f aca="false">Country_Data!$BX$196</f>
        <v>1.03536977491961</v>
      </c>
      <c r="G1348" s="42" t="n">
        <f aca="false">IF(D1348="","",D1348/SUMIFS($D$5:$D$1369,$B$5:$B$1369,B1348,$C$5:$C$1369,C1348))</f>
        <v>5.08025574990721E-006</v>
      </c>
      <c r="H1348" s="42" t="n">
        <f aca="false">E1348/SUMIFS($E$5:$E$1369,$B$5:$B$1369,B1348,$C$5:$C$1369,C1348)</f>
        <v>3.8522571439861E-006</v>
      </c>
      <c r="I1348" s="43" t="n">
        <f aca="false">IF(G1348="",H1348,p_beta_alloc*G1348+(1-p_beta_alloc)*H1348)*F1348^p_phi</f>
        <v>4.54455535208014E-006</v>
      </c>
      <c r="J1348" s="16" t="n">
        <f aca="false">INDEX(Sector_Params!$C$22:$E$22,MATCH(B1348,Sector_Params!$C$15:$E$15,0))*I1348/SUMIFS($I$5:$I$1369,$B$5:$B$1369,B1348,$C$5:$C$1369,C1348)</f>
        <v>0.002739496086959</v>
      </c>
      <c r="K1348" s="28" t="n">
        <f aca="false">INDEX(Sector_Params!$F$11:$H$11,MATCH(B1348,Sector_Params!$C$15:$E$15,0))</f>
        <v>0.24</v>
      </c>
      <c r="L1348" s="16" t="n">
        <f aca="false">J1348*K1348</f>
        <v>0.000657479060870159</v>
      </c>
      <c r="M1348" s="44" t="n">
        <f aca="false">Country_Data!$DW$196+Sector_Params!$E$11</f>
        <v>0.105</v>
      </c>
      <c r="N1348" s="44" t="n">
        <f aca="false">Country_Data!$DX$196+Sector_Params!$E$11</f>
        <v>0.15</v>
      </c>
      <c r="O1348" s="11" t="n">
        <f aca="false">IF(p_use_ibrd=1,p_r_ibrd,p_r_wb)</f>
        <v>0.06</v>
      </c>
      <c r="P1348" s="45" t="n">
        <f aca="false">Sector_Params!$D$11</f>
        <v>30</v>
      </c>
      <c r="Q1348" s="46" t="n">
        <f aca="false">M1348/(1-(1+M1348)^-P1348)</f>
        <v>0.110528481529605</v>
      </c>
      <c r="R1348" s="46" t="n">
        <f aca="false">N1348/(1-(1+N1348)^-P1348)</f>
        <v>0.152300198192734</v>
      </c>
      <c r="S1348" s="46" t="n">
        <f aca="false">O1348/(1-(1+O1348)^-P1348)</f>
        <v>0.0726489114900472</v>
      </c>
      <c r="T1348" s="37" t="n">
        <f aca="false">0*Sector_Params!$I$11</f>
        <v>0</v>
      </c>
      <c r="U1348" s="37" t="n">
        <f aca="false">p_c*Sector_Params!$J$11</f>
        <v>0.129</v>
      </c>
      <c r="V1348" s="37" t="n">
        <f aca="false">1000*p_r_wb/(1-(1+p_r_wb)^-Sector_Params!$D$11)/p_cpt_afolu</f>
        <v>1.45297822980094</v>
      </c>
      <c r="W1348" s="16" t="n">
        <f aca="false">T1348*L1348</f>
        <v>0</v>
      </c>
      <c r="X1348" s="16" t="n">
        <f aca="false">U1348*L1348</f>
        <v>8.48147988522505E-005</v>
      </c>
      <c r="Y1348" s="16" t="n">
        <f aca="false">V1348*L1348</f>
        <v>0.000955302761994311</v>
      </c>
      <c r="Z1348" s="16" t="n">
        <f aca="false">Q1348*L1348</f>
        <v>7.26701622354895E-005</v>
      </c>
      <c r="AA1348" s="16" t="n">
        <f aca="false">R1348*L1348</f>
        <v>0.000100134191278098</v>
      </c>
      <c r="AB1348" s="16" t="n">
        <f aca="false">S1348*L1348</f>
        <v>4.77651380997155E-005</v>
      </c>
      <c r="AC1348" s="16" t="n">
        <f aca="false">Z1348-W1348</f>
        <v>7.26701622354895E-005</v>
      </c>
      <c r="AD1348" s="16" t="n">
        <f aca="false">AA1348-W1348</f>
        <v>0.000100134191278098</v>
      </c>
      <c r="AE1348" s="16" t="n">
        <f aca="false">AB1348-W1348</f>
        <v>4.77651380997155E-005</v>
      </c>
      <c r="AF1348" s="16" t="n">
        <f aca="false">AE1348-X1348</f>
        <v>-3.7049660752535E-005</v>
      </c>
      <c r="AG1348" s="16" t="n">
        <f aca="false">AF1348-p_spc_lo*Y1348/1000</f>
        <v>-8.48147988522505E-005</v>
      </c>
      <c r="AH1348" s="16" t="n">
        <f aca="false">AF1348-p_spc_hi*Y1348/1000</f>
        <v>-0.000132579936951966</v>
      </c>
      <c r="AI1348" s="16" t="n">
        <f aca="false">Q1348*J1348</f>
        <v>0.000302792342647873</v>
      </c>
      <c r="AJ1348" s="16" t="n">
        <f aca="false">S1348*J1348</f>
        <v>0.000199021408748815</v>
      </c>
      <c r="AK1348" s="16" t="n">
        <f aca="false">T1348*J1348</f>
        <v>0</v>
      </c>
      <c r="AL1348" s="16" t="n">
        <f aca="false">U1348*J1348</f>
        <v>0.00035339499521771</v>
      </c>
      <c r="AM1348" s="16" t="n">
        <f aca="false">AI1348-AJ1348</f>
        <v>0.000103770933899058</v>
      </c>
      <c r="AN1348" s="16" t="n">
        <f aca="false">J1348*Country_Data!$EB$196</f>
        <v>0.00313457987637077</v>
      </c>
      <c r="AO1348" s="16" t="n">
        <f aca="false">L1348*Country_Data!$EB$196</f>
        <v>0.000752299170328985</v>
      </c>
    </row>
    <row r="1349" customFormat="false" ht="15" hidden="false" customHeight="false" outlineLevel="0" collapsed="false">
      <c r="A1349" s="14" t="str">
        <f aca="false">Country_Data!$A$197</f>
        <v>MHL</v>
      </c>
      <c r="B1349" s="14" t="str">
        <f aca="false">Country_Data!$E$197</f>
        <v>EMDC</v>
      </c>
      <c r="C1349" s="35" t="s">
        <v>466</v>
      </c>
      <c r="D1349" s="37" t="str">
        <f aca="false">IF(Country_Data!$BZ$197="","",Country_Data!$BZ$197)</f>
        <v/>
      </c>
      <c r="E1349" s="40" t="n">
        <f aca="false">Country_Data!$BW$197</f>
        <v>0.268</v>
      </c>
      <c r="F1349" s="41" t="n">
        <f aca="false">Country_Data!$BX$197</f>
        <v>1.0634328358209</v>
      </c>
      <c r="G1349" s="42" t="str">
        <f aca="false">IF(D1349="","",D1349/SUMIFS($D$5:$D$1369,$B$5:$B$1369,B1349,$C$5:$C$1369,C1349))</f>
        <v/>
      </c>
      <c r="H1349" s="42" t="n">
        <f aca="false">E1349/SUMIFS($E$5:$E$1369,$B$5:$B$1369,B1349,$C$5:$C$1369,C1349)</f>
        <v>3.31962995044461E-006</v>
      </c>
      <c r="I1349" s="43" t="n">
        <f aca="false">IF(G1349="",H1349,p_beta_alloc*G1349+(1-p_beta_alloc)*H1349)*F1349^p_phi</f>
        <v>3.42329800681506E-006</v>
      </c>
      <c r="J1349" s="16" t="n">
        <f aca="false">INDEX(Sector_Params!$C$16:$E$16,MATCH(B1349,Sector_Params!$C$15:$E$15,0))*I1349/SUMIFS($I$5:$I$1369,$B$5:$B$1369,B1349,$C$5:$C$1369,C1349)</f>
        <v>0.0033111006202786</v>
      </c>
      <c r="K1349" s="28" t="n">
        <f aca="false">INDEX(Sector_Params!$F$5:$H$5,MATCH(B1349,Sector_Params!$C$15:$E$15,0))</f>
        <v>0.24</v>
      </c>
      <c r="L1349" s="16" t="n">
        <f aca="false">J1349*K1349</f>
        <v>0.000794664148866864</v>
      </c>
      <c r="M1349" s="44" t="n">
        <f aca="false">Country_Data!$DW$197+Sector_Params!$E$5</f>
        <v>0.105</v>
      </c>
      <c r="N1349" s="44" t="n">
        <f aca="false">Country_Data!$DX$197+Sector_Params!$E$5</f>
        <v>0.15</v>
      </c>
      <c r="O1349" s="11" t="n">
        <f aca="false">IF(p_use_ibrd=1,p_r_ibrd,p_r_wb)</f>
        <v>0.06</v>
      </c>
      <c r="P1349" s="45" t="n">
        <f aca="false">Sector_Params!$D$5</f>
        <v>25</v>
      </c>
      <c r="Q1349" s="46" t="n">
        <f aca="false">M1349/(1-(1+M1349)^-P1349)</f>
        <v>0.114429319813103</v>
      </c>
      <c r="R1349" s="46" t="n">
        <f aca="false">N1349/(1-(1+N1349)^-P1349)</f>
        <v>0.154699402320206</v>
      </c>
      <c r="S1349" s="46" t="n">
        <f aca="false">O1349/(1-(1+O1349)^-P1349)</f>
        <v>0.078226718212274</v>
      </c>
      <c r="T1349" s="37" t="n">
        <f aca="false">IF(AND(p_eng=1,ISNUMBER(Country_Data!$CZ$197)),Country_Data!$CZ$197,Country_Data!$CM$197)*Sector_Params!$I$5</f>
        <v>0.133</v>
      </c>
      <c r="U1349" s="37" t="n">
        <f aca="false">IF(AND(p_eng=1,ISNUMBER(Country_Data!$DA$197)),Country_Data!$DA$197,Country_Data!$CN$197)*Sector_Params!$J$5</f>
        <v>0.129</v>
      </c>
      <c r="V1349" s="37" t="n">
        <f aca="false">IF(AND(p_eng=1,ISNUMBER(Country_Data!$DB$197)),Country_Data!$DB$197,p_a)</f>
        <v>0.35</v>
      </c>
      <c r="W1349" s="16" t="n">
        <f aca="false">T1349*L1349</f>
        <v>0.000105690331799293</v>
      </c>
      <c r="X1349" s="16" t="n">
        <f aca="false">U1349*L1349</f>
        <v>0.000102511675203825</v>
      </c>
      <c r="Y1349" s="16" t="n">
        <f aca="false">V1349*L1349</f>
        <v>0.000278132452103402</v>
      </c>
      <c r="Z1349" s="16" t="n">
        <f aca="false">Q1349*L1349</f>
        <v>9.09328780346939E-005</v>
      </c>
      <c r="AA1349" s="16" t="n">
        <f aca="false">R1349*L1349</f>
        <v>0.000122934068874999</v>
      </c>
      <c r="AB1349" s="16" t="n">
        <f aca="false">S1349*L1349</f>
        <v>6.21639684468047E-005</v>
      </c>
      <c r="AC1349" s="16" t="n">
        <f aca="false">Z1349-W1349</f>
        <v>-1.4757453764599E-005</v>
      </c>
      <c r="AD1349" s="16" t="n">
        <f aca="false">AA1349-W1349</f>
        <v>1.72437370757065E-005</v>
      </c>
      <c r="AE1349" s="16" t="n">
        <f aca="false">AB1349-W1349</f>
        <v>-4.35263633524882E-005</v>
      </c>
      <c r="AF1349" s="16" t="n">
        <f aca="false">AE1349-X1349</f>
        <v>-0.000146038038556314</v>
      </c>
      <c r="AG1349" s="16" t="n">
        <f aca="false">AF1349-p_spc_lo*Y1349/1000</f>
        <v>-0.000159944661161484</v>
      </c>
      <c r="AH1349" s="16" t="n">
        <f aca="false">AF1349-p_spc_hi*Y1349/1000</f>
        <v>-0.000173851283766654</v>
      </c>
      <c r="AI1349" s="16" t="n">
        <f aca="false">Q1349*J1349</f>
        <v>0.000378886991811225</v>
      </c>
      <c r="AJ1349" s="16" t="n">
        <f aca="false">S1349*J1349</f>
        <v>0.000259016535195019</v>
      </c>
      <c r="AK1349" s="16" t="n">
        <f aca="false">T1349*J1349</f>
        <v>0.000440376382497054</v>
      </c>
      <c r="AL1349" s="16" t="n">
        <f aca="false">U1349*J1349</f>
        <v>0.000427131980015939</v>
      </c>
      <c r="AM1349" s="16" t="n">
        <f aca="false">AI1349-AJ1349</f>
        <v>0.000119870456616205</v>
      </c>
      <c r="AN1349" s="16" t="n">
        <f aca="false">J1349*Country_Data!$EB$197</f>
        <v>0.00380096208190886</v>
      </c>
      <c r="AO1349" s="16" t="n">
        <f aca="false">L1349*Country_Data!$EB$197</f>
        <v>0.000912230899658126</v>
      </c>
    </row>
    <row r="1350" customFormat="false" ht="15" hidden="false" customHeight="false" outlineLevel="0" collapsed="false">
      <c r="A1350" s="14" t="str">
        <f aca="false">Country_Data!$A$197</f>
        <v>MHL</v>
      </c>
      <c r="B1350" s="14" t="str">
        <f aca="false">Country_Data!$E$197</f>
        <v>EMDC</v>
      </c>
      <c r="C1350" s="35" t="s">
        <v>470</v>
      </c>
      <c r="D1350" s="37" t="str">
        <f aca="false">IF(Country_Data!$BZ$197="","",Country_Data!$BZ$197)</f>
        <v/>
      </c>
      <c r="E1350" s="40" t="n">
        <f aca="false">Country_Data!$BW$197</f>
        <v>0.268</v>
      </c>
      <c r="F1350" s="41" t="n">
        <f aca="false">Country_Data!$BX$197</f>
        <v>1.0634328358209</v>
      </c>
      <c r="G1350" s="42" t="str">
        <f aca="false">IF(D1350="","",D1350/SUMIFS($D$5:$D$1369,$B$5:$B$1369,B1350,$C$5:$C$1369,C1350))</f>
        <v/>
      </c>
      <c r="H1350" s="42" t="n">
        <f aca="false">E1350/SUMIFS($E$5:$E$1369,$B$5:$B$1369,B1350,$C$5:$C$1369,C1350)</f>
        <v>3.31962995044461E-006</v>
      </c>
      <c r="I1350" s="43" t="n">
        <f aca="false">IF(G1350="",H1350,p_beta_alloc*G1350+(1-p_beta_alloc)*H1350)*F1350^p_phi</f>
        <v>3.42329800681506E-006</v>
      </c>
      <c r="J1350" s="16" t="n">
        <f aca="false">INDEX(Sector_Params!$C$17:$E$17,MATCH(B1350,Sector_Params!$C$15:$E$15,0))*I1350/SUMIFS($I$5:$I$1369,$B$5:$B$1369,B1350,$C$5:$C$1369,C1350)</f>
        <v>0.00227046899676247</v>
      </c>
      <c r="K1350" s="28" t="n">
        <f aca="false">INDEX(Sector_Params!$F$6:$H$6,MATCH(B1350,Sector_Params!$C$15:$E$15,0))</f>
        <v>0.24</v>
      </c>
      <c r="L1350" s="16" t="n">
        <f aca="false">J1350*K1350</f>
        <v>0.000544912559222992</v>
      </c>
      <c r="M1350" s="44" t="n">
        <f aca="false">Country_Data!$DW$197+Sector_Params!$E$6</f>
        <v>0.105</v>
      </c>
      <c r="N1350" s="44" t="n">
        <f aca="false">Country_Data!$DX$197+Sector_Params!$E$6</f>
        <v>0.15</v>
      </c>
      <c r="O1350" s="11" t="n">
        <f aca="false">IF(p_use_ibrd=1,p_r_ibrd,p_r_wb)</f>
        <v>0.06</v>
      </c>
      <c r="P1350" s="45" t="n">
        <f aca="false">Sector_Params!$D$6</f>
        <v>40</v>
      </c>
      <c r="Q1350" s="46" t="n">
        <f aca="false">M1350/(1-(1+M1350)^-P1350)</f>
        <v>0.10697140835497</v>
      </c>
      <c r="R1350" s="46" t="n">
        <f aca="false">N1350/(1-(1+N1350)^-P1350)</f>
        <v>0.150562085013545</v>
      </c>
      <c r="S1350" s="46" t="n">
        <f aca="false">O1350/(1-(1+O1350)^-P1350)</f>
        <v>0.0664615359206755</v>
      </c>
      <c r="T1350" s="37" t="n">
        <f aca="false">p_grid_credit*IF(AND(p_eng=1,ISNUMBER(Country_Data!$CZ$197)),Country_Data!$CZ$197,Country_Data!$CM$197)*Sector_Params!$I$6</f>
        <v>0</v>
      </c>
      <c r="U1350" s="37" t="n">
        <f aca="false">p_grid_credit*IF(AND(p_eng=1,ISNUMBER(Country_Data!$DA$197)),Country_Data!$DA$197,Country_Data!$CN$197)*Sector_Params!$J$6</f>
        <v>0</v>
      </c>
      <c r="V1350" s="37" t="n">
        <f aca="false">p_grid_credit*IF(AND(p_eng=1,ISNUMBER(Country_Data!$DB$197)),Country_Data!$DB$197,p_a)</f>
        <v>0</v>
      </c>
      <c r="W1350" s="16" t="n">
        <f aca="false">T1350*L1350</f>
        <v>0</v>
      </c>
      <c r="X1350" s="16" t="n">
        <f aca="false">U1350*L1350</f>
        <v>0</v>
      </c>
      <c r="Y1350" s="16" t="n">
        <f aca="false">V1350*L1350</f>
        <v>0</v>
      </c>
      <c r="Z1350" s="16" t="n">
        <f aca="false">Q1350*L1350</f>
        <v>5.82900638903947E-005</v>
      </c>
      <c r="AA1350" s="16" t="n">
        <f aca="false">R1350*L1350</f>
        <v>8.20431710666805E-005</v>
      </c>
      <c r="AB1350" s="16" t="n">
        <f aca="false">S1350*L1350</f>
        <v>3.62157256284261E-005</v>
      </c>
      <c r="AC1350" s="16" t="n">
        <f aca="false">Z1350-W1350</f>
        <v>5.82900638903947E-005</v>
      </c>
      <c r="AD1350" s="16" t="n">
        <f aca="false">AA1350-W1350</f>
        <v>8.20431710666805E-005</v>
      </c>
      <c r="AE1350" s="16" t="n">
        <f aca="false">AB1350-W1350</f>
        <v>3.62157256284261E-005</v>
      </c>
      <c r="AF1350" s="16" t="n">
        <f aca="false">AE1350-X1350</f>
        <v>3.62157256284261E-005</v>
      </c>
      <c r="AG1350" s="16" t="n">
        <f aca="false">AF1350-p_spc_lo*Y1350/1000</f>
        <v>3.62157256284261E-005</v>
      </c>
      <c r="AH1350" s="16" t="n">
        <f aca="false">AF1350-p_spc_hi*Y1350/1000</f>
        <v>3.62157256284261E-005</v>
      </c>
      <c r="AI1350" s="16" t="n">
        <f aca="false">Q1350*J1350</f>
        <v>0.000242875266209978</v>
      </c>
      <c r="AJ1350" s="16" t="n">
        <f aca="false">S1350*J1350</f>
        <v>0.000150898856785109</v>
      </c>
      <c r="AK1350" s="16" t="n">
        <f aca="false">T1350*J1350</f>
        <v>0</v>
      </c>
      <c r="AL1350" s="16" t="n">
        <f aca="false">U1350*J1350</f>
        <v>0</v>
      </c>
      <c r="AM1350" s="16" t="n">
        <f aca="false">AI1350-AJ1350</f>
        <v>9.1976409424869E-005</v>
      </c>
      <c r="AN1350" s="16" t="n">
        <f aca="false">J1350*Country_Data!$EB$197</f>
        <v>0.00260637399902322</v>
      </c>
      <c r="AO1350" s="16" t="n">
        <f aca="false">L1350*Country_Data!$EB$197</f>
        <v>0.000625529759765572</v>
      </c>
    </row>
    <row r="1351" customFormat="false" ht="15" hidden="false" customHeight="false" outlineLevel="0" collapsed="false">
      <c r="A1351" s="14" t="str">
        <f aca="false">Country_Data!$A$197</f>
        <v>MHL</v>
      </c>
      <c r="B1351" s="14" t="str">
        <f aca="false">Country_Data!$E$197</f>
        <v>EMDC</v>
      </c>
      <c r="C1351" s="35" t="s">
        <v>473</v>
      </c>
      <c r="D1351" s="37" t="str">
        <f aca="false">IF(Country_Data!$CA$197="","",Country_Data!$CA$197)</f>
        <v/>
      </c>
      <c r="E1351" s="40" t="n">
        <f aca="false">Country_Data!$BW$197</f>
        <v>0.268</v>
      </c>
      <c r="F1351" s="41" t="n">
        <f aca="false">Country_Data!$BX$197</f>
        <v>1.0634328358209</v>
      </c>
      <c r="G1351" s="42" t="str">
        <f aca="false">IF(D1351="","",D1351/SUMIFS($D$5:$D$1369,$B$5:$B$1369,B1351,$C$5:$C$1369,C1351))</f>
        <v/>
      </c>
      <c r="H1351" s="42" t="n">
        <f aca="false">E1351/SUMIFS($E$5:$E$1369,$B$5:$B$1369,B1351,$C$5:$C$1369,C1351)</f>
        <v>3.31962995044461E-006</v>
      </c>
      <c r="I1351" s="43" t="n">
        <f aca="false">IF(G1351="",H1351,p_beta_alloc*G1351+(1-p_beta_alloc)*H1351)*F1351^p_phi</f>
        <v>3.42329800681506E-006</v>
      </c>
      <c r="J1351" s="16" t="n">
        <f aca="false">INDEX(Sector_Params!$C$18:$E$18,MATCH(B1351,Sector_Params!$C$15:$E$15,0))*I1351/SUMIFS($I$5:$I$1369,$B$5:$B$1369,B1351,$C$5:$C$1369,C1351)</f>
        <v>0.00140175953440293</v>
      </c>
      <c r="K1351" s="28" t="n">
        <f aca="false">INDEX(Sector_Params!$F$7:$H$7,MATCH(B1351,Sector_Params!$C$15:$E$15,0))</f>
        <v>0.24</v>
      </c>
      <c r="L1351" s="16" t="n">
        <f aca="false">J1351*K1351</f>
        <v>0.000336422288256703</v>
      </c>
      <c r="M1351" s="44" t="n">
        <f aca="false">Country_Data!$DW$197+Sector_Params!$E$7</f>
        <v>0.105</v>
      </c>
      <c r="N1351" s="44" t="n">
        <f aca="false">Country_Data!$DX$197+Sector_Params!$E$7</f>
        <v>0.15</v>
      </c>
      <c r="O1351" s="11" t="n">
        <f aca="false">IF(p_use_ibrd=1,p_r_ibrd,p_r_wb)</f>
        <v>0.06</v>
      </c>
      <c r="P1351" s="45" t="n">
        <f aca="false">Sector_Params!$D$7</f>
        <v>12</v>
      </c>
      <c r="Q1351" s="46" t="n">
        <f aca="false">M1351/(1-(1+M1351)^-P1351)</f>
        <v>0.150376745634766</v>
      </c>
      <c r="R1351" s="46" t="n">
        <f aca="false">N1351/(1-(1+N1351)^-P1351)</f>
        <v>0.18448077613084</v>
      </c>
      <c r="S1351" s="46" t="n">
        <f aca="false">O1351/(1-(1+O1351)^-P1351)</f>
        <v>0.119277029380664</v>
      </c>
      <c r="T1351" s="37" t="n">
        <f aca="false">IF(AND(p_eng=1,ISNUMBER(Country_Data!$DE$197)),Country_Data!$DE$197,Country_Data!$CM$197)*Sector_Params!$I$7</f>
        <v>0.133</v>
      </c>
      <c r="U1351" s="37" t="n">
        <f aca="false">IF(AND(p_eng=1,ISNUMBER(Country_Data!$DF$197)),Country_Data!$DF$197,Country_Data!$CN$197)*Sector_Params!$J$7</f>
        <v>0.129</v>
      </c>
      <c r="V1351" s="37" t="n">
        <f aca="false">IF(AND(p_eng=1,ISNUMBER(Country_Data!$DG$197)),Country_Data!$DG$197,p_a)</f>
        <v>0.35</v>
      </c>
      <c r="W1351" s="16" t="n">
        <f aca="false">T1351*L1351</f>
        <v>4.47441643381416E-005</v>
      </c>
      <c r="X1351" s="16" t="n">
        <f aca="false">U1351*L1351</f>
        <v>4.33984751851147E-005</v>
      </c>
      <c r="Y1351" s="16" t="n">
        <f aca="false">V1351*L1351</f>
        <v>0.000117747800889846</v>
      </c>
      <c r="Z1351" s="16" t="n">
        <f aca="false">Q1351*L1351</f>
        <v>5.05900888670441E-005</v>
      </c>
      <c r="AA1351" s="16" t="n">
        <f aca="false">R1351*L1351</f>
        <v>6.20634448453097E-005</v>
      </c>
      <c r="AB1351" s="16" t="n">
        <f aca="false">S1351*L1351</f>
        <v>4.01274511607049E-005</v>
      </c>
      <c r="AC1351" s="16" t="n">
        <f aca="false">Z1351-W1351</f>
        <v>5.84592452890256E-006</v>
      </c>
      <c r="AD1351" s="16" t="n">
        <f aca="false">AA1351-W1351</f>
        <v>1.73192805071681E-005</v>
      </c>
      <c r="AE1351" s="16" t="n">
        <f aca="false">AB1351-W1351</f>
        <v>-4.61671317743668E-006</v>
      </c>
      <c r="AF1351" s="16" t="n">
        <f aca="false">AE1351-X1351</f>
        <v>-4.80151883625514E-005</v>
      </c>
      <c r="AG1351" s="16" t="n">
        <f aca="false">AF1351-p_spc_lo*Y1351/1000</f>
        <v>-5.39025784070437E-005</v>
      </c>
      <c r="AH1351" s="16" t="n">
        <f aca="false">AF1351-p_spc_hi*Y1351/1000</f>
        <v>-5.9789968451536E-005</v>
      </c>
      <c r="AI1351" s="16" t="n">
        <f aca="false">Q1351*J1351</f>
        <v>0.000210792036946017</v>
      </c>
      <c r="AJ1351" s="16" t="n">
        <f aca="false">S1351*J1351</f>
        <v>0.000167197713169604</v>
      </c>
      <c r="AK1351" s="16" t="n">
        <f aca="false">T1351*J1351</f>
        <v>0.00018643401807559</v>
      </c>
      <c r="AL1351" s="16" t="n">
        <f aca="false">U1351*J1351</f>
        <v>0.000180826979937978</v>
      </c>
      <c r="AM1351" s="16" t="n">
        <f aca="false">AI1351-AJ1351</f>
        <v>4.35943237764135E-005</v>
      </c>
      <c r="AN1351" s="16" t="n">
        <f aca="false">J1351*Country_Data!$EB$197</f>
        <v>0.00160914313675295</v>
      </c>
      <c r="AO1351" s="16" t="n">
        <f aca="false">L1351*Country_Data!$EB$197</f>
        <v>0.000386194352820709</v>
      </c>
    </row>
    <row r="1352" customFormat="false" ht="15" hidden="false" customHeight="false" outlineLevel="0" collapsed="false">
      <c r="A1352" s="14" t="str">
        <f aca="false">Country_Data!$A$197</f>
        <v>MHL</v>
      </c>
      <c r="B1352" s="14" t="str">
        <f aca="false">Country_Data!$E$197</f>
        <v>EMDC</v>
      </c>
      <c r="C1352" s="35" t="s">
        <v>477</v>
      </c>
      <c r="D1352" s="37" t="str">
        <f aca="false">IF(Country_Data!$CB$197="","",Country_Data!$CB$197)</f>
        <v/>
      </c>
      <c r="E1352" s="40" t="n">
        <f aca="false">Country_Data!$BW$197</f>
        <v>0.268</v>
      </c>
      <c r="F1352" s="41" t="n">
        <f aca="false">Country_Data!$BX$197</f>
        <v>1.0634328358209</v>
      </c>
      <c r="G1352" s="42" t="str">
        <f aca="false">IF(D1352="","",D1352/SUMIFS($D$5:$D$1369,$B$5:$B$1369,B1352,$C$5:$C$1369,C1352))</f>
        <v/>
      </c>
      <c r="H1352" s="42" t="n">
        <f aca="false">E1352/SUMIFS($E$5:$E$1369,$B$5:$B$1369,B1352,$C$5:$C$1369,C1352)</f>
        <v>3.31962995044461E-006</v>
      </c>
      <c r="I1352" s="43" t="n">
        <f aca="false">IF(G1352="",H1352,p_beta_alloc*G1352+(1-p_beta_alloc)*H1352)*F1352^p_phi</f>
        <v>3.42329800681506E-006</v>
      </c>
      <c r="J1352" s="16" t="n">
        <f aca="false">INDEX(Sector_Params!$C$19:$E$19,MATCH(B1352,Sector_Params!$C$15:$E$15,0))*I1352/SUMIFS($I$5:$I$1369,$B$5:$B$1369,B1352,$C$5:$C$1369,C1352)</f>
        <v>0.00110183158515401</v>
      </c>
      <c r="K1352" s="28" t="n">
        <f aca="false">INDEX(Sector_Params!$F$8:$H$8,MATCH(B1352,Sector_Params!$C$15:$E$15,0))</f>
        <v>0.24</v>
      </c>
      <c r="L1352" s="16" t="n">
        <f aca="false">J1352*K1352</f>
        <v>0.000264439580436963</v>
      </c>
      <c r="M1352" s="44" t="n">
        <f aca="false">Country_Data!$DW$197+Sector_Params!$E$8</f>
        <v>0.105</v>
      </c>
      <c r="N1352" s="44" t="n">
        <f aca="false">Country_Data!$DX$197+Sector_Params!$E$8</f>
        <v>0.15</v>
      </c>
      <c r="O1352" s="11" t="n">
        <f aca="false">IF(p_use_ibrd=1,p_r_ibrd,p_r_wb)</f>
        <v>0.06</v>
      </c>
      <c r="P1352" s="45" t="n">
        <f aca="false">Sector_Params!$D$8</f>
        <v>25</v>
      </c>
      <c r="Q1352" s="46" t="n">
        <f aca="false">M1352/(1-(1+M1352)^-P1352)</f>
        <v>0.114429319813103</v>
      </c>
      <c r="R1352" s="46" t="n">
        <f aca="false">N1352/(1-(1+N1352)^-P1352)</f>
        <v>0.154699402320206</v>
      </c>
      <c r="S1352" s="46" t="n">
        <f aca="false">O1352/(1-(1+O1352)^-P1352)</f>
        <v>0.078226718212274</v>
      </c>
      <c r="T1352" s="37" t="n">
        <f aca="false">Country_Data!$CM$197*Sector_Params!$I$8</f>
        <v>0.133</v>
      </c>
      <c r="U1352" s="37" t="n">
        <f aca="false">Country_Data!$CN$197*Sector_Params!$J$8</f>
        <v>0.129</v>
      </c>
      <c r="V1352" s="37" t="n">
        <f aca="false">p_a</f>
        <v>0.35</v>
      </c>
      <c r="W1352" s="16" t="n">
        <f aca="false">T1352*L1352</f>
        <v>3.51704641981161E-005</v>
      </c>
      <c r="X1352" s="16" t="n">
        <f aca="false">U1352*L1352</f>
        <v>3.41127058763683E-005</v>
      </c>
      <c r="Y1352" s="16" t="n">
        <f aca="false">V1352*L1352</f>
        <v>9.25538531529372E-005</v>
      </c>
      <c r="Z1352" s="16" t="n">
        <f aca="false">Q1352*L1352</f>
        <v>3.02596413210642E-005</v>
      </c>
      <c r="AA1352" s="16" t="n">
        <f aca="false">R1352*L1352</f>
        <v>4.09086450434044E-005</v>
      </c>
      <c r="AB1352" s="16" t="n">
        <f aca="false">S1352*L1352</f>
        <v>2.06862405430143E-005</v>
      </c>
      <c r="AC1352" s="16" t="n">
        <f aca="false">Z1352-W1352</f>
        <v>-4.91082287705199E-006</v>
      </c>
      <c r="AD1352" s="16" t="n">
        <f aca="false">AA1352-W1352</f>
        <v>5.73818084528827E-006</v>
      </c>
      <c r="AE1352" s="16" t="n">
        <f aca="false">AB1352-W1352</f>
        <v>-1.44842236551019E-005</v>
      </c>
      <c r="AF1352" s="16" t="n">
        <f aca="false">AE1352-X1352</f>
        <v>-4.85969295314701E-005</v>
      </c>
      <c r="AG1352" s="16" t="n">
        <f aca="false">AF1352-p_spc_lo*Y1352/1000</f>
        <v>-5.3224622189117E-005</v>
      </c>
      <c r="AH1352" s="16" t="n">
        <f aca="false">AF1352-p_spc_hi*Y1352/1000</f>
        <v>-5.78523148467639E-005</v>
      </c>
      <c r="AI1352" s="16" t="n">
        <f aca="false">Q1352*J1352</f>
        <v>0.000126081838837767</v>
      </c>
      <c r="AJ1352" s="16" t="n">
        <f aca="false">S1352*J1352</f>
        <v>8.61926689292262E-005</v>
      </c>
      <c r="AK1352" s="16" t="n">
        <f aca="false">T1352*J1352</f>
        <v>0.000146543600825484</v>
      </c>
      <c r="AL1352" s="16" t="n">
        <f aca="false">U1352*J1352</f>
        <v>0.000142136274484868</v>
      </c>
      <c r="AM1352" s="16" t="n">
        <f aca="false">AI1352-AJ1352</f>
        <v>3.98891699085411E-005</v>
      </c>
      <c r="AN1352" s="16" t="n">
        <f aca="false">J1352*Country_Data!$EB$197</f>
        <v>0.00126484228542338</v>
      </c>
      <c r="AO1352" s="16" t="n">
        <f aca="false">L1352*Country_Data!$EB$197</f>
        <v>0.00030356214850161</v>
      </c>
    </row>
    <row r="1353" customFormat="false" ht="15" hidden="false" customHeight="false" outlineLevel="0" collapsed="false">
      <c r="A1353" s="14" t="str">
        <f aca="false">Country_Data!$A$197</f>
        <v>MHL</v>
      </c>
      <c r="B1353" s="14" t="str">
        <f aca="false">Country_Data!$E$197</f>
        <v>EMDC</v>
      </c>
      <c r="C1353" s="35" t="s">
        <v>481</v>
      </c>
      <c r="D1353" s="37" t="str">
        <f aca="false">IF(Country_Data!$CC$197="","",Country_Data!$CC$197)</f>
        <v/>
      </c>
      <c r="E1353" s="40" t="n">
        <f aca="false">Country_Data!$BW$197</f>
        <v>0.268</v>
      </c>
      <c r="F1353" s="41" t="n">
        <f aca="false">Country_Data!$BX$197</f>
        <v>1.0634328358209</v>
      </c>
      <c r="G1353" s="42" t="str">
        <f aca="false">IF(D1353="","",D1353/SUMIFS($D$5:$D$1369,$B$5:$B$1369,B1353,$C$5:$C$1369,C1353))</f>
        <v/>
      </c>
      <c r="H1353" s="42" t="n">
        <f aca="false">E1353/SUMIFS($E$5:$E$1369,$B$5:$B$1369,B1353,$C$5:$C$1369,C1353)</f>
        <v>3.31962995044461E-006</v>
      </c>
      <c r="I1353" s="43" t="n">
        <f aca="false">IF(G1353="",H1353,p_beta_alloc*G1353+(1-p_beta_alloc)*H1353)*F1353^p_phi</f>
        <v>3.42329800681506E-006</v>
      </c>
      <c r="J1353" s="16" t="n">
        <f aca="false">INDEX(Sector_Params!$C$20:$E$20,MATCH(B1353,Sector_Params!$C$15:$E$15,0))*I1353/SUMIFS($I$5:$I$1369,$B$5:$B$1369,B1353,$C$5:$C$1369,C1353)</f>
        <v>0.000624820823547517</v>
      </c>
      <c r="K1353" s="28" t="n">
        <f aca="false">INDEX(Sector_Params!$F$9:$H$9,MATCH(B1353,Sector_Params!$C$15:$E$15,0))</f>
        <v>0.24</v>
      </c>
      <c r="L1353" s="16" t="n">
        <f aca="false">J1353*K1353</f>
        <v>0.000149956997651404</v>
      </c>
      <c r="M1353" s="44" t="n">
        <f aca="false">Country_Data!$DW$197+Sector_Params!$E$9</f>
        <v>0.105</v>
      </c>
      <c r="N1353" s="44" t="n">
        <f aca="false">Country_Data!$DX$197+Sector_Params!$E$9</f>
        <v>0.15</v>
      </c>
      <c r="O1353" s="11" t="n">
        <f aca="false">IF(p_use_ibrd=1,p_r_ibrd,p_r_wb)</f>
        <v>0.06</v>
      </c>
      <c r="P1353" s="45" t="n">
        <f aca="false">Sector_Params!$D$9</f>
        <v>25</v>
      </c>
      <c r="Q1353" s="46" t="n">
        <f aca="false">M1353/(1-(1+M1353)^-P1353)</f>
        <v>0.114429319813103</v>
      </c>
      <c r="R1353" s="46" t="n">
        <f aca="false">N1353/(1-(1+N1353)^-P1353)</f>
        <v>0.154699402320206</v>
      </c>
      <c r="S1353" s="46" t="n">
        <f aca="false">O1353/(1-(1+O1353)^-P1353)</f>
        <v>0.078226718212274</v>
      </c>
      <c r="T1353" s="37" t="n">
        <f aca="false">Country_Data!$CM$197*Sector_Params!$I$9</f>
        <v>0.133</v>
      </c>
      <c r="U1353" s="37" t="n">
        <f aca="false">Country_Data!$CN$197*Sector_Params!$J$9</f>
        <v>0.129</v>
      </c>
      <c r="V1353" s="37" t="n">
        <f aca="false">p_a</f>
        <v>0.35</v>
      </c>
      <c r="W1353" s="16" t="n">
        <f aca="false">T1353*L1353</f>
        <v>1.99442806876367E-005</v>
      </c>
      <c r="X1353" s="16" t="n">
        <f aca="false">U1353*L1353</f>
        <v>1.93444526970311E-005</v>
      </c>
      <c r="Y1353" s="16" t="n">
        <f aca="false">V1353*L1353</f>
        <v>5.24849491779914E-005</v>
      </c>
      <c r="Z1353" s="16" t="n">
        <f aca="false">Q1353*L1353</f>
        <v>1.71594772424653E-005</v>
      </c>
      <c r="AA1353" s="16" t="n">
        <f aca="false">R1353*L1353</f>
        <v>2.31982579104048E-005</v>
      </c>
      <c r="AB1353" s="16" t="n">
        <f aca="false">S1353*L1353</f>
        <v>1.1730643799235E-005</v>
      </c>
      <c r="AC1353" s="16" t="n">
        <f aca="false">Z1353-W1353</f>
        <v>-2.78480344517144E-006</v>
      </c>
      <c r="AD1353" s="16" t="n">
        <f aca="false">AA1353-W1353</f>
        <v>3.25397722276807E-006</v>
      </c>
      <c r="AE1353" s="16" t="n">
        <f aca="false">AB1353-W1353</f>
        <v>-8.21363688840173E-006</v>
      </c>
      <c r="AF1353" s="16" t="n">
        <f aca="false">AE1353-X1353</f>
        <v>-2.75580895854329E-005</v>
      </c>
      <c r="AG1353" s="16" t="n">
        <f aca="false">AF1353-p_spc_lo*Y1353/1000</f>
        <v>-3.01823370443324E-005</v>
      </c>
      <c r="AH1353" s="16" t="n">
        <f aca="false">AF1353-p_spc_hi*Y1353/1000</f>
        <v>-3.2806584503232E-005</v>
      </c>
      <c r="AI1353" s="16" t="n">
        <f aca="false">Q1353*J1353</f>
        <v>7.14978218436054E-005</v>
      </c>
      <c r="AJ1353" s="16" t="n">
        <f aca="false">S1353*J1353</f>
        <v>4.88776824968125E-005</v>
      </c>
      <c r="AK1353" s="16" t="n">
        <f aca="false">T1353*J1353</f>
        <v>8.31011695318198E-005</v>
      </c>
      <c r="AL1353" s="16" t="n">
        <f aca="false">U1353*J1353</f>
        <v>8.06018862376297E-005</v>
      </c>
      <c r="AM1353" s="16" t="n">
        <f aca="false">AI1353-AJ1353</f>
        <v>2.26201393467929E-005</v>
      </c>
      <c r="AN1353" s="16" t="n">
        <f aca="false">J1353*Country_Data!$EB$197</f>
        <v>0.000717260068675095</v>
      </c>
      <c r="AO1353" s="16" t="n">
        <f aca="false">L1353*Country_Data!$EB$197</f>
        <v>0.000172142416482023</v>
      </c>
    </row>
    <row r="1354" customFormat="false" ht="15" hidden="false" customHeight="false" outlineLevel="0" collapsed="false">
      <c r="A1354" s="14" t="str">
        <f aca="false">Country_Data!$A$197</f>
        <v>MHL</v>
      </c>
      <c r="B1354" s="14" t="str">
        <f aca="false">Country_Data!$E$197</f>
        <v>EMDC</v>
      </c>
      <c r="C1354" s="35" t="s">
        <v>484</v>
      </c>
      <c r="D1354" s="37" t="str">
        <f aca="false">IF(Country_Data!$CD$197="","",Country_Data!$CD$197)</f>
        <v/>
      </c>
      <c r="E1354" s="40" t="n">
        <f aca="false">Country_Data!$BW$197</f>
        <v>0.268</v>
      </c>
      <c r="F1354" s="41" t="n">
        <f aca="false">Country_Data!$BX$197</f>
        <v>1.0634328358209</v>
      </c>
      <c r="G1354" s="42" t="str">
        <f aca="false">IF(D1354="","",D1354/SUMIFS($D$5:$D$1369,$B$5:$B$1369,B1354,$C$5:$C$1369,C1354))</f>
        <v/>
      </c>
      <c r="H1354" s="42" t="n">
        <f aca="false">E1354/SUMIFS($E$5:$E$1369,$B$5:$B$1369,B1354,$C$5:$C$1369,C1354)</f>
        <v>3.31962995044461E-006</v>
      </c>
      <c r="I1354" s="43" t="n">
        <f aca="false">IF(G1354="",H1354,p_beta_alloc*G1354+(1-p_beta_alloc)*H1354)*F1354^p_phi</f>
        <v>3.42329800681506E-006</v>
      </c>
      <c r="J1354" s="16" t="n">
        <f aca="false">INDEX(Sector_Params!$C$21:$E$21,MATCH(B1354,Sector_Params!$C$15:$E$15,0))*I1354/SUMIFS($I$5:$I$1369,$B$5:$B$1369,B1354,$C$5:$C$1369,C1354)</f>
        <v>0.000759252670158967</v>
      </c>
      <c r="K1354" s="28" t="n">
        <f aca="false">INDEX(Sector_Params!$F$10:$H$10,MATCH(B1354,Sector_Params!$C$15:$E$15,0))</f>
        <v>0.24</v>
      </c>
      <c r="L1354" s="16" t="n">
        <f aca="false">J1354*K1354</f>
        <v>0.000182220640838152</v>
      </c>
      <c r="M1354" s="44" t="n">
        <f aca="false">Country_Data!$DW$197+Sector_Params!$E$10</f>
        <v>0.105</v>
      </c>
      <c r="N1354" s="44" t="n">
        <f aca="false">Country_Data!$DX$197+Sector_Params!$E$10</f>
        <v>0.15</v>
      </c>
      <c r="O1354" s="11" t="n">
        <f aca="false">IF(p_use_ibrd=1,p_r_ibrd,p_r_wb)</f>
        <v>0.06</v>
      </c>
      <c r="P1354" s="45" t="n">
        <f aca="false">Sector_Params!$D$10</f>
        <v>20</v>
      </c>
      <c r="Q1354" s="46" t="n">
        <f aca="false">M1354/(1-(1+M1354)^-P1354)</f>
        <v>0.121493265267016</v>
      </c>
      <c r="R1354" s="46" t="n">
        <f aca="false">N1354/(1-(1+N1354)^-P1354)</f>
        <v>0.159761470405744</v>
      </c>
      <c r="S1354" s="46" t="n">
        <f aca="false">O1354/(1-(1+O1354)^-P1354)</f>
        <v>0.0871845569768514</v>
      </c>
      <c r="T1354" s="37" t="n">
        <f aca="false">0*Sector_Params!$I$10</f>
        <v>0</v>
      </c>
      <c r="U1354" s="37" t="n">
        <f aca="false">0*Sector_Params!$J$10</f>
        <v>0</v>
      </c>
      <c r="V1354" s="37" t="n">
        <f aca="false">1000*p_r_wb/(1-(1+p_r_wb)^-Sector_Params!$D$10)/p_cpt_fuel</f>
        <v>0.871845569768514</v>
      </c>
      <c r="W1354" s="16" t="n">
        <f aca="false">T1354*L1354</f>
        <v>0</v>
      </c>
      <c r="X1354" s="16" t="n">
        <f aca="false">U1354*L1354</f>
        <v>0</v>
      </c>
      <c r="Y1354" s="16" t="n">
        <f aca="false">V1354*L1354</f>
        <v>0.000158868258435123</v>
      </c>
      <c r="Z1354" s="16" t="n">
        <f aca="false">Q1354*L1354</f>
        <v>2.21385806544753E-005</v>
      </c>
      <c r="AA1354" s="16" t="n">
        <f aca="false">R1354*L1354</f>
        <v>2.91118375185801E-005</v>
      </c>
      <c r="AB1354" s="16" t="n">
        <f aca="false">S1354*L1354</f>
        <v>1.58868258435122E-005</v>
      </c>
      <c r="AC1354" s="16" t="n">
        <f aca="false">Z1354-W1354</f>
        <v>2.21385806544753E-005</v>
      </c>
      <c r="AD1354" s="16" t="n">
        <f aca="false">AA1354-W1354</f>
        <v>2.91118375185801E-005</v>
      </c>
      <c r="AE1354" s="16" t="n">
        <f aca="false">AB1354-W1354</f>
        <v>1.58868258435122E-005</v>
      </c>
      <c r="AF1354" s="16" t="n">
        <f aca="false">AE1354-X1354</f>
        <v>1.58868258435122E-005</v>
      </c>
      <c r="AG1354" s="16" t="n">
        <f aca="false">AF1354-p_spc_lo*Y1354/1000</f>
        <v>7.94341292175612E-006</v>
      </c>
      <c r="AH1354" s="16" t="n">
        <f aca="false">AF1354-p_spc_hi*Y1354/1000</f>
        <v>0</v>
      </c>
      <c r="AI1354" s="16" t="n">
        <f aca="false">Q1354*J1354</f>
        <v>9.22440860603137E-005</v>
      </c>
      <c r="AJ1354" s="16" t="n">
        <f aca="false">S1354*J1354</f>
        <v>6.6195107681301E-005</v>
      </c>
      <c r="AK1354" s="16" t="n">
        <f aca="false">T1354*J1354</f>
        <v>0</v>
      </c>
      <c r="AL1354" s="16" t="n">
        <f aca="false">U1354*J1354</f>
        <v>0</v>
      </c>
      <c r="AM1354" s="16" t="n">
        <f aca="false">AI1354-AJ1354</f>
        <v>2.60489783790127E-005</v>
      </c>
      <c r="AN1354" s="16" t="n">
        <f aca="false">J1354*Country_Data!$EB$197</f>
        <v>0.000871580462456458</v>
      </c>
      <c r="AO1354" s="16" t="n">
        <f aca="false">L1354*Country_Data!$EB$197</f>
        <v>0.00020917931098955</v>
      </c>
    </row>
    <row r="1355" customFormat="false" ht="15" hidden="false" customHeight="false" outlineLevel="0" collapsed="false">
      <c r="A1355" s="14" t="str">
        <f aca="false">Country_Data!$A$197</f>
        <v>MHL</v>
      </c>
      <c r="B1355" s="14" t="str">
        <f aca="false">Country_Data!$E$197</f>
        <v>EMDC</v>
      </c>
      <c r="C1355" s="35" t="s">
        <v>488</v>
      </c>
      <c r="D1355" s="37" t="str">
        <f aca="false">IF(Country_Data!$CE$197="","",Country_Data!$CE$197)</f>
        <v/>
      </c>
      <c r="E1355" s="40" t="n">
        <f aca="false">Country_Data!$BW$197</f>
        <v>0.268</v>
      </c>
      <c r="F1355" s="41" t="n">
        <f aca="false">Country_Data!$BX$197</f>
        <v>1.0634328358209</v>
      </c>
      <c r="G1355" s="42" t="str">
        <f aca="false">IF(D1355="","",D1355/SUMIFS($D$5:$D$1369,$B$5:$B$1369,B1355,$C$5:$C$1369,C1355))</f>
        <v/>
      </c>
      <c r="H1355" s="42" t="n">
        <f aca="false">E1355/SUMIFS($E$5:$E$1369,$B$5:$B$1369,B1355,$C$5:$C$1369,C1355)</f>
        <v>3.31962995044461E-006</v>
      </c>
      <c r="I1355" s="43" t="n">
        <f aca="false">IF(G1355="",H1355,p_beta_alloc*G1355+(1-p_beta_alloc)*H1355)*F1355^p_phi</f>
        <v>3.42329800681506E-006</v>
      </c>
      <c r="J1355" s="16" t="n">
        <f aca="false">INDEX(Sector_Params!$C$22:$E$22,MATCH(B1355,Sector_Params!$C$15:$E$15,0))*I1355/SUMIFS($I$5:$I$1369,$B$5:$B$1369,B1355,$C$5:$C$1369,C1355)</f>
        <v>0.00206359275388115</v>
      </c>
      <c r="K1355" s="28" t="n">
        <f aca="false">INDEX(Sector_Params!$F$11:$H$11,MATCH(B1355,Sector_Params!$C$15:$E$15,0))</f>
        <v>0.24</v>
      </c>
      <c r="L1355" s="16" t="n">
        <f aca="false">J1355*K1355</f>
        <v>0.000495262260931476</v>
      </c>
      <c r="M1355" s="44" t="n">
        <f aca="false">Country_Data!$DW$197+Sector_Params!$E$11</f>
        <v>0.105</v>
      </c>
      <c r="N1355" s="44" t="n">
        <f aca="false">Country_Data!$DX$197+Sector_Params!$E$11</f>
        <v>0.15</v>
      </c>
      <c r="O1355" s="11" t="n">
        <f aca="false">IF(p_use_ibrd=1,p_r_ibrd,p_r_wb)</f>
        <v>0.06</v>
      </c>
      <c r="P1355" s="45" t="n">
        <f aca="false">Sector_Params!$D$11</f>
        <v>30</v>
      </c>
      <c r="Q1355" s="46" t="n">
        <f aca="false">M1355/(1-(1+M1355)^-P1355)</f>
        <v>0.110528481529605</v>
      </c>
      <c r="R1355" s="46" t="n">
        <f aca="false">N1355/(1-(1+N1355)^-P1355)</f>
        <v>0.152300198192734</v>
      </c>
      <c r="S1355" s="46" t="n">
        <f aca="false">O1355/(1-(1+O1355)^-P1355)</f>
        <v>0.0726489114900472</v>
      </c>
      <c r="T1355" s="37" t="n">
        <f aca="false">0*Sector_Params!$I$11</f>
        <v>0</v>
      </c>
      <c r="U1355" s="37" t="n">
        <f aca="false">p_c*Sector_Params!$J$11</f>
        <v>0.129</v>
      </c>
      <c r="V1355" s="37" t="n">
        <f aca="false">1000*p_r_wb/(1-(1+p_r_wb)^-Sector_Params!$D$11)/p_cpt_afolu</f>
        <v>1.45297822980094</v>
      </c>
      <c r="W1355" s="16" t="n">
        <f aca="false">T1355*L1355</f>
        <v>0</v>
      </c>
      <c r="X1355" s="16" t="n">
        <f aca="false">U1355*L1355</f>
        <v>6.38888316601604E-005</v>
      </c>
      <c r="Y1355" s="16" t="n">
        <f aca="false">V1355*L1355</f>
        <v>0.000719605283175429</v>
      </c>
      <c r="Z1355" s="16" t="n">
        <f aca="false">Q1355*L1355</f>
        <v>5.47405856596751E-005</v>
      </c>
      <c r="AA1355" s="16" t="n">
        <f aca="false">R1355*L1355</f>
        <v>7.54285404972455E-005</v>
      </c>
      <c r="AB1355" s="16" t="n">
        <f aca="false">S1355*L1355</f>
        <v>3.59802641587715E-005</v>
      </c>
      <c r="AC1355" s="16" t="n">
        <f aca="false">Z1355-W1355</f>
        <v>5.47405856596751E-005</v>
      </c>
      <c r="AD1355" s="16" t="n">
        <f aca="false">AA1355-W1355</f>
        <v>7.54285404972455E-005</v>
      </c>
      <c r="AE1355" s="16" t="n">
        <f aca="false">AB1355-W1355</f>
        <v>3.59802641587715E-005</v>
      </c>
      <c r="AF1355" s="16" t="n">
        <f aca="false">AE1355-X1355</f>
        <v>-2.79085675013889E-005</v>
      </c>
      <c r="AG1355" s="16" t="n">
        <f aca="false">AF1355-p_spc_lo*Y1355/1000</f>
        <v>-6.38888316601604E-005</v>
      </c>
      <c r="AH1355" s="16" t="n">
        <f aca="false">AF1355-p_spc_hi*Y1355/1000</f>
        <v>-9.98690958189319E-005</v>
      </c>
      <c r="AI1355" s="16" t="n">
        <f aca="false">Q1355*J1355</f>
        <v>0.00022808577358198</v>
      </c>
      <c r="AJ1355" s="16" t="n">
        <f aca="false">S1355*J1355</f>
        <v>0.000149917767328214</v>
      </c>
      <c r="AK1355" s="16" t="n">
        <f aca="false">T1355*J1355</f>
        <v>0</v>
      </c>
      <c r="AL1355" s="16" t="n">
        <f aca="false">U1355*J1355</f>
        <v>0.000266203465250668</v>
      </c>
      <c r="AM1355" s="16" t="n">
        <f aca="false">AI1355-AJ1355</f>
        <v>7.81680062537653E-005</v>
      </c>
      <c r="AN1355" s="16" t="n">
        <f aca="false">J1355*Country_Data!$EB$197</f>
        <v>0.00236889140788001</v>
      </c>
      <c r="AO1355" s="16" t="n">
        <f aca="false">L1355*Country_Data!$EB$197</f>
        <v>0.000568533937891201</v>
      </c>
    </row>
    <row r="1356" customFormat="false" ht="15" hidden="false" customHeight="false" outlineLevel="0" collapsed="false">
      <c r="A1356" s="14" t="str">
        <f aca="false">Country_Data!$A$198</f>
        <v>NRU</v>
      </c>
      <c r="B1356" s="14" t="str">
        <f aca="false">Country_Data!$E$198</f>
        <v>EMDC</v>
      </c>
      <c r="C1356" s="35" t="s">
        <v>466</v>
      </c>
      <c r="D1356" s="37" t="n">
        <f aca="false">IF(Country_Data!$BZ$198="","",Country_Data!$BZ$198)</f>
        <v>0.0377218330270651</v>
      </c>
      <c r="E1356" s="40" t="n">
        <f aca="false">Country_Data!$BW$198</f>
        <v>0.136</v>
      </c>
      <c r="F1356" s="41" t="n">
        <f aca="false">Country_Data!$BX$198</f>
        <v>1.23529411764706</v>
      </c>
      <c r="G1356" s="42" t="n">
        <f aca="false">IF(D1356="","",D1356/SUMIFS($D$5:$D$1369,$B$5:$B$1369,B1356,$C$5:$C$1369,C1356))</f>
        <v>4.30640501067123E-006</v>
      </c>
      <c r="H1356" s="42" t="n">
        <f aca="false">E1356/SUMIFS($E$5:$E$1369,$B$5:$B$1369,B1356,$C$5:$C$1369,C1356)</f>
        <v>1.68458833306145E-006</v>
      </c>
      <c r="I1356" s="43" t="n">
        <f aca="false">IF(G1356="",H1356,p_beta_alloc*G1356+(1-p_beta_alloc)*H1356)*F1356^p_phi</f>
        <v>3.32930841197148E-006</v>
      </c>
      <c r="J1356" s="16" t="n">
        <f aca="false">INDEX(Sector_Params!$C$16:$E$16,MATCH(B1356,Sector_Params!$C$15:$E$15,0))*I1356/SUMIFS($I$5:$I$1369,$B$5:$B$1369,B1356,$C$5:$C$1369,C1356)</f>
        <v>0.00322019150130421</v>
      </c>
      <c r="K1356" s="28" t="n">
        <f aca="false">INDEX(Sector_Params!$F$5:$H$5,MATCH(B1356,Sector_Params!$C$15:$E$15,0))</f>
        <v>0.24</v>
      </c>
      <c r="L1356" s="16" t="n">
        <f aca="false">J1356*K1356</f>
        <v>0.000772845960313012</v>
      </c>
      <c r="M1356" s="44" t="n">
        <f aca="false">Country_Data!$DW$198+Sector_Params!$E$5</f>
        <v>0.105</v>
      </c>
      <c r="N1356" s="44" t="n">
        <f aca="false">Country_Data!$DX$198+Sector_Params!$E$5</f>
        <v>0.15</v>
      </c>
      <c r="O1356" s="11" t="n">
        <f aca="false">IF(p_use_ibrd=1,p_r_ibrd,p_r_wb)</f>
        <v>0.06</v>
      </c>
      <c r="P1356" s="45" t="n">
        <f aca="false">Sector_Params!$D$5</f>
        <v>25</v>
      </c>
      <c r="Q1356" s="46" t="n">
        <f aca="false">M1356/(1-(1+M1356)^-P1356)</f>
        <v>0.114429319813103</v>
      </c>
      <c r="R1356" s="46" t="n">
        <f aca="false">N1356/(1-(1+N1356)^-P1356)</f>
        <v>0.154699402320206</v>
      </c>
      <c r="S1356" s="46" t="n">
        <f aca="false">O1356/(1-(1+O1356)^-P1356)</f>
        <v>0.078226718212274</v>
      </c>
      <c r="T1356" s="37" t="n">
        <f aca="false">IF(AND(p_eng=1,ISNUMBER(Country_Data!$CZ$198)),Country_Data!$CZ$198,Country_Data!$CM$198)*Sector_Params!$I$5</f>
        <v>0.257106539058509</v>
      </c>
      <c r="U1356" s="37" t="n">
        <f aca="false">IF(AND(p_eng=1,ISNUMBER(Country_Data!$DA$198)),Country_Data!$DA$198,Country_Data!$CN$198)*Sector_Params!$J$5</f>
        <v>0</v>
      </c>
      <c r="V1356" s="37" t="n">
        <f aca="false">IF(AND(p_eng=1,ISNUMBER(Country_Data!$DB$198)),Country_Data!$DB$198,p_a)</f>
        <v>1.49620577422867</v>
      </c>
      <c r="W1356" s="16" t="n">
        <f aca="false">T1356*L1356</f>
        <v>0.000198703750081428</v>
      </c>
      <c r="X1356" s="16" t="n">
        <f aca="false">U1356*L1356</f>
        <v>0</v>
      </c>
      <c r="Y1356" s="16" t="n">
        <f aca="false">V1356*L1356</f>
        <v>0.00115633658840963</v>
      </c>
      <c r="Z1356" s="16" t="n">
        <f aca="false">Q1356*L1356</f>
        <v>8.84362375589225E-005</v>
      </c>
      <c r="AA1356" s="16" t="n">
        <f aca="false">R1356*L1356</f>
        <v>0.000119558808146009</v>
      </c>
      <c r="AB1356" s="16" t="n">
        <f aca="false">S1356*L1356</f>
        <v>6.04572031589002E-005</v>
      </c>
      <c r="AC1356" s="16" t="n">
        <f aca="false">Z1356-W1356</f>
        <v>-0.000110267512522505</v>
      </c>
      <c r="AD1356" s="16" t="n">
        <f aca="false">AA1356-W1356</f>
        <v>-7.91449419354191E-005</v>
      </c>
      <c r="AE1356" s="16" t="n">
        <f aca="false">AB1356-W1356</f>
        <v>-0.000138246546922528</v>
      </c>
      <c r="AF1356" s="16" t="n">
        <f aca="false">AE1356-X1356</f>
        <v>-0.000138246546922528</v>
      </c>
      <c r="AG1356" s="16" t="n">
        <f aca="false">AF1356-p_spc_lo*Y1356/1000</f>
        <v>-0.000196063376343009</v>
      </c>
      <c r="AH1356" s="16" t="n">
        <f aca="false">AF1356-p_spc_hi*Y1356/1000</f>
        <v>-0.000253880205763491</v>
      </c>
      <c r="AI1356" s="16" t="n">
        <f aca="false">Q1356*J1356</f>
        <v>0.000368484323162177</v>
      </c>
      <c r="AJ1356" s="16" t="n">
        <f aca="false">S1356*J1356</f>
        <v>0.000251905013162084</v>
      </c>
      <c r="AK1356" s="16" t="n">
        <f aca="false">T1356*J1356</f>
        <v>0.00082793229200595</v>
      </c>
      <c r="AL1356" s="16" t="n">
        <f aca="false">U1356*J1356</f>
        <v>0</v>
      </c>
      <c r="AM1356" s="16" t="n">
        <f aca="false">AI1356-AJ1356</f>
        <v>0.000116579310000093</v>
      </c>
      <c r="AN1356" s="16" t="n">
        <f aca="false">J1356*Country_Data!$EB$198</f>
        <v>0.00407890923498534</v>
      </c>
      <c r="AO1356" s="16" t="n">
        <f aca="false">L1356*Country_Data!$EB$198</f>
        <v>0.000978938216396481</v>
      </c>
    </row>
    <row r="1357" customFormat="false" ht="15" hidden="false" customHeight="false" outlineLevel="0" collapsed="false">
      <c r="A1357" s="14" t="str">
        <f aca="false">Country_Data!$A$198</f>
        <v>NRU</v>
      </c>
      <c r="B1357" s="14" t="str">
        <f aca="false">Country_Data!$E$198</f>
        <v>EMDC</v>
      </c>
      <c r="C1357" s="35" t="s">
        <v>470</v>
      </c>
      <c r="D1357" s="37" t="n">
        <f aca="false">IF(Country_Data!$BZ$198="","",Country_Data!$BZ$198)</f>
        <v>0.0377218330270651</v>
      </c>
      <c r="E1357" s="40" t="n">
        <f aca="false">Country_Data!$BW$198</f>
        <v>0.136</v>
      </c>
      <c r="F1357" s="41" t="n">
        <f aca="false">Country_Data!$BX$198</f>
        <v>1.23529411764706</v>
      </c>
      <c r="G1357" s="42" t="n">
        <f aca="false">IF(D1357="","",D1357/SUMIFS($D$5:$D$1369,$B$5:$B$1369,B1357,$C$5:$C$1369,C1357))</f>
        <v>4.30640501067123E-006</v>
      </c>
      <c r="H1357" s="42" t="n">
        <f aca="false">E1357/SUMIFS($E$5:$E$1369,$B$5:$B$1369,B1357,$C$5:$C$1369,C1357)</f>
        <v>1.68458833306145E-006</v>
      </c>
      <c r="I1357" s="43" t="n">
        <f aca="false">IF(G1357="",H1357,p_beta_alloc*G1357+(1-p_beta_alloc)*H1357)*F1357^p_phi</f>
        <v>3.32930841197148E-006</v>
      </c>
      <c r="J1357" s="16" t="n">
        <f aca="false">INDEX(Sector_Params!$C$17:$E$17,MATCH(B1357,Sector_Params!$C$15:$E$15,0))*I1357/SUMIFS($I$5:$I$1369,$B$5:$B$1369,B1357,$C$5:$C$1369,C1357)</f>
        <v>0.00220813131518003</v>
      </c>
      <c r="K1357" s="28" t="n">
        <f aca="false">INDEX(Sector_Params!$F$6:$H$6,MATCH(B1357,Sector_Params!$C$15:$E$15,0))</f>
        <v>0.24</v>
      </c>
      <c r="L1357" s="16" t="n">
        <f aca="false">J1357*K1357</f>
        <v>0.000529951515643208</v>
      </c>
      <c r="M1357" s="44" t="n">
        <f aca="false">Country_Data!$DW$198+Sector_Params!$E$6</f>
        <v>0.105</v>
      </c>
      <c r="N1357" s="44" t="n">
        <f aca="false">Country_Data!$DX$198+Sector_Params!$E$6</f>
        <v>0.15</v>
      </c>
      <c r="O1357" s="11" t="n">
        <f aca="false">IF(p_use_ibrd=1,p_r_ibrd,p_r_wb)</f>
        <v>0.06</v>
      </c>
      <c r="P1357" s="45" t="n">
        <f aca="false">Sector_Params!$D$6</f>
        <v>40</v>
      </c>
      <c r="Q1357" s="46" t="n">
        <f aca="false">M1357/(1-(1+M1357)^-P1357)</f>
        <v>0.10697140835497</v>
      </c>
      <c r="R1357" s="46" t="n">
        <f aca="false">N1357/(1-(1+N1357)^-P1357)</f>
        <v>0.150562085013545</v>
      </c>
      <c r="S1357" s="46" t="n">
        <f aca="false">O1357/(1-(1+O1357)^-P1357)</f>
        <v>0.0664615359206755</v>
      </c>
      <c r="T1357" s="37" t="n">
        <f aca="false">p_grid_credit*IF(AND(p_eng=1,ISNUMBER(Country_Data!$CZ$198)),Country_Data!$CZ$198,Country_Data!$CM$198)*Sector_Params!$I$6</f>
        <v>0</v>
      </c>
      <c r="U1357" s="37" t="n">
        <f aca="false">p_grid_credit*IF(AND(p_eng=1,ISNUMBER(Country_Data!$DA$198)),Country_Data!$DA$198,Country_Data!$CN$198)*Sector_Params!$J$6</f>
        <v>0</v>
      </c>
      <c r="V1357" s="37" t="n">
        <f aca="false">p_grid_credit*IF(AND(p_eng=1,ISNUMBER(Country_Data!$DB$198)),Country_Data!$DB$198,p_a)</f>
        <v>0</v>
      </c>
      <c r="W1357" s="16" t="n">
        <f aca="false">T1357*L1357</f>
        <v>0</v>
      </c>
      <c r="X1357" s="16" t="n">
        <f aca="false">U1357*L1357</f>
        <v>0</v>
      </c>
      <c r="Y1357" s="16" t="n">
        <f aca="false">V1357*L1357</f>
        <v>0</v>
      </c>
      <c r="Z1357" s="16" t="n">
        <f aca="false">Q1357*L1357</f>
        <v>5.66896599882051E-005</v>
      </c>
      <c r="AA1357" s="16" t="n">
        <f aca="false">R1357*L1357</f>
        <v>7.97906051513297E-005</v>
      </c>
      <c r="AB1357" s="16" t="n">
        <f aca="false">S1357*L1357</f>
        <v>3.52213916931375E-005</v>
      </c>
      <c r="AC1357" s="16" t="n">
        <f aca="false">Z1357-W1357</f>
        <v>5.66896599882051E-005</v>
      </c>
      <c r="AD1357" s="16" t="n">
        <f aca="false">AA1357-W1357</f>
        <v>7.97906051513297E-005</v>
      </c>
      <c r="AE1357" s="16" t="n">
        <f aca="false">AB1357-W1357</f>
        <v>3.52213916931375E-005</v>
      </c>
      <c r="AF1357" s="16" t="n">
        <f aca="false">AE1357-X1357</f>
        <v>3.52213916931375E-005</v>
      </c>
      <c r="AG1357" s="16" t="n">
        <f aca="false">AF1357-p_spc_lo*Y1357/1000</f>
        <v>3.52213916931375E-005</v>
      </c>
      <c r="AH1357" s="16" t="n">
        <f aca="false">AF1357-p_spc_hi*Y1357/1000</f>
        <v>3.52213916931375E-005</v>
      </c>
      <c r="AI1357" s="16" t="n">
        <f aca="false">Q1357*J1357</f>
        <v>0.000236206916617521</v>
      </c>
      <c r="AJ1357" s="16" t="n">
        <f aca="false">S1357*J1357</f>
        <v>0.000146755798721406</v>
      </c>
      <c r="AK1357" s="16" t="n">
        <f aca="false">T1357*J1357</f>
        <v>0</v>
      </c>
      <c r="AL1357" s="16" t="n">
        <f aca="false">U1357*J1357</f>
        <v>0</v>
      </c>
      <c r="AM1357" s="16" t="n">
        <f aca="false">AI1357-AJ1357</f>
        <v>8.94511178961149E-005</v>
      </c>
      <c r="AN1357" s="16" t="n">
        <f aca="false">J1357*Country_Data!$EB$198</f>
        <v>0.00279696633256138</v>
      </c>
      <c r="AO1357" s="16" t="n">
        <f aca="false">L1357*Country_Data!$EB$198</f>
        <v>0.00067127191981473</v>
      </c>
    </row>
    <row r="1358" customFormat="false" ht="15" hidden="false" customHeight="false" outlineLevel="0" collapsed="false">
      <c r="A1358" s="14" t="str">
        <f aca="false">Country_Data!$A$198</f>
        <v>NRU</v>
      </c>
      <c r="B1358" s="14" t="str">
        <f aca="false">Country_Data!$E$198</f>
        <v>EMDC</v>
      </c>
      <c r="C1358" s="35" t="s">
        <v>473</v>
      </c>
      <c r="D1358" s="37" t="n">
        <f aca="false">IF(Country_Data!$CA$198="","",Country_Data!$CA$198)</f>
        <v>0.00063582628978155</v>
      </c>
      <c r="E1358" s="40" t="n">
        <f aca="false">Country_Data!$BW$198</f>
        <v>0.136</v>
      </c>
      <c r="F1358" s="41" t="n">
        <f aca="false">Country_Data!$BX$198</f>
        <v>1.23529411764706</v>
      </c>
      <c r="G1358" s="42" t="n">
        <f aca="false">IF(D1358="","",D1358/SUMIFS($D$5:$D$1369,$B$5:$B$1369,B1358,$C$5:$C$1369,C1358))</f>
        <v>1.46890666801447E-005</v>
      </c>
      <c r="H1358" s="42" t="n">
        <f aca="false">E1358/SUMIFS($E$5:$E$1369,$B$5:$B$1369,B1358,$C$5:$C$1369,C1358)</f>
        <v>1.68458833306145E-006</v>
      </c>
      <c r="I1358" s="43" t="n">
        <f aca="false">IF(G1358="",H1358,p_beta_alloc*G1358+(1-p_beta_alloc)*H1358)*F1358^p_phi</f>
        <v>9.09915004783198E-006</v>
      </c>
      <c r="J1358" s="16" t="n">
        <f aca="false">INDEX(Sector_Params!$C$18:$E$18,MATCH(B1358,Sector_Params!$C$15:$E$15,0))*I1358/SUMIFS($I$5:$I$1369,$B$5:$B$1369,B1358,$C$5:$C$1369,C1358)</f>
        <v>0.00372588664764774</v>
      </c>
      <c r="K1358" s="28" t="n">
        <f aca="false">INDEX(Sector_Params!$F$7:$H$7,MATCH(B1358,Sector_Params!$C$15:$E$15,0))</f>
        <v>0.24</v>
      </c>
      <c r="L1358" s="16" t="n">
        <f aca="false">J1358*K1358</f>
        <v>0.000894212795435458</v>
      </c>
      <c r="M1358" s="44" t="n">
        <f aca="false">Country_Data!$DW$198+Sector_Params!$E$7</f>
        <v>0.105</v>
      </c>
      <c r="N1358" s="44" t="n">
        <f aca="false">Country_Data!$DX$198+Sector_Params!$E$7</f>
        <v>0.15</v>
      </c>
      <c r="O1358" s="11" t="n">
        <f aca="false">IF(p_use_ibrd=1,p_r_ibrd,p_r_wb)</f>
        <v>0.06</v>
      </c>
      <c r="P1358" s="45" t="n">
        <f aca="false">Sector_Params!$D$7</f>
        <v>12</v>
      </c>
      <c r="Q1358" s="46" t="n">
        <f aca="false">M1358/(1-(1+M1358)^-P1358)</f>
        <v>0.150376745634766</v>
      </c>
      <c r="R1358" s="46" t="n">
        <f aca="false">N1358/(1-(1+N1358)^-P1358)</f>
        <v>0.18448077613084</v>
      </c>
      <c r="S1358" s="46" t="n">
        <f aca="false">O1358/(1-(1+O1358)^-P1358)</f>
        <v>0.119277029380664</v>
      </c>
      <c r="T1358" s="37" t="n">
        <f aca="false">IF(AND(p_eng=1,ISNUMBER(Country_Data!$DE$198)),Country_Data!$DE$198,Country_Data!$CM$198)*Sector_Params!$I$7</f>
        <v>0.05272866</v>
      </c>
      <c r="U1358" s="37" t="n">
        <f aca="false">IF(AND(p_eng=1,ISNUMBER(Country_Data!$DF$198)),Country_Data!$DF$198,Country_Data!$CN$198)*Sector_Params!$J$7</f>
        <v>0</v>
      </c>
      <c r="V1358" s="37" t="n">
        <f aca="false">IF(AND(p_eng=1,ISNUMBER(Country_Data!$DG$198)),Country_Data!$DG$198,p_a)</f>
        <v>0.1821771</v>
      </c>
      <c r="W1358" s="16" t="n">
        <f aca="false">T1358*L1358</f>
        <v>4.71506424581658E-005</v>
      </c>
      <c r="X1358" s="16" t="n">
        <f aca="false">U1358*L1358</f>
        <v>0</v>
      </c>
      <c r="Y1358" s="16" t="n">
        <f aca="false">V1358*L1358</f>
        <v>0.000162905093855325</v>
      </c>
      <c r="Z1358" s="16" t="n">
        <f aca="false">Q1358*L1358</f>
        <v>0.000134468810082551</v>
      </c>
      <c r="AA1358" s="16" t="n">
        <f aca="false">R1358*L1358</f>
        <v>0.000164965070528061</v>
      </c>
      <c r="AB1358" s="16" t="n">
        <f aca="false">S1358*L1358</f>
        <v>0.00010665904587372</v>
      </c>
      <c r="AC1358" s="16" t="n">
        <f aca="false">Z1358-W1358</f>
        <v>8.73181676243849E-005</v>
      </c>
      <c r="AD1358" s="16" t="n">
        <f aca="false">AA1358-W1358</f>
        <v>0.000117814428069895</v>
      </c>
      <c r="AE1358" s="16" t="n">
        <f aca="false">AB1358-W1358</f>
        <v>5.95084034155546E-005</v>
      </c>
      <c r="AF1358" s="16" t="n">
        <f aca="false">AE1358-X1358</f>
        <v>5.95084034155546E-005</v>
      </c>
      <c r="AG1358" s="16" t="n">
        <f aca="false">AF1358-p_spc_lo*Y1358/1000</f>
        <v>5.13631487227884E-005</v>
      </c>
      <c r="AH1358" s="16" t="n">
        <f aca="false">AF1358-p_spc_hi*Y1358/1000</f>
        <v>4.32178940300221E-005</v>
      </c>
      <c r="AI1358" s="16" t="n">
        <f aca="false">Q1358*J1358</f>
        <v>0.000560286708677295</v>
      </c>
      <c r="AJ1358" s="16" t="n">
        <f aca="false">S1358*J1358</f>
        <v>0.000444412691140502</v>
      </c>
      <c r="AK1358" s="16" t="n">
        <f aca="false">T1358*J1358</f>
        <v>0.000196461010242358</v>
      </c>
      <c r="AL1358" s="16" t="n">
        <f aca="false">U1358*J1358</f>
        <v>0</v>
      </c>
      <c r="AM1358" s="16" t="n">
        <f aca="false">AI1358-AJ1358</f>
        <v>0.000115874017536793</v>
      </c>
      <c r="AN1358" s="16" t="n">
        <f aca="false">J1358*Country_Data!$EB$198</f>
        <v>0.00471945642035381</v>
      </c>
      <c r="AO1358" s="16" t="n">
        <f aca="false">L1358*Country_Data!$EB$198</f>
        <v>0.00113266954088491</v>
      </c>
    </row>
    <row r="1359" customFormat="false" ht="15" hidden="false" customHeight="false" outlineLevel="0" collapsed="false">
      <c r="A1359" s="14" t="str">
        <f aca="false">Country_Data!$A$198</f>
        <v>NRU</v>
      </c>
      <c r="B1359" s="14" t="str">
        <f aca="false">Country_Data!$E$198</f>
        <v>EMDC</v>
      </c>
      <c r="C1359" s="35" t="s">
        <v>477</v>
      </c>
      <c r="D1359" s="37" t="n">
        <f aca="false">IF(Country_Data!$CB$198="","",Country_Data!$CB$198)</f>
        <v>7.14467700055637E-005</v>
      </c>
      <c r="E1359" s="40" t="n">
        <f aca="false">Country_Data!$BW$198</f>
        <v>0.136</v>
      </c>
      <c r="F1359" s="41" t="n">
        <f aca="false">Country_Data!$BX$198</f>
        <v>1.23529411764706</v>
      </c>
      <c r="G1359" s="42" t="n">
        <f aca="false">IF(D1359="","",D1359/SUMIFS($D$5:$D$1369,$B$5:$B$1369,B1359,$C$5:$C$1369,C1359))</f>
        <v>2.2529342137127E-006</v>
      </c>
      <c r="H1359" s="42" t="n">
        <f aca="false">E1359/SUMIFS($E$5:$E$1369,$B$5:$B$1369,B1359,$C$5:$C$1369,C1359)</f>
        <v>1.68458833306145E-006</v>
      </c>
      <c r="I1359" s="43" t="n">
        <f aca="false">IF(G1359="",H1359,p_beta_alloc*G1359+(1-p_beta_alloc)*H1359)*F1359^p_phi</f>
        <v>2.18815581743492E-006</v>
      </c>
      <c r="J1359" s="16" t="n">
        <f aca="false">INDEX(Sector_Params!$C$19:$E$19,MATCH(B1359,Sector_Params!$C$15:$E$15,0))*I1359/SUMIFS($I$5:$I$1369,$B$5:$B$1369,B1359,$C$5:$C$1369,C1359)</f>
        <v>0.000704285513001949</v>
      </c>
      <c r="K1359" s="28" t="n">
        <f aca="false">INDEX(Sector_Params!$F$8:$H$8,MATCH(B1359,Sector_Params!$C$15:$E$15,0))</f>
        <v>0.24</v>
      </c>
      <c r="L1359" s="16" t="n">
        <f aca="false">J1359*K1359</f>
        <v>0.000169028523120468</v>
      </c>
      <c r="M1359" s="44" t="n">
        <f aca="false">Country_Data!$DW$198+Sector_Params!$E$8</f>
        <v>0.105</v>
      </c>
      <c r="N1359" s="44" t="n">
        <f aca="false">Country_Data!$DX$198+Sector_Params!$E$8</f>
        <v>0.15</v>
      </c>
      <c r="O1359" s="11" t="n">
        <f aca="false">IF(p_use_ibrd=1,p_r_ibrd,p_r_wb)</f>
        <v>0.06</v>
      </c>
      <c r="P1359" s="45" t="n">
        <f aca="false">Sector_Params!$D$8</f>
        <v>25</v>
      </c>
      <c r="Q1359" s="46" t="n">
        <f aca="false">M1359/(1-(1+M1359)^-P1359)</f>
        <v>0.114429319813103</v>
      </c>
      <c r="R1359" s="46" t="n">
        <f aca="false">N1359/(1-(1+N1359)^-P1359)</f>
        <v>0.154699402320206</v>
      </c>
      <c r="S1359" s="46" t="n">
        <f aca="false">O1359/(1-(1+O1359)^-P1359)</f>
        <v>0.078226718212274</v>
      </c>
      <c r="T1359" s="37" t="n">
        <f aca="false">Country_Data!$CM$198*Sector_Params!$I$8</f>
        <v>0.181190719355155</v>
      </c>
      <c r="U1359" s="37" t="n">
        <f aca="false">Country_Data!$CN$198*Sector_Params!$J$8</f>
        <v>0.03225</v>
      </c>
      <c r="V1359" s="37" t="n">
        <f aca="false">p_a</f>
        <v>0.35</v>
      </c>
      <c r="W1359" s="16" t="n">
        <f aca="false">T1359*L1359</f>
        <v>3.0626399695737E-005</v>
      </c>
      <c r="X1359" s="16" t="n">
        <f aca="false">U1359*L1359</f>
        <v>5.45116987063508E-006</v>
      </c>
      <c r="Y1359" s="16" t="n">
        <f aca="false">V1359*L1359</f>
        <v>5.91599830921637E-005</v>
      </c>
      <c r="Z1359" s="16" t="n">
        <f aca="false">Q1359*L1359</f>
        <v>1.93418189296885E-005</v>
      </c>
      <c r="AA1359" s="16" t="n">
        <f aca="false">R1359*L1359</f>
        <v>2.61486115018035E-005</v>
      </c>
      <c r="AB1359" s="16" t="n">
        <f aca="false">S1359*L1359</f>
        <v>1.32225466479817E-005</v>
      </c>
      <c r="AC1359" s="16" t="n">
        <f aca="false">Z1359-W1359</f>
        <v>-1.12845807660484E-005</v>
      </c>
      <c r="AD1359" s="16" t="n">
        <f aca="false">AA1359-W1359</f>
        <v>-4.47778819393342E-006</v>
      </c>
      <c r="AE1359" s="16" t="n">
        <f aca="false">AB1359-W1359</f>
        <v>-1.74038530477553E-005</v>
      </c>
      <c r="AF1359" s="16" t="n">
        <f aca="false">AE1359-X1359</f>
        <v>-2.28550229183904E-005</v>
      </c>
      <c r="AG1359" s="16" t="n">
        <f aca="false">AF1359-p_spc_lo*Y1359/1000</f>
        <v>-2.58130220729986E-005</v>
      </c>
      <c r="AH1359" s="16" t="n">
        <f aca="false">AF1359-p_spc_hi*Y1359/1000</f>
        <v>-2.87710212276068E-005</v>
      </c>
      <c r="AI1359" s="16" t="n">
        <f aca="false">Q1359*J1359</f>
        <v>8.05909122070355E-005</v>
      </c>
      <c r="AJ1359" s="16" t="n">
        <f aca="false">S1359*J1359</f>
        <v>5.50939443665902E-005</v>
      </c>
      <c r="AK1359" s="16" t="n">
        <f aca="false">T1359*J1359</f>
        <v>0.000127609998732237</v>
      </c>
      <c r="AL1359" s="16" t="n">
        <f aca="false">U1359*J1359</f>
        <v>2.27132077943128E-005</v>
      </c>
      <c r="AM1359" s="16" t="n">
        <f aca="false">AI1359-AJ1359</f>
        <v>2.54969678404453E-005</v>
      </c>
      <c r="AN1359" s="16" t="n">
        <f aca="false">J1359*Country_Data!$EB$198</f>
        <v>0.000892094983135802</v>
      </c>
      <c r="AO1359" s="16" t="n">
        <f aca="false">L1359*Country_Data!$EB$198</f>
        <v>0.000214102795952592</v>
      </c>
    </row>
    <row r="1360" customFormat="false" ht="15" hidden="false" customHeight="false" outlineLevel="0" collapsed="false">
      <c r="A1360" s="14" t="str">
        <f aca="false">Country_Data!$A$198</f>
        <v>NRU</v>
      </c>
      <c r="B1360" s="14" t="str">
        <f aca="false">Country_Data!$E$198</f>
        <v>EMDC</v>
      </c>
      <c r="C1360" s="35" t="s">
        <v>481</v>
      </c>
      <c r="D1360" s="37" t="n">
        <f aca="false">IF(Country_Data!$CC$198="","",Country_Data!$CC$198)</f>
        <v>0.000746824531571269</v>
      </c>
      <c r="E1360" s="40" t="n">
        <f aca="false">Country_Data!$BW$198</f>
        <v>0.136</v>
      </c>
      <c r="F1360" s="41" t="n">
        <f aca="false">Country_Data!$BX$198</f>
        <v>1.23529411764706</v>
      </c>
      <c r="G1360" s="42" t="n">
        <f aca="false">IF(D1360="","",D1360/SUMIFS($D$5:$D$1369,$B$5:$B$1369,B1360,$C$5:$C$1369,C1360))</f>
        <v>1.0667815851606E-005</v>
      </c>
      <c r="H1360" s="42" t="n">
        <f aca="false">E1360/SUMIFS($E$5:$E$1369,$B$5:$B$1369,B1360,$C$5:$C$1369,C1360)</f>
        <v>1.68458833306145E-006</v>
      </c>
      <c r="I1360" s="43" t="n">
        <f aca="false">IF(G1360="",H1360,p_beta_alloc*G1360+(1-p_beta_alloc)*H1360)*F1360^p_phi</f>
        <v>6.86446483922516E-006</v>
      </c>
      <c r="J1360" s="16" t="n">
        <f aca="false">INDEX(Sector_Params!$C$20:$E$20,MATCH(B1360,Sector_Params!$C$15:$E$15,0))*I1360/SUMIFS($I$5:$I$1369,$B$5:$B$1369,B1360,$C$5:$C$1369,C1360)</f>
        <v>0.00125290306760295</v>
      </c>
      <c r="K1360" s="28" t="n">
        <f aca="false">INDEX(Sector_Params!$F$9:$H$9,MATCH(B1360,Sector_Params!$C$15:$E$15,0))</f>
        <v>0.24</v>
      </c>
      <c r="L1360" s="16" t="n">
        <f aca="false">J1360*K1360</f>
        <v>0.000300696736224707</v>
      </c>
      <c r="M1360" s="44" t="n">
        <f aca="false">Country_Data!$DW$198+Sector_Params!$E$9</f>
        <v>0.105</v>
      </c>
      <c r="N1360" s="44" t="n">
        <f aca="false">Country_Data!$DX$198+Sector_Params!$E$9</f>
        <v>0.15</v>
      </c>
      <c r="O1360" s="11" t="n">
        <f aca="false">IF(p_use_ibrd=1,p_r_ibrd,p_r_wb)</f>
        <v>0.06</v>
      </c>
      <c r="P1360" s="45" t="n">
        <f aca="false">Sector_Params!$D$9</f>
        <v>25</v>
      </c>
      <c r="Q1360" s="46" t="n">
        <f aca="false">M1360/(1-(1+M1360)^-P1360)</f>
        <v>0.114429319813103</v>
      </c>
      <c r="R1360" s="46" t="n">
        <f aca="false">N1360/(1-(1+N1360)^-P1360)</f>
        <v>0.154699402320206</v>
      </c>
      <c r="S1360" s="46" t="n">
        <f aca="false">O1360/(1-(1+O1360)^-P1360)</f>
        <v>0.078226718212274</v>
      </c>
      <c r="T1360" s="37" t="n">
        <f aca="false">Country_Data!$CM$198*Sector_Params!$I$9</f>
        <v>0.181190719355155</v>
      </c>
      <c r="U1360" s="37" t="n">
        <f aca="false">Country_Data!$CN$198*Sector_Params!$J$9</f>
        <v>0.03225</v>
      </c>
      <c r="V1360" s="37" t="n">
        <f aca="false">p_a</f>
        <v>0.35</v>
      </c>
      <c r="W1360" s="16" t="n">
        <f aca="false">T1360*L1360</f>
        <v>5.4483457944302E-005</v>
      </c>
      <c r="X1360" s="16" t="n">
        <f aca="false">U1360*L1360</f>
        <v>9.69746974324681E-006</v>
      </c>
      <c r="Y1360" s="16" t="n">
        <f aca="false">V1360*L1360</f>
        <v>0.000105243857678648</v>
      </c>
      <c r="Z1360" s="16" t="n">
        <f aca="false">Q1360*L1360</f>
        <v>3.44085229962134E-005</v>
      </c>
      <c r="AA1360" s="16" t="n">
        <f aca="false">R1360*L1360</f>
        <v>4.6517605373599E-005</v>
      </c>
      <c r="AB1360" s="16" t="n">
        <f aca="false">S1360*L1360</f>
        <v>2.35225188520006E-005</v>
      </c>
      <c r="AC1360" s="16" t="n">
        <f aca="false">Z1360-W1360</f>
        <v>-2.00749349480886E-005</v>
      </c>
      <c r="AD1360" s="16" t="n">
        <f aca="false">AA1360-W1360</f>
        <v>-7.96585257070298E-006</v>
      </c>
      <c r="AE1360" s="16" t="n">
        <f aca="false">AB1360-W1360</f>
        <v>-3.09609390923013E-005</v>
      </c>
      <c r="AF1360" s="16" t="n">
        <f aca="false">AE1360-X1360</f>
        <v>-4.06584088355481E-005</v>
      </c>
      <c r="AG1360" s="16" t="n">
        <f aca="false">AF1360-p_spc_lo*Y1360/1000</f>
        <v>-4.59206017194805E-005</v>
      </c>
      <c r="AH1360" s="16" t="n">
        <f aca="false">AF1360-p_spc_hi*Y1360/1000</f>
        <v>-5.11827946034129E-005</v>
      </c>
      <c r="AI1360" s="16" t="n">
        <f aca="false">Q1360*J1360</f>
        <v>0.000143368845817556</v>
      </c>
      <c r="AJ1360" s="16" t="n">
        <f aca="false">S1360*J1360</f>
        <v>9.80104952166693E-005</v>
      </c>
      <c r="AK1360" s="16" t="n">
        <f aca="false">T1360*J1360</f>
        <v>0.000227014408101258</v>
      </c>
      <c r="AL1360" s="16" t="n">
        <f aca="false">U1360*J1360</f>
        <v>4.0406123930195E-005</v>
      </c>
      <c r="AM1360" s="16" t="n">
        <f aca="false">AI1360-AJ1360</f>
        <v>4.53583506008865E-005</v>
      </c>
      <c r="AN1360" s="16" t="n">
        <f aca="false">J1360*Country_Data!$EB$198</f>
        <v>0.00158701055229707</v>
      </c>
      <c r="AO1360" s="16" t="n">
        <f aca="false">L1360*Country_Data!$EB$198</f>
        <v>0.000380882532551296</v>
      </c>
    </row>
    <row r="1361" customFormat="false" ht="15" hidden="false" customHeight="false" outlineLevel="0" collapsed="false">
      <c r="A1361" s="14" t="str">
        <f aca="false">Country_Data!$A$198</f>
        <v>NRU</v>
      </c>
      <c r="B1361" s="14" t="str">
        <f aca="false">Country_Data!$E$198</f>
        <v>EMDC</v>
      </c>
      <c r="C1361" s="35" t="s">
        <v>484</v>
      </c>
      <c r="D1361" s="37" t="n">
        <f aca="false">IF(Country_Data!$CD$198="","",Country_Data!$CD$198)</f>
        <v>0.00131829899246095</v>
      </c>
      <c r="E1361" s="40" t="n">
        <f aca="false">Country_Data!$BW$198</f>
        <v>0.136</v>
      </c>
      <c r="F1361" s="41" t="n">
        <f aca="false">Country_Data!$BX$198</f>
        <v>1.23529411764706</v>
      </c>
      <c r="G1361" s="42" t="n">
        <f aca="false">IF(D1361="","",D1361/SUMIFS($D$5:$D$1369,$B$5:$B$1369,B1361,$C$5:$C$1369,C1361))</f>
        <v>7.36186317400516E-006</v>
      </c>
      <c r="H1361" s="42" t="n">
        <f aca="false">E1361/SUMIFS($E$5:$E$1369,$B$5:$B$1369,B1361,$C$5:$C$1369,C1361)</f>
        <v>1.68458833306145E-006</v>
      </c>
      <c r="I1361" s="43" t="n">
        <f aca="false">IF(G1361="",H1361,p_beta_alloc*G1361+(1-p_beta_alloc)*H1361)*F1361^p_phi</f>
        <v>5.02728435385035E-006</v>
      </c>
      <c r="J1361" s="16" t="n">
        <f aca="false">INDEX(Sector_Params!$C$21:$E$21,MATCH(B1361,Sector_Params!$C$15:$E$15,0))*I1361/SUMIFS($I$5:$I$1369,$B$5:$B$1369,B1361,$C$5:$C$1369,C1361)</f>
        <v>0.00111500052338724</v>
      </c>
      <c r="K1361" s="28" t="n">
        <f aca="false">INDEX(Sector_Params!$F$10:$H$10,MATCH(B1361,Sector_Params!$C$15:$E$15,0))</f>
        <v>0.24</v>
      </c>
      <c r="L1361" s="16" t="n">
        <f aca="false">J1361*K1361</f>
        <v>0.000267600125612937</v>
      </c>
      <c r="M1361" s="44" t="n">
        <f aca="false">Country_Data!$DW$198+Sector_Params!$E$10</f>
        <v>0.105</v>
      </c>
      <c r="N1361" s="44" t="n">
        <f aca="false">Country_Data!$DX$198+Sector_Params!$E$10</f>
        <v>0.15</v>
      </c>
      <c r="O1361" s="11" t="n">
        <f aca="false">IF(p_use_ibrd=1,p_r_ibrd,p_r_wb)</f>
        <v>0.06</v>
      </c>
      <c r="P1361" s="45" t="n">
        <f aca="false">Sector_Params!$D$10</f>
        <v>20</v>
      </c>
      <c r="Q1361" s="46" t="n">
        <f aca="false">M1361/(1-(1+M1361)^-P1361)</f>
        <v>0.121493265267016</v>
      </c>
      <c r="R1361" s="46" t="n">
        <f aca="false">N1361/(1-(1+N1361)^-P1361)</f>
        <v>0.159761470405744</v>
      </c>
      <c r="S1361" s="46" t="n">
        <f aca="false">O1361/(1-(1+O1361)^-P1361)</f>
        <v>0.0871845569768514</v>
      </c>
      <c r="T1361" s="37" t="n">
        <f aca="false">0*Sector_Params!$I$10</f>
        <v>0</v>
      </c>
      <c r="U1361" s="37" t="n">
        <f aca="false">0*Sector_Params!$J$10</f>
        <v>0</v>
      </c>
      <c r="V1361" s="37" t="n">
        <f aca="false">1000*p_r_wb/(1-(1+p_r_wb)^-Sector_Params!$D$10)/p_cpt_fuel</f>
        <v>0.871845569768514</v>
      </c>
      <c r="W1361" s="16" t="n">
        <f aca="false">T1361*L1361</f>
        <v>0</v>
      </c>
      <c r="X1361" s="16" t="n">
        <f aca="false">U1361*L1361</f>
        <v>0</v>
      </c>
      <c r="Y1361" s="16" t="n">
        <f aca="false">V1361*L1361</f>
        <v>0.000233305983985137</v>
      </c>
      <c r="Z1361" s="16" t="n">
        <f aca="false">Q1361*L1361</f>
        <v>3.25116130465794E-005</v>
      </c>
      <c r="AA1361" s="16" t="n">
        <f aca="false">R1361*L1361</f>
        <v>4.27521895486846E-005</v>
      </c>
      <c r="AB1361" s="16" t="n">
        <f aca="false">S1361*L1361</f>
        <v>2.33305983985137E-005</v>
      </c>
      <c r="AC1361" s="16" t="n">
        <f aca="false">Z1361-W1361</f>
        <v>3.25116130465794E-005</v>
      </c>
      <c r="AD1361" s="16" t="n">
        <f aca="false">AA1361-W1361</f>
        <v>4.27521895486846E-005</v>
      </c>
      <c r="AE1361" s="16" t="n">
        <f aca="false">AB1361-W1361</f>
        <v>2.33305983985137E-005</v>
      </c>
      <c r="AF1361" s="16" t="n">
        <f aca="false">AE1361-X1361</f>
        <v>2.33305983985137E-005</v>
      </c>
      <c r="AG1361" s="16" t="n">
        <f aca="false">AF1361-p_spc_lo*Y1361/1000</f>
        <v>1.16652991992569E-005</v>
      </c>
      <c r="AH1361" s="16" t="n">
        <f aca="false">AF1361-p_spc_hi*Y1361/1000</f>
        <v>0</v>
      </c>
      <c r="AI1361" s="16" t="n">
        <f aca="false">Q1361*J1361</f>
        <v>0.000135465054360748</v>
      </c>
      <c r="AJ1361" s="16" t="n">
        <f aca="false">S1361*J1361</f>
        <v>9.72108266604737E-005</v>
      </c>
      <c r="AK1361" s="16" t="n">
        <f aca="false">T1361*J1361</f>
        <v>0</v>
      </c>
      <c r="AL1361" s="16" t="n">
        <f aca="false">U1361*J1361</f>
        <v>0</v>
      </c>
      <c r="AM1361" s="16" t="n">
        <f aca="false">AI1361-AJ1361</f>
        <v>3.82542277002738E-005</v>
      </c>
      <c r="AN1361" s="16" t="n">
        <f aca="false">J1361*Country_Data!$EB$198</f>
        <v>0.0014123339962905</v>
      </c>
      <c r="AO1361" s="16" t="n">
        <f aca="false">L1361*Country_Data!$EB$198</f>
        <v>0.00033896015910972</v>
      </c>
    </row>
    <row r="1362" customFormat="false" ht="15" hidden="false" customHeight="false" outlineLevel="0" collapsed="false">
      <c r="A1362" s="14" t="str">
        <f aca="false">Country_Data!$A$198</f>
        <v>NRU</v>
      </c>
      <c r="B1362" s="14" t="str">
        <f aca="false">Country_Data!$E$198</f>
        <v>EMDC</v>
      </c>
      <c r="C1362" s="35" t="s">
        <v>488</v>
      </c>
      <c r="D1362" s="37" t="n">
        <f aca="false">IF(Country_Data!$CE$198="","",Country_Data!$CE$198)</f>
        <v>0</v>
      </c>
      <c r="E1362" s="40" t="n">
        <f aca="false">Country_Data!$BW$198</f>
        <v>0.136</v>
      </c>
      <c r="F1362" s="41" t="n">
        <f aca="false">Country_Data!$BX$198</f>
        <v>1.23529411764706</v>
      </c>
      <c r="G1362" s="42" t="n">
        <f aca="false">IF(D1362="","",D1362/SUMIFS($D$5:$D$1369,$B$5:$B$1369,B1362,$C$5:$C$1369,C1362))</f>
        <v>0</v>
      </c>
      <c r="H1362" s="42" t="n">
        <f aca="false">E1362/SUMIFS($E$5:$E$1369,$B$5:$B$1369,B1362,$C$5:$C$1369,C1362)</f>
        <v>1.68458833306145E-006</v>
      </c>
      <c r="I1362" s="43" t="n">
        <f aca="false">IF(G1362="",H1362,p_beta_alloc*G1362+(1-p_beta_alloc)*H1362)*F1362^p_phi</f>
        <v>9.36157626320463E-007</v>
      </c>
      <c r="J1362" s="16" t="n">
        <f aca="false">INDEX(Sector_Params!$C$22:$E$22,MATCH(B1362,Sector_Params!$C$15:$E$15,0))*I1362/SUMIFS($I$5:$I$1369,$B$5:$B$1369,B1362,$C$5:$C$1369,C1362)</f>
        <v>0.000564323669841068</v>
      </c>
      <c r="K1362" s="28" t="n">
        <f aca="false">INDEX(Sector_Params!$F$11:$H$11,MATCH(B1362,Sector_Params!$C$15:$E$15,0))</f>
        <v>0.24</v>
      </c>
      <c r="L1362" s="16" t="n">
        <f aca="false">J1362*K1362</f>
        <v>0.000135437680761856</v>
      </c>
      <c r="M1362" s="44" t="n">
        <f aca="false">Country_Data!$DW$198+Sector_Params!$E$11</f>
        <v>0.105</v>
      </c>
      <c r="N1362" s="44" t="n">
        <f aca="false">Country_Data!$DX$198+Sector_Params!$E$11</f>
        <v>0.15</v>
      </c>
      <c r="O1362" s="11" t="n">
        <f aca="false">IF(p_use_ibrd=1,p_r_ibrd,p_r_wb)</f>
        <v>0.06</v>
      </c>
      <c r="P1362" s="45" t="n">
        <f aca="false">Sector_Params!$D$11</f>
        <v>30</v>
      </c>
      <c r="Q1362" s="46" t="n">
        <f aca="false">M1362/(1-(1+M1362)^-P1362)</f>
        <v>0.110528481529605</v>
      </c>
      <c r="R1362" s="46" t="n">
        <f aca="false">N1362/(1-(1+N1362)^-P1362)</f>
        <v>0.152300198192734</v>
      </c>
      <c r="S1362" s="46" t="n">
        <f aca="false">O1362/(1-(1+O1362)^-P1362)</f>
        <v>0.0726489114900472</v>
      </c>
      <c r="T1362" s="37" t="n">
        <f aca="false">0*Sector_Params!$I$11</f>
        <v>0</v>
      </c>
      <c r="U1362" s="37" t="n">
        <f aca="false">p_c*Sector_Params!$J$11</f>
        <v>0.129</v>
      </c>
      <c r="V1362" s="37" t="n">
        <f aca="false">1000*p_r_wb/(1-(1+p_r_wb)^-Sector_Params!$D$11)/p_cpt_afolu</f>
        <v>1.45297822980094</v>
      </c>
      <c r="W1362" s="16" t="n">
        <f aca="false">T1362*L1362</f>
        <v>0</v>
      </c>
      <c r="X1362" s="16" t="n">
        <f aca="false">U1362*L1362</f>
        <v>1.74714608182795E-005</v>
      </c>
      <c r="Y1362" s="16" t="n">
        <f aca="false">V1362*L1362</f>
        <v>0.000196788001641707</v>
      </c>
      <c r="Z1362" s="16" t="n">
        <f aca="false">Q1362*L1362</f>
        <v>1.49697211964994E-005</v>
      </c>
      <c r="AA1362" s="16" t="n">
        <f aca="false">R1362*L1362</f>
        <v>2.0627185622795E-005</v>
      </c>
      <c r="AB1362" s="16" t="n">
        <f aca="false">S1362*L1362</f>
        <v>9.83940008208536E-006</v>
      </c>
      <c r="AC1362" s="16" t="n">
        <f aca="false">Z1362-W1362</f>
        <v>1.49697211964994E-005</v>
      </c>
      <c r="AD1362" s="16" t="n">
        <f aca="false">AA1362-W1362</f>
        <v>2.0627185622795E-005</v>
      </c>
      <c r="AE1362" s="16" t="n">
        <f aca="false">AB1362-W1362</f>
        <v>9.83940008208536E-006</v>
      </c>
      <c r="AF1362" s="16" t="n">
        <f aca="false">AE1362-X1362</f>
        <v>-7.63206073619409E-006</v>
      </c>
      <c r="AG1362" s="16" t="n">
        <f aca="false">AF1362-p_spc_lo*Y1362/1000</f>
        <v>-1.74714608182795E-005</v>
      </c>
      <c r="AH1362" s="16" t="n">
        <f aca="false">AF1362-p_spc_hi*Y1362/1000</f>
        <v>-2.73108609003648E-005</v>
      </c>
      <c r="AI1362" s="16" t="n">
        <f aca="false">Q1362*J1362</f>
        <v>6.23738383187475E-005</v>
      </c>
      <c r="AJ1362" s="16" t="n">
        <f aca="false">S1362*J1362</f>
        <v>4.09975003420224E-005</v>
      </c>
      <c r="AK1362" s="16" t="n">
        <f aca="false">T1362*J1362</f>
        <v>0</v>
      </c>
      <c r="AL1362" s="16" t="n">
        <f aca="false">U1362*J1362</f>
        <v>7.27977534094977E-005</v>
      </c>
      <c r="AM1362" s="16" t="n">
        <f aca="false">AI1362-AJ1362</f>
        <v>2.13763379767251E-005</v>
      </c>
      <c r="AN1362" s="16" t="n">
        <f aca="false">J1362*Country_Data!$EB$198</f>
        <v>0.000714809981798686</v>
      </c>
      <c r="AO1362" s="16" t="n">
        <f aca="false">L1362*Country_Data!$EB$198</f>
        <v>0.000171554395631685</v>
      </c>
    </row>
    <row r="1363" customFormat="false" ht="15" hidden="false" customHeight="false" outlineLevel="0" collapsed="false">
      <c r="A1363" s="14" t="str">
        <f aca="false">Country_Data!$A$199</f>
        <v>TUV</v>
      </c>
      <c r="B1363" s="14" t="str">
        <f aca="false">Country_Data!$E$199</f>
        <v>EMDC</v>
      </c>
      <c r="C1363" s="35" t="s">
        <v>466</v>
      </c>
      <c r="D1363" s="37" t="str">
        <f aca="false">IF(Country_Data!$BZ$199="","",Country_Data!$BZ$199)</f>
        <v/>
      </c>
      <c r="E1363" s="40" t="n">
        <f aca="false">Country_Data!$BW$199</f>
        <v>0.058</v>
      </c>
      <c r="F1363" s="41" t="n">
        <f aca="false">Country_Data!$BX$199</f>
        <v>0.96551724137931</v>
      </c>
      <c r="G1363" s="42" t="str">
        <f aca="false">IF(D1363="","",D1363/SUMIFS($D$5:$D$1369,$B$5:$B$1369,B1363,$C$5:$C$1369,C1363))</f>
        <v/>
      </c>
      <c r="H1363" s="42" t="n">
        <f aca="false">E1363/SUMIFS($E$5:$E$1369,$B$5:$B$1369,B1363,$C$5:$C$1369,C1363)</f>
        <v>7.18427377335028E-007</v>
      </c>
      <c r="I1363" s="43" t="n">
        <f aca="false">IF(G1363="",H1363,p_beta_alloc*G1363+(1-p_beta_alloc)*H1363)*F1363^p_phi</f>
        <v>7.05932034975275E-007</v>
      </c>
      <c r="J1363" s="16" t="n">
        <f aca="false">INDEX(Sector_Params!$C$16:$E$16,MATCH(B1363,Sector_Params!$C$15:$E$15,0))*I1363/SUMIFS($I$5:$I$1369,$B$5:$B$1369,B1363,$C$5:$C$1369,C1363)</f>
        <v>0.00068279536114819</v>
      </c>
      <c r="K1363" s="28" t="n">
        <f aca="false">INDEX(Sector_Params!$F$5:$H$5,MATCH(B1363,Sector_Params!$C$15:$E$15,0))</f>
        <v>0.24</v>
      </c>
      <c r="L1363" s="16" t="n">
        <f aca="false">J1363*K1363</f>
        <v>0.000163870886675566</v>
      </c>
      <c r="M1363" s="44" t="n">
        <f aca="false">Country_Data!$DW$199+Sector_Params!$E$5</f>
        <v>0.105</v>
      </c>
      <c r="N1363" s="44" t="n">
        <f aca="false">Country_Data!$DX$199+Sector_Params!$E$5</f>
        <v>0.15</v>
      </c>
      <c r="O1363" s="11" t="n">
        <f aca="false">IF(p_use_ibrd=1,p_r_ibrd,p_r_wb)</f>
        <v>0.06</v>
      </c>
      <c r="P1363" s="45" t="n">
        <f aca="false">Sector_Params!$D$5</f>
        <v>25</v>
      </c>
      <c r="Q1363" s="46" t="n">
        <f aca="false">M1363/(1-(1+M1363)^-P1363)</f>
        <v>0.114429319813103</v>
      </c>
      <c r="R1363" s="46" t="n">
        <f aca="false">N1363/(1-(1+N1363)^-P1363)</f>
        <v>0.154699402320206</v>
      </c>
      <c r="S1363" s="46" t="n">
        <f aca="false">O1363/(1-(1+O1363)^-P1363)</f>
        <v>0.078226718212274</v>
      </c>
      <c r="T1363" s="37" t="n">
        <f aca="false">IF(AND(p_eng=1,ISNUMBER(Country_Data!$CZ$199)),Country_Data!$CZ$199,Country_Data!$CM$199)*Sector_Params!$I$5</f>
        <v>0.133</v>
      </c>
      <c r="U1363" s="37" t="n">
        <f aca="false">IF(AND(p_eng=1,ISNUMBER(Country_Data!$DA$199)),Country_Data!$DA$199,Country_Data!$CN$199)*Sector_Params!$J$5</f>
        <v>0.129</v>
      </c>
      <c r="V1363" s="37" t="n">
        <f aca="false">IF(AND(p_eng=1,ISNUMBER(Country_Data!$DB$199)),Country_Data!$DB$199,p_a)</f>
        <v>0.35</v>
      </c>
      <c r="W1363" s="16" t="n">
        <f aca="false">T1363*L1363</f>
        <v>2.17948279278502E-005</v>
      </c>
      <c r="X1363" s="16" t="n">
        <f aca="false">U1363*L1363</f>
        <v>2.1139344381148E-005</v>
      </c>
      <c r="Y1363" s="16" t="n">
        <f aca="false">V1363*L1363</f>
        <v>5.73548103364479E-005</v>
      </c>
      <c r="Z1363" s="16" t="n">
        <f aca="false">Q1363*L1363</f>
        <v>1.87516340994551E-005</v>
      </c>
      <c r="AA1363" s="16" t="n">
        <f aca="false">R1363*L1363</f>
        <v>2.53507282263923E-005</v>
      </c>
      <c r="AB1363" s="16" t="n">
        <f aca="false">S1363*L1363</f>
        <v>1.28190816751649E-005</v>
      </c>
      <c r="AC1363" s="16" t="n">
        <f aca="false">Z1363-W1363</f>
        <v>-3.04319382839512E-006</v>
      </c>
      <c r="AD1363" s="16" t="n">
        <f aca="false">AA1363-W1363</f>
        <v>3.55590029854205E-006</v>
      </c>
      <c r="AE1363" s="16" t="n">
        <f aca="false">AB1363-W1363</f>
        <v>-8.97574625268528E-006</v>
      </c>
      <c r="AF1363" s="16" t="n">
        <f aca="false">AE1363-X1363</f>
        <v>-3.01150906338332E-005</v>
      </c>
      <c r="AG1363" s="16" t="n">
        <f aca="false">AF1363-p_spc_lo*Y1363/1000</f>
        <v>-3.29828311506556E-005</v>
      </c>
      <c r="AH1363" s="16" t="n">
        <f aca="false">AF1363-p_spc_hi*Y1363/1000</f>
        <v>-3.5850571667478E-005</v>
      </c>
      <c r="AI1363" s="16" t="n">
        <f aca="false">Q1363*J1363</f>
        <v>7.81318087477296E-005</v>
      </c>
      <c r="AJ1363" s="16" t="n">
        <f aca="false">S1363*J1363</f>
        <v>5.34128403131873E-005</v>
      </c>
      <c r="AK1363" s="16" t="n">
        <f aca="false">T1363*J1363</f>
        <v>9.08117830327092E-005</v>
      </c>
      <c r="AL1363" s="16" t="n">
        <f aca="false">U1363*J1363</f>
        <v>8.80806015881165E-005</v>
      </c>
      <c r="AM1363" s="16" t="n">
        <f aca="false">AI1363-AJ1363</f>
        <v>2.47189684345423E-005</v>
      </c>
      <c r="AN1363" s="16" t="n">
        <f aca="false">J1363*Country_Data!$EB$199</f>
        <v>0.00086487412412104</v>
      </c>
      <c r="AO1363" s="16" t="n">
        <f aca="false">L1363*Country_Data!$EB$199</f>
        <v>0.00020756978978905</v>
      </c>
    </row>
    <row r="1364" customFormat="false" ht="15" hidden="false" customHeight="false" outlineLevel="0" collapsed="false">
      <c r="A1364" s="14" t="str">
        <f aca="false">Country_Data!$A$199</f>
        <v>TUV</v>
      </c>
      <c r="B1364" s="14" t="str">
        <f aca="false">Country_Data!$E$199</f>
        <v>EMDC</v>
      </c>
      <c r="C1364" s="35" t="s">
        <v>470</v>
      </c>
      <c r="D1364" s="37" t="str">
        <f aca="false">IF(Country_Data!$BZ$199="","",Country_Data!$BZ$199)</f>
        <v/>
      </c>
      <c r="E1364" s="40" t="n">
        <f aca="false">Country_Data!$BW$199</f>
        <v>0.058</v>
      </c>
      <c r="F1364" s="41" t="n">
        <f aca="false">Country_Data!$BX$199</f>
        <v>0.96551724137931</v>
      </c>
      <c r="G1364" s="42" t="str">
        <f aca="false">IF(D1364="","",D1364/SUMIFS($D$5:$D$1369,$B$5:$B$1369,B1364,$C$5:$C$1369,C1364))</f>
        <v/>
      </c>
      <c r="H1364" s="42" t="n">
        <f aca="false">E1364/SUMIFS($E$5:$E$1369,$B$5:$B$1369,B1364,$C$5:$C$1369,C1364)</f>
        <v>7.18427377335028E-007</v>
      </c>
      <c r="I1364" s="43" t="n">
        <f aca="false">IF(G1364="",H1364,p_beta_alloc*G1364+(1-p_beta_alloc)*H1364)*F1364^p_phi</f>
        <v>7.05932034975275E-007</v>
      </c>
      <c r="J1364" s="16" t="n">
        <f aca="false">INDEX(Sector_Params!$C$17:$E$17,MATCH(B1364,Sector_Params!$C$15:$E$15,0))*I1364/SUMIFS($I$5:$I$1369,$B$5:$B$1369,B1364,$C$5:$C$1369,C1364)</f>
        <v>0.000468202533358759</v>
      </c>
      <c r="K1364" s="28" t="n">
        <f aca="false">INDEX(Sector_Params!$F$6:$H$6,MATCH(B1364,Sector_Params!$C$15:$E$15,0))</f>
        <v>0.24</v>
      </c>
      <c r="L1364" s="16" t="n">
        <f aca="false">J1364*K1364</f>
        <v>0.000112368608006102</v>
      </c>
      <c r="M1364" s="44" t="n">
        <f aca="false">Country_Data!$DW$199+Sector_Params!$E$6</f>
        <v>0.105</v>
      </c>
      <c r="N1364" s="44" t="n">
        <f aca="false">Country_Data!$DX$199+Sector_Params!$E$6</f>
        <v>0.15</v>
      </c>
      <c r="O1364" s="11" t="n">
        <f aca="false">IF(p_use_ibrd=1,p_r_ibrd,p_r_wb)</f>
        <v>0.06</v>
      </c>
      <c r="P1364" s="45" t="n">
        <f aca="false">Sector_Params!$D$6</f>
        <v>40</v>
      </c>
      <c r="Q1364" s="46" t="n">
        <f aca="false">M1364/(1-(1+M1364)^-P1364)</f>
        <v>0.10697140835497</v>
      </c>
      <c r="R1364" s="46" t="n">
        <f aca="false">N1364/(1-(1+N1364)^-P1364)</f>
        <v>0.150562085013545</v>
      </c>
      <c r="S1364" s="46" t="n">
        <f aca="false">O1364/(1-(1+O1364)^-P1364)</f>
        <v>0.0664615359206755</v>
      </c>
      <c r="T1364" s="37" t="n">
        <f aca="false">p_grid_credit*IF(AND(p_eng=1,ISNUMBER(Country_Data!$CZ$199)),Country_Data!$CZ$199,Country_Data!$CM$199)*Sector_Params!$I$6</f>
        <v>0</v>
      </c>
      <c r="U1364" s="37" t="n">
        <f aca="false">p_grid_credit*IF(AND(p_eng=1,ISNUMBER(Country_Data!$DA$199)),Country_Data!$DA$199,Country_Data!$CN$199)*Sector_Params!$J$6</f>
        <v>0</v>
      </c>
      <c r="V1364" s="37" t="n">
        <f aca="false">p_grid_credit*IF(AND(p_eng=1,ISNUMBER(Country_Data!$DB$199)),Country_Data!$DB$199,p_a)</f>
        <v>0</v>
      </c>
      <c r="W1364" s="16" t="n">
        <f aca="false">T1364*L1364</f>
        <v>0</v>
      </c>
      <c r="X1364" s="16" t="n">
        <f aca="false">U1364*L1364</f>
        <v>0</v>
      </c>
      <c r="Y1364" s="16" t="n">
        <f aca="false">V1364*L1364</f>
        <v>0</v>
      </c>
      <c r="Z1364" s="16" t="n">
        <f aca="false">Q1364*L1364</f>
        <v>1.20202282533003E-005</v>
      </c>
      <c r="AA1364" s="16" t="n">
        <f aca="false">R1364*L1364</f>
        <v>1.69184519114684E-005</v>
      </c>
      <c r="AB1364" s="16" t="n">
        <f aca="false">S1364*L1364</f>
        <v>7.46819027735386E-006</v>
      </c>
      <c r="AC1364" s="16" t="n">
        <f aca="false">Z1364-W1364</f>
        <v>1.20202282533003E-005</v>
      </c>
      <c r="AD1364" s="16" t="n">
        <f aca="false">AA1364-W1364</f>
        <v>1.69184519114684E-005</v>
      </c>
      <c r="AE1364" s="16" t="n">
        <f aca="false">AB1364-W1364</f>
        <v>7.46819027735386E-006</v>
      </c>
      <c r="AF1364" s="16" t="n">
        <f aca="false">AE1364-X1364</f>
        <v>7.46819027735386E-006</v>
      </c>
      <c r="AG1364" s="16" t="n">
        <f aca="false">AF1364-p_spc_lo*Y1364/1000</f>
        <v>7.46819027735386E-006</v>
      </c>
      <c r="AH1364" s="16" t="n">
        <f aca="false">AF1364-p_spc_hi*Y1364/1000</f>
        <v>7.46819027735386E-006</v>
      </c>
      <c r="AI1364" s="16" t="n">
        <f aca="false">Q1364*J1364</f>
        <v>5.00842843887514E-005</v>
      </c>
      <c r="AJ1364" s="16" t="n">
        <f aca="false">S1364*J1364</f>
        <v>3.11174594889744E-005</v>
      </c>
      <c r="AK1364" s="16" t="n">
        <f aca="false">T1364*J1364</f>
        <v>0</v>
      </c>
      <c r="AL1364" s="16" t="n">
        <f aca="false">U1364*J1364</f>
        <v>0</v>
      </c>
      <c r="AM1364" s="16" t="n">
        <f aca="false">AI1364-AJ1364</f>
        <v>1.8966824899777E-005</v>
      </c>
      <c r="AN1364" s="16" t="n">
        <f aca="false">J1364*Country_Data!$EB$199</f>
        <v>0.000593056542254428</v>
      </c>
      <c r="AO1364" s="16" t="n">
        <f aca="false">L1364*Country_Data!$EB$199</f>
        <v>0.000142333570141063</v>
      </c>
    </row>
    <row r="1365" customFormat="false" ht="15" hidden="false" customHeight="false" outlineLevel="0" collapsed="false">
      <c r="A1365" s="14" t="str">
        <f aca="false">Country_Data!$A$199</f>
        <v>TUV</v>
      </c>
      <c r="B1365" s="14" t="str">
        <f aca="false">Country_Data!$E$199</f>
        <v>EMDC</v>
      </c>
      <c r="C1365" s="35" t="s">
        <v>473</v>
      </c>
      <c r="D1365" s="37" t="str">
        <f aca="false">IF(Country_Data!$CA$199="","",Country_Data!$CA$199)</f>
        <v/>
      </c>
      <c r="E1365" s="40" t="n">
        <f aca="false">Country_Data!$BW$199</f>
        <v>0.058</v>
      </c>
      <c r="F1365" s="41" t="n">
        <f aca="false">Country_Data!$BX$199</f>
        <v>0.96551724137931</v>
      </c>
      <c r="G1365" s="42" t="str">
        <f aca="false">IF(D1365="","",D1365/SUMIFS($D$5:$D$1369,$B$5:$B$1369,B1365,$C$5:$C$1369,C1365))</f>
        <v/>
      </c>
      <c r="H1365" s="42" t="n">
        <f aca="false">E1365/SUMIFS($E$5:$E$1369,$B$5:$B$1369,B1365,$C$5:$C$1369,C1365)</f>
        <v>7.18427377335028E-007</v>
      </c>
      <c r="I1365" s="43" t="n">
        <f aca="false">IF(G1365="",H1365,p_beta_alloc*G1365+(1-p_beta_alloc)*H1365)*F1365^p_phi</f>
        <v>7.05932034975275E-007</v>
      </c>
      <c r="J1365" s="16" t="n">
        <f aca="false">INDEX(Sector_Params!$C$18:$E$18,MATCH(B1365,Sector_Params!$C$15:$E$15,0))*I1365/SUMIFS($I$5:$I$1369,$B$5:$B$1369,B1365,$C$5:$C$1369,C1365)</f>
        <v>0.000289062465113197</v>
      </c>
      <c r="K1365" s="28" t="n">
        <f aca="false">INDEX(Sector_Params!$F$7:$H$7,MATCH(B1365,Sector_Params!$C$15:$E$15,0))</f>
        <v>0.24</v>
      </c>
      <c r="L1365" s="16" t="n">
        <f aca="false">J1365*K1365</f>
        <v>6.93749916271673E-005</v>
      </c>
      <c r="M1365" s="44" t="n">
        <f aca="false">Country_Data!$DW$199+Sector_Params!$E$7</f>
        <v>0.105</v>
      </c>
      <c r="N1365" s="44" t="n">
        <f aca="false">Country_Data!$DX$199+Sector_Params!$E$7</f>
        <v>0.15</v>
      </c>
      <c r="O1365" s="11" t="n">
        <f aca="false">IF(p_use_ibrd=1,p_r_ibrd,p_r_wb)</f>
        <v>0.06</v>
      </c>
      <c r="P1365" s="45" t="n">
        <f aca="false">Sector_Params!$D$7</f>
        <v>12</v>
      </c>
      <c r="Q1365" s="46" t="n">
        <f aca="false">M1365/(1-(1+M1365)^-P1365)</f>
        <v>0.150376745634766</v>
      </c>
      <c r="R1365" s="46" t="n">
        <f aca="false">N1365/(1-(1+N1365)^-P1365)</f>
        <v>0.18448077613084</v>
      </c>
      <c r="S1365" s="46" t="n">
        <f aca="false">O1365/(1-(1+O1365)^-P1365)</f>
        <v>0.119277029380664</v>
      </c>
      <c r="T1365" s="37" t="n">
        <f aca="false">IF(AND(p_eng=1,ISNUMBER(Country_Data!$DE$199)),Country_Data!$DE$199,Country_Data!$CM$199)*Sector_Params!$I$7</f>
        <v>0.133</v>
      </c>
      <c r="U1365" s="37" t="n">
        <f aca="false">IF(AND(p_eng=1,ISNUMBER(Country_Data!$DF$199)),Country_Data!$DF$199,Country_Data!$CN$199)*Sector_Params!$J$7</f>
        <v>0.129</v>
      </c>
      <c r="V1365" s="37" t="n">
        <f aca="false">IF(AND(p_eng=1,ISNUMBER(Country_Data!$DG$199)),Country_Data!$DG$199,p_a)</f>
        <v>0.35</v>
      </c>
      <c r="W1365" s="16" t="n">
        <f aca="false">T1365*L1365</f>
        <v>9.22687388641325E-006</v>
      </c>
      <c r="X1365" s="16" t="n">
        <f aca="false">U1365*L1365</f>
        <v>8.94937391990458E-006</v>
      </c>
      <c r="Y1365" s="16" t="n">
        <f aca="false">V1365*L1365</f>
        <v>2.42812470695085E-005</v>
      </c>
      <c r="Z1365" s="16" t="n">
        <f aca="false">Q1365*L1365</f>
        <v>1.04323854693325E-005</v>
      </c>
      <c r="AA1365" s="16" t="n">
        <f aca="false">R1365*L1365</f>
        <v>1.27983522994503E-005</v>
      </c>
      <c r="AB1365" s="16" t="n">
        <f aca="false">S1365*L1365</f>
        <v>8.27484291459692E-006</v>
      </c>
      <c r="AC1365" s="16" t="n">
        <f aca="false">Z1365-W1365</f>
        <v>1.20551158291929E-006</v>
      </c>
      <c r="AD1365" s="16" t="n">
        <f aca="false">AA1365-W1365</f>
        <v>3.57147841303707E-006</v>
      </c>
      <c r="AE1365" s="16" t="n">
        <f aca="false">AB1365-W1365</f>
        <v>-9.52030971816329E-007</v>
      </c>
      <c r="AF1365" s="16" t="n">
        <f aca="false">AE1365-X1365</f>
        <v>-9.90140489172091E-006</v>
      </c>
      <c r="AG1365" s="16" t="n">
        <f aca="false">AF1365-p_spc_lo*Y1365/1000</f>
        <v>-1.11154672451963E-005</v>
      </c>
      <c r="AH1365" s="16" t="n">
        <f aca="false">AF1365-p_spc_hi*Y1365/1000</f>
        <v>-1.23295295986718E-005</v>
      </c>
      <c r="AI1365" s="16" t="n">
        <f aca="false">Q1365*J1365</f>
        <v>4.34682727888856E-005</v>
      </c>
      <c r="AJ1365" s="16" t="n">
        <f aca="false">S1365*J1365</f>
        <v>3.44785121441538E-005</v>
      </c>
      <c r="AK1365" s="16" t="n">
        <f aca="false">T1365*J1365</f>
        <v>3.84453078600552E-005</v>
      </c>
      <c r="AL1365" s="16" t="n">
        <f aca="false">U1365*J1365</f>
        <v>3.72890579996024E-005</v>
      </c>
      <c r="AM1365" s="16" t="n">
        <f aca="false">AI1365-AJ1365</f>
        <v>8.98976064473174E-006</v>
      </c>
      <c r="AN1365" s="16" t="n">
        <f aca="false">J1365*Country_Data!$EB$199</f>
        <v>0.000366145789143383</v>
      </c>
      <c r="AO1365" s="16" t="n">
        <f aca="false">L1365*Country_Data!$EB$199</f>
        <v>8.78749893944119E-005</v>
      </c>
    </row>
    <row r="1366" customFormat="false" ht="15" hidden="false" customHeight="false" outlineLevel="0" collapsed="false">
      <c r="A1366" s="14" t="str">
        <f aca="false">Country_Data!$A$199</f>
        <v>TUV</v>
      </c>
      <c r="B1366" s="14" t="str">
        <f aca="false">Country_Data!$E$199</f>
        <v>EMDC</v>
      </c>
      <c r="C1366" s="35" t="s">
        <v>477</v>
      </c>
      <c r="D1366" s="37" t="str">
        <f aca="false">IF(Country_Data!$CB$199="","",Country_Data!$CB$199)</f>
        <v/>
      </c>
      <c r="E1366" s="40" t="n">
        <f aca="false">Country_Data!$BW$199</f>
        <v>0.058</v>
      </c>
      <c r="F1366" s="41" t="n">
        <f aca="false">Country_Data!$BX$199</f>
        <v>0.96551724137931</v>
      </c>
      <c r="G1366" s="42" t="str">
        <f aca="false">IF(D1366="","",D1366/SUMIFS($D$5:$D$1369,$B$5:$B$1369,B1366,$C$5:$C$1369,C1366))</f>
        <v/>
      </c>
      <c r="H1366" s="42" t="n">
        <f aca="false">E1366/SUMIFS($E$5:$E$1369,$B$5:$B$1369,B1366,$C$5:$C$1369,C1366)</f>
        <v>7.18427377335028E-007</v>
      </c>
      <c r="I1366" s="43" t="n">
        <f aca="false">IF(G1366="",H1366,p_beta_alloc*G1366+(1-p_beta_alloc)*H1366)*F1366^p_phi</f>
        <v>7.05932034975275E-007</v>
      </c>
      <c r="J1366" s="16" t="n">
        <f aca="false">INDEX(Sector_Params!$C$19:$E$19,MATCH(B1366,Sector_Params!$C$15:$E$15,0))*I1366/SUMIFS($I$5:$I$1369,$B$5:$B$1369,B1366,$C$5:$C$1369,C1366)</f>
        <v>0.000227213117747662</v>
      </c>
      <c r="K1366" s="28" t="n">
        <f aca="false">INDEX(Sector_Params!$F$8:$H$8,MATCH(B1366,Sector_Params!$C$15:$E$15,0))</f>
        <v>0.24</v>
      </c>
      <c r="L1366" s="16" t="n">
        <f aca="false">J1366*K1366</f>
        <v>5.45311482594389E-005</v>
      </c>
      <c r="M1366" s="44" t="n">
        <f aca="false">Country_Data!$DW$199+Sector_Params!$E$8</f>
        <v>0.105</v>
      </c>
      <c r="N1366" s="44" t="n">
        <f aca="false">Country_Data!$DX$199+Sector_Params!$E$8</f>
        <v>0.15</v>
      </c>
      <c r="O1366" s="11" t="n">
        <f aca="false">IF(p_use_ibrd=1,p_r_ibrd,p_r_wb)</f>
        <v>0.06</v>
      </c>
      <c r="P1366" s="45" t="n">
        <f aca="false">Sector_Params!$D$8</f>
        <v>25</v>
      </c>
      <c r="Q1366" s="46" t="n">
        <f aca="false">M1366/(1-(1+M1366)^-P1366)</f>
        <v>0.114429319813103</v>
      </c>
      <c r="R1366" s="46" t="n">
        <f aca="false">N1366/(1-(1+N1366)^-P1366)</f>
        <v>0.154699402320206</v>
      </c>
      <c r="S1366" s="46" t="n">
        <f aca="false">O1366/(1-(1+O1366)^-P1366)</f>
        <v>0.078226718212274</v>
      </c>
      <c r="T1366" s="37" t="n">
        <f aca="false">Country_Data!$CM$199*Sector_Params!$I$8</f>
        <v>0.133</v>
      </c>
      <c r="U1366" s="37" t="n">
        <f aca="false">Country_Data!$CN$199*Sector_Params!$J$8</f>
        <v>0.129</v>
      </c>
      <c r="V1366" s="37" t="n">
        <f aca="false">p_a</f>
        <v>0.35</v>
      </c>
      <c r="W1366" s="16" t="n">
        <f aca="false">T1366*L1366</f>
        <v>7.25264271850537E-006</v>
      </c>
      <c r="X1366" s="16" t="n">
        <f aca="false">U1366*L1366</f>
        <v>7.03451812546761E-006</v>
      </c>
      <c r="Y1366" s="16" t="n">
        <f aca="false">V1366*L1366</f>
        <v>1.90859018908036E-005</v>
      </c>
      <c r="Z1366" s="16" t="n">
        <f aca="false">Q1366*L1366</f>
        <v>6.23996220395508E-006</v>
      </c>
      <c r="AA1366" s="16" t="n">
        <f aca="false">R1366*L1366</f>
        <v>8.43593604356976E-006</v>
      </c>
      <c r="AB1366" s="16" t="n">
        <f aca="false">S1366*L1366</f>
        <v>4.26579276868286E-006</v>
      </c>
      <c r="AC1366" s="16" t="n">
        <f aca="false">Z1366-W1366</f>
        <v>-1.01268051455029E-006</v>
      </c>
      <c r="AD1366" s="16" t="n">
        <f aca="false">AA1366-W1366</f>
        <v>1.18329332506439E-006</v>
      </c>
      <c r="AE1366" s="16" t="n">
        <f aca="false">AB1366-W1366</f>
        <v>-2.98684994982251E-006</v>
      </c>
      <c r="AF1366" s="16" t="n">
        <f aca="false">AE1366-X1366</f>
        <v>-1.00213680752901E-005</v>
      </c>
      <c r="AG1366" s="16" t="n">
        <f aca="false">AF1366-p_spc_lo*Y1366/1000</f>
        <v>-1.09756631698303E-005</v>
      </c>
      <c r="AH1366" s="16" t="n">
        <f aca="false">AF1366-p_spc_hi*Y1366/1000</f>
        <v>-1.19299582643705E-005</v>
      </c>
      <c r="AI1366" s="16" t="n">
        <f aca="false">Q1366*J1366</f>
        <v>2.59998425164795E-005</v>
      </c>
      <c r="AJ1366" s="16" t="n">
        <f aca="false">S1366*J1366</f>
        <v>1.77741365361786E-005</v>
      </c>
      <c r="AK1366" s="16" t="n">
        <f aca="false">T1366*J1366</f>
        <v>3.0219344660439E-005</v>
      </c>
      <c r="AL1366" s="16" t="n">
        <f aca="false">U1366*J1366</f>
        <v>2.93104921894484E-005</v>
      </c>
      <c r="AM1366" s="16" t="n">
        <f aca="false">AI1366-AJ1366</f>
        <v>8.22570598030094E-006</v>
      </c>
      <c r="AN1366" s="16" t="n">
        <f aca="false">J1366*Country_Data!$EB$199</f>
        <v>0.000287803282480372</v>
      </c>
      <c r="AO1366" s="16" t="n">
        <f aca="false">L1366*Country_Data!$EB$199</f>
        <v>6.90727877952892E-005</v>
      </c>
    </row>
    <row r="1367" customFormat="false" ht="15" hidden="false" customHeight="false" outlineLevel="0" collapsed="false">
      <c r="A1367" s="14" t="str">
        <f aca="false">Country_Data!$A$199</f>
        <v>TUV</v>
      </c>
      <c r="B1367" s="14" t="str">
        <f aca="false">Country_Data!$E$199</f>
        <v>EMDC</v>
      </c>
      <c r="C1367" s="35" t="s">
        <v>481</v>
      </c>
      <c r="D1367" s="37" t="str">
        <f aca="false">IF(Country_Data!$CC$199="","",Country_Data!$CC$199)</f>
        <v/>
      </c>
      <c r="E1367" s="40" t="n">
        <f aca="false">Country_Data!$BW$199</f>
        <v>0.058</v>
      </c>
      <c r="F1367" s="41" t="n">
        <f aca="false">Country_Data!$BX$199</f>
        <v>0.96551724137931</v>
      </c>
      <c r="G1367" s="42" t="str">
        <f aca="false">IF(D1367="","",D1367/SUMIFS($D$5:$D$1369,$B$5:$B$1369,B1367,$C$5:$C$1369,C1367))</f>
        <v/>
      </c>
      <c r="H1367" s="42" t="n">
        <f aca="false">E1367/SUMIFS($E$5:$E$1369,$B$5:$B$1369,B1367,$C$5:$C$1369,C1367)</f>
        <v>7.18427377335028E-007</v>
      </c>
      <c r="I1367" s="43" t="n">
        <f aca="false">IF(G1367="",H1367,p_beta_alloc*G1367+(1-p_beta_alloc)*H1367)*F1367^p_phi</f>
        <v>7.05932034975275E-007</v>
      </c>
      <c r="J1367" s="16" t="n">
        <f aca="false">INDEX(Sector_Params!$C$20:$E$20,MATCH(B1367,Sector_Params!$C$15:$E$15,0))*I1367/SUMIFS($I$5:$I$1369,$B$5:$B$1369,B1367,$C$5:$C$1369,C1367)</f>
        <v>0.000128846812221351</v>
      </c>
      <c r="K1367" s="28" t="n">
        <f aca="false">INDEX(Sector_Params!$F$9:$H$9,MATCH(B1367,Sector_Params!$C$15:$E$15,0))</f>
        <v>0.24</v>
      </c>
      <c r="L1367" s="16" t="n">
        <f aca="false">J1367*K1367</f>
        <v>3.09232349331243E-005</v>
      </c>
      <c r="M1367" s="44" t="n">
        <f aca="false">Country_Data!$DW$199+Sector_Params!$E$9</f>
        <v>0.105</v>
      </c>
      <c r="N1367" s="44" t="n">
        <f aca="false">Country_Data!$DX$199+Sector_Params!$E$9</f>
        <v>0.15</v>
      </c>
      <c r="O1367" s="11" t="n">
        <f aca="false">IF(p_use_ibrd=1,p_r_ibrd,p_r_wb)</f>
        <v>0.06</v>
      </c>
      <c r="P1367" s="45" t="n">
        <f aca="false">Sector_Params!$D$9</f>
        <v>25</v>
      </c>
      <c r="Q1367" s="46" t="n">
        <f aca="false">M1367/(1-(1+M1367)^-P1367)</f>
        <v>0.114429319813103</v>
      </c>
      <c r="R1367" s="46" t="n">
        <f aca="false">N1367/(1-(1+N1367)^-P1367)</f>
        <v>0.154699402320206</v>
      </c>
      <c r="S1367" s="46" t="n">
        <f aca="false">O1367/(1-(1+O1367)^-P1367)</f>
        <v>0.078226718212274</v>
      </c>
      <c r="T1367" s="37" t="n">
        <f aca="false">Country_Data!$CM$199*Sector_Params!$I$9</f>
        <v>0.133</v>
      </c>
      <c r="U1367" s="37" t="n">
        <f aca="false">Country_Data!$CN$199*Sector_Params!$J$9</f>
        <v>0.129</v>
      </c>
      <c r="V1367" s="37" t="n">
        <f aca="false">p_a</f>
        <v>0.35</v>
      </c>
      <c r="W1367" s="16" t="n">
        <f aca="false">T1367*L1367</f>
        <v>4.11279024610553E-006</v>
      </c>
      <c r="X1367" s="16" t="n">
        <f aca="false">U1367*L1367</f>
        <v>3.98909730637303E-006</v>
      </c>
      <c r="Y1367" s="16" t="n">
        <f aca="false">V1367*L1367</f>
        <v>1.08231322265935E-005</v>
      </c>
      <c r="Z1367" s="16" t="n">
        <f aca="false">Q1367*L1367</f>
        <v>3.53852473981821E-006</v>
      </c>
      <c r="AA1367" s="16" t="n">
        <f aca="false">R1367*L1367</f>
        <v>4.78380596196166E-006</v>
      </c>
      <c r="AB1367" s="16" t="n">
        <f aca="false">S1367*L1367</f>
        <v>2.41902318532546E-006</v>
      </c>
      <c r="AC1367" s="16" t="n">
        <f aca="false">Z1367-W1367</f>
        <v>-5.74265506287323E-007</v>
      </c>
      <c r="AD1367" s="16" t="n">
        <f aca="false">AA1367-W1367</f>
        <v>6.71015715856126E-007</v>
      </c>
      <c r="AE1367" s="16" t="n">
        <f aca="false">AB1367-W1367</f>
        <v>-1.69376706078007E-006</v>
      </c>
      <c r="AF1367" s="16" t="n">
        <f aca="false">AE1367-X1367</f>
        <v>-5.6828643671531E-006</v>
      </c>
      <c r="AG1367" s="16" t="n">
        <f aca="false">AF1367-p_spc_lo*Y1367/1000</f>
        <v>-6.22402097848278E-006</v>
      </c>
      <c r="AH1367" s="16" t="n">
        <f aca="false">AF1367-p_spc_hi*Y1367/1000</f>
        <v>-6.76517758981245E-006</v>
      </c>
      <c r="AI1367" s="16" t="n">
        <f aca="false">Q1367*J1367</f>
        <v>1.47438530825759E-005</v>
      </c>
      <c r="AJ1367" s="16" t="n">
        <f aca="false">S1367*J1367</f>
        <v>1.00792632721894E-005</v>
      </c>
      <c r="AK1367" s="16" t="n">
        <f aca="false">T1367*J1367</f>
        <v>1.71366260254397E-005</v>
      </c>
      <c r="AL1367" s="16" t="n">
        <f aca="false">U1367*J1367</f>
        <v>1.66212387765543E-005</v>
      </c>
      <c r="AM1367" s="16" t="n">
        <f aca="false">AI1367-AJ1367</f>
        <v>4.66458981038645E-006</v>
      </c>
      <c r="AN1367" s="16" t="n">
        <f aca="false">J1367*Country_Data!$EB$199</f>
        <v>0.000163205962147045</v>
      </c>
      <c r="AO1367" s="16" t="n">
        <f aca="false">L1367*Country_Data!$EB$199</f>
        <v>3.91694309152908E-005</v>
      </c>
    </row>
    <row r="1368" customFormat="false" ht="15" hidden="false" customHeight="false" outlineLevel="0" collapsed="false">
      <c r="A1368" s="14" t="str">
        <f aca="false">Country_Data!$A$199</f>
        <v>TUV</v>
      </c>
      <c r="B1368" s="14" t="str">
        <f aca="false">Country_Data!$E$199</f>
        <v>EMDC</v>
      </c>
      <c r="C1368" s="35" t="s">
        <v>484</v>
      </c>
      <c r="D1368" s="37" t="str">
        <f aca="false">IF(Country_Data!$CD$199="","",Country_Data!$CD$199)</f>
        <v/>
      </c>
      <c r="E1368" s="40" t="n">
        <f aca="false">Country_Data!$BW$199</f>
        <v>0.058</v>
      </c>
      <c r="F1368" s="41" t="n">
        <f aca="false">Country_Data!$BX$199</f>
        <v>0.96551724137931</v>
      </c>
      <c r="G1368" s="42" t="str">
        <f aca="false">IF(D1368="","",D1368/SUMIFS($D$5:$D$1369,$B$5:$B$1369,B1368,$C$5:$C$1369,C1368))</f>
        <v/>
      </c>
      <c r="H1368" s="42" t="n">
        <f aca="false">E1368/SUMIFS($E$5:$E$1369,$B$5:$B$1369,B1368,$C$5:$C$1369,C1368)</f>
        <v>7.18427377335028E-007</v>
      </c>
      <c r="I1368" s="43" t="n">
        <f aca="false">IF(G1368="",H1368,p_beta_alloc*G1368+(1-p_beta_alloc)*H1368)*F1368^p_phi</f>
        <v>7.05932034975275E-007</v>
      </c>
      <c r="J1368" s="16" t="n">
        <f aca="false">INDEX(Sector_Params!$C$21:$E$21,MATCH(B1368,Sector_Params!$C$15:$E$15,0))*I1368/SUMIFS($I$5:$I$1369,$B$5:$B$1369,B1368,$C$5:$C$1369,C1368)</f>
        <v>0.00015656854338673</v>
      </c>
      <c r="K1368" s="28" t="n">
        <f aca="false">INDEX(Sector_Params!$F$10:$H$10,MATCH(B1368,Sector_Params!$C$15:$E$15,0))</f>
        <v>0.24</v>
      </c>
      <c r="L1368" s="16" t="n">
        <f aca="false">J1368*K1368</f>
        <v>3.75764504128153E-005</v>
      </c>
      <c r="M1368" s="44" t="n">
        <f aca="false">Country_Data!$DW$199+Sector_Params!$E$10</f>
        <v>0.105</v>
      </c>
      <c r="N1368" s="44" t="n">
        <f aca="false">Country_Data!$DX$199+Sector_Params!$E$10</f>
        <v>0.15</v>
      </c>
      <c r="O1368" s="11" t="n">
        <f aca="false">IF(p_use_ibrd=1,p_r_ibrd,p_r_wb)</f>
        <v>0.06</v>
      </c>
      <c r="P1368" s="45" t="n">
        <f aca="false">Sector_Params!$D$10</f>
        <v>20</v>
      </c>
      <c r="Q1368" s="46" t="n">
        <f aca="false">M1368/(1-(1+M1368)^-P1368)</f>
        <v>0.121493265267016</v>
      </c>
      <c r="R1368" s="46" t="n">
        <f aca="false">N1368/(1-(1+N1368)^-P1368)</f>
        <v>0.159761470405744</v>
      </c>
      <c r="S1368" s="46" t="n">
        <f aca="false">O1368/(1-(1+O1368)^-P1368)</f>
        <v>0.0871845569768514</v>
      </c>
      <c r="T1368" s="37" t="n">
        <f aca="false">0*Sector_Params!$I$10</f>
        <v>0</v>
      </c>
      <c r="U1368" s="37" t="n">
        <f aca="false">0*Sector_Params!$J$10</f>
        <v>0</v>
      </c>
      <c r="V1368" s="37" t="n">
        <f aca="false">1000*p_r_wb/(1-(1+p_r_wb)^-Sector_Params!$D$10)/p_cpt_fuel</f>
        <v>0.871845569768514</v>
      </c>
      <c r="W1368" s="16" t="n">
        <f aca="false">T1368*L1368</f>
        <v>0</v>
      </c>
      <c r="X1368" s="16" t="n">
        <f aca="false">U1368*L1368</f>
        <v>0</v>
      </c>
      <c r="Y1368" s="16" t="n">
        <f aca="false">V1368*L1368</f>
        <v>3.27608618200393E-005</v>
      </c>
      <c r="Z1368" s="16" t="n">
        <f aca="false">Q1368*L1368</f>
        <v>4.56528565779704E-006</v>
      </c>
      <c r="AA1368" s="16" t="n">
        <f aca="false">R1368*L1368</f>
        <v>6.00326897057989E-006</v>
      </c>
      <c r="AB1368" s="16" t="n">
        <f aca="false">S1368*L1368</f>
        <v>3.27608618200392E-006</v>
      </c>
      <c r="AC1368" s="16" t="n">
        <f aca="false">Z1368-W1368</f>
        <v>4.56528565779704E-006</v>
      </c>
      <c r="AD1368" s="16" t="n">
        <f aca="false">AA1368-W1368</f>
        <v>6.00326897057989E-006</v>
      </c>
      <c r="AE1368" s="16" t="n">
        <f aca="false">AB1368-W1368</f>
        <v>3.27608618200392E-006</v>
      </c>
      <c r="AF1368" s="16" t="n">
        <f aca="false">AE1368-X1368</f>
        <v>3.27608618200392E-006</v>
      </c>
      <c r="AG1368" s="16" t="n">
        <f aca="false">AF1368-p_spc_lo*Y1368/1000</f>
        <v>1.63804309100196E-006</v>
      </c>
      <c r="AH1368" s="16" t="n">
        <f aca="false">AF1368-p_spc_hi*Y1368/1000</f>
        <v>0</v>
      </c>
      <c r="AI1368" s="16" t="n">
        <f aca="false">Q1368*J1368</f>
        <v>1.90220235741544E-005</v>
      </c>
      <c r="AJ1368" s="16" t="n">
        <f aca="false">S1368*J1368</f>
        <v>1.3650359091683E-005</v>
      </c>
      <c r="AK1368" s="16" t="n">
        <f aca="false">T1368*J1368</f>
        <v>0</v>
      </c>
      <c r="AL1368" s="16" t="n">
        <f aca="false">U1368*J1368</f>
        <v>0</v>
      </c>
      <c r="AM1368" s="16" t="n">
        <f aca="false">AI1368-AJ1368</f>
        <v>5.37166448247134E-006</v>
      </c>
      <c r="AN1368" s="16" t="n">
        <f aca="false">J1368*Country_Data!$EB$199</f>
        <v>0.000198320154956525</v>
      </c>
      <c r="AO1368" s="16" t="n">
        <f aca="false">L1368*Country_Data!$EB$199</f>
        <v>4.7596837189566E-005</v>
      </c>
    </row>
    <row r="1369" customFormat="false" ht="15" hidden="false" customHeight="false" outlineLevel="0" collapsed="false">
      <c r="A1369" s="14" t="str">
        <f aca="false">Country_Data!$A$199</f>
        <v>TUV</v>
      </c>
      <c r="B1369" s="14" t="str">
        <f aca="false">Country_Data!$E$199</f>
        <v>EMDC</v>
      </c>
      <c r="C1369" s="35" t="s">
        <v>488</v>
      </c>
      <c r="D1369" s="37" t="str">
        <f aca="false">IF(Country_Data!$CE$199="","",Country_Data!$CE$199)</f>
        <v/>
      </c>
      <c r="E1369" s="40" t="n">
        <f aca="false">Country_Data!$BW$199</f>
        <v>0.058</v>
      </c>
      <c r="F1369" s="41" t="n">
        <f aca="false">Country_Data!$BX$199</f>
        <v>0.96551724137931</v>
      </c>
      <c r="G1369" s="42" t="str">
        <f aca="false">IF(D1369="","",D1369/SUMIFS($D$5:$D$1369,$B$5:$B$1369,B1369,$C$5:$C$1369,C1369))</f>
        <v/>
      </c>
      <c r="H1369" s="42" t="n">
        <f aca="false">E1369/SUMIFS($E$5:$E$1369,$B$5:$B$1369,B1369,$C$5:$C$1369,C1369)</f>
        <v>7.18427377335028E-007</v>
      </c>
      <c r="I1369" s="43" t="n">
        <f aca="false">IF(G1369="",H1369,p_beta_alloc*G1369+(1-p_beta_alloc)*H1369)*F1369^p_phi</f>
        <v>7.05932034975275E-007</v>
      </c>
      <c r="J1369" s="16" t="n">
        <f aca="false">INDEX(Sector_Params!$C$22:$E$22,MATCH(B1369,Sector_Params!$C$15:$E$15,0))*I1369/SUMIFS($I$5:$I$1369,$B$5:$B$1369,B1369,$C$5:$C$1369,C1369)</f>
        <v>0.000425541752195532</v>
      </c>
      <c r="K1369" s="28" t="n">
        <f aca="false">INDEX(Sector_Params!$F$11:$H$11,MATCH(B1369,Sector_Params!$C$15:$E$15,0))</f>
        <v>0.24</v>
      </c>
      <c r="L1369" s="16" t="n">
        <f aca="false">J1369*K1369</f>
        <v>0.000102130020526928</v>
      </c>
      <c r="M1369" s="44" t="n">
        <f aca="false">Country_Data!$DW$199+Sector_Params!$E$11</f>
        <v>0.105</v>
      </c>
      <c r="N1369" s="44" t="n">
        <f aca="false">Country_Data!$DX$199+Sector_Params!$E$11</f>
        <v>0.15</v>
      </c>
      <c r="O1369" s="11" t="n">
        <f aca="false">IF(p_use_ibrd=1,p_r_ibrd,p_r_wb)</f>
        <v>0.06</v>
      </c>
      <c r="P1369" s="45" t="n">
        <f aca="false">Sector_Params!$D$11</f>
        <v>30</v>
      </c>
      <c r="Q1369" s="46" t="n">
        <f aca="false">M1369/(1-(1+M1369)^-P1369)</f>
        <v>0.110528481529605</v>
      </c>
      <c r="R1369" s="46" t="n">
        <f aca="false">N1369/(1-(1+N1369)^-P1369)</f>
        <v>0.152300198192734</v>
      </c>
      <c r="S1369" s="46" t="n">
        <f aca="false">O1369/(1-(1+O1369)^-P1369)</f>
        <v>0.0726489114900472</v>
      </c>
      <c r="T1369" s="37" t="n">
        <f aca="false">0*Sector_Params!$I$11</f>
        <v>0</v>
      </c>
      <c r="U1369" s="37" t="n">
        <f aca="false">p_c*Sector_Params!$J$11</f>
        <v>0.129</v>
      </c>
      <c r="V1369" s="37" t="n">
        <f aca="false">1000*p_r_wb/(1-(1+p_r_wb)^-Sector_Params!$D$11)/p_cpt_afolu</f>
        <v>1.45297822980094</v>
      </c>
      <c r="W1369" s="16" t="n">
        <f aca="false">T1369*L1369</f>
        <v>0</v>
      </c>
      <c r="X1369" s="16" t="n">
        <f aca="false">U1369*L1369</f>
        <v>1.31747726479737E-005</v>
      </c>
      <c r="Y1369" s="16" t="n">
        <f aca="false">V1369*L1369</f>
        <v>0.000148392696434749</v>
      </c>
      <c r="Z1369" s="16" t="n">
        <f aca="false">Q1369*L1369</f>
        <v>1.12882760874287E-005</v>
      </c>
      <c r="AA1369" s="16" t="n">
        <f aca="false">R1369*L1369</f>
        <v>1.55544223676791E-005</v>
      </c>
      <c r="AB1369" s="16" t="n">
        <f aca="false">S1369*L1369</f>
        <v>7.41963482173747E-006</v>
      </c>
      <c r="AC1369" s="16" t="n">
        <f aca="false">Z1369-W1369</f>
        <v>1.12882760874287E-005</v>
      </c>
      <c r="AD1369" s="16" t="n">
        <f aca="false">AA1369-W1369</f>
        <v>1.55544223676791E-005</v>
      </c>
      <c r="AE1369" s="16" t="n">
        <f aca="false">AB1369-W1369</f>
        <v>7.41963482173747E-006</v>
      </c>
      <c r="AF1369" s="16" t="n">
        <f aca="false">AE1369-X1369</f>
        <v>-5.7551378262362E-006</v>
      </c>
      <c r="AG1369" s="16" t="n">
        <f aca="false">AF1369-p_spc_lo*Y1369/1000</f>
        <v>-1.31747726479737E-005</v>
      </c>
      <c r="AH1369" s="16" t="n">
        <f aca="false">AF1369-p_spc_hi*Y1369/1000</f>
        <v>-2.05944074697111E-005</v>
      </c>
      <c r="AI1369" s="16" t="n">
        <f aca="false">Q1369*J1369</f>
        <v>4.70344836976197E-005</v>
      </c>
      <c r="AJ1369" s="16" t="n">
        <f aca="false">S1369*J1369</f>
        <v>3.09151450905728E-005</v>
      </c>
      <c r="AK1369" s="16" t="n">
        <f aca="false">T1369*J1369</f>
        <v>0</v>
      </c>
      <c r="AL1369" s="16" t="n">
        <f aca="false">U1369*J1369</f>
        <v>5.48948860332236E-005</v>
      </c>
      <c r="AM1369" s="16" t="n">
        <f aca="false">AI1369-AJ1369</f>
        <v>1.61193386070469E-005</v>
      </c>
      <c r="AN1369" s="16" t="n">
        <f aca="false">J1369*Country_Data!$EB$199</f>
        <v>0.000539019552781007</v>
      </c>
      <c r="AO1369" s="16" t="n">
        <f aca="false">L1369*Country_Data!$EB$199</f>
        <v>0.000129364692667442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  <col collapsed="false" customWidth="true" hidden="false" outlineLevel="0" max="10" min="10" style="0" width="30"/>
  </cols>
  <sheetData>
    <row r="1" customFormat="false" ht="16.15" hidden="false" customHeight="false" outlineLevel="0" collapsed="false">
      <c r="A1" s="1" t="s">
        <v>1203</v>
      </c>
    </row>
    <row r="2" customFormat="false" ht="15" hidden="false" customHeight="false" outlineLevel="0" collapsed="false">
      <c r="A2" s="4" t="s">
        <v>1204</v>
      </c>
    </row>
    <row r="4" customFormat="false" ht="36" hidden="false" customHeight="true" outlineLevel="0" collapsed="false">
      <c r="A4" s="5" t="s">
        <v>89</v>
      </c>
      <c r="B4" s="5" t="s">
        <v>1205</v>
      </c>
      <c r="C4" s="5" t="s">
        <v>1206</v>
      </c>
      <c r="D4" s="5" t="s">
        <v>1207</v>
      </c>
      <c r="E4" s="5" t="s">
        <v>1208</v>
      </c>
      <c r="F4" s="5" t="s">
        <v>1209</v>
      </c>
      <c r="G4" s="5" t="s">
        <v>1210</v>
      </c>
      <c r="H4" s="5" t="s">
        <v>1211</v>
      </c>
      <c r="I4" s="5" t="s">
        <v>1212</v>
      </c>
      <c r="J4" s="5" t="s">
        <v>1213</v>
      </c>
    </row>
    <row r="5" customFormat="false" ht="15" hidden="false" customHeight="false" outlineLevel="0" collapsed="false">
      <c r="A5" s="6" t="s">
        <v>1214</v>
      </c>
      <c r="B5" s="22" t="n">
        <v>2750</v>
      </c>
      <c r="C5" s="26" t="n">
        <v>0.055</v>
      </c>
      <c r="D5" s="7" t="n">
        <f aca="false">B5*C5/(1-(1+C5)^-25)</f>
        <v>205.010720602706</v>
      </c>
      <c r="E5" s="7" t="n">
        <f aca="false">p_b*B5-D5</f>
        <v>160.739279397294</v>
      </c>
      <c r="F5" s="7" t="n">
        <f aca="false">B5*p_r_wb/(1-(1+p_r_wb)^-25)</f>
        <v>215.123475083753</v>
      </c>
      <c r="G5" s="7" t="n">
        <f aca="false">p_b*B5-F5</f>
        <v>150.626524916247</v>
      </c>
      <c r="H5" s="7" t="n">
        <f aca="false">G5+p_c*B5</f>
        <v>505.376524916247</v>
      </c>
      <c r="I5" s="35" t="s">
        <v>1215</v>
      </c>
      <c r="J5" s="9" t="str">
        <f aca="false">IF(AND(ABS(D5-205)&lt;=2,ABS(H5-506)&lt;=3),"OK","CHECK")</f>
        <v>OK</v>
      </c>
    </row>
    <row r="6" customFormat="false" ht="15" hidden="false" customHeight="false" outlineLevel="0" collapsed="false">
      <c r="A6" s="6" t="s">
        <v>30</v>
      </c>
      <c r="B6" s="22" t="n">
        <v>1350</v>
      </c>
      <c r="C6" s="26" t="n">
        <v>0.06</v>
      </c>
      <c r="D6" s="7" t="n">
        <f aca="false">B6*C6/(1-(1+C6)^-25)</f>
        <v>105.60606958657</v>
      </c>
      <c r="E6" s="7" t="n">
        <f aca="false">p_b*B6-D6</f>
        <v>73.9439304134302</v>
      </c>
      <c r="F6" s="7" t="n">
        <f aca="false">B6*p_r_wb/(1-(1+p_r_wb)^-25)</f>
        <v>105.60606958657</v>
      </c>
      <c r="G6" s="7" t="n">
        <f aca="false">p_b*B6-F6</f>
        <v>73.9439304134302</v>
      </c>
      <c r="H6" s="7" t="n">
        <f aca="false">G6+p_c*B6</f>
        <v>248.09393041343</v>
      </c>
      <c r="I6" s="35" t="s">
        <v>1216</v>
      </c>
      <c r="J6" s="9" t="str">
        <f aca="false">IF(AND(ABS(D6-106)&lt;=2,ABS(H6-248)&lt;=3),"OK","CHECK")</f>
        <v>OK</v>
      </c>
    </row>
    <row r="7" customFormat="false" ht="15" hidden="false" customHeight="false" outlineLevel="0" collapsed="false">
      <c r="A7" s="6" t="s">
        <v>1217</v>
      </c>
      <c r="B7" s="22" t="n">
        <v>2400</v>
      </c>
      <c r="C7" s="26" t="n">
        <v>0.105</v>
      </c>
      <c r="D7" s="7" t="n">
        <f aca="false">B7*C7/(1-(1+C7)^-25)</f>
        <v>274.630367551448</v>
      </c>
      <c r="E7" s="7" t="n">
        <f aca="false">p_b*B7-D7</f>
        <v>44.5696324485521</v>
      </c>
      <c r="F7" s="7" t="n">
        <f aca="false">B7*p_r_wb/(1-(1+p_r_wb)^-25)</f>
        <v>187.744123709457</v>
      </c>
      <c r="G7" s="7" t="n">
        <f aca="false">p_b*B7-F7</f>
        <v>131.455876290543</v>
      </c>
      <c r="H7" s="7" t="n">
        <f aca="false">G7+p_c*B7</f>
        <v>441.055876290543</v>
      </c>
      <c r="I7" s="35" t="s">
        <v>1218</v>
      </c>
      <c r="J7" s="9" t="str">
        <f aca="false">IF(AND(ABS(D7-275)&lt;=2,ABS(H7-441)&lt;=3),"OK","CHECK")</f>
        <v>OK</v>
      </c>
    </row>
    <row r="9" customFormat="false" ht="15" hidden="false" customHeight="false" outlineLevel="0" collapsed="false">
      <c r="A9" s="2" t="s">
        <v>1219</v>
      </c>
    </row>
    <row r="10" customFormat="false" ht="36" hidden="false" customHeight="true" outlineLevel="0" collapsed="false">
      <c r="A10" s="5" t="s">
        <v>1220</v>
      </c>
      <c r="B10" s="5" t="s">
        <v>1221</v>
      </c>
      <c r="C10" s="5" t="s">
        <v>1222</v>
      </c>
      <c r="D10" s="5" t="s">
        <v>1223</v>
      </c>
      <c r="E10" s="5"/>
      <c r="F10" s="5"/>
      <c r="G10" s="5"/>
      <c r="H10" s="5"/>
      <c r="I10" s="5"/>
      <c r="J10" s="5" t="s">
        <v>1224</v>
      </c>
    </row>
    <row r="11" customFormat="false" ht="15" hidden="false" customHeight="false" outlineLevel="0" collapsed="false">
      <c r="A11" s="6" t="s">
        <v>783</v>
      </c>
      <c r="B11" s="11" t="n">
        <f aca="false">INDEX(Results_Country!$I$5:$I$199,MATCH("BRA",Results_Country!$A$5:$A$199,0))</f>
        <v>0.013614964748958</v>
      </c>
      <c r="C11" s="39" t="n">
        <v>0.0192</v>
      </c>
      <c r="D11" s="6" t="s">
        <v>1225</v>
      </c>
      <c r="J11" s="4" t="s">
        <v>1226</v>
      </c>
    </row>
    <row r="12" customFormat="false" ht="15" hidden="false" customHeight="false" outlineLevel="0" collapsed="false">
      <c r="A12" s="6" t="s">
        <v>788</v>
      </c>
      <c r="B12" s="11" t="n">
        <f aca="false">INDEX(Results_Country!$I$5:$I$199,MATCH("MEX",Results_Country!$A$5:$A$199,0))</f>
        <v>0.011278958607448</v>
      </c>
      <c r="C12" s="39" t="n">
        <v>0.01</v>
      </c>
      <c r="D12" s="6" t="s">
        <v>1227</v>
      </c>
      <c r="J12" s="4" t="s">
        <v>1226</v>
      </c>
    </row>
    <row r="13" customFormat="false" ht="15" hidden="false" customHeight="false" outlineLevel="0" collapsed="false">
      <c r="A13" s="6" t="s">
        <v>894</v>
      </c>
      <c r="B13" s="11" t="n">
        <f aca="false">INDEX(Results_Country!$I$5:$I$199,MATCH("DOM",Results_Country!$A$5:$A$199,0))</f>
        <v>0.0105456367735514</v>
      </c>
      <c r="C13" s="39" t="n">
        <v>0.016</v>
      </c>
      <c r="D13" s="6" t="s">
        <v>1228</v>
      </c>
      <c r="J13" s="4" t="s">
        <v>1226</v>
      </c>
    </row>
    <row r="14" customFormat="false" ht="15" hidden="false" customHeight="false" outlineLevel="0" collapsed="false">
      <c r="A14" s="6" t="s">
        <v>1229</v>
      </c>
      <c r="B14" s="11" t="n">
        <f aca="false">Results_Summary!D6/Results_Summary!D21</f>
        <v>0.0139874442253651</v>
      </c>
      <c r="C14" s="39" t="n">
        <v>0.014</v>
      </c>
      <c r="D14" s="6" t="s">
        <v>1230</v>
      </c>
    </row>
    <row r="15" customFormat="false" ht="15" hidden="false" customHeight="false" outlineLevel="0" collapsed="false">
      <c r="A15" s="6" t="s">
        <v>1231</v>
      </c>
      <c r="B15" s="7" t="n">
        <f aca="false">Results_Summary!E5</f>
        <v>5199</v>
      </c>
      <c r="C15" s="7" t="n">
        <f aca="false">p_ce_world+p_nat_emdc+p_nat_ae+p_nat_chn</f>
        <v>5199</v>
      </c>
      <c r="D15" s="6" t="s">
        <v>1232</v>
      </c>
      <c r="J15" s="9" t="str">
        <f aca="false">IF(ABS(B15-C15)&lt;0.5,"OK","CHECK")</f>
        <v>OK</v>
      </c>
    </row>
    <row r="16" customFormat="false" ht="15" hidden="false" customHeight="false" outlineLevel="0" collapsed="false">
      <c r="A16" s="6" t="s">
        <v>1233</v>
      </c>
      <c r="B16" s="13" t="n">
        <f aca="false">COUNTIF(Country_Data!$DV$5:$DV$199,"Observed*")</f>
        <v>84</v>
      </c>
      <c r="C16" s="13" t="n">
        <f aca="false">COUNTIF(Country_Data!$DV$5:$DV$199,"Damodaran*")</f>
        <v>0</v>
      </c>
      <c r="D16" s="13" t="n">
        <f aca="false">COUNTIF(Country_Data!$DV$5:$DV$199,"Group*")</f>
        <v>111</v>
      </c>
    </row>
    <row r="17" customFormat="false" ht="15" hidden="false" customHeight="false" outlineLevel="0" collapsed="false">
      <c r="A17" s="6" t="s">
        <v>1234</v>
      </c>
      <c r="B17" s="13" t="n">
        <f aca="false">SUM(Country_Data!$BY$5:$BY$199)</f>
        <v>184</v>
      </c>
      <c r="C17" s="13" t="n">
        <f aca="false">COUNTIF(Country_Data!$DZ$5:$DZ$199,"PEFA*")</f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1235</v>
      </c>
    </row>
    <row r="3" customFormat="false" ht="22.35" hidden="false" customHeight="false" outlineLevel="0" collapsed="false">
      <c r="A3" s="47" t="s">
        <v>1236</v>
      </c>
      <c r="B3" s="3" t="s">
        <v>1237</v>
      </c>
    </row>
    <row r="4" customFormat="false" ht="32.8" hidden="false" customHeight="false" outlineLevel="0" collapsed="false">
      <c r="A4" s="47" t="s">
        <v>1238</v>
      </c>
      <c r="B4" s="3" t="s">
        <v>1239</v>
      </c>
    </row>
    <row r="5" customFormat="false" ht="32.8" hidden="false" customHeight="false" outlineLevel="0" collapsed="false">
      <c r="A5" s="47" t="s">
        <v>1240</v>
      </c>
      <c r="B5" s="3" t="s">
        <v>1241</v>
      </c>
    </row>
    <row r="6" customFormat="false" ht="15" hidden="false" customHeight="false" outlineLevel="0" collapsed="false">
      <c r="A6" s="47" t="s">
        <v>1242</v>
      </c>
      <c r="B6" s="3" t="s">
        <v>1243</v>
      </c>
    </row>
    <row r="7" customFormat="false" ht="15" hidden="false" customHeight="false" outlineLevel="0" collapsed="false">
      <c r="A7" s="47" t="s">
        <v>1244</v>
      </c>
      <c r="B7" s="3" t="s">
        <v>1245</v>
      </c>
    </row>
    <row r="8" customFormat="false" ht="15" hidden="false" customHeight="false" outlineLevel="0" collapsed="false">
      <c r="A8" s="47" t="s">
        <v>1246</v>
      </c>
      <c r="B8" s="3" t="s">
        <v>1247</v>
      </c>
    </row>
    <row r="9" customFormat="false" ht="15" hidden="false" customHeight="false" outlineLevel="0" collapsed="false">
      <c r="A9" s="47" t="s">
        <v>1248</v>
      </c>
      <c r="B9" s="3" t="s">
        <v>1249</v>
      </c>
    </row>
    <row r="10" customFormat="false" ht="15" hidden="false" customHeight="false" outlineLevel="0" collapsed="false">
      <c r="A10" s="47" t="s">
        <v>328</v>
      </c>
      <c r="B10" s="3" t="s">
        <v>1250</v>
      </c>
    </row>
    <row r="11" customFormat="false" ht="15" hidden="false" customHeight="false" outlineLevel="0" collapsed="false">
      <c r="A11" s="47" t="s">
        <v>1251</v>
      </c>
      <c r="B11" s="3" t="s">
        <v>1252</v>
      </c>
    </row>
    <row r="12" customFormat="false" ht="32.8" hidden="false" customHeight="false" outlineLevel="0" collapsed="false">
      <c r="A12" s="47" t="s">
        <v>431</v>
      </c>
      <c r="B12" s="3" t="s">
        <v>1253</v>
      </c>
    </row>
    <row r="13" customFormat="false" ht="32.8" hidden="false" customHeight="false" outlineLevel="0" collapsed="false">
      <c r="A13" s="47" t="s">
        <v>1254</v>
      </c>
      <c r="B13" s="3" t="s">
        <v>1255</v>
      </c>
    </row>
    <row r="14" customFormat="false" ht="22.35" hidden="false" customHeight="false" outlineLevel="0" collapsed="false">
      <c r="A14" s="47" t="s">
        <v>1256</v>
      </c>
      <c r="B14" s="3" t="s">
        <v>1257</v>
      </c>
    </row>
    <row r="15" customFormat="false" ht="22.35" hidden="false" customHeight="false" outlineLevel="0" collapsed="false">
      <c r="A15" s="47" t="s">
        <v>1258</v>
      </c>
      <c r="B15" s="3" t="s">
        <v>1259</v>
      </c>
    </row>
    <row r="16" customFormat="false" ht="22.35" hidden="false" customHeight="false" outlineLevel="0" collapsed="false">
      <c r="A16" s="47" t="s">
        <v>1260</v>
      </c>
      <c r="B16" s="3" t="s">
        <v>1261</v>
      </c>
    </row>
    <row r="17" customFormat="false" ht="22.35" hidden="false" customHeight="false" outlineLevel="0" collapsed="false">
      <c r="A17" s="47" t="s">
        <v>1262</v>
      </c>
      <c r="B17" s="3" t="s">
        <v>1263</v>
      </c>
    </row>
    <row r="18" customFormat="false" ht="15" hidden="false" customHeight="false" outlineLevel="0" collapsed="false">
      <c r="A18" s="47" t="s">
        <v>1264</v>
      </c>
      <c r="B18" s="3" t="s">
        <v>1265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9" t="s">
        <v>1266</v>
      </c>
      <c r="B1" s="9" t="s">
        <v>87</v>
      </c>
    </row>
    <row r="2" customFormat="false" ht="15" hidden="false" customHeight="false" outlineLevel="0" collapsed="false">
      <c r="A2" s="35" t="s">
        <v>1267</v>
      </c>
      <c r="B2" s="35" t="s">
        <v>818</v>
      </c>
    </row>
    <row r="3" customFormat="false" ht="15" hidden="false" customHeight="false" outlineLevel="0" collapsed="false">
      <c r="A3" s="35" t="s">
        <v>1036</v>
      </c>
      <c r="B3" s="35" t="s">
        <v>1035</v>
      </c>
    </row>
    <row r="4" customFormat="false" ht="15" hidden="false" customHeight="false" outlineLevel="0" collapsed="false">
      <c r="A4" s="35" t="s">
        <v>1268</v>
      </c>
      <c r="B4" s="35" t="s">
        <v>1035</v>
      </c>
    </row>
    <row r="5" customFormat="false" ht="15" hidden="false" customHeight="false" outlineLevel="0" collapsed="false">
      <c r="A5" s="35" t="s">
        <v>994</v>
      </c>
      <c r="B5" s="35" t="s">
        <v>993</v>
      </c>
    </row>
    <row r="6" customFormat="false" ht="15" hidden="false" customHeight="false" outlineLevel="0" collapsed="false">
      <c r="A6" s="35" t="s">
        <v>869</v>
      </c>
      <c r="B6" s="35" t="s">
        <v>868</v>
      </c>
    </row>
    <row r="7" customFormat="false" ht="15" hidden="false" customHeight="false" outlineLevel="0" collapsed="false">
      <c r="A7" s="35" t="s">
        <v>1100</v>
      </c>
      <c r="B7" s="35" t="s">
        <v>1099</v>
      </c>
    </row>
    <row r="8" customFormat="false" ht="15" hidden="false" customHeight="false" outlineLevel="0" collapsed="false">
      <c r="A8" s="35" t="s">
        <v>1269</v>
      </c>
      <c r="B8" s="35" t="s">
        <v>1099</v>
      </c>
    </row>
    <row r="9" customFormat="false" ht="15" hidden="false" customHeight="false" outlineLevel="0" collapsed="false">
      <c r="A9" s="35" t="s">
        <v>902</v>
      </c>
      <c r="B9" s="35" t="s">
        <v>901</v>
      </c>
    </row>
    <row r="10" customFormat="false" ht="15" hidden="false" customHeight="false" outlineLevel="0" collapsed="false">
      <c r="A10" s="35" t="s">
        <v>1270</v>
      </c>
      <c r="B10" s="35" t="s">
        <v>1119</v>
      </c>
    </row>
    <row r="11" customFormat="false" ht="15" hidden="false" customHeight="false" outlineLevel="0" collapsed="false">
      <c r="A11" s="35" t="s">
        <v>1120</v>
      </c>
      <c r="B11" s="35" t="s">
        <v>1119</v>
      </c>
    </row>
    <row r="12" customFormat="false" ht="15" hidden="false" customHeight="false" outlineLevel="0" collapsed="false">
      <c r="A12" s="35" t="s">
        <v>811</v>
      </c>
      <c r="B12" s="35" t="s">
        <v>810</v>
      </c>
    </row>
    <row r="13" customFormat="false" ht="15" hidden="false" customHeight="false" outlineLevel="0" collapsed="false">
      <c r="A13" s="35" t="s">
        <v>998</v>
      </c>
      <c r="B13" s="35" t="s">
        <v>997</v>
      </c>
    </row>
    <row r="14" customFormat="false" ht="15" hidden="false" customHeight="false" outlineLevel="0" collapsed="false">
      <c r="A14" s="35" t="s">
        <v>1271</v>
      </c>
      <c r="B14" s="35" t="s">
        <v>997</v>
      </c>
    </row>
    <row r="15" customFormat="false" ht="15" hidden="false" customHeight="false" outlineLevel="0" collapsed="false">
      <c r="A15" s="35" t="s">
        <v>1096</v>
      </c>
      <c r="B15" s="35" t="s">
        <v>1095</v>
      </c>
    </row>
    <row r="16" customFormat="false" ht="15" hidden="false" customHeight="false" outlineLevel="0" collapsed="false">
      <c r="A16" s="35" t="s">
        <v>1272</v>
      </c>
      <c r="B16" s="35" t="s">
        <v>1095</v>
      </c>
    </row>
    <row r="17" customFormat="false" ht="15" hidden="false" customHeight="false" outlineLevel="0" collapsed="false">
      <c r="A17" s="35" t="s">
        <v>790</v>
      </c>
      <c r="B17" s="35" t="s">
        <v>789</v>
      </c>
    </row>
    <row r="18" customFormat="false" ht="15" hidden="false" customHeight="false" outlineLevel="0" collapsed="false">
      <c r="A18" s="35" t="s">
        <v>823</v>
      </c>
      <c r="B18" s="35" t="s">
        <v>822</v>
      </c>
    </row>
    <row r="19" customFormat="false" ht="15" hidden="false" customHeight="false" outlineLevel="0" collapsed="false">
      <c r="A19" s="35" t="s">
        <v>940</v>
      </c>
      <c r="B19" s="35" t="s">
        <v>939</v>
      </c>
    </row>
    <row r="20" customFormat="false" ht="15" hidden="false" customHeight="false" outlineLevel="0" collapsed="false">
      <c r="A20" s="35" t="s">
        <v>1273</v>
      </c>
      <c r="B20" s="35" t="s">
        <v>939</v>
      </c>
    </row>
    <row r="21" customFormat="false" ht="15" hidden="false" customHeight="false" outlineLevel="0" collapsed="false">
      <c r="A21" s="35" t="s">
        <v>1274</v>
      </c>
      <c r="B21" s="35" t="s">
        <v>1043</v>
      </c>
    </row>
    <row r="22" customFormat="false" ht="15" hidden="false" customHeight="false" outlineLevel="0" collapsed="false">
      <c r="A22" s="35" t="s">
        <v>1044</v>
      </c>
      <c r="B22" s="35" t="s">
        <v>1043</v>
      </c>
    </row>
    <row r="23" customFormat="false" ht="15" hidden="false" customHeight="false" outlineLevel="0" collapsed="false">
      <c r="A23" s="35" t="s">
        <v>962</v>
      </c>
      <c r="B23" s="35" t="s">
        <v>961</v>
      </c>
    </row>
    <row r="24" customFormat="false" ht="15" hidden="false" customHeight="false" outlineLevel="0" collapsed="false">
      <c r="A24" s="35" t="s">
        <v>1275</v>
      </c>
      <c r="B24" s="35" t="s">
        <v>961</v>
      </c>
    </row>
    <row r="25" customFormat="false" ht="15" hidden="false" customHeight="false" outlineLevel="0" collapsed="false">
      <c r="A25" s="35" t="s">
        <v>833</v>
      </c>
      <c r="B25" s="35" t="s">
        <v>832</v>
      </c>
    </row>
    <row r="26" customFormat="false" ht="15" hidden="false" customHeight="false" outlineLevel="0" collapsed="false">
      <c r="A26" s="35" t="s">
        <v>1078</v>
      </c>
      <c r="B26" s="35" t="s">
        <v>1077</v>
      </c>
    </row>
    <row r="27" customFormat="false" ht="15" hidden="false" customHeight="false" outlineLevel="0" collapsed="false">
      <c r="A27" s="35" t="s">
        <v>934</v>
      </c>
      <c r="B27" s="35" t="s">
        <v>933</v>
      </c>
    </row>
    <row r="28" customFormat="false" ht="15" hidden="false" customHeight="false" outlineLevel="0" collapsed="false">
      <c r="A28" s="35" t="s">
        <v>1276</v>
      </c>
      <c r="B28" s="35" t="s">
        <v>933</v>
      </c>
    </row>
    <row r="29" customFormat="false" ht="15" hidden="false" customHeight="false" outlineLevel="0" collapsed="false">
      <c r="A29" s="35" t="s">
        <v>809</v>
      </c>
      <c r="B29" s="35" t="s">
        <v>808</v>
      </c>
    </row>
    <row r="30" customFormat="false" ht="15" hidden="false" customHeight="false" outlineLevel="0" collapsed="false">
      <c r="A30" s="35" t="s">
        <v>1102</v>
      </c>
      <c r="B30" s="35" t="s">
        <v>1101</v>
      </c>
    </row>
    <row r="31" customFormat="false" ht="15" hidden="false" customHeight="false" outlineLevel="0" collapsed="false">
      <c r="A31" s="35" t="s">
        <v>1020</v>
      </c>
      <c r="B31" s="35" t="s">
        <v>1019</v>
      </c>
    </row>
    <row r="32" customFormat="false" ht="15" hidden="false" customHeight="false" outlineLevel="0" collapsed="false">
      <c r="A32" s="35" t="s">
        <v>1104</v>
      </c>
      <c r="B32" s="35" t="s">
        <v>1103</v>
      </c>
    </row>
    <row r="33" customFormat="false" ht="15" hidden="false" customHeight="false" outlineLevel="0" collapsed="false">
      <c r="A33" s="35" t="s">
        <v>950</v>
      </c>
      <c r="B33" s="35" t="s">
        <v>949</v>
      </c>
    </row>
    <row r="34" customFormat="false" ht="15" hidden="false" customHeight="false" outlineLevel="0" collapsed="false">
      <c r="A34" s="35" t="s">
        <v>1277</v>
      </c>
      <c r="B34" s="35" t="s">
        <v>987</v>
      </c>
    </row>
    <row r="35" customFormat="false" ht="15" hidden="false" customHeight="false" outlineLevel="0" collapsed="false">
      <c r="A35" s="35" t="s">
        <v>988</v>
      </c>
      <c r="B35" s="35" t="s">
        <v>987</v>
      </c>
    </row>
    <row r="36" customFormat="false" ht="15" hidden="false" customHeight="false" outlineLevel="0" collapsed="false">
      <c r="A36" s="35" t="s">
        <v>1030</v>
      </c>
      <c r="B36" s="35" t="s">
        <v>1029</v>
      </c>
    </row>
    <row r="37" customFormat="false" ht="15" hidden="false" customHeight="false" outlineLevel="0" collapsed="false">
      <c r="A37" s="35" t="s">
        <v>783</v>
      </c>
      <c r="B37" s="35" t="s">
        <v>782</v>
      </c>
    </row>
    <row r="38" customFormat="false" ht="15" hidden="false" customHeight="false" outlineLevel="0" collapsed="false">
      <c r="A38" s="35" t="s">
        <v>1278</v>
      </c>
      <c r="B38" s="35" t="s">
        <v>1047</v>
      </c>
    </row>
    <row r="39" customFormat="false" ht="15" hidden="false" customHeight="false" outlineLevel="0" collapsed="false">
      <c r="A39" s="35" t="s">
        <v>1048</v>
      </c>
      <c r="B39" s="35" t="s">
        <v>1047</v>
      </c>
    </row>
    <row r="40" customFormat="false" ht="15" hidden="false" customHeight="false" outlineLevel="0" collapsed="false">
      <c r="A40" s="35" t="s">
        <v>906</v>
      </c>
      <c r="B40" s="35" t="s">
        <v>905</v>
      </c>
    </row>
    <row r="41" customFormat="false" ht="15" hidden="false" customHeight="false" outlineLevel="0" collapsed="false">
      <c r="A41" s="35" t="s">
        <v>1014</v>
      </c>
      <c r="B41" s="35" t="s">
        <v>1013</v>
      </c>
    </row>
    <row r="42" customFormat="false" ht="15" hidden="false" customHeight="false" outlineLevel="0" collapsed="false">
      <c r="A42" s="35" t="s">
        <v>1279</v>
      </c>
      <c r="B42" s="35" t="s">
        <v>935</v>
      </c>
    </row>
    <row r="43" customFormat="false" ht="15" hidden="false" customHeight="false" outlineLevel="0" collapsed="false">
      <c r="A43" s="35" t="s">
        <v>1088</v>
      </c>
      <c r="B43" s="35" t="s">
        <v>1087</v>
      </c>
    </row>
    <row r="44" customFormat="false" ht="15" hidden="false" customHeight="false" outlineLevel="0" collapsed="false">
      <c r="A44" s="35" t="s">
        <v>1108</v>
      </c>
      <c r="B44" s="35" t="s">
        <v>1107</v>
      </c>
    </row>
    <row r="45" customFormat="false" ht="15" hidden="false" customHeight="false" outlineLevel="0" collapsed="false">
      <c r="A45" s="35" t="s">
        <v>964</v>
      </c>
      <c r="B45" s="35" t="s">
        <v>963</v>
      </c>
    </row>
    <row r="46" customFormat="false" ht="15" hidden="false" customHeight="false" outlineLevel="0" collapsed="false">
      <c r="A46" s="35" t="s">
        <v>952</v>
      </c>
      <c r="B46" s="35" t="s">
        <v>951</v>
      </c>
    </row>
    <row r="47" customFormat="false" ht="15" hidden="false" customHeight="false" outlineLevel="0" collapsed="false">
      <c r="A47" s="35" t="s">
        <v>779</v>
      </c>
      <c r="B47" s="35" t="s">
        <v>778</v>
      </c>
    </row>
    <row r="48" customFormat="false" ht="15" hidden="false" customHeight="false" outlineLevel="0" collapsed="false">
      <c r="A48" s="35" t="s">
        <v>1280</v>
      </c>
      <c r="B48" s="35" t="s">
        <v>1107</v>
      </c>
    </row>
    <row r="49" customFormat="false" ht="15" hidden="false" customHeight="false" outlineLevel="0" collapsed="false">
      <c r="A49" s="35" t="s">
        <v>1106</v>
      </c>
      <c r="B49" s="35" t="s">
        <v>1105</v>
      </c>
    </row>
    <row r="50" customFormat="false" ht="15" hidden="false" customHeight="false" outlineLevel="0" collapsed="false">
      <c r="A50" s="35" t="s">
        <v>1024</v>
      </c>
      <c r="B50" s="35" t="s">
        <v>1023</v>
      </c>
    </row>
    <row r="51" customFormat="false" ht="15" hidden="false" customHeight="false" outlineLevel="0" collapsed="false">
      <c r="A51" s="35" t="s">
        <v>857</v>
      </c>
      <c r="B51" s="35" t="s">
        <v>856</v>
      </c>
    </row>
    <row r="52" customFormat="false" ht="15" hidden="false" customHeight="false" outlineLevel="0" collapsed="false">
      <c r="A52" s="35" t="s">
        <v>30</v>
      </c>
      <c r="B52" s="35" t="s">
        <v>761</v>
      </c>
    </row>
    <row r="53" customFormat="false" ht="15" hidden="false" customHeight="false" outlineLevel="0" collapsed="false">
      <c r="A53" s="35" t="s">
        <v>1281</v>
      </c>
      <c r="B53" s="35" t="s">
        <v>761</v>
      </c>
    </row>
    <row r="54" customFormat="false" ht="15" hidden="false" customHeight="false" outlineLevel="0" collapsed="false">
      <c r="A54" s="35" t="s">
        <v>839</v>
      </c>
      <c r="B54" s="35" t="s">
        <v>838</v>
      </c>
    </row>
    <row r="55" customFormat="false" ht="15" hidden="false" customHeight="false" outlineLevel="0" collapsed="false">
      <c r="A55" s="35" t="s">
        <v>1128</v>
      </c>
      <c r="B55" s="35" t="s">
        <v>1127</v>
      </c>
    </row>
    <row r="56" customFormat="false" ht="15" hidden="false" customHeight="false" outlineLevel="0" collapsed="false">
      <c r="A56" s="35" t="s">
        <v>1282</v>
      </c>
      <c r="B56" s="35" t="s">
        <v>1127</v>
      </c>
    </row>
    <row r="57" customFormat="false" ht="15" hidden="false" customHeight="false" outlineLevel="0" collapsed="false">
      <c r="A57" s="35" t="s">
        <v>1283</v>
      </c>
      <c r="B57" s="35" t="s">
        <v>1053</v>
      </c>
    </row>
    <row r="58" customFormat="false" ht="15" hidden="false" customHeight="false" outlineLevel="0" collapsed="false">
      <c r="A58" s="35" t="s">
        <v>1284</v>
      </c>
      <c r="B58" s="35" t="s">
        <v>937</v>
      </c>
    </row>
    <row r="59" customFormat="false" ht="15" hidden="false" customHeight="false" outlineLevel="0" collapsed="false">
      <c r="A59" s="35" t="s">
        <v>1285</v>
      </c>
      <c r="B59" s="35" t="s">
        <v>1053</v>
      </c>
    </row>
    <row r="60" customFormat="false" ht="15" hidden="false" customHeight="false" outlineLevel="0" collapsed="false">
      <c r="A60" s="35" t="s">
        <v>1286</v>
      </c>
      <c r="B60" s="35" t="s">
        <v>937</v>
      </c>
    </row>
    <row r="61" customFormat="false" ht="15" hidden="false" customHeight="false" outlineLevel="0" collapsed="false">
      <c r="A61" s="35" t="s">
        <v>938</v>
      </c>
      <c r="B61" s="35" t="s">
        <v>937</v>
      </c>
    </row>
    <row r="62" customFormat="false" ht="15" hidden="false" customHeight="false" outlineLevel="0" collapsed="false">
      <c r="A62" s="35" t="s">
        <v>1287</v>
      </c>
      <c r="B62" s="35" t="s">
        <v>937</v>
      </c>
    </row>
    <row r="63" customFormat="false" ht="15" hidden="false" customHeight="false" outlineLevel="0" collapsed="false">
      <c r="A63" s="35" t="s">
        <v>1054</v>
      </c>
      <c r="B63" s="35" t="s">
        <v>1053</v>
      </c>
    </row>
    <row r="64" customFormat="false" ht="15" hidden="false" customHeight="false" outlineLevel="0" collapsed="false">
      <c r="A64" s="35" t="s">
        <v>1288</v>
      </c>
      <c r="B64" s="35" t="s">
        <v>1053</v>
      </c>
    </row>
    <row r="65" customFormat="false" ht="15" hidden="false" customHeight="false" outlineLevel="0" collapsed="false">
      <c r="A65" s="35" t="s">
        <v>914</v>
      </c>
      <c r="B65" s="35" t="s">
        <v>913</v>
      </c>
    </row>
    <row r="66" customFormat="false" ht="15" hidden="false" customHeight="false" outlineLevel="0" collapsed="false">
      <c r="A66" s="35" t="s">
        <v>1289</v>
      </c>
      <c r="B66" s="35" t="s">
        <v>921</v>
      </c>
    </row>
    <row r="67" customFormat="false" ht="15" hidden="false" customHeight="false" outlineLevel="0" collapsed="false">
      <c r="A67" s="35" t="s">
        <v>918</v>
      </c>
      <c r="B67" s="35" t="s">
        <v>917</v>
      </c>
    </row>
    <row r="68" customFormat="false" ht="15" hidden="false" customHeight="false" outlineLevel="0" collapsed="false">
      <c r="A68" s="35" t="s">
        <v>1290</v>
      </c>
      <c r="B68" s="35" t="s">
        <v>917</v>
      </c>
    </row>
    <row r="69" customFormat="false" ht="15" hidden="false" customHeight="false" outlineLevel="0" collapsed="false">
      <c r="A69" s="35" t="s">
        <v>1291</v>
      </c>
      <c r="B69" s="35" t="s">
        <v>1292</v>
      </c>
    </row>
    <row r="70" customFormat="false" ht="15" hidden="false" customHeight="false" outlineLevel="0" collapsed="false">
      <c r="A70" s="35" t="s">
        <v>974</v>
      </c>
      <c r="B70" s="35" t="s">
        <v>973</v>
      </c>
    </row>
    <row r="71" customFormat="false" ht="15" hidden="false" customHeight="false" outlineLevel="0" collapsed="false">
      <c r="A71" s="35" t="s">
        <v>1293</v>
      </c>
      <c r="B71" s="35" t="s">
        <v>854</v>
      </c>
    </row>
    <row r="72" customFormat="false" ht="15" hidden="false" customHeight="false" outlineLevel="0" collapsed="false">
      <c r="A72" s="35" t="s">
        <v>855</v>
      </c>
      <c r="B72" s="35" t="s">
        <v>854</v>
      </c>
    </row>
    <row r="73" customFormat="false" ht="15" hidden="false" customHeight="false" outlineLevel="0" collapsed="false">
      <c r="A73" s="35" t="s">
        <v>922</v>
      </c>
      <c r="B73" s="35" t="s">
        <v>921</v>
      </c>
    </row>
    <row r="74" customFormat="false" ht="15" hidden="false" customHeight="false" outlineLevel="0" collapsed="false">
      <c r="A74" s="35" t="s">
        <v>1294</v>
      </c>
      <c r="B74" s="35" t="s">
        <v>937</v>
      </c>
    </row>
    <row r="75" customFormat="false" ht="15" hidden="false" customHeight="false" outlineLevel="0" collapsed="false">
      <c r="A75" s="35" t="s">
        <v>835</v>
      </c>
      <c r="B75" s="35" t="s">
        <v>834</v>
      </c>
    </row>
    <row r="76" customFormat="false" ht="15" hidden="false" customHeight="false" outlineLevel="0" collapsed="false">
      <c r="A76" s="35" t="s">
        <v>1098</v>
      </c>
      <c r="B76" s="35" t="s">
        <v>1097</v>
      </c>
    </row>
    <row r="77" customFormat="false" ht="15" hidden="false" customHeight="false" outlineLevel="0" collapsed="false">
      <c r="A77" s="35" t="s">
        <v>1142</v>
      </c>
      <c r="B77" s="35" t="s">
        <v>1141</v>
      </c>
    </row>
    <row r="78" customFormat="false" ht="15" hidden="false" customHeight="false" outlineLevel="0" collapsed="false">
      <c r="A78" s="35" t="s">
        <v>894</v>
      </c>
      <c r="B78" s="35" t="s">
        <v>893</v>
      </c>
    </row>
    <row r="79" customFormat="false" ht="15" hidden="false" customHeight="false" outlineLevel="0" collapsed="false">
      <c r="A79" s="35" t="s">
        <v>1295</v>
      </c>
      <c r="B79" s="35" t="s">
        <v>1123</v>
      </c>
    </row>
    <row r="80" customFormat="false" ht="15" hidden="false" customHeight="false" outlineLevel="0" collapsed="false">
      <c r="A80" s="35" t="s">
        <v>896</v>
      </c>
      <c r="B80" s="35" t="s">
        <v>895</v>
      </c>
    </row>
    <row r="81" customFormat="false" ht="15" hidden="false" customHeight="false" outlineLevel="0" collapsed="false">
      <c r="A81" s="35" t="s">
        <v>1296</v>
      </c>
      <c r="B81" s="35" t="s">
        <v>848</v>
      </c>
    </row>
    <row r="82" customFormat="false" ht="15" hidden="false" customHeight="false" outlineLevel="0" collapsed="false">
      <c r="A82" s="35" t="s">
        <v>849</v>
      </c>
      <c r="B82" s="35" t="s">
        <v>848</v>
      </c>
    </row>
    <row r="83" customFormat="false" ht="15" hidden="false" customHeight="false" outlineLevel="0" collapsed="false">
      <c r="A83" s="35" t="s">
        <v>1297</v>
      </c>
      <c r="B83" s="35" t="s">
        <v>848</v>
      </c>
    </row>
    <row r="84" customFormat="false" ht="15" hidden="false" customHeight="false" outlineLevel="0" collapsed="false">
      <c r="A84" s="35" t="s">
        <v>978</v>
      </c>
      <c r="B84" s="35" t="s">
        <v>977</v>
      </c>
    </row>
    <row r="85" customFormat="false" ht="15" hidden="false" customHeight="false" outlineLevel="0" collapsed="false">
      <c r="A85" s="35" t="s">
        <v>1060</v>
      </c>
      <c r="B85" s="35" t="s">
        <v>1059</v>
      </c>
    </row>
    <row r="86" customFormat="false" ht="15" hidden="false" customHeight="false" outlineLevel="0" collapsed="false">
      <c r="A86" s="35" t="s">
        <v>1298</v>
      </c>
      <c r="B86" s="35" t="s">
        <v>1059</v>
      </c>
    </row>
    <row r="87" customFormat="false" ht="15" hidden="false" customHeight="false" outlineLevel="0" collapsed="false">
      <c r="A87" s="35" t="s">
        <v>970</v>
      </c>
      <c r="B87" s="35" t="s">
        <v>969</v>
      </c>
    </row>
    <row r="88" customFormat="false" ht="15" hidden="false" customHeight="false" outlineLevel="0" collapsed="false">
      <c r="A88" s="35" t="s">
        <v>1299</v>
      </c>
      <c r="B88" s="35" t="s">
        <v>969</v>
      </c>
    </row>
    <row r="89" customFormat="false" ht="15" hidden="false" customHeight="false" outlineLevel="0" collapsed="false">
      <c r="A89" s="35" t="s">
        <v>1086</v>
      </c>
      <c r="B89" s="35" t="s">
        <v>1085</v>
      </c>
    </row>
    <row r="90" customFormat="false" ht="15" hidden="false" customHeight="false" outlineLevel="0" collapsed="false">
      <c r="A90" s="35" t="s">
        <v>1300</v>
      </c>
      <c r="B90" s="35" t="s">
        <v>1085</v>
      </c>
    </row>
    <row r="91" customFormat="false" ht="15" hidden="false" customHeight="false" outlineLevel="0" collapsed="false">
      <c r="A91" s="35" t="s">
        <v>887</v>
      </c>
      <c r="B91" s="35" t="s">
        <v>886</v>
      </c>
    </row>
    <row r="92" customFormat="false" ht="15" hidden="false" customHeight="false" outlineLevel="0" collapsed="false">
      <c r="A92" s="35" t="s">
        <v>1301</v>
      </c>
      <c r="B92" s="35" t="s">
        <v>886</v>
      </c>
    </row>
    <row r="93" customFormat="false" ht="15" hidden="false" customHeight="false" outlineLevel="0" collapsed="false">
      <c r="A93" s="35" t="s">
        <v>1084</v>
      </c>
      <c r="B93" s="35" t="s">
        <v>1083</v>
      </c>
    </row>
    <row r="94" customFormat="false" ht="15" hidden="false" customHeight="false" outlineLevel="0" collapsed="false">
      <c r="A94" s="35" t="s">
        <v>1302</v>
      </c>
      <c r="B94" s="35" t="s">
        <v>1083</v>
      </c>
    </row>
    <row r="95" customFormat="false" ht="15" hidden="false" customHeight="false" outlineLevel="0" collapsed="false">
      <c r="A95" s="35" t="s">
        <v>861</v>
      </c>
      <c r="B95" s="35" t="s">
        <v>860</v>
      </c>
    </row>
    <row r="96" customFormat="false" ht="15" hidden="false" customHeight="false" outlineLevel="0" collapsed="false">
      <c r="A96" s="35" t="s">
        <v>775</v>
      </c>
      <c r="B96" s="35" t="s">
        <v>774</v>
      </c>
    </row>
    <row r="97" customFormat="false" ht="15" hidden="false" customHeight="false" outlineLevel="0" collapsed="false">
      <c r="A97" s="35" t="s">
        <v>1022</v>
      </c>
      <c r="B97" s="35" t="s">
        <v>1021</v>
      </c>
    </row>
    <row r="98" customFormat="false" ht="15" hidden="false" customHeight="false" outlineLevel="0" collapsed="false">
      <c r="A98" s="35" t="s">
        <v>1303</v>
      </c>
      <c r="B98" s="35" t="s">
        <v>1113</v>
      </c>
    </row>
    <row r="99" customFormat="false" ht="15" hidden="false" customHeight="false" outlineLevel="0" collapsed="false">
      <c r="A99" s="35" t="s">
        <v>1114</v>
      </c>
      <c r="B99" s="35" t="s">
        <v>1113</v>
      </c>
    </row>
    <row r="100" customFormat="false" ht="15" hidden="false" customHeight="false" outlineLevel="0" collapsed="false">
      <c r="A100" s="35" t="s">
        <v>980</v>
      </c>
      <c r="B100" s="35" t="s">
        <v>979</v>
      </c>
    </row>
    <row r="101" customFormat="false" ht="15" hidden="false" customHeight="false" outlineLevel="0" collapsed="false">
      <c r="A101" s="35" t="s">
        <v>765</v>
      </c>
      <c r="B101" s="35" t="s">
        <v>764</v>
      </c>
    </row>
    <row r="102" customFormat="false" ht="15" hidden="false" customHeight="false" outlineLevel="0" collapsed="false">
      <c r="A102" s="35" t="s">
        <v>928</v>
      </c>
      <c r="B102" s="35" t="s">
        <v>927</v>
      </c>
    </row>
    <row r="103" customFormat="false" ht="15" hidden="false" customHeight="false" outlineLevel="0" collapsed="false">
      <c r="A103" s="35" t="s">
        <v>873</v>
      </c>
      <c r="B103" s="35" t="s">
        <v>872</v>
      </c>
    </row>
    <row r="104" customFormat="false" ht="15" hidden="false" customHeight="false" outlineLevel="0" collapsed="false">
      <c r="A104" s="35" t="s">
        <v>1130</v>
      </c>
      <c r="B104" s="35" t="s">
        <v>1129</v>
      </c>
    </row>
    <row r="105" customFormat="false" ht="15" hidden="false" customHeight="false" outlineLevel="0" collapsed="false">
      <c r="A105" s="35" t="s">
        <v>908</v>
      </c>
      <c r="B105" s="35" t="s">
        <v>907</v>
      </c>
    </row>
    <row r="106" customFormat="false" ht="15" hidden="false" customHeight="false" outlineLevel="0" collapsed="false">
      <c r="A106" s="35" t="s">
        <v>1010</v>
      </c>
      <c r="B106" s="35" t="s">
        <v>1009</v>
      </c>
    </row>
    <row r="107" customFormat="false" ht="15" hidden="false" customHeight="false" outlineLevel="0" collapsed="false">
      <c r="A107" s="35" t="s">
        <v>1118</v>
      </c>
      <c r="B107" s="35" t="s">
        <v>1117</v>
      </c>
    </row>
    <row r="108" customFormat="false" ht="15" hidden="false" customHeight="false" outlineLevel="0" collapsed="false">
      <c r="A108" s="35" t="s">
        <v>1008</v>
      </c>
      <c r="B108" s="35" t="s">
        <v>1007</v>
      </c>
    </row>
    <row r="109" customFormat="false" ht="15" hidden="false" customHeight="false" outlineLevel="0" collapsed="false">
      <c r="A109" s="35" t="s">
        <v>1004</v>
      </c>
      <c r="B109" s="35" t="s">
        <v>1003</v>
      </c>
    </row>
    <row r="110" customFormat="false" ht="15" hidden="false" customHeight="false" outlineLevel="0" collapsed="false">
      <c r="A110" s="35" t="s">
        <v>976</v>
      </c>
      <c r="B110" s="35" t="s">
        <v>975</v>
      </c>
    </row>
    <row r="111" customFormat="false" ht="15" hidden="false" customHeight="false" outlineLevel="0" collapsed="false">
      <c r="A111" s="35" t="s">
        <v>1304</v>
      </c>
      <c r="B111" s="35" t="s">
        <v>842</v>
      </c>
    </row>
    <row r="112" customFormat="false" ht="15" hidden="false" customHeight="false" outlineLevel="0" collapsed="false">
      <c r="A112" s="35" t="s">
        <v>1305</v>
      </c>
      <c r="B112" s="35" t="s">
        <v>842</v>
      </c>
    </row>
    <row r="113" customFormat="false" ht="15" hidden="false" customHeight="false" outlineLevel="0" collapsed="false">
      <c r="A113" s="35" t="s">
        <v>843</v>
      </c>
      <c r="B113" s="35" t="s">
        <v>842</v>
      </c>
    </row>
    <row r="114" customFormat="false" ht="15" hidden="false" customHeight="false" outlineLevel="0" collapsed="false">
      <c r="A114" s="35" t="s">
        <v>1306</v>
      </c>
      <c r="B114" s="35" t="s">
        <v>842</v>
      </c>
    </row>
    <row r="115" customFormat="false" ht="15" hidden="false" customHeight="false" outlineLevel="0" collapsed="false">
      <c r="A115" s="35" t="s">
        <v>877</v>
      </c>
      <c r="B115" s="35" t="s">
        <v>876</v>
      </c>
    </row>
    <row r="116" customFormat="false" ht="15" hidden="false" customHeight="false" outlineLevel="0" collapsed="false">
      <c r="A116" s="35" t="s">
        <v>982</v>
      </c>
      <c r="B116" s="35" t="s">
        <v>981</v>
      </c>
    </row>
    <row r="117" customFormat="false" ht="15" hidden="false" customHeight="false" outlineLevel="0" collapsed="false">
      <c r="A117" s="35" t="s">
        <v>769</v>
      </c>
      <c r="B117" s="35" t="s">
        <v>481</v>
      </c>
    </row>
    <row r="118" customFormat="false" ht="15" hidden="false" customHeight="false" outlineLevel="0" collapsed="false">
      <c r="A118" s="35" t="s">
        <v>794</v>
      </c>
      <c r="B118" s="35" t="s">
        <v>793</v>
      </c>
    </row>
    <row r="119" customFormat="false" ht="15" hidden="false" customHeight="false" outlineLevel="0" collapsed="false">
      <c r="A119" s="35" t="s">
        <v>1307</v>
      </c>
      <c r="B119" s="35" t="s">
        <v>840</v>
      </c>
    </row>
    <row r="120" customFormat="false" ht="15" hidden="false" customHeight="false" outlineLevel="0" collapsed="false">
      <c r="A120" s="35" t="s">
        <v>841</v>
      </c>
      <c r="B120" s="35" t="s">
        <v>840</v>
      </c>
    </row>
    <row r="121" customFormat="false" ht="15" hidden="false" customHeight="false" outlineLevel="0" collapsed="false">
      <c r="A121" s="35" t="s">
        <v>1308</v>
      </c>
      <c r="B121" s="35" t="s">
        <v>840</v>
      </c>
    </row>
    <row r="122" customFormat="false" ht="15" hidden="false" customHeight="false" outlineLevel="0" collapsed="false">
      <c r="A122" s="35" t="s">
        <v>867</v>
      </c>
      <c r="B122" s="35" t="s">
        <v>866</v>
      </c>
    </row>
    <row r="123" customFormat="false" ht="15" hidden="false" customHeight="false" outlineLevel="0" collapsed="false">
      <c r="A123" s="35" t="s">
        <v>813</v>
      </c>
      <c r="B123" s="35" t="s">
        <v>812</v>
      </c>
    </row>
    <row r="124" customFormat="false" ht="15" hidden="false" customHeight="false" outlineLevel="0" collapsed="false">
      <c r="A124" s="35" t="s">
        <v>821</v>
      </c>
      <c r="B124" s="35" t="s">
        <v>820</v>
      </c>
    </row>
    <row r="125" customFormat="false" ht="15" hidden="false" customHeight="false" outlineLevel="0" collapsed="false">
      <c r="A125" s="35" t="s">
        <v>777</v>
      </c>
      <c r="B125" s="35" t="s">
        <v>776</v>
      </c>
    </row>
    <row r="126" customFormat="false" ht="15" hidden="false" customHeight="false" outlineLevel="0" collapsed="false">
      <c r="A126" s="35" t="s">
        <v>1309</v>
      </c>
      <c r="B126" s="35" t="s">
        <v>921</v>
      </c>
    </row>
    <row r="127" customFormat="false" ht="15" hidden="false" customHeight="false" outlineLevel="0" collapsed="false">
      <c r="A127" s="35" t="s">
        <v>1018</v>
      </c>
      <c r="B127" s="35" t="s">
        <v>1017</v>
      </c>
    </row>
    <row r="128" customFormat="false" ht="15" hidden="false" customHeight="false" outlineLevel="0" collapsed="false">
      <c r="A128" s="35" t="s">
        <v>768</v>
      </c>
      <c r="B128" s="35" t="s">
        <v>767</v>
      </c>
    </row>
    <row r="129" customFormat="false" ht="15" hidden="false" customHeight="false" outlineLevel="0" collapsed="false">
      <c r="A129" s="35" t="s">
        <v>946</v>
      </c>
      <c r="B129" s="35" t="s">
        <v>945</v>
      </c>
    </row>
    <row r="130" customFormat="false" ht="15" hidden="false" customHeight="false" outlineLevel="0" collapsed="false">
      <c r="A130" s="35" t="s">
        <v>865</v>
      </c>
      <c r="B130" s="35" t="s">
        <v>864</v>
      </c>
    </row>
    <row r="131" customFormat="false" ht="15" hidden="false" customHeight="false" outlineLevel="0" collapsed="false">
      <c r="A131" s="35" t="s">
        <v>1310</v>
      </c>
      <c r="B131" s="35" t="s">
        <v>864</v>
      </c>
    </row>
    <row r="132" customFormat="false" ht="15" hidden="false" customHeight="false" outlineLevel="0" collapsed="false">
      <c r="A132" s="35" t="s">
        <v>904</v>
      </c>
      <c r="B132" s="35" t="s">
        <v>903</v>
      </c>
    </row>
    <row r="133" customFormat="false" ht="15" hidden="false" customHeight="false" outlineLevel="0" collapsed="false">
      <c r="A133" s="35" t="s">
        <v>1148</v>
      </c>
      <c r="B133" s="35" t="s">
        <v>1147</v>
      </c>
    </row>
    <row r="134" customFormat="false" ht="15" hidden="false" customHeight="false" outlineLevel="0" collapsed="false">
      <c r="A134" s="35" t="s">
        <v>1311</v>
      </c>
      <c r="B134" s="35" t="s">
        <v>785</v>
      </c>
    </row>
    <row r="135" customFormat="false" ht="15" hidden="false" customHeight="false" outlineLevel="0" collapsed="false">
      <c r="A135" s="35" t="s">
        <v>786</v>
      </c>
      <c r="B135" s="35" t="s">
        <v>785</v>
      </c>
    </row>
    <row r="136" customFormat="false" ht="15" hidden="false" customHeight="false" outlineLevel="0" collapsed="false">
      <c r="A136" s="35" t="s">
        <v>1312</v>
      </c>
      <c r="B136" s="35" t="s">
        <v>785</v>
      </c>
    </row>
    <row r="137" customFormat="false" ht="15" hidden="false" customHeight="false" outlineLevel="0" collapsed="false">
      <c r="A137" s="35" t="s">
        <v>1066</v>
      </c>
      <c r="B137" s="35" t="s">
        <v>1065</v>
      </c>
    </row>
    <row r="138" customFormat="false" ht="15" hidden="false" customHeight="false" outlineLevel="0" collapsed="false">
      <c r="A138" s="35" t="s">
        <v>1313</v>
      </c>
      <c r="B138" s="35" t="s">
        <v>1065</v>
      </c>
    </row>
    <row r="139" customFormat="false" ht="15" hidden="false" customHeight="false" outlineLevel="0" collapsed="false">
      <c r="A139" s="35" t="s">
        <v>883</v>
      </c>
      <c r="B139" s="35" t="s">
        <v>882</v>
      </c>
    </row>
    <row r="140" customFormat="false" ht="15" hidden="false" customHeight="false" outlineLevel="0" collapsed="false">
      <c r="A140" s="35" t="s">
        <v>1034</v>
      </c>
      <c r="B140" s="35" t="s">
        <v>1033</v>
      </c>
    </row>
    <row r="141" customFormat="false" ht="15" hidden="false" customHeight="false" outlineLevel="0" collapsed="false">
      <c r="A141" s="35" t="s">
        <v>1314</v>
      </c>
      <c r="B141" s="35" t="s">
        <v>1033</v>
      </c>
    </row>
    <row r="142" customFormat="false" ht="15" hidden="false" customHeight="false" outlineLevel="0" collapsed="false">
      <c r="A142" s="35" t="s">
        <v>1315</v>
      </c>
      <c r="B142" s="35" t="s">
        <v>1045</v>
      </c>
    </row>
    <row r="143" customFormat="false" ht="15" hidden="false" customHeight="false" outlineLevel="0" collapsed="false">
      <c r="A143" s="35" t="s">
        <v>1046</v>
      </c>
      <c r="B143" s="35" t="s">
        <v>1045</v>
      </c>
    </row>
    <row r="144" customFormat="false" ht="15" hidden="false" customHeight="false" outlineLevel="0" collapsed="false">
      <c r="A144" s="35" t="s">
        <v>1316</v>
      </c>
      <c r="B144" s="35" t="s">
        <v>1045</v>
      </c>
    </row>
    <row r="145" customFormat="false" ht="15" hidden="false" customHeight="false" outlineLevel="0" collapsed="false">
      <c r="A145" s="35" t="s">
        <v>1317</v>
      </c>
      <c r="B145" s="35" t="s">
        <v>1045</v>
      </c>
    </row>
    <row r="146" customFormat="false" ht="15" hidden="false" customHeight="false" outlineLevel="0" collapsed="false">
      <c r="A146" s="35" t="s">
        <v>968</v>
      </c>
      <c r="B146" s="35" t="s">
        <v>967</v>
      </c>
    </row>
    <row r="147" customFormat="false" ht="15" hidden="false" customHeight="false" outlineLevel="0" collapsed="false">
      <c r="A147" s="35" t="s">
        <v>1318</v>
      </c>
      <c r="B147" s="35" t="s">
        <v>967</v>
      </c>
    </row>
    <row r="148" customFormat="false" ht="15" hidden="false" customHeight="false" outlineLevel="0" collapsed="false">
      <c r="A148" s="35" t="s">
        <v>990</v>
      </c>
      <c r="B148" s="35" t="s">
        <v>989</v>
      </c>
    </row>
    <row r="149" customFormat="false" ht="15" hidden="false" customHeight="false" outlineLevel="0" collapsed="false">
      <c r="A149" s="35" t="s">
        <v>1112</v>
      </c>
      <c r="B149" s="35" t="s">
        <v>1111</v>
      </c>
    </row>
    <row r="150" customFormat="false" ht="15" hidden="false" customHeight="false" outlineLevel="0" collapsed="false">
      <c r="A150" s="35" t="s">
        <v>1319</v>
      </c>
      <c r="B150" s="35" t="s">
        <v>1111</v>
      </c>
    </row>
    <row r="151" customFormat="false" ht="15" hidden="false" customHeight="false" outlineLevel="0" collapsed="false">
      <c r="A151" s="35" t="s">
        <v>1090</v>
      </c>
      <c r="B151" s="35" t="s">
        <v>1089</v>
      </c>
    </row>
    <row r="152" customFormat="false" ht="15" hidden="false" customHeight="false" outlineLevel="0" collapsed="false">
      <c r="A152" s="35" t="s">
        <v>958</v>
      </c>
      <c r="B152" s="35" t="s">
        <v>957</v>
      </c>
    </row>
    <row r="153" customFormat="false" ht="15" hidden="false" customHeight="false" outlineLevel="0" collapsed="false">
      <c r="A153" s="35" t="s">
        <v>1072</v>
      </c>
      <c r="B153" s="35" t="s">
        <v>1071</v>
      </c>
    </row>
    <row r="154" customFormat="false" ht="15" hidden="false" customHeight="false" outlineLevel="0" collapsed="false">
      <c r="A154" s="35" t="s">
        <v>1320</v>
      </c>
      <c r="B154" s="35" t="s">
        <v>1071</v>
      </c>
    </row>
    <row r="155" customFormat="false" ht="15" hidden="false" customHeight="false" outlineLevel="0" collapsed="false">
      <c r="A155" s="35" t="s">
        <v>926</v>
      </c>
      <c r="B155" s="35" t="s">
        <v>925</v>
      </c>
    </row>
    <row r="156" customFormat="false" ht="15" hidden="false" customHeight="false" outlineLevel="0" collapsed="false">
      <c r="A156" s="35" t="s">
        <v>1321</v>
      </c>
      <c r="B156" s="35" t="s">
        <v>925</v>
      </c>
    </row>
    <row r="157" customFormat="false" ht="15" hidden="false" customHeight="false" outlineLevel="0" collapsed="false">
      <c r="A157" s="35" t="s">
        <v>916</v>
      </c>
      <c r="B157" s="35" t="s">
        <v>915</v>
      </c>
    </row>
    <row r="158" customFormat="false" ht="15" hidden="false" customHeight="false" outlineLevel="0" collapsed="false">
      <c r="A158" s="35" t="s">
        <v>1322</v>
      </c>
      <c r="B158" s="35" t="s">
        <v>955</v>
      </c>
    </row>
    <row r="159" customFormat="false" ht="15" hidden="false" customHeight="false" outlineLevel="0" collapsed="false">
      <c r="A159" s="35" t="s">
        <v>1323</v>
      </c>
      <c r="B159" s="35" t="s">
        <v>955</v>
      </c>
    </row>
    <row r="160" customFormat="false" ht="15" hidden="false" customHeight="false" outlineLevel="0" collapsed="false">
      <c r="A160" s="35" t="s">
        <v>956</v>
      </c>
      <c r="B160" s="35" t="s">
        <v>955</v>
      </c>
    </row>
    <row r="161" customFormat="false" ht="15" hidden="false" customHeight="false" outlineLevel="0" collapsed="false">
      <c r="A161" s="35" t="s">
        <v>1324</v>
      </c>
      <c r="B161" s="35" t="s">
        <v>955</v>
      </c>
    </row>
    <row r="162" customFormat="false" ht="15" hidden="false" customHeight="false" outlineLevel="0" collapsed="false">
      <c r="A162" s="35" t="s">
        <v>1325</v>
      </c>
      <c r="B162" s="35" t="s">
        <v>955</v>
      </c>
    </row>
    <row r="163" customFormat="false" ht="15" hidden="false" customHeight="false" outlineLevel="0" collapsed="false">
      <c r="A163" s="35" t="s">
        <v>1326</v>
      </c>
      <c r="B163" s="35" t="s">
        <v>1039</v>
      </c>
    </row>
    <row r="164" customFormat="false" ht="15" hidden="false" customHeight="false" outlineLevel="0" collapsed="false">
      <c r="A164" s="35" t="s">
        <v>1038</v>
      </c>
      <c r="B164" s="35" t="s">
        <v>1037</v>
      </c>
    </row>
    <row r="165" customFormat="false" ht="15" hidden="false" customHeight="false" outlineLevel="0" collapsed="false">
      <c r="A165" s="35" t="s">
        <v>1327</v>
      </c>
      <c r="B165" s="35" t="s">
        <v>1037</v>
      </c>
    </row>
    <row r="166" customFormat="false" ht="15" hidden="false" customHeight="false" outlineLevel="0" collapsed="false">
      <c r="A166" s="35" t="s">
        <v>1064</v>
      </c>
      <c r="B166" s="35" t="s">
        <v>1063</v>
      </c>
    </row>
    <row r="167" customFormat="false" ht="15" hidden="false" customHeight="false" outlineLevel="0" collapsed="false">
      <c r="A167" s="35" t="s">
        <v>837</v>
      </c>
      <c r="B167" s="35" t="s">
        <v>836</v>
      </c>
    </row>
    <row r="168" customFormat="false" ht="15" hidden="false" customHeight="false" outlineLevel="0" collapsed="false">
      <c r="A168" s="35" t="s">
        <v>1080</v>
      </c>
      <c r="B168" s="35" t="s">
        <v>1079</v>
      </c>
    </row>
    <row r="169" customFormat="false" ht="15" hidden="false" customHeight="false" outlineLevel="0" collapsed="false">
      <c r="A169" s="35" t="s">
        <v>996</v>
      </c>
      <c r="B169" s="35" t="s">
        <v>995</v>
      </c>
    </row>
    <row r="170" customFormat="false" ht="15" hidden="false" customHeight="false" outlineLevel="0" collapsed="false">
      <c r="A170" s="35" t="s">
        <v>1006</v>
      </c>
      <c r="B170" s="35" t="s">
        <v>1005</v>
      </c>
    </row>
    <row r="171" customFormat="false" ht="15" hidden="false" customHeight="false" outlineLevel="0" collapsed="false">
      <c r="A171" s="35" t="s">
        <v>1152</v>
      </c>
      <c r="B171" s="35" t="s">
        <v>1151</v>
      </c>
    </row>
    <row r="172" customFormat="false" ht="15" hidden="false" customHeight="false" outlineLevel="0" collapsed="false">
      <c r="A172" s="35" t="s">
        <v>1328</v>
      </c>
      <c r="B172" s="35" t="s">
        <v>1151</v>
      </c>
    </row>
    <row r="173" customFormat="false" ht="15" hidden="false" customHeight="false" outlineLevel="0" collapsed="false">
      <c r="A173" s="35" t="s">
        <v>1068</v>
      </c>
      <c r="B173" s="35" t="s">
        <v>1067</v>
      </c>
    </row>
    <row r="174" customFormat="false" ht="15" hidden="false" customHeight="false" outlineLevel="0" collapsed="false">
      <c r="A174" s="35" t="s">
        <v>1329</v>
      </c>
      <c r="B174" s="35" t="s">
        <v>1067</v>
      </c>
    </row>
    <row r="175" customFormat="false" ht="15" hidden="false" customHeight="false" outlineLevel="0" collapsed="false">
      <c r="A175" s="35" t="s">
        <v>1052</v>
      </c>
      <c r="B175" s="35" t="s">
        <v>1051</v>
      </c>
    </row>
    <row r="176" customFormat="false" ht="15" hidden="false" customHeight="false" outlineLevel="0" collapsed="false">
      <c r="A176" s="35" t="s">
        <v>788</v>
      </c>
      <c r="B176" s="35" t="s">
        <v>787</v>
      </c>
    </row>
    <row r="177" customFormat="false" ht="15" hidden="false" customHeight="false" outlineLevel="0" collapsed="false">
      <c r="A177" s="35" t="s">
        <v>1330</v>
      </c>
      <c r="B177" s="35" t="s">
        <v>1145</v>
      </c>
    </row>
    <row r="178" customFormat="false" ht="15" hidden="false" customHeight="false" outlineLevel="0" collapsed="false">
      <c r="A178" s="35" t="s">
        <v>1146</v>
      </c>
      <c r="B178" s="35" t="s">
        <v>1145</v>
      </c>
    </row>
    <row r="179" customFormat="false" ht="15" hidden="false" customHeight="false" outlineLevel="0" collapsed="false">
      <c r="A179" s="35" t="s">
        <v>1331</v>
      </c>
      <c r="B179" s="35" t="s">
        <v>1145</v>
      </c>
    </row>
    <row r="180" customFormat="false" ht="15" hidden="false" customHeight="false" outlineLevel="0" collapsed="false">
      <c r="A180" s="35" t="s">
        <v>1032</v>
      </c>
      <c r="B180" s="35" t="s">
        <v>1031</v>
      </c>
    </row>
    <row r="181" customFormat="false" ht="15" hidden="false" customHeight="false" outlineLevel="0" collapsed="false">
      <c r="A181" s="35" t="s">
        <v>1332</v>
      </c>
      <c r="B181" s="35" t="s">
        <v>1031</v>
      </c>
    </row>
    <row r="182" customFormat="false" ht="15" hidden="false" customHeight="false" outlineLevel="0" collapsed="false">
      <c r="A182" s="35" t="s">
        <v>1012</v>
      </c>
      <c r="B182" s="35" t="s">
        <v>1011</v>
      </c>
    </row>
    <row r="183" customFormat="false" ht="15" hidden="false" customHeight="false" outlineLevel="0" collapsed="false">
      <c r="A183" s="35" t="s">
        <v>1074</v>
      </c>
      <c r="B183" s="35" t="s">
        <v>1073</v>
      </c>
    </row>
    <row r="184" customFormat="false" ht="15" hidden="false" customHeight="false" outlineLevel="0" collapsed="false">
      <c r="A184" s="35" t="s">
        <v>1333</v>
      </c>
      <c r="B184" s="35" t="s">
        <v>1073</v>
      </c>
    </row>
    <row r="185" customFormat="false" ht="15" hidden="false" customHeight="false" outlineLevel="0" collapsed="false">
      <c r="A185" s="35" t="s">
        <v>885</v>
      </c>
      <c r="B185" s="35" t="s">
        <v>884</v>
      </c>
    </row>
    <row r="186" customFormat="false" ht="15" hidden="false" customHeight="false" outlineLevel="0" collapsed="false">
      <c r="A186" s="35" t="s">
        <v>1016</v>
      </c>
      <c r="B186" s="35" t="s">
        <v>1015</v>
      </c>
    </row>
    <row r="187" customFormat="false" ht="15" hidden="false" customHeight="false" outlineLevel="0" collapsed="false">
      <c r="A187" s="35" t="s">
        <v>1334</v>
      </c>
      <c r="B187" s="35" t="s">
        <v>1015</v>
      </c>
    </row>
    <row r="188" customFormat="false" ht="15" hidden="false" customHeight="false" outlineLevel="0" collapsed="false">
      <c r="A188" s="35" t="s">
        <v>936</v>
      </c>
      <c r="B188" s="35" t="s">
        <v>935</v>
      </c>
    </row>
    <row r="189" customFormat="false" ht="15" hidden="false" customHeight="false" outlineLevel="0" collapsed="false">
      <c r="A189" s="35" t="s">
        <v>1058</v>
      </c>
      <c r="B189" s="35" t="s">
        <v>1057</v>
      </c>
    </row>
    <row r="190" customFormat="false" ht="15" hidden="false" customHeight="false" outlineLevel="0" collapsed="false">
      <c r="A190" s="35" t="s">
        <v>1154</v>
      </c>
      <c r="B190" s="35" t="s">
        <v>1153</v>
      </c>
    </row>
    <row r="191" customFormat="false" ht="15" hidden="false" customHeight="false" outlineLevel="0" collapsed="false">
      <c r="A191" s="35" t="s">
        <v>1335</v>
      </c>
      <c r="B191" s="35" t="s">
        <v>1153</v>
      </c>
    </row>
    <row r="192" customFormat="false" ht="15" hidden="false" customHeight="false" outlineLevel="0" collapsed="false">
      <c r="A192" s="35" t="s">
        <v>1336</v>
      </c>
      <c r="B192" s="35" t="s">
        <v>1153</v>
      </c>
    </row>
    <row r="193" customFormat="false" ht="15" hidden="false" customHeight="false" outlineLevel="0" collapsed="false">
      <c r="A193" s="35" t="s">
        <v>972</v>
      </c>
      <c r="B193" s="35" t="s">
        <v>971</v>
      </c>
    </row>
    <row r="194" customFormat="false" ht="15" hidden="false" customHeight="false" outlineLevel="0" collapsed="false">
      <c r="A194" s="35" t="s">
        <v>801</v>
      </c>
      <c r="B194" s="35" t="s">
        <v>800</v>
      </c>
    </row>
    <row r="195" customFormat="false" ht="15" hidden="false" customHeight="false" outlineLevel="0" collapsed="false">
      <c r="A195" s="35" t="s">
        <v>1337</v>
      </c>
      <c r="B195" s="35" t="s">
        <v>800</v>
      </c>
    </row>
    <row r="196" customFormat="false" ht="15" hidden="false" customHeight="false" outlineLevel="0" collapsed="false">
      <c r="A196" s="35" t="s">
        <v>871</v>
      </c>
      <c r="B196" s="35" t="s">
        <v>870</v>
      </c>
    </row>
    <row r="197" customFormat="false" ht="15" hidden="false" customHeight="false" outlineLevel="0" collapsed="false">
      <c r="A197" s="35" t="s">
        <v>1028</v>
      </c>
      <c r="B197" s="35" t="s">
        <v>1027</v>
      </c>
    </row>
    <row r="198" customFormat="false" ht="15" hidden="false" customHeight="false" outlineLevel="0" collapsed="false">
      <c r="A198" s="35" t="s">
        <v>1026</v>
      </c>
      <c r="B198" s="35" t="s">
        <v>1025</v>
      </c>
    </row>
    <row r="199" customFormat="false" ht="15" hidden="false" customHeight="false" outlineLevel="0" collapsed="false">
      <c r="A199" s="35" t="s">
        <v>875</v>
      </c>
      <c r="B199" s="35" t="s">
        <v>874</v>
      </c>
    </row>
    <row r="200" customFormat="false" ht="15" hidden="false" customHeight="false" outlineLevel="0" collapsed="false">
      <c r="A200" s="35" t="s">
        <v>1040</v>
      </c>
      <c r="B200" s="35" t="s">
        <v>1039</v>
      </c>
    </row>
    <row r="201" customFormat="false" ht="15" hidden="false" customHeight="false" outlineLevel="0" collapsed="false">
      <c r="A201" s="35" t="s">
        <v>1338</v>
      </c>
      <c r="B201" s="35" t="s">
        <v>1039</v>
      </c>
    </row>
    <row r="202" customFormat="false" ht="15" hidden="false" customHeight="false" outlineLevel="0" collapsed="false">
      <c r="A202" s="35" t="s">
        <v>827</v>
      </c>
      <c r="B202" s="35" t="s">
        <v>826</v>
      </c>
    </row>
    <row r="203" customFormat="false" ht="15" hidden="false" customHeight="false" outlineLevel="0" collapsed="false">
      <c r="A203" s="35" t="s">
        <v>910</v>
      </c>
      <c r="B203" s="35" t="s">
        <v>909</v>
      </c>
    </row>
    <row r="204" customFormat="false" ht="15" hidden="false" customHeight="false" outlineLevel="0" collapsed="false">
      <c r="A204" s="35" t="s">
        <v>853</v>
      </c>
      <c r="B204" s="35" t="s">
        <v>852</v>
      </c>
    </row>
    <row r="205" customFormat="false" ht="15" hidden="false" customHeight="false" outlineLevel="0" collapsed="false">
      <c r="A205" s="35" t="s">
        <v>1150</v>
      </c>
      <c r="B205" s="35" t="s">
        <v>1149</v>
      </c>
    </row>
    <row r="206" customFormat="false" ht="15" hidden="false" customHeight="false" outlineLevel="0" collapsed="false">
      <c r="A206" s="35" t="s">
        <v>1339</v>
      </c>
      <c r="B206" s="35" t="s">
        <v>1149</v>
      </c>
    </row>
    <row r="207" customFormat="false" ht="15" hidden="false" customHeight="false" outlineLevel="0" collapsed="false">
      <c r="A207" s="35" t="s">
        <v>1340</v>
      </c>
      <c r="B207" s="35" t="s">
        <v>1041</v>
      </c>
    </row>
    <row r="208" customFormat="false" ht="15" hidden="false" customHeight="false" outlineLevel="0" collapsed="false">
      <c r="A208" s="35" t="s">
        <v>924</v>
      </c>
      <c r="B208" s="35" t="s">
        <v>923</v>
      </c>
    </row>
    <row r="209" customFormat="false" ht="15" hidden="false" customHeight="false" outlineLevel="0" collapsed="false">
      <c r="A209" s="35" t="s">
        <v>986</v>
      </c>
      <c r="B209" s="35" t="s">
        <v>985</v>
      </c>
    </row>
    <row r="210" customFormat="false" ht="15" hidden="false" customHeight="false" outlineLevel="0" collapsed="false">
      <c r="A210" s="35" t="s">
        <v>966</v>
      </c>
      <c r="B210" s="35" t="s">
        <v>965</v>
      </c>
    </row>
    <row r="211" customFormat="false" ht="15" hidden="false" customHeight="false" outlineLevel="0" collapsed="false">
      <c r="A211" s="35" t="s">
        <v>863</v>
      </c>
      <c r="B211" s="35" t="s">
        <v>862</v>
      </c>
    </row>
    <row r="212" customFormat="false" ht="15" hidden="false" customHeight="false" outlineLevel="0" collapsed="false">
      <c r="A212" s="35" t="s">
        <v>829</v>
      </c>
      <c r="B212" s="35" t="s">
        <v>828</v>
      </c>
    </row>
    <row r="213" customFormat="false" ht="15" hidden="false" customHeight="false" outlineLevel="0" collapsed="false">
      <c r="A213" s="35" t="s">
        <v>805</v>
      </c>
      <c r="B213" s="35" t="s">
        <v>804</v>
      </c>
    </row>
    <row r="214" customFormat="false" ht="15" hidden="false" customHeight="false" outlineLevel="0" collapsed="false">
      <c r="A214" s="35" t="s">
        <v>1341</v>
      </c>
      <c r="B214" s="35" t="s">
        <v>804</v>
      </c>
    </row>
    <row r="215" customFormat="false" ht="15" hidden="false" customHeight="false" outlineLevel="0" collapsed="false">
      <c r="A215" s="35" t="s">
        <v>859</v>
      </c>
      <c r="B215" s="35" t="s">
        <v>858</v>
      </c>
    </row>
    <row r="216" customFormat="false" ht="15" hidden="false" customHeight="false" outlineLevel="0" collapsed="false">
      <c r="A216" s="35" t="s">
        <v>1342</v>
      </c>
      <c r="B216" s="35" t="s">
        <v>891</v>
      </c>
    </row>
    <row r="217" customFormat="false" ht="15" hidden="false" customHeight="false" outlineLevel="0" collapsed="false">
      <c r="A217" s="35" t="s">
        <v>892</v>
      </c>
      <c r="B217" s="35" t="s">
        <v>891</v>
      </c>
    </row>
    <row r="218" customFormat="false" ht="15" hidden="false" customHeight="false" outlineLevel="0" collapsed="false">
      <c r="A218" s="35" t="s">
        <v>879</v>
      </c>
      <c r="B218" s="35" t="s">
        <v>878</v>
      </c>
    </row>
    <row r="219" customFormat="false" ht="15" hidden="false" customHeight="false" outlineLevel="0" collapsed="false">
      <c r="A219" s="35" t="s">
        <v>1343</v>
      </c>
      <c r="B219" s="35" t="s">
        <v>1053</v>
      </c>
    </row>
    <row r="220" customFormat="false" ht="15" hidden="false" customHeight="false" outlineLevel="0" collapsed="false">
      <c r="A220" s="35" t="s">
        <v>851</v>
      </c>
      <c r="B220" s="35" t="s">
        <v>850</v>
      </c>
    </row>
    <row r="221" customFormat="false" ht="15" hidden="false" customHeight="false" outlineLevel="0" collapsed="false">
      <c r="A221" s="35" t="s">
        <v>1344</v>
      </c>
      <c r="B221" s="35" t="s">
        <v>780</v>
      </c>
    </row>
    <row r="222" customFormat="false" ht="15" hidden="false" customHeight="false" outlineLevel="0" collapsed="false">
      <c r="A222" s="35" t="s">
        <v>781</v>
      </c>
      <c r="B222" s="35" t="s">
        <v>780</v>
      </c>
    </row>
    <row r="223" customFormat="false" ht="15" hidden="false" customHeight="false" outlineLevel="0" collapsed="false">
      <c r="A223" s="35" t="s">
        <v>1050</v>
      </c>
      <c r="B223" s="35" t="s">
        <v>1049</v>
      </c>
    </row>
    <row r="224" customFormat="false" ht="15" hidden="false" customHeight="false" outlineLevel="0" collapsed="false">
      <c r="A224" s="35" t="s">
        <v>1345</v>
      </c>
      <c r="B224" s="35" t="s">
        <v>1137</v>
      </c>
    </row>
    <row r="225" customFormat="false" ht="15" hidden="false" customHeight="false" outlineLevel="0" collapsed="false">
      <c r="A225" s="35" t="s">
        <v>1346</v>
      </c>
      <c r="B225" s="35" t="s">
        <v>1109</v>
      </c>
    </row>
    <row r="226" customFormat="false" ht="15" hidden="false" customHeight="false" outlineLevel="0" collapsed="false">
      <c r="A226" s="35" t="s">
        <v>1347</v>
      </c>
      <c r="B226" s="35" t="s">
        <v>1135</v>
      </c>
    </row>
    <row r="227" customFormat="false" ht="15" hidden="false" customHeight="false" outlineLevel="0" collapsed="false">
      <c r="A227" s="35" t="s">
        <v>1134</v>
      </c>
      <c r="B227" s="35" t="s">
        <v>1133</v>
      </c>
    </row>
    <row r="228" customFormat="false" ht="15" hidden="false" customHeight="false" outlineLevel="0" collapsed="false">
      <c r="A228" s="35" t="s">
        <v>1122</v>
      </c>
      <c r="B228" s="35" t="s">
        <v>1121</v>
      </c>
    </row>
    <row r="229" customFormat="false" ht="15" hidden="false" customHeight="false" outlineLevel="0" collapsed="false">
      <c r="A229" s="35" t="s">
        <v>1348</v>
      </c>
      <c r="B229" s="35" t="s">
        <v>1121</v>
      </c>
    </row>
    <row r="230" customFormat="false" ht="15" hidden="false" customHeight="false" outlineLevel="0" collapsed="false">
      <c r="A230" s="35" t="s">
        <v>1349</v>
      </c>
      <c r="B230" s="35" t="s">
        <v>1139</v>
      </c>
    </row>
    <row r="231" customFormat="false" ht="15" hidden="false" customHeight="false" outlineLevel="0" collapsed="false">
      <c r="A231" s="35" t="s">
        <v>798</v>
      </c>
      <c r="B231" s="35" t="s">
        <v>797</v>
      </c>
    </row>
    <row r="232" customFormat="false" ht="15" hidden="false" customHeight="false" outlineLevel="0" collapsed="false">
      <c r="A232" s="35" t="s">
        <v>984</v>
      </c>
      <c r="B232" s="35" t="s">
        <v>983</v>
      </c>
    </row>
    <row r="233" customFormat="false" ht="15" hidden="false" customHeight="false" outlineLevel="0" collapsed="false">
      <c r="A233" s="35" t="s">
        <v>920</v>
      </c>
      <c r="B233" s="35" t="s">
        <v>919</v>
      </c>
    </row>
    <row r="234" customFormat="false" ht="15" hidden="false" customHeight="false" outlineLevel="0" collapsed="false">
      <c r="A234" s="35" t="s">
        <v>1350</v>
      </c>
      <c r="B234" s="35" t="s">
        <v>919</v>
      </c>
    </row>
    <row r="235" customFormat="false" ht="15" hidden="false" customHeight="false" outlineLevel="0" collapsed="false">
      <c r="A235" s="35" t="s">
        <v>1116</v>
      </c>
      <c r="B235" s="35" t="s">
        <v>1115</v>
      </c>
    </row>
    <row r="236" customFormat="false" ht="15" hidden="false" customHeight="false" outlineLevel="0" collapsed="false">
      <c r="A236" s="35" t="s">
        <v>1082</v>
      </c>
      <c r="B236" s="35" t="s">
        <v>1081</v>
      </c>
    </row>
    <row r="237" customFormat="false" ht="15" hidden="false" customHeight="false" outlineLevel="0" collapsed="false">
      <c r="A237" s="35" t="s">
        <v>817</v>
      </c>
      <c r="B237" s="35" t="s">
        <v>816</v>
      </c>
    </row>
    <row r="238" customFormat="false" ht="15" hidden="false" customHeight="false" outlineLevel="0" collapsed="false">
      <c r="A238" s="35" t="s">
        <v>890</v>
      </c>
      <c r="B238" s="35" t="s">
        <v>889</v>
      </c>
    </row>
    <row r="239" customFormat="false" ht="15" hidden="false" customHeight="false" outlineLevel="0" collapsed="false">
      <c r="A239" s="35" t="s">
        <v>1351</v>
      </c>
      <c r="B239" s="35" t="s">
        <v>889</v>
      </c>
    </row>
    <row r="240" customFormat="false" ht="15" hidden="false" customHeight="false" outlineLevel="0" collapsed="false">
      <c r="A240" s="35" t="s">
        <v>942</v>
      </c>
      <c r="B240" s="35" t="s">
        <v>941</v>
      </c>
    </row>
    <row r="241" customFormat="false" ht="15" hidden="false" customHeight="false" outlineLevel="0" collapsed="false">
      <c r="A241" s="35" t="s">
        <v>1352</v>
      </c>
      <c r="B241" s="35" t="s">
        <v>941</v>
      </c>
    </row>
    <row r="242" customFormat="false" ht="15" hidden="false" customHeight="false" outlineLevel="0" collapsed="false">
      <c r="A242" s="35" t="s">
        <v>1126</v>
      </c>
      <c r="B242" s="35" t="s">
        <v>1125</v>
      </c>
    </row>
    <row r="243" customFormat="false" ht="15" hidden="false" customHeight="false" outlineLevel="0" collapsed="false">
      <c r="A243" s="35" t="s">
        <v>1353</v>
      </c>
      <c r="B243" s="35" t="s">
        <v>1061</v>
      </c>
    </row>
    <row r="244" customFormat="false" ht="15" hidden="false" customHeight="false" outlineLevel="0" collapsed="false">
      <c r="A244" s="35" t="s">
        <v>1062</v>
      </c>
      <c r="B244" s="35" t="s">
        <v>1061</v>
      </c>
    </row>
    <row r="245" customFormat="false" ht="15" hidden="false" customHeight="false" outlineLevel="0" collapsed="false">
      <c r="A245" s="35" t="s">
        <v>846</v>
      </c>
      <c r="B245" s="35" t="s">
        <v>845</v>
      </c>
    </row>
    <row r="246" customFormat="false" ht="15" hidden="false" customHeight="false" outlineLevel="0" collapsed="false">
      <c r="A246" s="35" t="s">
        <v>1354</v>
      </c>
      <c r="B246" s="35" t="s">
        <v>785</v>
      </c>
    </row>
    <row r="247" customFormat="false" ht="15" hidden="false" customHeight="false" outlineLevel="0" collapsed="false">
      <c r="A247" s="35" t="s">
        <v>1092</v>
      </c>
      <c r="B247" s="35" t="s">
        <v>1091</v>
      </c>
    </row>
    <row r="248" customFormat="false" ht="15" hidden="false" customHeight="false" outlineLevel="0" collapsed="false">
      <c r="A248" s="35" t="s">
        <v>1355</v>
      </c>
      <c r="B248" s="35" t="s">
        <v>1091</v>
      </c>
    </row>
    <row r="249" customFormat="false" ht="15" hidden="false" customHeight="false" outlineLevel="0" collapsed="false">
      <c r="A249" s="35" t="s">
        <v>792</v>
      </c>
      <c r="B249" s="35" t="s">
        <v>791</v>
      </c>
    </row>
    <row r="250" customFormat="false" ht="15" hidden="false" customHeight="false" outlineLevel="0" collapsed="false">
      <c r="A250" s="35" t="s">
        <v>912</v>
      </c>
      <c r="B250" s="35" t="s">
        <v>911</v>
      </c>
    </row>
    <row r="251" customFormat="false" ht="15" hidden="false" customHeight="false" outlineLevel="0" collapsed="false">
      <c r="A251" s="35" t="s">
        <v>1356</v>
      </c>
      <c r="B251" s="35" t="s">
        <v>1137</v>
      </c>
    </row>
    <row r="252" customFormat="false" ht="15" hidden="false" customHeight="false" outlineLevel="0" collapsed="false">
      <c r="A252" s="35" t="s">
        <v>1138</v>
      </c>
      <c r="B252" s="35" t="s">
        <v>1137</v>
      </c>
    </row>
    <row r="253" customFormat="false" ht="15" hidden="false" customHeight="false" outlineLevel="0" collapsed="false">
      <c r="A253" s="35" t="s">
        <v>1110</v>
      </c>
      <c r="B253" s="35" t="s">
        <v>1109</v>
      </c>
    </row>
    <row r="254" customFormat="false" ht="15" hidden="false" customHeight="false" outlineLevel="0" collapsed="false">
      <c r="A254" s="35" t="s">
        <v>1357</v>
      </c>
      <c r="B254" s="35" t="s">
        <v>1135</v>
      </c>
    </row>
    <row r="255" customFormat="false" ht="15" hidden="false" customHeight="false" outlineLevel="0" collapsed="false">
      <c r="A255" s="35" t="s">
        <v>1136</v>
      </c>
      <c r="B255" s="35" t="s">
        <v>1135</v>
      </c>
    </row>
    <row r="256" customFormat="false" ht="15" hidden="false" customHeight="false" outlineLevel="0" collapsed="false">
      <c r="A256" s="35" t="s">
        <v>992</v>
      </c>
      <c r="B256" s="35" t="s">
        <v>991</v>
      </c>
    </row>
    <row r="257" customFormat="false" ht="15" hidden="false" customHeight="false" outlineLevel="0" collapsed="false">
      <c r="A257" s="35" t="s">
        <v>1094</v>
      </c>
      <c r="B257" s="35" t="s">
        <v>1093</v>
      </c>
    </row>
    <row r="258" customFormat="false" ht="15" hidden="false" customHeight="false" outlineLevel="0" collapsed="false">
      <c r="A258" s="35" t="s">
        <v>1358</v>
      </c>
      <c r="B258" s="35" t="s">
        <v>1085</v>
      </c>
    </row>
    <row r="259" customFormat="false" ht="15" hidden="false" customHeight="false" outlineLevel="0" collapsed="false">
      <c r="A259" s="35" t="s">
        <v>815</v>
      </c>
      <c r="B259" s="35" t="s">
        <v>814</v>
      </c>
    </row>
    <row r="260" customFormat="false" ht="15" hidden="false" customHeight="false" outlineLevel="0" collapsed="false">
      <c r="A260" s="35" t="s">
        <v>803</v>
      </c>
      <c r="B260" s="35" t="s">
        <v>802</v>
      </c>
    </row>
    <row r="261" customFormat="false" ht="15" hidden="false" customHeight="false" outlineLevel="0" collapsed="false">
      <c r="A261" s="35" t="s">
        <v>1359</v>
      </c>
      <c r="B261" s="35" t="s">
        <v>1360</v>
      </c>
    </row>
    <row r="262" customFormat="false" ht="15" hidden="false" customHeight="false" outlineLevel="0" collapsed="false">
      <c r="A262" s="35" t="s">
        <v>1140</v>
      </c>
      <c r="B262" s="35" t="s">
        <v>1139</v>
      </c>
    </row>
    <row r="263" customFormat="false" ht="15" hidden="false" customHeight="false" outlineLevel="0" collapsed="false">
      <c r="A263" s="35" t="s">
        <v>1361</v>
      </c>
      <c r="B263" s="35" t="s">
        <v>1139</v>
      </c>
    </row>
    <row r="264" customFormat="false" ht="15" hidden="false" customHeight="false" outlineLevel="0" collapsed="false">
      <c r="A264" s="35" t="s">
        <v>1362</v>
      </c>
      <c r="B264" s="35" t="s">
        <v>1139</v>
      </c>
    </row>
    <row r="265" customFormat="false" ht="15" hidden="false" customHeight="false" outlineLevel="0" collapsed="false">
      <c r="A265" s="35" t="s">
        <v>1363</v>
      </c>
      <c r="B265" s="35" t="s">
        <v>806</v>
      </c>
    </row>
    <row r="266" customFormat="false" ht="15" hidden="false" customHeight="false" outlineLevel="0" collapsed="false">
      <c r="A266" s="35" t="s">
        <v>807</v>
      </c>
      <c r="B266" s="35" t="s">
        <v>806</v>
      </c>
    </row>
    <row r="267" customFormat="false" ht="15" hidden="false" customHeight="false" outlineLevel="0" collapsed="false">
      <c r="A267" s="35" t="s">
        <v>1056</v>
      </c>
      <c r="B267" s="35" t="s">
        <v>1055</v>
      </c>
    </row>
    <row r="268" customFormat="false" ht="15" hidden="false" customHeight="false" outlineLevel="0" collapsed="false">
      <c r="A268" s="35" t="s">
        <v>1364</v>
      </c>
      <c r="B268" s="35" t="s">
        <v>1055</v>
      </c>
    </row>
    <row r="269" customFormat="false" ht="15" hidden="false" customHeight="false" outlineLevel="0" collapsed="false">
      <c r="A269" s="35" t="s">
        <v>932</v>
      </c>
      <c r="B269" s="35" t="s">
        <v>931</v>
      </c>
    </row>
    <row r="270" customFormat="false" ht="15" hidden="false" customHeight="false" outlineLevel="0" collapsed="false">
      <c r="A270" s="35" t="s">
        <v>1365</v>
      </c>
      <c r="B270" s="35" t="s">
        <v>931</v>
      </c>
    </row>
    <row r="271" customFormat="false" ht="15" hidden="false" customHeight="false" outlineLevel="0" collapsed="false">
      <c r="A271" s="35" t="s">
        <v>825</v>
      </c>
      <c r="B271" s="35" t="s">
        <v>824</v>
      </c>
    </row>
    <row r="272" customFormat="false" ht="15" hidden="false" customHeight="false" outlineLevel="0" collapsed="false">
      <c r="A272" s="35" t="s">
        <v>1366</v>
      </c>
      <c r="B272" s="35" t="s">
        <v>1043</v>
      </c>
    </row>
    <row r="273" customFormat="false" ht="15" hidden="false" customHeight="false" outlineLevel="0" collapsed="false">
      <c r="A273" s="35" t="s">
        <v>1367</v>
      </c>
      <c r="B273" s="35" t="s">
        <v>1113</v>
      </c>
    </row>
    <row r="274" customFormat="false" ht="15" hidden="false" customHeight="false" outlineLevel="0" collapsed="false">
      <c r="A274" s="35" t="s">
        <v>1124</v>
      </c>
      <c r="B274" s="35" t="s">
        <v>1123</v>
      </c>
    </row>
    <row r="275" customFormat="false" ht="15" hidden="false" customHeight="false" outlineLevel="0" collapsed="false">
      <c r="A275" s="35" t="s">
        <v>1368</v>
      </c>
      <c r="B275" s="35" t="s">
        <v>1123</v>
      </c>
    </row>
    <row r="276" customFormat="false" ht="15" hidden="false" customHeight="false" outlineLevel="0" collapsed="false">
      <c r="A276" s="35" t="s">
        <v>1070</v>
      </c>
      <c r="B276" s="35" t="s">
        <v>1069</v>
      </c>
    </row>
    <row r="277" customFormat="false" ht="15" hidden="false" customHeight="false" outlineLevel="0" collapsed="false">
      <c r="A277" s="35" t="s">
        <v>1144</v>
      </c>
      <c r="B277" s="35" t="s">
        <v>1143</v>
      </c>
    </row>
    <row r="278" customFormat="false" ht="15" hidden="false" customHeight="false" outlineLevel="0" collapsed="false">
      <c r="A278" s="35" t="s">
        <v>1369</v>
      </c>
      <c r="B278" s="35" t="s">
        <v>999</v>
      </c>
    </row>
    <row r="279" customFormat="false" ht="15" hidden="false" customHeight="false" outlineLevel="0" collapsed="false">
      <c r="A279" s="35" t="s">
        <v>1000</v>
      </c>
      <c r="B279" s="35" t="s">
        <v>999</v>
      </c>
    </row>
    <row r="280" customFormat="false" ht="15" hidden="false" customHeight="false" outlineLevel="0" collapsed="false">
      <c r="A280" s="35" t="s">
        <v>954</v>
      </c>
      <c r="B280" s="35" t="s">
        <v>953</v>
      </c>
    </row>
    <row r="281" customFormat="false" ht="15" hidden="false" customHeight="false" outlineLevel="0" collapsed="false">
      <c r="A281" s="35" t="s">
        <v>1370</v>
      </c>
      <c r="B281" s="35" t="s">
        <v>795</v>
      </c>
    </row>
    <row r="282" customFormat="false" ht="15" hidden="false" customHeight="false" outlineLevel="0" collapsed="false">
      <c r="A282" s="35" t="s">
        <v>1371</v>
      </c>
      <c r="B282" s="35" t="s">
        <v>795</v>
      </c>
    </row>
    <row r="283" customFormat="false" ht="15" hidden="false" customHeight="false" outlineLevel="0" collapsed="false">
      <c r="A283" s="35" t="s">
        <v>944</v>
      </c>
      <c r="B283" s="35" t="s">
        <v>943</v>
      </c>
    </row>
    <row r="284" customFormat="false" ht="15" hidden="false" customHeight="false" outlineLevel="0" collapsed="false">
      <c r="A284" s="35" t="s">
        <v>1156</v>
      </c>
      <c r="B284" s="35" t="s">
        <v>1155</v>
      </c>
    </row>
    <row r="285" customFormat="false" ht="15" hidden="false" customHeight="false" outlineLevel="0" collapsed="false">
      <c r="A285" s="35" t="s">
        <v>796</v>
      </c>
      <c r="B285" s="35" t="s">
        <v>795</v>
      </c>
    </row>
    <row r="286" customFormat="false" ht="15" hidden="false" customHeight="false" outlineLevel="0" collapsed="false">
      <c r="A286" s="35" t="s">
        <v>1372</v>
      </c>
      <c r="B286" s="35" t="s">
        <v>795</v>
      </c>
    </row>
    <row r="287" customFormat="false" ht="15" hidden="false" customHeight="false" outlineLevel="0" collapsed="false">
      <c r="A287" s="35" t="s">
        <v>1373</v>
      </c>
      <c r="B287" s="35" t="s">
        <v>772</v>
      </c>
    </row>
    <row r="288" customFormat="false" ht="15" hidden="false" customHeight="false" outlineLevel="0" collapsed="false">
      <c r="A288" s="35" t="s">
        <v>757</v>
      </c>
      <c r="B288" s="35" t="s">
        <v>757</v>
      </c>
    </row>
    <row r="289" customFormat="false" ht="15" hidden="false" customHeight="false" outlineLevel="0" collapsed="false">
      <c r="A289" s="35" t="s">
        <v>948</v>
      </c>
      <c r="B289" s="35" t="s">
        <v>947</v>
      </c>
    </row>
    <row r="290" customFormat="false" ht="15" hidden="false" customHeight="false" outlineLevel="0" collapsed="false">
      <c r="A290" s="35" t="s">
        <v>881</v>
      </c>
      <c r="B290" s="35" t="s">
        <v>880</v>
      </c>
    </row>
    <row r="291" customFormat="false" ht="15" hidden="false" customHeight="false" outlineLevel="0" collapsed="false">
      <c r="A291" s="35" t="s">
        <v>819</v>
      </c>
      <c r="B291" s="35" t="s">
        <v>818</v>
      </c>
    </row>
    <row r="292" customFormat="false" ht="15" hidden="false" customHeight="false" outlineLevel="0" collapsed="false">
      <c r="A292" s="35" t="s">
        <v>773</v>
      </c>
      <c r="B292" s="35" t="s">
        <v>772</v>
      </c>
    </row>
    <row r="293" customFormat="false" ht="15" hidden="false" customHeight="false" outlineLevel="0" collapsed="false">
      <c r="A293" s="35" t="s">
        <v>758</v>
      </c>
      <c r="B293" s="35" t="s">
        <v>757</v>
      </c>
    </row>
    <row r="294" customFormat="false" ht="15" hidden="false" customHeight="false" outlineLevel="0" collapsed="false">
      <c r="A294" s="35" t="s">
        <v>1374</v>
      </c>
      <c r="B294" s="35" t="s">
        <v>757</v>
      </c>
    </row>
    <row r="295" customFormat="false" ht="15" hidden="false" customHeight="false" outlineLevel="0" collapsed="false">
      <c r="A295" s="35" t="s">
        <v>930</v>
      </c>
      <c r="B295" s="35" t="s">
        <v>929</v>
      </c>
    </row>
    <row r="296" customFormat="false" ht="15" hidden="false" customHeight="false" outlineLevel="0" collapsed="false">
      <c r="A296" s="35" t="s">
        <v>898</v>
      </c>
      <c r="B296" s="35" t="s">
        <v>897</v>
      </c>
    </row>
    <row r="297" customFormat="false" ht="15" hidden="false" customHeight="false" outlineLevel="0" collapsed="false">
      <c r="A297" s="35" t="s">
        <v>1375</v>
      </c>
      <c r="B297" s="35" t="s">
        <v>897</v>
      </c>
    </row>
    <row r="298" customFormat="false" ht="15" hidden="false" customHeight="false" outlineLevel="0" collapsed="false">
      <c r="A298" s="35" t="s">
        <v>1132</v>
      </c>
      <c r="B298" s="35" t="s">
        <v>1131</v>
      </c>
    </row>
    <row r="299" customFormat="false" ht="15" hidden="false" customHeight="false" outlineLevel="0" collapsed="false">
      <c r="A299" s="35" t="s">
        <v>1376</v>
      </c>
      <c r="B299" s="35" t="s">
        <v>899</v>
      </c>
    </row>
    <row r="300" customFormat="false" ht="15" hidden="false" customHeight="false" outlineLevel="0" collapsed="false">
      <c r="A300" s="35" t="s">
        <v>900</v>
      </c>
      <c r="B300" s="35" t="s">
        <v>899</v>
      </c>
    </row>
    <row r="301" customFormat="false" ht="15" hidden="false" customHeight="false" outlineLevel="0" collapsed="false">
      <c r="A301" s="35" t="s">
        <v>1377</v>
      </c>
      <c r="B301" s="35" t="s">
        <v>899</v>
      </c>
    </row>
    <row r="302" customFormat="false" ht="15" hidden="false" customHeight="false" outlineLevel="0" collapsed="false">
      <c r="A302" s="35" t="s">
        <v>831</v>
      </c>
      <c r="B302" s="35" t="s">
        <v>830</v>
      </c>
    </row>
    <row r="303" customFormat="false" ht="15" hidden="false" customHeight="false" outlineLevel="0" collapsed="false">
      <c r="A303" s="35" t="s">
        <v>1378</v>
      </c>
      <c r="B303" s="35" t="s">
        <v>830</v>
      </c>
    </row>
    <row r="304" customFormat="false" ht="15" hidden="false" customHeight="false" outlineLevel="0" collapsed="false">
      <c r="A304" s="35" t="s">
        <v>1042</v>
      </c>
      <c r="B304" s="35" t="s">
        <v>1041</v>
      </c>
    </row>
    <row r="305" customFormat="false" ht="15" hidden="false" customHeight="false" outlineLevel="0" collapsed="false">
      <c r="A305" s="35" t="s">
        <v>1379</v>
      </c>
      <c r="B305" s="35" t="s">
        <v>1075</v>
      </c>
    </row>
    <row r="306" customFormat="false" ht="15" hidden="false" customHeight="false" outlineLevel="0" collapsed="false">
      <c r="A306" s="35" t="s">
        <v>1076</v>
      </c>
      <c r="B306" s="35" t="s">
        <v>1075</v>
      </c>
    </row>
    <row r="307" customFormat="false" ht="15" hidden="false" customHeight="false" outlineLevel="0" collapsed="false">
      <c r="A307" s="35" t="s">
        <v>1380</v>
      </c>
      <c r="B307" s="35" t="s">
        <v>1075</v>
      </c>
    </row>
    <row r="308" customFormat="false" ht="15" hidden="false" customHeight="false" outlineLevel="0" collapsed="false">
      <c r="A308" s="35" t="s">
        <v>1002</v>
      </c>
      <c r="B308" s="35" t="s">
        <v>1001</v>
      </c>
    </row>
    <row r="309" customFormat="false" ht="15" hidden="false" customHeight="false" outlineLevel="0" collapsed="false">
      <c r="A309" s="35" t="s">
        <v>960</v>
      </c>
      <c r="B309" s="35" t="s">
        <v>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2026-10-20T01:17:01Z</dcterms:created>
  <dc:creator>openpyxl</dc:creator>
  <dc:description/>
  <dc:language>en-US</dc:language>
  <cp:lastModifiedBy/>
  <dcterms:modified xsi:type="dcterms:W3CDTF">2026-10-20T01:19:41Z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